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comments14.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comments18.xml" ContentType="application/vnd.openxmlformats-officedocument.spreadsheetml.comments+xml"/>
  <Override PartName="/xl/drawings/drawing23.xml" ContentType="application/vnd.openxmlformats-officedocument.drawing+xml"/>
  <Override PartName="/xl/drawings/drawing24.xml" ContentType="application/vnd.openxmlformats-officedocument.drawing+xml"/>
  <Override PartName="/xl/comments19.xml" ContentType="application/vnd.openxmlformats-officedocument.spreadsheetml.comments+xml"/>
  <Override PartName="/xl/drawings/drawing25.xml" ContentType="application/vnd.openxmlformats-officedocument.drawing+xml"/>
  <Override PartName="/xl/comments20.xml" ContentType="application/vnd.openxmlformats-officedocument.spreadsheetml.comments+xml"/>
  <Override PartName="/xl/drawings/drawing26.xml" ContentType="application/vnd.openxmlformats-officedocument.drawing+xml"/>
  <Override PartName="/xl/comments21.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2.xml" ContentType="application/vnd.openxmlformats-officedocument.spreadsheetml.comments+xml"/>
  <Override PartName="/xl/drawings/drawing29.xml" ContentType="application/vnd.openxmlformats-officedocument.drawing+xml"/>
  <Override PartName="/xl/comments23.xml" ContentType="application/vnd.openxmlformats-officedocument.spreadsheetml.comments+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omments24.xml" ContentType="application/vnd.openxmlformats-officedocument.spreadsheetml.comments+xml"/>
  <Override PartName="/xl/drawings/drawing40.xml" ContentType="application/vnd.openxmlformats-officedocument.drawing+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drawings/drawing41.xml" ContentType="application/vnd.openxmlformats-officedocument.drawing+xml"/>
  <Override PartName="/xl/comments28.xml" ContentType="application/vnd.openxmlformats-officedocument.spreadsheetml.comments+xml"/>
  <Override PartName="/xl/charts/chart1.xml" ContentType="application/vnd.openxmlformats-officedocument.drawingml.chart+xml"/>
  <Override PartName="/xl/drawings/drawing42.xml" ContentType="application/vnd.openxmlformats-officedocument.drawing+xml"/>
  <Override PartName="/xl/comments29.xml" ContentType="application/vnd.openxmlformats-officedocument.spreadsheetml.comments+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comments30.xml" ContentType="application/vnd.openxmlformats-officedocument.spreadsheetml.comments+xml"/>
  <Override PartName="/xl/drawings/drawing46.xml" ContentType="application/vnd.openxmlformats-officedocument.drawing+xml"/>
  <Override PartName="/xl/comments31.xml" ContentType="application/vnd.openxmlformats-officedocument.spreadsheetml.comments+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comments32.xml" ContentType="application/vnd.openxmlformats-officedocument.spreadsheetml.comments+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comments33.xml" ContentType="application/vnd.openxmlformats-officedocument.spreadsheetml.comments+xml"/>
  <Override PartName="/xl/drawings/drawing56.xml" ContentType="application/vnd.openxmlformats-officedocument.drawing+xml"/>
  <Override PartName="/xl/comments34.xml" ContentType="application/vnd.openxmlformats-officedocument.spreadsheetml.comments+xml"/>
  <Override PartName="/xl/drawings/drawing57.xml" ContentType="application/vnd.openxmlformats-officedocument.drawing+xml"/>
  <Override PartName="/xl/comments35.xml" ContentType="application/vnd.openxmlformats-officedocument.spreadsheetml.comments+xml"/>
  <Override PartName="/xl/drawings/drawing58.xml" ContentType="application/vnd.openxmlformats-officedocument.drawing+xml"/>
  <Override PartName="/xl/comments36.xml" ContentType="application/vnd.openxmlformats-officedocument.spreadsheetml.comments+xml"/>
  <Override PartName="/xl/drawings/drawing59.xml" ContentType="application/vnd.openxmlformats-officedocument.drawing+xml"/>
  <Override PartName="/xl/comments37.xml" ContentType="application/vnd.openxmlformats-officedocument.spreadsheetml.comments+xml"/>
  <Override PartName="/xl/drawings/drawing60.xml" ContentType="application/vnd.openxmlformats-officedocument.drawing+xml"/>
  <Override PartName="/xl/comments38.xml" ContentType="application/vnd.openxmlformats-officedocument.spreadsheetml.comments+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showInkAnnotation="0" codeName="ThisWorkbook" defaultThemeVersion="124226"/>
  <mc:AlternateContent xmlns:mc="http://schemas.openxmlformats.org/markup-compatibility/2006">
    <mc:Choice Requires="x15">
      <x15ac:absPath xmlns:x15ac="http://schemas.microsoft.com/office/spreadsheetml/2010/11/ac" url="C:\Users\pravash\Desktop\Myagdi Updated Project Cost\"/>
    </mc:Choice>
  </mc:AlternateContent>
  <xr:revisionPtr revIDLastSave="0" documentId="13_ncr:1_{84BD1955-0F06-4701-AAC4-FFCB01E030DE}" xr6:coauthVersionLast="47" xr6:coauthVersionMax="47" xr10:uidLastSave="{00000000-0000-0000-0000-000000000000}"/>
  <bookViews>
    <workbookView xWindow="-21720" yWindow="-120" windowWidth="21840" windowHeight="13020" firstSheet="4" activeTab="4" xr2:uid="{00000000-000D-0000-FFFF-FFFF00000000}"/>
  </bookViews>
  <sheets>
    <sheet name="Rate (2)" sheetId="57" state="hidden" r:id="rId1"/>
    <sheet name="4.Approach culvcert RIYAZ" sheetId="53" state="hidden" r:id="rId2"/>
    <sheet name="civil cost" sheetId="49" state="hidden" r:id="rId3"/>
    <sheet name="Steel Cost" sheetId="72" state="hidden" r:id="rId4"/>
    <sheet name="1.BoQ Summary_  for Tender" sheetId="177" r:id="rId5"/>
    <sheet name="BOQ description _Final" sheetId="172" state="hidden" r:id="rId6"/>
    <sheet name="General Items" sheetId="108" state="hidden" r:id="rId7"/>
    <sheet name="2.BOQ with cost" sheetId="180" r:id="rId8"/>
    <sheet name="2.BOQ_ for Tender" sheetId="176" state="hidden" r:id="rId9"/>
    <sheet name="3.Dayworks schedule for Tender" sheetId="178" state="hidden" r:id="rId10"/>
    <sheet name="BoQ Summary_with cost " sheetId="96" state="hidden" r:id="rId11"/>
    <sheet name="BOQ quantities with rate" sheetId="181" state="hidden" r:id="rId12"/>
    <sheet name="Myagdi Diversion" sheetId="142" state="hidden" r:id="rId13"/>
    <sheet name="M. Headworks river protection" sheetId="157" state="hidden" r:id="rId14"/>
    <sheet name="M. Weir &amp; Stillingbasin" sheetId="158" state="hidden" r:id="rId15"/>
    <sheet name="M. Undersluice trashpassage" sheetId="159" state="hidden" r:id="rId16"/>
    <sheet name="M. Intake Gtrap" sheetId="160" state="hidden" r:id="rId17"/>
    <sheet name="Connecting Tunnel" sheetId="146" state="hidden" r:id="rId18"/>
    <sheet name="Inlet Portal Connecting Tunnel" sheetId="145" state="hidden" r:id="rId19"/>
    <sheet name="Outlet Portal Connecting Tunnel" sheetId="143" state="hidden" r:id="rId20"/>
    <sheet name="HRT Adit Portal 1" sheetId="170" state="hidden" r:id="rId21"/>
    <sheet name="HRT Adit Portal 2" sheetId="171" state="hidden" r:id="rId22"/>
    <sheet name="Syphon and Culvert" sheetId="169" state="hidden" r:id="rId23"/>
    <sheet name="BoQ_formated for tender_2" sheetId="152" state="hidden" r:id="rId24"/>
    <sheet name="Access Road" sheetId="147" state="hidden" r:id="rId25"/>
    <sheet name="Kunaban Diversion" sheetId="141" state="hidden" r:id="rId26"/>
    <sheet name="K.Headworks river protection" sheetId="103" state="hidden" r:id="rId27"/>
    <sheet name="Boulder Weir (Kunban Updated)" sheetId="153" state="hidden" r:id="rId28"/>
    <sheet name="Undersluice, T.passage,Fish (Up" sheetId="154" state="hidden" r:id="rId29"/>
    <sheet name="Intake, Gravel Trap and C.  (Up" sheetId="155" state="hidden" r:id="rId30"/>
    <sheet name="S.basin,HP&amp;Spillway" sheetId="161" state="hidden" r:id="rId31"/>
    <sheet name="HM_Pipe Cost" sheetId="135" state="hidden" r:id="rId32"/>
    <sheet name="Headrace Pipe " sheetId="156" state="hidden" r:id="rId33"/>
    <sheet name="Inlet Portal" sheetId="122" state="hidden" r:id="rId34"/>
    <sheet name="Outlet Portal Final" sheetId="167" state="hidden" r:id="rId35"/>
    <sheet name="Adit Tunnel" sheetId="124" state="hidden" r:id="rId36"/>
    <sheet name="HRT  (Alt.)" sheetId="123" r:id="rId37"/>
    <sheet name="Aeration tunnel (Alt.)" sheetId="125" state="hidden" r:id="rId38"/>
    <sheet name="Surge " sheetId="126" state="hidden" r:id="rId39"/>
    <sheet name="DS1" sheetId="136" state="hidden" r:id="rId40"/>
    <sheet name="DS2" sheetId="166" state="hidden" r:id="rId41"/>
    <sheet name="DS 3" sheetId="179" state="hidden" r:id="rId42"/>
    <sheet name="Vertical Shaft" sheetId="127" state="hidden" r:id="rId43"/>
    <sheet name="Horizontal Shaft Tunnel-I" sheetId="162" state="hidden" r:id="rId44"/>
    <sheet name="Horizontal Shaft Tunnel-II" sheetId="163" state="hidden" r:id="rId45"/>
    <sheet name="Horizontal Shaft Tunnel-III" sheetId="164" state="hidden" r:id="rId46"/>
    <sheet name="Horizontal Shaft Tunnel-IV" sheetId="165" state="hidden" r:id="rId47"/>
    <sheet name="Culvert (Connecting Tunnel Alt)" sheetId="144" state="hidden" r:id="rId48"/>
    <sheet name="Connecting Canal" sheetId="133" state="hidden" r:id="rId49"/>
    <sheet name="Provisional Sum" sheetId="114" state="hidden" r:id="rId50"/>
    <sheet name="Daywork Schedule" sheetId="109" state="hidden" r:id="rId51"/>
    <sheet name="Summary" sheetId="110" state="hidden" r:id="rId52"/>
    <sheet name="Rate_Surface" sheetId="55" state="hidden" r:id="rId53"/>
    <sheet name="cost per unit length" sheetId="111" state="hidden" r:id="rId54"/>
    <sheet name="Cost comparision prefeasibility" sheetId="112" state="hidden" r:id="rId55"/>
    <sheet name="Project Cost NRS" sheetId="68" state="hidden" r:id="rId56"/>
    <sheet name="Approach Canal(opt. 2)" sheetId="134" state="hidden" r:id="rId57"/>
    <sheet name="Audit tunnel Portal" sheetId="106" state="hidden" r:id="rId58"/>
    <sheet name="Portals" sheetId="99" state="hidden" r:id="rId59"/>
    <sheet name="5. Portals" sheetId="78" state="hidden" r:id="rId60"/>
    <sheet name="6. Headrace Tunnel" sheetId="79" state="hidden" r:id="rId61"/>
    <sheet name="Surface Penstock" sheetId="98" state="hidden" r:id="rId62"/>
    <sheet name="8. Ventilation Tunnel" sheetId="81" state="hidden" r:id="rId63"/>
    <sheet name="10. Vertical Penstock Shaft" sheetId="84" state="hidden" r:id="rId64"/>
    <sheet name="11. Inclined Penstock Tunnel" sheetId="85" state="hidden" r:id="rId65"/>
    <sheet name="Valve House" sheetId="128" state="hidden" r:id="rId66"/>
    <sheet name="Valve House Access Portal" sheetId="139" state="hidden" r:id="rId67"/>
    <sheet name="Valve house Access Tunnel" sheetId="137" state="hidden" r:id="rId68"/>
    <sheet name="Powrhouse Adit Portal" sheetId="140" state="hidden" r:id="rId69"/>
    <sheet name="Powerhouse Adit Tunnel" sheetId="138" state="hidden" r:id="rId70"/>
    <sheet name="Powerhouse" sheetId="118" state="hidden" r:id="rId71"/>
    <sheet name="Switchyard " sheetId="119" state="hidden" r:id="rId72"/>
    <sheet name="Tailrace Culvert" sheetId="120" state="hidden" r:id="rId73"/>
    <sheet name="Rivertraining at Powerhouse" sheetId="121" state="hidden" r:id="rId74"/>
    <sheet name="12. Powerhouse &amp; Control Buildi" sheetId="86" state="hidden" r:id="rId75"/>
    <sheet name="13. Tailrace Canal" sheetId="87" state="hidden" r:id="rId76"/>
    <sheet name="15. Ghatte Khola Diversion" sheetId="89" state="hidden" r:id="rId77"/>
    <sheet name="14. Protection Work at PH Site" sheetId="88" state="hidden" r:id="rId78"/>
    <sheet name="15. Ghatte Khola Diversion_new" sheetId="92" state="hidden" r:id="rId79"/>
    <sheet name="Sheet1" sheetId="93" state="hidden" r:id="rId80"/>
    <sheet name="Surge Tunnel+Portal" sheetId="95" state="hidden" r:id="rId81"/>
  </sheets>
  <externalReferences>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s>
  <definedNames>
    <definedName name="__123Graph_A" localSheetId="4" hidden="1">[1]Solu!#REF!</definedName>
    <definedName name="__123Graph_A" localSheetId="78" hidden="1">[1]Solu!#REF!</definedName>
    <definedName name="__123Graph_A" localSheetId="7" hidden="1">[1]Solu!#REF!</definedName>
    <definedName name="__123Graph_A" localSheetId="8" hidden="1">[1]Solu!#REF!</definedName>
    <definedName name="__123Graph_A" localSheetId="1" hidden="1">[1]Solu!#REF!</definedName>
    <definedName name="__123Graph_A" localSheetId="24" hidden="1">[1]Solu!#REF!</definedName>
    <definedName name="__123Graph_A" localSheetId="35" hidden="1">[2]Solu!#REF!</definedName>
    <definedName name="__123Graph_A" localSheetId="37" hidden="1">[2]Solu!#REF!</definedName>
    <definedName name="__123Graph_A" localSheetId="57" hidden="1">[2]Solu!#REF!</definedName>
    <definedName name="__123Graph_A" localSheetId="5" hidden="1">[1]Solu!#REF!</definedName>
    <definedName name="__123Graph_A" localSheetId="23" hidden="1">[2]Solu!#REF!</definedName>
    <definedName name="__123Graph_A" localSheetId="27" hidden="1">[2]Solu!#REF!</definedName>
    <definedName name="__123Graph_A" localSheetId="17" hidden="1">[2]Solu!#REF!</definedName>
    <definedName name="__123Graph_A" localSheetId="47" hidden="1">[1]Solu!#REF!</definedName>
    <definedName name="__123Graph_A" localSheetId="41" hidden="1">[2]Solu!#REF!</definedName>
    <definedName name="__123Graph_A" localSheetId="39" hidden="1">[2]Solu!#REF!</definedName>
    <definedName name="__123Graph_A" localSheetId="40" hidden="1">[2]Solu!#REF!</definedName>
    <definedName name="__123Graph_A" localSheetId="32" hidden="1">[1]Solu!#REF!</definedName>
    <definedName name="__123Graph_A" localSheetId="43" hidden="1">[2]Solu!#REF!</definedName>
    <definedName name="__123Graph_A" localSheetId="44" hidden="1">[2]Solu!#REF!</definedName>
    <definedName name="__123Graph_A" localSheetId="45" hidden="1">[2]Solu!#REF!</definedName>
    <definedName name="__123Graph_A" localSheetId="46" hidden="1">[2]Solu!#REF!</definedName>
    <definedName name="__123Graph_A" localSheetId="36" hidden="1">[2]Solu!#REF!</definedName>
    <definedName name="__123Graph_A" localSheetId="20" hidden="1">[2]Solu!#REF!</definedName>
    <definedName name="__123Graph_A" localSheetId="21" hidden="1">[2]Solu!#REF!</definedName>
    <definedName name="__123Graph_A" localSheetId="33" hidden="1">[2]Solu!#REF!</definedName>
    <definedName name="__123Graph_A" localSheetId="18" hidden="1">[2]Solu!#REF!</definedName>
    <definedName name="__123Graph_A" localSheetId="29" hidden="1">[1]Solu!#REF!</definedName>
    <definedName name="__123Graph_A" localSheetId="26" hidden="1">[2]Solu!#REF!</definedName>
    <definedName name="__123Graph_A" localSheetId="25" hidden="1">[1]Solu!#REF!</definedName>
    <definedName name="__123Graph_A" localSheetId="13" hidden="1">[2]Solu!#REF!</definedName>
    <definedName name="__123Graph_A" localSheetId="14" hidden="1">[2]Solu!#REF!</definedName>
    <definedName name="__123Graph_A" localSheetId="12" hidden="1">[1]Solu!#REF!</definedName>
    <definedName name="__123Graph_A" localSheetId="19" hidden="1">[2]Solu!#REF!</definedName>
    <definedName name="__123Graph_A" localSheetId="34" hidden="1">[2]Solu!#REF!</definedName>
    <definedName name="__123Graph_A" localSheetId="58" hidden="1">[1]Solu!#REF!</definedName>
    <definedName name="__123Graph_A" localSheetId="69" hidden="1">[2]Solu!#REF!</definedName>
    <definedName name="__123Graph_A" localSheetId="68" hidden="1">[2]Solu!#REF!</definedName>
    <definedName name="__123Graph_A" localSheetId="0" hidden="1">[1]Solu!#REF!</definedName>
    <definedName name="__123Graph_A" localSheetId="52" hidden="1">[1]Solu!#REF!</definedName>
    <definedName name="__123Graph_A" localSheetId="73" hidden="1">[2]Solu!#REF!</definedName>
    <definedName name="__123Graph_A" localSheetId="61" hidden="1">[1]Solu!#REF!</definedName>
    <definedName name="__123Graph_A" localSheetId="38" hidden="1">[2]Solu!#REF!</definedName>
    <definedName name="__123Graph_A" localSheetId="71" hidden="1">[2]Solu!#REF!</definedName>
    <definedName name="__123Graph_A" localSheetId="22" hidden="1">[1]Solu!#REF!</definedName>
    <definedName name="__123Graph_A" localSheetId="28" hidden="1">[1]Solu!#REF!</definedName>
    <definedName name="__123Graph_A" localSheetId="65" hidden="1">[2]Solu!#REF!</definedName>
    <definedName name="__123Graph_A" localSheetId="66" hidden="1">[2]Solu!#REF!</definedName>
    <definedName name="__123Graph_A" localSheetId="67" hidden="1">[2]Solu!#REF!</definedName>
    <definedName name="__123Graph_A" localSheetId="42" hidden="1">[2]Solu!#REF!</definedName>
    <definedName name="__123Graph_A" hidden="1">[1]Solu!#REF!</definedName>
    <definedName name="__123Graph_AANNUAL" localSheetId="4" hidden="1">[1]Solu!#REF!</definedName>
    <definedName name="__123Graph_AANNUAL" localSheetId="78" hidden="1">[1]Solu!#REF!</definedName>
    <definedName name="__123Graph_AANNUAL" localSheetId="7" hidden="1">[1]Solu!#REF!</definedName>
    <definedName name="__123Graph_AANNUAL" localSheetId="8" hidden="1">[1]Solu!#REF!</definedName>
    <definedName name="__123Graph_AANNUAL" localSheetId="1" hidden="1">[1]Solu!#REF!</definedName>
    <definedName name="__123Graph_AANNUAL" localSheetId="24" hidden="1">[1]Solu!#REF!</definedName>
    <definedName name="__123Graph_AANNUAL" localSheetId="35" hidden="1">[2]Solu!#REF!</definedName>
    <definedName name="__123Graph_AANNUAL" localSheetId="37" hidden="1">[2]Solu!#REF!</definedName>
    <definedName name="__123Graph_AANNUAL" localSheetId="57" hidden="1">[2]Solu!#REF!</definedName>
    <definedName name="__123Graph_AANNUAL" localSheetId="5" hidden="1">[1]Solu!#REF!</definedName>
    <definedName name="__123Graph_AANNUAL" localSheetId="23" hidden="1">[2]Solu!#REF!</definedName>
    <definedName name="__123Graph_AANNUAL" localSheetId="27" hidden="1">[2]Solu!#REF!</definedName>
    <definedName name="__123Graph_AANNUAL" localSheetId="17" hidden="1">[2]Solu!#REF!</definedName>
    <definedName name="__123Graph_AANNUAL" localSheetId="47" hidden="1">[1]Solu!#REF!</definedName>
    <definedName name="__123Graph_AANNUAL" localSheetId="41" hidden="1">[2]Solu!#REF!</definedName>
    <definedName name="__123Graph_AANNUAL" localSheetId="39" hidden="1">[2]Solu!#REF!</definedName>
    <definedName name="__123Graph_AANNUAL" localSheetId="40" hidden="1">[2]Solu!#REF!</definedName>
    <definedName name="__123Graph_AANNUAL" localSheetId="32" hidden="1">[1]Solu!#REF!</definedName>
    <definedName name="__123Graph_AANNUAL" localSheetId="43" hidden="1">[2]Solu!#REF!</definedName>
    <definedName name="__123Graph_AANNUAL" localSheetId="44" hidden="1">[2]Solu!#REF!</definedName>
    <definedName name="__123Graph_AANNUAL" localSheetId="45" hidden="1">[2]Solu!#REF!</definedName>
    <definedName name="__123Graph_AANNUAL" localSheetId="46" hidden="1">[2]Solu!#REF!</definedName>
    <definedName name="__123Graph_AANNUAL" localSheetId="36" hidden="1">[2]Solu!#REF!</definedName>
    <definedName name="__123Graph_AANNUAL" localSheetId="20" hidden="1">[2]Solu!#REF!</definedName>
    <definedName name="__123Graph_AANNUAL" localSheetId="21" hidden="1">[2]Solu!#REF!</definedName>
    <definedName name="__123Graph_AANNUAL" localSheetId="33" hidden="1">[2]Solu!#REF!</definedName>
    <definedName name="__123Graph_AANNUAL" localSheetId="18" hidden="1">[2]Solu!#REF!</definedName>
    <definedName name="__123Graph_AANNUAL" localSheetId="29" hidden="1">[1]Solu!#REF!</definedName>
    <definedName name="__123Graph_AANNUAL" localSheetId="26" hidden="1">[2]Solu!#REF!</definedName>
    <definedName name="__123Graph_AANNUAL" localSheetId="25" hidden="1">[1]Solu!#REF!</definedName>
    <definedName name="__123Graph_AANNUAL" localSheetId="13" hidden="1">[2]Solu!#REF!</definedName>
    <definedName name="__123Graph_AANNUAL" localSheetId="14" hidden="1">[2]Solu!#REF!</definedName>
    <definedName name="__123Graph_AANNUAL" localSheetId="12" hidden="1">[1]Solu!#REF!</definedName>
    <definedName name="__123Graph_AANNUAL" localSheetId="19" hidden="1">[2]Solu!#REF!</definedName>
    <definedName name="__123Graph_AANNUAL" localSheetId="34" hidden="1">[2]Solu!#REF!</definedName>
    <definedName name="__123Graph_AANNUAL" localSheetId="58" hidden="1">[1]Solu!#REF!</definedName>
    <definedName name="__123Graph_AANNUAL" localSheetId="69" hidden="1">[2]Solu!#REF!</definedName>
    <definedName name="__123Graph_AANNUAL" localSheetId="68" hidden="1">[2]Solu!#REF!</definedName>
    <definedName name="__123Graph_AANNUAL" localSheetId="0" hidden="1">[1]Solu!#REF!</definedName>
    <definedName name="__123Graph_AANNUAL" localSheetId="52" hidden="1">[1]Solu!#REF!</definedName>
    <definedName name="__123Graph_AANNUAL" localSheetId="73" hidden="1">[2]Solu!#REF!</definedName>
    <definedName name="__123Graph_AANNUAL" localSheetId="61" hidden="1">[1]Solu!#REF!</definedName>
    <definedName name="__123Graph_AANNUAL" localSheetId="38" hidden="1">[2]Solu!#REF!</definedName>
    <definedName name="__123Graph_AANNUAL" localSheetId="71" hidden="1">[2]Solu!#REF!</definedName>
    <definedName name="__123Graph_AANNUAL" localSheetId="22" hidden="1">[1]Solu!#REF!</definedName>
    <definedName name="__123Graph_AANNUAL" localSheetId="28" hidden="1">[1]Solu!#REF!</definedName>
    <definedName name="__123Graph_AANNUAL" localSheetId="65" hidden="1">[2]Solu!#REF!</definedName>
    <definedName name="__123Graph_AANNUAL" localSheetId="66" hidden="1">[2]Solu!#REF!</definedName>
    <definedName name="__123Graph_AANNUAL" localSheetId="67" hidden="1">[2]Solu!#REF!</definedName>
    <definedName name="__123Graph_AANNUAL" localSheetId="42" hidden="1">[2]Solu!#REF!</definedName>
    <definedName name="__123Graph_AANNUAL" hidden="1">[1]Solu!#REF!</definedName>
    <definedName name="__123Graph_AFLOW" localSheetId="4" hidden="1">[1]Solu!#REF!</definedName>
    <definedName name="__123Graph_AFLOW" localSheetId="78" hidden="1">[1]Solu!#REF!</definedName>
    <definedName name="__123Graph_AFLOW" localSheetId="7" hidden="1">[1]Solu!#REF!</definedName>
    <definedName name="__123Graph_AFLOW" localSheetId="8" hidden="1">[1]Solu!#REF!</definedName>
    <definedName name="__123Graph_AFLOW" localSheetId="1" hidden="1">[1]Solu!#REF!</definedName>
    <definedName name="__123Graph_AFLOW" localSheetId="24" hidden="1">[1]Solu!#REF!</definedName>
    <definedName name="__123Graph_AFLOW" localSheetId="35" hidden="1">[2]Solu!#REF!</definedName>
    <definedName name="__123Graph_AFLOW" localSheetId="37" hidden="1">[2]Solu!#REF!</definedName>
    <definedName name="__123Graph_AFLOW" localSheetId="57" hidden="1">[2]Solu!#REF!</definedName>
    <definedName name="__123Graph_AFLOW" localSheetId="5" hidden="1">[1]Solu!#REF!</definedName>
    <definedName name="__123Graph_AFLOW" localSheetId="23" hidden="1">[2]Solu!#REF!</definedName>
    <definedName name="__123Graph_AFLOW" localSheetId="27" hidden="1">[2]Solu!#REF!</definedName>
    <definedName name="__123Graph_AFLOW" localSheetId="17" hidden="1">[2]Solu!#REF!</definedName>
    <definedName name="__123Graph_AFLOW" localSheetId="47" hidden="1">[1]Solu!#REF!</definedName>
    <definedName name="__123Graph_AFLOW" localSheetId="41" hidden="1">[2]Solu!#REF!</definedName>
    <definedName name="__123Graph_AFLOW" localSheetId="39" hidden="1">[2]Solu!#REF!</definedName>
    <definedName name="__123Graph_AFLOW" localSheetId="40" hidden="1">[2]Solu!#REF!</definedName>
    <definedName name="__123Graph_AFLOW" localSheetId="32" hidden="1">[1]Solu!#REF!</definedName>
    <definedName name="__123Graph_AFLOW" localSheetId="43" hidden="1">[2]Solu!#REF!</definedName>
    <definedName name="__123Graph_AFLOW" localSheetId="44" hidden="1">[2]Solu!#REF!</definedName>
    <definedName name="__123Graph_AFLOW" localSheetId="45" hidden="1">[2]Solu!#REF!</definedName>
    <definedName name="__123Graph_AFLOW" localSheetId="46" hidden="1">[2]Solu!#REF!</definedName>
    <definedName name="__123Graph_AFLOW" localSheetId="36" hidden="1">[2]Solu!#REF!</definedName>
    <definedName name="__123Graph_AFLOW" localSheetId="20" hidden="1">[2]Solu!#REF!</definedName>
    <definedName name="__123Graph_AFLOW" localSheetId="21" hidden="1">[2]Solu!#REF!</definedName>
    <definedName name="__123Graph_AFLOW" localSheetId="33" hidden="1">[2]Solu!#REF!</definedName>
    <definedName name="__123Graph_AFLOW" localSheetId="18" hidden="1">[2]Solu!#REF!</definedName>
    <definedName name="__123Graph_AFLOW" localSheetId="29" hidden="1">[1]Solu!#REF!</definedName>
    <definedName name="__123Graph_AFLOW" localSheetId="26" hidden="1">[2]Solu!#REF!</definedName>
    <definedName name="__123Graph_AFLOW" localSheetId="25" hidden="1">[1]Solu!#REF!</definedName>
    <definedName name="__123Graph_AFLOW" localSheetId="13" hidden="1">[2]Solu!#REF!</definedName>
    <definedName name="__123Graph_AFLOW" localSheetId="14" hidden="1">[2]Solu!#REF!</definedName>
    <definedName name="__123Graph_AFLOW" localSheetId="12" hidden="1">[1]Solu!#REF!</definedName>
    <definedName name="__123Graph_AFLOW" localSheetId="19" hidden="1">[2]Solu!#REF!</definedName>
    <definedName name="__123Graph_AFLOW" localSheetId="34" hidden="1">[2]Solu!#REF!</definedName>
    <definedName name="__123Graph_AFLOW" localSheetId="58" hidden="1">[1]Solu!#REF!</definedName>
    <definedName name="__123Graph_AFLOW" localSheetId="69" hidden="1">[2]Solu!#REF!</definedName>
    <definedName name="__123Graph_AFLOW" localSheetId="68" hidden="1">[2]Solu!#REF!</definedName>
    <definedName name="__123Graph_AFLOW" localSheetId="0" hidden="1">[1]Solu!#REF!</definedName>
    <definedName name="__123Graph_AFLOW" localSheetId="52" hidden="1">[1]Solu!#REF!</definedName>
    <definedName name="__123Graph_AFLOW" localSheetId="73" hidden="1">[2]Solu!#REF!</definedName>
    <definedName name="__123Graph_AFLOW" localSheetId="61" hidden="1">[1]Solu!#REF!</definedName>
    <definedName name="__123Graph_AFLOW" localSheetId="38" hidden="1">[2]Solu!#REF!</definedName>
    <definedName name="__123Graph_AFLOW" localSheetId="71" hidden="1">[2]Solu!#REF!</definedName>
    <definedName name="__123Graph_AFLOW" localSheetId="22" hidden="1">[1]Solu!#REF!</definedName>
    <definedName name="__123Graph_AFLOW" localSheetId="28" hidden="1">[1]Solu!#REF!</definedName>
    <definedName name="__123Graph_AFLOW" localSheetId="65" hidden="1">[2]Solu!#REF!</definedName>
    <definedName name="__123Graph_AFLOW" localSheetId="66" hidden="1">[2]Solu!#REF!</definedName>
    <definedName name="__123Graph_AFLOW" localSheetId="67" hidden="1">[2]Solu!#REF!</definedName>
    <definedName name="__123Graph_AFLOW" localSheetId="42" hidden="1">[2]Solu!#REF!</definedName>
    <definedName name="__123Graph_AFLOW" hidden="1">[1]Solu!#REF!</definedName>
    <definedName name="__123Graph_BANNUAL" localSheetId="4" hidden="1">[1]Solu!#REF!</definedName>
    <definedName name="__123Graph_BANNUAL" localSheetId="78" hidden="1">[1]Solu!#REF!</definedName>
    <definedName name="__123Graph_BANNUAL" localSheetId="7" hidden="1">[1]Solu!#REF!</definedName>
    <definedName name="__123Graph_BANNUAL" localSheetId="8" hidden="1">[1]Solu!#REF!</definedName>
    <definedName name="__123Graph_BANNUAL" localSheetId="1" hidden="1">[1]Solu!#REF!</definedName>
    <definedName name="__123Graph_BANNUAL" localSheetId="24" hidden="1">[1]Solu!#REF!</definedName>
    <definedName name="__123Graph_BANNUAL" localSheetId="35" hidden="1">[2]Solu!#REF!</definedName>
    <definedName name="__123Graph_BANNUAL" localSheetId="37" hidden="1">[2]Solu!#REF!</definedName>
    <definedName name="__123Graph_BANNUAL" localSheetId="57" hidden="1">[2]Solu!#REF!</definedName>
    <definedName name="__123Graph_BANNUAL" localSheetId="5" hidden="1">[1]Solu!#REF!</definedName>
    <definedName name="__123Graph_BANNUAL" localSheetId="23" hidden="1">[2]Solu!#REF!</definedName>
    <definedName name="__123Graph_BANNUAL" localSheetId="27" hidden="1">[2]Solu!#REF!</definedName>
    <definedName name="__123Graph_BANNUAL" localSheetId="17" hidden="1">[2]Solu!#REF!</definedName>
    <definedName name="__123Graph_BANNUAL" localSheetId="47" hidden="1">[1]Solu!#REF!</definedName>
    <definedName name="__123Graph_BANNUAL" localSheetId="41" hidden="1">[2]Solu!#REF!</definedName>
    <definedName name="__123Graph_BANNUAL" localSheetId="39" hidden="1">[2]Solu!#REF!</definedName>
    <definedName name="__123Graph_BANNUAL" localSheetId="40" hidden="1">[2]Solu!#REF!</definedName>
    <definedName name="__123Graph_BANNUAL" localSheetId="32" hidden="1">[1]Solu!#REF!</definedName>
    <definedName name="__123Graph_BANNUAL" localSheetId="43" hidden="1">[2]Solu!#REF!</definedName>
    <definedName name="__123Graph_BANNUAL" localSheetId="44" hidden="1">[2]Solu!#REF!</definedName>
    <definedName name="__123Graph_BANNUAL" localSheetId="45" hidden="1">[2]Solu!#REF!</definedName>
    <definedName name="__123Graph_BANNUAL" localSheetId="46" hidden="1">[2]Solu!#REF!</definedName>
    <definedName name="__123Graph_BANNUAL" localSheetId="36" hidden="1">[2]Solu!#REF!</definedName>
    <definedName name="__123Graph_BANNUAL" localSheetId="20" hidden="1">[2]Solu!#REF!</definedName>
    <definedName name="__123Graph_BANNUAL" localSheetId="21" hidden="1">[2]Solu!#REF!</definedName>
    <definedName name="__123Graph_BANNUAL" localSheetId="33" hidden="1">[2]Solu!#REF!</definedName>
    <definedName name="__123Graph_BANNUAL" localSheetId="18" hidden="1">[2]Solu!#REF!</definedName>
    <definedName name="__123Graph_BANNUAL" localSheetId="29" hidden="1">[1]Solu!#REF!</definedName>
    <definedName name="__123Graph_BANNUAL" localSheetId="26" hidden="1">[2]Solu!#REF!</definedName>
    <definedName name="__123Graph_BANNUAL" localSheetId="25" hidden="1">[1]Solu!#REF!</definedName>
    <definedName name="__123Graph_BANNUAL" localSheetId="13" hidden="1">[2]Solu!#REF!</definedName>
    <definedName name="__123Graph_BANNUAL" localSheetId="14" hidden="1">[2]Solu!#REF!</definedName>
    <definedName name="__123Graph_BANNUAL" localSheetId="12" hidden="1">[1]Solu!#REF!</definedName>
    <definedName name="__123Graph_BANNUAL" localSheetId="19" hidden="1">[2]Solu!#REF!</definedName>
    <definedName name="__123Graph_BANNUAL" localSheetId="34" hidden="1">[2]Solu!#REF!</definedName>
    <definedName name="__123Graph_BANNUAL" localSheetId="58" hidden="1">[1]Solu!#REF!</definedName>
    <definedName name="__123Graph_BANNUAL" localSheetId="69" hidden="1">[2]Solu!#REF!</definedName>
    <definedName name="__123Graph_BANNUAL" localSheetId="68" hidden="1">[2]Solu!#REF!</definedName>
    <definedName name="__123Graph_BANNUAL" localSheetId="0" hidden="1">[1]Solu!#REF!</definedName>
    <definedName name="__123Graph_BANNUAL" localSheetId="52" hidden="1">[1]Solu!#REF!</definedName>
    <definedName name="__123Graph_BANNUAL" localSheetId="73" hidden="1">[2]Solu!#REF!</definedName>
    <definedName name="__123Graph_BANNUAL" localSheetId="61" hidden="1">[1]Solu!#REF!</definedName>
    <definedName name="__123Graph_BANNUAL" localSheetId="38" hidden="1">[2]Solu!#REF!</definedName>
    <definedName name="__123Graph_BANNUAL" localSheetId="71" hidden="1">[2]Solu!#REF!</definedName>
    <definedName name="__123Graph_BANNUAL" localSheetId="22" hidden="1">[1]Solu!#REF!</definedName>
    <definedName name="__123Graph_BANNUAL" localSheetId="28" hidden="1">[1]Solu!#REF!</definedName>
    <definedName name="__123Graph_BANNUAL" localSheetId="65" hidden="1">[2]Solu!#REF!</definedName>
    <definedName name="__123Graph_BANNUAL" localSheetId="66" hidden="1">[2]Solu!#REF!</definedName>
    <definedName name="__123Graph_BANNUAL" localSheetId="67" hidden="1">[2]Solu!#REF!</definedName>
    <definedName name="__123Graph_BANNUAL" localSheetId="42" hidden="1">[2]Solu!#REF!</definedName>
    <definedName name="__123Graph_BANNUAL" hidden="1">[1]Solu!#REF!</definedName>
    <definedName name="__123Graph_CANNUAL" localSheetId="4" hidden="1">[1]Solu!#REF!</definedName>
    <definedName name="__123Graph_CANNUAL" localSheetId="78" hidden="1">[1]Solu!#REF!</definedName>
    <definedName name="__123Graph_CANNUAL" localSheetId="7" hidden="1">[1]Solu!#REF!</definedName>
    <definedName name="__123Graph_CANNUAL" localSheetId="8" hidden="1">[1]Solu!#REF!</definedName>
    <definedName name="__123Graph_CANNUAL" localSheetId="1" hidden="1">[1]Solu!#REF!</definedName>
    <definedName name="__123Graph_CANNUAL" localSheetId="24" hidden="1">[1]Solu!#REF!</definedName>
    <definedName name="__123Graph_CANNUAL" localSheetId="35" hidden="1">[2]Solu!#REF!</definedName>
    <definedName name="__123Graph_CANNUAL" localSheetId="37" hidden="1">[2]Solu!#REF!</definedName>
    <definedName name="__123Graph_CANNUAL" localSheetId="57" hidden="1">[2]Solu!#REF!</definedName>
    <definedName name="__123Graph_CANNUAL" localSheetId="5" hidden="1">[1]Solu!#REF!</definedName>
    <definedName name="__123Graph_CANNUAL" localSheetId="23" hidden="1">[2]Solu!#REF!</definedName>
    <definedName name="__123Graph_CANNUAL" localSheetId="27" hidden="1">[2]Solu!#REF!</definedName>
    <definedName name="__123Graph_CANNUAL" localSheetId="17" hidden="1">[2]Solu!#REF!</definedName>
    <definedName name="__123Graph_CANNUAL" localSheetId="47" hidden="1">[1]Solu!#REF!</definedName>
    <definedName name="__123Graph_CANNUAL" localSheetId="41" hidden="1">[2]Solu!#REF!</definedName>
    <definedName name="__123Graph_CANNUAL" localSheetId="39" hidden="1">[2]Solu!#REF!</definedName>
    <definedName name="__123Graph_CANNUAL" localSheetId="40" hidden="1">[2]Solu!#REF!</definedName>
    <definedName name="__123Graph_CANNUAL" localSheetId="32" hidden="1">[1]Solu!#REF!</definedName>
    <definedName name="__123Graph_CANNUAL" localSheetId="43" hidden="1">[2]Solu!#REF!</definedName>
    <definedName name="__123Graph_CANNUAL" localSheetId="44" hidden="1">[2]Solu!#REF!</definedName>
    <definedName name="__123Graph_CANNUAL" localSheetId="45" hidden="1">[2]Solu!#REF!</definedName>
    <definedName name="__123Graph_CANNUAL" localSheetId="46" hidden="1">[2]Solu!#REF!</definedName>
    <definedName name="__123Graph_CANNUAL" localSheetId="36" hidden="1">[2]Solu!#REF!</definedName>
    <definedName name="__123Graph_CANNUAL" localSheetId="20" hidden="1">[2]Solu!#REF!</definedName>
    <definedName name="__123Graph_CANNUAL" localSheetId="21" hidden="1">[2]Solu!#REF!</definedName>
    <definedName name="__123Graph_CANNUAL" localSheetId="33" hidden="1">[2]Solu!#REF!</definedName>
    <definedName name="__123Graph_CANNUAL" localSheetId="18" hidden="1">[2]Solu!#REF!</definedName>
    <definedName name="__123Graph_CANNUAL" localSheetId="29" hidden="1">[1]Solu!#REF!</definedName>
    <definedName name="__123Graph_CANNUAL" localSheetId="26" hidden="1">[2]Solu!#REF!</definedName>
    <definedName name="__123Graph_CANNUAL" localSheetId="25" hidden="1">[1]Solu!#REF!</definedName>
    <definedName name="__123Graph_CANNUAL" localSheetId="13" hidden="1">[2]Solu!#REF!</definedName>
    <definedName name="__123Graph_CANNUAL" localSheetId="14" hidden="1">[2]Solu!#REF!</definedName>
    <definedName name="__123Graph_CANNUAL" localSheetId="12" hidden="1">[1]Solu!#REF!</definedName>
    <definedName name="__123Graph_CANNUAL" localSheetId="19" hidden="1">[2]Solu!#REF!</definedName>
    <definedName name="__123Graph_CANNUAL" localSheetId="34" hidden="1">[2]Solu!#REF!</definedName>
    <definedName name="__123Graph_CANNUAL" localSheetId="58" hidden="1">[1]Solu!#REF!</definedName>
    <definedName name="__123Graph_CANNUAL" localSheetId="69" hidden="1">[2]Solu!#REF!</definedName>
    <definedName name="__123Graph_CANNUAL" localSheetId="68" hidden="1">[2]Solu!#REF!</definedName>
    <definedName name="__123Graph_CANNUAL" localSheetId="0" hidden="1">[1]Solu!#REF!</definedName>
    <definedName name="__123Graph_CANNUAL" localSheetId="52" hidden="1">[1]Solu!#REF!</definedName>
    <definedName name="__123Graph_CANNUAL" localSheetId="73" hidden="1">[2]Solu!#REF!</definedName>
    <definedName name="__123Graph_CANNUAL" localSheetId="61" hidden="1">[1]Solu!#REF!</definedName>
    <definedName name="__123Graph_CANNUAL" localSheetId="38" hidden="1">[2]Solu!#REF!</definedName>
    <definedName name="__123Graph_CANNUAL" localSheetId="71" hidden="1">[2]Solu!#REF!</definedName>
    <definedName name="__123Graph_CANNUAL" localSheetId="22" hidden="1">[1]Solu!#REF!</definedName>
    <definedName name="__123Graph_CANNUAL" localSheetId="28" hidden="1">[1]Solu!#REF!</definedName>
    <definedName name="__123Graph_CANNUAL" localSheetId="65" hidden="1">[2]Solu!#REF!</definedName>
    <definedName name="__123Graph_CANNUAL" localSheetId="66" hidden="1">[2]Solu!#REF!</definedName>
    <definedName name="__123Graph_CANNUAL" localSheetId="67" hidden="1">[2]Solu!#REF!</definedName>
    <definedName name="__123Graph_CANNUAL" localSheetId="42" hidden="1">[2]Solu!#REF!</definedName>
    <definedName name="__123Graph_CANNUAL" hidden="1">[1]Solu!#REF!</definedName>
    <definedName name="__123Graph_X" localSheetId="4" hidden="1">[1]Solu!#REF!</definedName>
    <definedName name="__123Graph_X" localSheetId="78" hidden="1">[1]Solu!#REF!</definedName>
    <definedName name="__123Graph_X" localSheetId="7" hidden="1">[1]Solu!#REF!</definedName>
    <definedName name="__123Graph_X" localSheetId="8" hidden="1">[1]Solu!#REF!</definedName>
    <definedName name="__123Graph_X" localSheetId="1" hidden="1">[1]Solu!#REF!</definedName>
    <definedName name="__123Graph_X" localSheetId="24" hidden="1">[1]Solu!#REF!</definedName>
    <definedName name="__123Graph_X" localSheetId="35" hidden="1">[2]Solu!#REF!</definedName>
    <definedName name="__123Graph_X" localSheetId="37" hidden="1">[2]Solu!#REF!</definedName>
    <definedName name="__123Graph_X" localSheetId="57" hidden="1">[2]Solu!#REF!</definedName>
    <definedName name="__123Graph_X" localSheetId="5" hidden="1">[1]Solu!#REF!</definedName>
    <definedName name="__123Graph_X" localSheetId="23" hidden="1">[2]Solu!#REF!</definedName>
    <definedName name="__123Graph_X" localSheetId="27" hidden="1">[2]Solu!#REF!</definedName>
    <definedName name="__123Graph_X" localSheetId="17" hidden="1">[2]Solu!#REF!</definedName>
    <definedName name="__123Graph_X" localSheetId="47" hidden="1">[1]Solu!#REF!</definedName>
    <definedName name="__123Graph_X" localSheetId="41" hidden="1">[2]Solu!#REF!</definedName>
    <definedName name="__123Graph_X" localSheetId="39" hidden="1">[2]Solu!#REF!</definedName>
    <definedName name="__123Graph_X" localSheetId="40" hidden="1">[2]Solu!#REF!</definedName>
    <definedName name="__123Graph_X" localSheetId="32" hidden="1">[1]Solu!#REF!</definedName>
    <definedName name="__123Graph_X" localSheetId="43" hidden="1">[2]Solu!#REF!</definedName>
    <definedName name="__123Graph_X" localSheetId="44" hidden="1">[2]Solu!#REF!</definedName>
    <definedName name="__123Graph_X" localSheetId="45" hidden="1">[2]Solu!#REF!</definedName>
    <definedName name="__123Graph_X" localSheetId="46" hidden="1">[2]Solu!#REF!</definedName>
    <definedName name="__123Graph_X" localSheetId="36" hidden="1">[2]Solu!#REF!</definedName>
    <definedName name="__123Graph_X" localSheetId="20" hidden="1">[2]Solu!#REF!</definedName>
    <definedName name="__123Graph_X" localSheetId="21" hidden="1">[2]Solu!#REF!</definedName>
    <definedName name="__123Graph_X" localSheetId="33" hidden="1">[2]Solu!#REF!</definedName>
    <definedName name="__123Graph_X" localSheetId="18" hidden="1">[2]Solu!#REF!</definedName>
    <definedName name="__123Graph_X" localSheetId="29" hidden="1">[1]Solu!#REF!</definedName>
    <definedName name="__123Graph_X" localSheetId="26" hidden="1">[2]Solu!#REF!</definedName>
    <definedName name="__123Graph_X" localSheetId="25" hidden="1">[1]Solu!#REF!</definedName>
    <definedName name="__123Graph_X" localSheetId="13" hidden="1">[2]Solu!#REF!</definedName>
    <definedName name="__123Graph_X" localSheetId="14" hidden="1">[2]Solu!#REF!</definedName>
    <definedName name="__123Graph_X" localSheetId="12" hidden="1">[1]Solu!#REF!</definedName>
    <definedName name="__123Graph_X" localSheetId="19" hidden="1">[2]Solu!#REF!</definedName>
    <definedName name="__123Graph_X" localSheetId="34" hidden="1">[2]Solu!#REF!</definedName>
    <definedName name="__123Graph_X" localSheetId="58" hidden="1">[1]Solu!#REF!</definedName>
    <definedName name="__123Graph_X" localSheetId="69" hidden="1">[2]Solu!#REF!</definedName>
    <definedName name="__123Graph_X" localSheetId="68" hidden="1">[2]Solu!#REF!</definedName>
    <definedName name="__123Graph_X" localSheetId="0" hidden="1">[1]Solu!#REF!</definedName>
    <definedName name="__123Graph_X" localSheetId="52" hidden="1">[1]Solu!#REF!</definedName>
    <definedName name="__123Graph_X" localSheetId="73" hidden="1">[2]Solu!#REF!</definedName>
    <definedName name="__123Graph_X" localSheetId="61" hidden="1">[1]Solu!#REF!</definedName>
    <definedName name="__123Graph_X" localSheetId="38" hidden="1">[2]Solu!#REF!</definedName>
    <definedName name="__123Graph_X" localSheetId="71" hidden="1">[2]Solu!#REF!</definedName>
    <definedName name="__123Graph_X" localSheetId="22" hidden="1">[1]Solu!#REF!</definedName>
    <definedName name="__123Graph_X" localSheetId="28" hidden="1">[1]Solu!#REF!</definedName>
    <definedName name="__123Graph_X" localSheetId="65" hidden="1">[2]Solu!#REF!</definedName>
    <definedName name="__123Graph_X" localSheetId="66" hidden="1">[2]Solu!#REF!</definedName>
    <definedName name="__123Graph_X" localSheetId="67" hidden="1">[2]Solu!#REF!</definedName>
    <definedName name="__123Graph_X" localSheetId="42" hidden="1">[2]Solu!#REF!</definedName>
    <definedName name="__123Graph_X" hidden="1">[1]Solu!#REF!</definedName>
    <definedName name="__123Graph_XANNUAL" localSheetId="4" hidden="1">[1]Solu!#REF!</definedName>
    <definedName name="__123Graph_XANNUAL" localSheetId="78" hidden="1">[1]Solu!#REF!</definedName>
    <definedName name="__123Graph_XANNUAL" localSheetId="7" hidden="1">[1]Solu!#REF!</definedName>
    <definedName name="__123Graph_XANNUAL" localSheetId="8" hidden="1">[1]Solu!#REF!</definedName>
    <definedName name="__123Graph_XANNUAL" localSheetId="1" hidden="1">[1]Solu!#REF!</definedName>
    <definedName name="__123Graph_XANNUAL" localSheetId="24" hidden="1">[1]Solu!#REF!</definedName>
    <definedName name="__123Graph_XANNUAL" localSheetId="35" hidden="1">[2]Solu!#REF!</definedName>
    <definedName name="__123Graph_XANNUAL" localSheetId="37" hidden="1">[2]Solu!#REF!</definedName>
    <definedName name="__123Graph_XANNUAL" localSheetId="57" hidden="1">[2]Solu!#REF!</definedName>
    <definedName name="__123Graph_XANNUAL" localSheetId="5" hidden="1">[1]Solu!#REF!</definedName>
    <definedName name="__123Graph_XANNUAL" localSheetId="23" hidden="1">[2]Solu!#REF!</definedName>
    <definedName name="__123Graph_XANNUAL" localSheetId="27" hidden="1">[2]Solu!#REF!</definedName>
    <definedName name="__123Graph_XANNUAL" localSheetId="17" hidden="1">[2]Solu!#REF!</definedName>
    <definedName name="__123Graph_XANNUAL" localSheetId="47" hidden="1">[1]Solu!#REF!</definedName>
    <definedName name="__123Graph_XANNUAL" localSheetId="41" hidden="1">[2]Solu!#REF!</definedName>
    <definedName name="__123Graph_XANNUAL" localSheetId="39" hidden="1">[2]Solu!#REF!</definedName>
    <definedName name="__123Graph_XANNUAL" localSheetId="40" hidden="1">[2]Solu!#REF!</definedName>
    <definedName name="__123Graph_XANNUAL" localSheetId="32" hidden="1">[1]Solu!#REF!</definedName>
    <definedName name="__123Graph_XANNUAL" localSheetId="43" hidden="1">[2]Solu!#REF!</definedName>
    <definedName name="__123Graph_XANNUAL" localSheetId="44" hidden="1">[2]Solu!#REF!</definedName>
    <definedName name="__123Graph_XANNUAL" localSheetId="45" hidden="1">[2]Solu!#REF!</definedName>
    <definedName name="__123Graph_XANNUAL" localSheetId="46" hidden="1">[2]Solu!#REF!</definedName>
    <definedName name="__123Graph_XANNUAL" localSheetId="36" hidden="1">[2]Solu!#REF!</definedName>
    <definedName name="__123Graph_XANNUAL" localSheetId="20" hidden="1">[2]Solu!#REF!</definedName>
    <definedName name="__123Graph_XANNUAL" localSheetId="21" hidden="1">[2]Solu!#REF!</definedName>
    <definedName name="__123Graph_XANNUAL" localSheetId="33" hidden="1">[2]Solu!#REF!</definedName>
    <definedName name="__123Graph_XANNUAL" localSheetId="18" hidden="1">[2]Solu!#REF!</definedName>
    <definedName name="__123Graph_XANNUAL" localSheetId="29" hidden="1">[1]Solu!#REF!</definedName>
    <definedName name="__123Graph_XANNUAL" localSheetId="26" hidden="1">[2]Solu!#REF!</definedName>
    <definedName name="__123Graph_XANNUAL" localSheetId="25" hidden="1">[1]Solu!#REF!</definedName>
    <definedName name="__123Graph_XANNUAL" localSheetId="13" hidden="1">[2]Solu!#REF!</definedName>
    <definedName name="__123Graph_XANNUAL" localSheetId="14" hidden="1">[2]Solu!#REF!</definedName>
    <definedName name="__123Graph_XANNUAL" localSheetId="12" hidden="1">[1]Solu!#REF!</definedName>
    <definedName name="__123Graph_XANNUAL" localSheetId="19" hidden="1">[2]Solu!#REF!</definedName>
    <definedName name="__123Graph_XANNUAL" localSheetId="34" hidden="1">[2]Solu!#REF!</definedName>
    <definedName name="__123Graph_XANNUAL" localSheetId="58" hidden="1">[1]Solu!#REF!</definedName>
    <definedName name="__123Graph_XANNUAL" localSheetId="69" hidden="1">[2]Solu!#REF!</definedName>
    <definedName name="__123Graph_XANNUAL" localSheetId="68" hidden="1">[2]Solu!#REF!</definedName>
    <definedName name="__123Graph_XANNUAL" localSheetId="0" hidden="1">[1]Solu!#REF!</definedName>
    <definedName name="__123Graph_XANNUAL" localSheetId="52" hidden="1">[1]Solu!#REF!</definedName>
    <definedName name="__123Graph_XANNUAL" localSheetId="73" hidden="1">[2]Solu!#REF!</definedName>
    <definedName name="__123Graph_XANNUAL" localSheetId="61" hidden="1">[1]Solu!#REF!</definedName>
    <definedName name="__123Graph_XANNUAL" localSheetId="38" hidden="1">[2]Solu!#REF!</definedName>
    <definedName name="__123Graph_XANNUAL" localSheetId="71" hidden="1">[2]Solu!#REF!</definedName>
    <definedName name="__123Graph_XANNUAL" localSheetId="22" hidden="1">[1]Solu!#REF!</definedName>
    <definedName name="__123Graph_XANNUAL" localSheetId="28" hidden="1">[1]Solu!#REF!</definedName>
    <definedName name="__123Graph_XANNUAL" localSheetId="65" hidden="1">[2]Solu!#REF!</definedName>
    <definedName name="__123Graph_XANNUAL" localSheetId="66" hidden="1">[2]Solu!#REF!</definedName>
    <definedName name="__123Graph_XANNUAL" localSheetId="67" hidden="1">[2]Solu!#REF!</definedName>
    <definedName name="__123Graph_XANNUAL" localSheetId="42" hidden="1">[2]Solu!#REF!</definedName>
    <definedName name="__123Graph_XANNUAL" hidden="1">[1]Solu!#REF!</definedName>
    <definedName name="__123Graph_XFLOW" localSheetId="4" hidden="1">[1]Solu!#REF!</definedName>
    <definedName name="__123Graph_XFLOW" localSheetId="78" hidden="1">[1]Solu!#REF!</definedName>
    <definedName name="__123Graph_XFLOW" localSheetId="7" hidden="1">[1]Solu!#REF!</definedName>
    <definedName name="__123Graph_XFLOW" localSheetId="8" hidden="1">[1]Solu!#REF!</definedName>
    <definedName name="__123Graph_XFLOW" localSheetId="1" hidden="1">[1]Solu!#REF!</definedName>
    <definedName name="__123Graph_XFLOW" localSheetId="24" hidden="1">[1]Solu!#REF!</definedName>
    <definedName name="__123Graph_XFLOW" localSheetId="35" hidden="1">[2]Solu!#REF!</definedName>
    <definedName name="__123Graph_XFLOW" localSheetId="37" hidden="1">[2]Solu!#REF!</definedName>
    <definedName name="__123Graph_XFLOW" localSheetId="57" hidden="1">[2]Solu!#REF!</definedName>
    <definedName name="__123Graph_XFLOW" localSheetId="5" hidden="1">[1]Solu!#REF!</definedName>
    <definedName name="__123Graph_XFLOW" localSheetId="23" hidden="1">[2]Solu!#REF!</definedName>
    <definedName name="__123Graph_XFLOW" localSheetId="27" hidden="1">[2]Solu!#REF!</definedName>
    <definedName name="__123Graph_XFLOW" localSheetId="17" hidden="1">[2]Solu!#REF!</definedName>
    <definedName name="__123Graph_XFLOW" localSheetId="47" hidden="1">[1]Solu!#REF!</definedName>
    <definedName name="__123Graph_XFLOW" localSheetId="41" hidden="1">[2]Solu!#REF!</definedName>
    <definedName name="__123Graph_XFLOW" localSheetId="39" hidden="1">[2]Solu!#REF!</definedName>
    <definedName name="__123Graph_XFLOW" localSheetId="40" hidden="1">[2]Solu!#REF!</definedName>
    <definedName name="__123Graph_XFLOW" localSheetId="32" hidden="1">[1]Solu!#REF!</definedName>
    <definedName name="__123Graph_XFLOW" localSheetId="43" hidden="1">[2]Solu!#REF!</definedName>
    <definedName name="__123Graph_XFLOW" localSheetId="44" hidden="1">[2]Solu!#REF!</definedName>
    <definedName name="__123Graph_XFLOW" localSheetId="45" hidden="1">[2]Solu!#REF!</definedName>
    <definedName name="__123Graph_XFLOW" localSheetId="46" hidden="1">[2]Solu!#REF!</definedName>
    <definedName name="__123Graph_XFLOW" localSheetId="36" hidden="1">[2]Solu!#REF!</definedName>
    <definedName name="__123Graph_XFLOW" localSheetId="20" hidden="1">[2]Solu!#REF!</definedName>
    <definedName name="__123Graph_XFLOW" localSheetId="21" hidden="1">[2]Solu!#REF!</definedName>
    <definedName name="__123Graph_XFLOW" localSheetId="33" hidden="1">[2]Solu!#REF!</definedName>
    <definedName name="__123Graph_XFLOW" localSheetId="18" hidden="1">[2]Solu!#REF!</definedName>
    <definedName name="__123Graph_XFLOW" localSheetId="29" hidden="1">[1]Solu!#REF!</definedName>
    <definedName name="__123Graph_XFLOW" localSheetId="26" hidden="1">[2]Solu!#REF!</definedName>
    <definedName name="__123Graph_XFLOW" localSheetId="25" hidden="1">[1]Solu!#REF!</definedName>
    <definedName name="__123Graph_XFLOW" localSheetId="13" hidden="1">[2]Solu!#REF!</definedName>
    <definedName name="__123Graph_XFLOW" localSheetId="14" hidden="1">[2]Solu!#REF!</definedName>
    <definedName name="__123Graph_XFLOW" localSheetId="12" hidden="1">[1]Solu!#REF!</definedName>
    <definedName name="__123Graph_XFLOW" localSheetId="19" hidden="1">[2]Solu!#REF!</definedName>
    <definedName name="__123Graph_XFLOW" localSheetId="34" hidden="1">[2]Solu!#REF!</definedName>
    <definedName name="__123Graph_XFLOW" localSheetId="58" hidden="1">[1]Solu!#REF!</definedName>
    <definedName name="__123Graph_XFLOW" localSheetId="69" hidden="1">[2]Solu!#REF!</definedName>
    <definedName name="__123Graph_XFLOW" localSheetId="68" hidden="1">[2]Solu!#REF!</definedName>
    <definedName name="__123Graph_XFLOW" localSheetId="0" hidden="1">[1]Solu!#REF!</definedName>
    <definedName name="__123Graph_XFLOW" localSheetId="52" hidden="1">[1]Solu!#REF!</definedName>
    <definedName name="__123Graph_XFLOW" localSheetId="73" hidden="1">[2]Solu!#REF!</definedName>
    <definedName name="__123Graph_XFLOW" localSheetId="61" hidden="1">[1]Solu!#REF!</definedName>
    <definedName name="__123Graph_XFLOW" localSheetId="38" hidden="1">[2]Solu!#REF!</definedName>
    <definedName name="__123Graph_XFLOW" localSheetId="71" hidden="1">[2]Solu!#REF!</definedName>
    <definedName name="__123Graph_XFLOW" localSheetId="22" hidden="1">[1]Solu!#REF!</definedName>
    <definedName name="__123Graph_XFLOW" localSheetId="28" hidden="1">[1]Solu!#REF!</definedName>
    <definedName name="__123Graph_XFLOW" localSheetId="65" hidden="1">[2]Solu!#REF!</definedName>
    <definedName name="__123Graph_XFLOW" localSheetId="66" hidden="1">[2]Solu!#REF!</definedName>
    <definedName name="__123Graph_XFLOW" localSheetId="67" hidden="1">[2]Solu!#REF!</definedName>
    <definedName name="__123Graph_XFLOW" localSheetId="42" hidden="1">[2]Solu!#REF!</definedName>
    <definedName name="__123Graph_XFLOW" hidden="1">[1]Solu!#REF!</definedName>
    <definedName name="_123Graph_A2" localSheetId="4" hidden="1">[1]Solu!#REF!</definedName>
    <definedName name="_123Graph_A2" localSheetId="7" hidden="1">[1]Solu!#REF!</definedName>
    <definedName name="_123Graph_A2" localSheetId="8" hidden="1">[1]Solu!#REF!</definedName>
    <definedName name="_123Graph_A2" localSheetId="24" hidden="1">[1]Solu!#REF!</definedName>
    <definedName name="_123Graph_A2" localSheetId="5" hidden="1">[1]Solu!#REF!</definedName>
    <definedName name="_123Graph_A2" localSheetId="27" hidden="1">[1]Solu!#REF!</definedName>
    <definedName name="_123Graph_A2" localSheetId="17" hidden="1">[1]Solu!#REF!</definedName>
    <definedName name="_123Graph_A2" localSheetId="47" hidden="1">[1]Solu!#REF!</definedName>
    <definedName name="_123Graph_A2" localSheetId="41" hidden="1">[1]Solu!#REF!</definedName>
    <definedName name="_123Graph_A2" localSheetId="40" hidden="1">[1]Solu!#REF!</definedName>
    <definedName name="_123Graph_A2" localSheetId="32" hidden="1">[1]Solu!#REF!</definedName>
    <definedName name="_123Graph_A2" localSheetId="43" hidden="1">[1]Solu!#REF!</definedName>
    <definedName name="_123Graph_A2" localSheetId="44" hidden="1">[1]Solu!#REF!</definedName>
    <definedName name="_123Graph_A2" localSheetId="45" hidden="1">[1]Solu!#REF!</definedName>
    <definedName name="_123Graph_A2" localSheetId="46" hidden="1">[1]Solu!#REF!</definedName>
    <definedName name="_123Graph_A2" localSheetId="20" hidden="1">[1]Solu!#REF!</definedName>
    <definedName name="_123Graph_A2" localSheetId="21" hidden="1">[1]Solu!#REF!</definedName>
    <definedName name="_123Graph_A2" localSheetId="18" hidden="1">[1]Solu!#REF!</definedName>
    <definedName name="_123Graph_A2" localSheetId="29" hidden="1">[1]Solu!#REF!</definedName>
    <definedName name="_123Graph_A2" localSheetId="19" hidden="1">[1]Solu!#REF!</definedName>
    <definedName name="_123Graph_A2" localSheetId="34" hidden="1">[1]Solu!#REF!</definedName>
    <definedName name="_123Graph_A2" localSheetId="22" hidden="1">[1]Solu!#REF!</definedName>
    <definedName name="_123Graph_A2" localSheetId="28" hidden="1">[1]Solu!#REF!</definedName>
    <definedName name="_123Graph_A2" hidden="1">[1]Solu!#REF!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Dist_Bin" localSheetId="4" hidden="1">[1]Solu!#REF!</definedName>
    <definedName name="_Dist_Bin" localSheetId="78" hidden="1">[1]Solu!#REF!</definedName>
    <definedName name="_Dist_Bin" localSheetId="7" hidden="1">[1]Solu!#REF!</definedName>
    <definedName name="_Dist_Bin" localSheetId="8" hidden="1">[1]Solu!#REF!</definedName>
    <definedName name="_Dist_Bin" localSheetId="1" hidden="1">[1]Solu!#REF!</definedName>
    <definedName name="_Dist_Bin" localSheetId="24" hidden="1">[1]Solu!#REF!</definedName>
    <definedName name="_Dist_Bin" localSheetId="35" hidden="1">[2]Solu!#REF!</definedName>
    <definedName name="_Dist_Bin" localSheetId="37" hidden="1">[2]Solu!#REF!</definedName>
    <definedName name="_Dist_Bin" localSheetId="57" hidden="1">[2]Solu!#REF!</definedName>
    <definedName name="_Dist_Bin" localSheetId="5" hidden="1">[1]Solu!#REF!</definedName>
    <definedName name="_Dist_Bin" localSheetId="23" hidden="1">[2]Solu!#REF!</definedName>
    <definedName name="_Dist_Bin" localSheetId="27" hidden="1">[2]Solu!#REF!</definedName>
    <definedName name="_Dist_Bin" localSheetId="17" hidden="1">[2]Solu!#REF!</definedName>
    <definedName name="_Dist_Bin" localSheetId="47" hidden="1">[1]Solu!#REF!</definedName>
    <definedName name="_Dist_Bin" localSheetId="41" hidden="1">[2]Solu!#REF!</definedName>
    <definedName name="_Dist_Bin" localSheetId="39" hidden="1">[2]Solu!#REF!</definedName>
    <definedName name="_Dist_Bin" localSheetId="40" hidden="1">[2]Solu!#REF!</definedName>
    <definedName name="_Dist_Bin" localSheetId="32" hidden="1">[1]Solu!#REF!</definedName>
    <definedName name="_Dist_Bin" localSheetId="43" hidden="1">[2]Solu!#REF!</definedName>
    <definedName name="_Dist_Bin" localSheetId="44" hidden="1">[2]Solu!#REF!</definedName>
    <definedName name="_Dist_Bin" localSheetId="45" hidden="1">[2]Solu!#REF!</definedName>
    <definedName name="_Dist_Bin" localSheetId="46" hidden="1">[2]Solu!#REF!</definedName>
    <definedName name="_Dist_Bin" localSheetId="36" hidden="1">[2]Solu!#REF!</definedName>
    <definedName name="_Dist_Bin" localSheetId="20" hidden="1">[2]Solu!#REF!</definedName>
    <definedName name="_Dist_Bin" localSheetId="21" hidden="1">[2]Solu!#REF!</definedName>
    <definedName name="_Dist_Bin" localSheetId="33" hidden="1">[2]Solu!#REF!</definedName>
    <definedName name="_Dist_Bin" localSheetId="18" hidden="1">[2]Solu!#REF!</definedName>
    <definedName name="_Dist_Bin" localSheetId="29" hidden="1">[1]Solu!#REF!</definedName>
    <definedName name="_Dist_Bin" localSheetId="26" hidden="1">[2]Solu!#REF!</definedName>
    <definedName name="_Dist_Bin" localSheetId="25" hidden="1">[1]Solu!#REF!</definedName>
    <definedName name="_Dist_Bin" localSheetId="13" hidden="1">[2]Solu!#REF!</definedName>
    <definedName name="_Dist_Bin" localSheetId="14" hidden="1">[2]Solu!#REF!</definedName>
    <definedName name="_Dist_Bin" localSheetId="12" hidden="1">[1]Solu!#REF!</definedName>
    <definedName name="_Dist_Bin" localSheetId="19" hidden="1">[2]Solu!#REF!</definedName>
    <definedName name="_Dist_Bin" localSheetId="34" hidden="1">[2]Solu!#REF!</definedName>
    <definedName name="_Dist_Bin" localSheetId="58" hidden="1">[1]Solu!#REF!</definedName>
    <definedName name="_Dist_Bin" localSheetId="69" hidden="1">[2]Solu!#REF!</definedName>
    <definedName name="_Dist_Bin" localSheetId="68" hidden="1">[2]Solu!#REF!</definedName>
    <definedName name="_Dist_Bin" localSheetId="0" hidden="1">[1]Solu!#REF!</definedName>
    <definedName name="_Dist_Bin" localSheetId="52" hidden="1">[1]Solu!#REF!</definedName>
    <definedName name="_Dist_Bin" localSheetId="73" hidden="1">[2]Solu!#REF!</definedName>
    <definedName name="_Dist_Bin" localSheetId="61" hidden="1">[1]Solu!#REF!</definedName>
    <definedName name="_Dist_Bin" localSheetId="38" hidden="1">[2]Solu!#REF!</definedName>
    <definedName name="_Dist_Bin" localSheetId="71" hidden="1">[2]Solu!#REF!</definedName>
    <definedName name="_Dist_Bin" localSheetId="22" hidden="1">[1]Solu!#REF!</definedName>
    <definedName name="_Dist_Bin" localSheetId="28" hidden="1">[1]Solu!#REF!</definedName>
    <definedName name="_Dist_Bin" localSheetId="65" hidden="1">[2]Solu!#REF!</definedName>
    <definedName name="_Dist_Bin" localSheetId="66" hidden="1">[2]Solu!#REF!</definedName>
    <definedName name="_Dist_Bin" localSheetId="67" hidden="1">[2]Solu!#REF!</definedName>
    <definedName name="_Dist_Bin" localSheetId="42" hidden="1">[2]Solu!#REF!</definedName>
    <definedName name="_Dist_Bin" hidden="1">[1]Solu!#REF!</definedName>
    <definedName name="_Dist_Values" localSheetId="4" hidden="1">[1]Solu!#REF!</definedName>
    <definedName name="_Dist_Values" localSheetId="78" hidden="1">[1]Solu!#REF!</definedName>
    <definedName name="_Dist_Values" localSheetId="7" hidden="1">[1]Solu!#REF!</definedName>
    <definedName name="_Dist_Values" localSheetId="8" hidden="1">[1]Solu!#REF!</definedName>
    <definedName name="_Dist_Values" localSheetId="1" hidden="1">[1]Solu!#REF!</definedName>
    <definedName name="_Dist_Values" localSheetId="24" hidden="1">[1]Solu!#REF!</definedName>
    <definedName name="_Dist_Values" localSheetId="35" hidden="1">[2]Solu!#REF!</definedName>
    <definedName name="_Dist_Values" localSheetId="37" hidden="1">[2]Solu!#REF!</definedName>
    <definedName name="_Dist_Values" localSheetId="57" hidden="1">[2]Solu!#REF!</definedName>
    <definedName name="_Dist_Values" localSheetId="5" hidden="1">[1]Solu!#REF!</definedName>
    <definedName name="_Dist_Values" localSheetId="23" hidden="1">[2]Solu!#REF!</definedName>
    <definedName name="_Dist_Values" localSheetId="27" hidden="1">[2]Solu!#REF!</definedName>
    <definedName name="_Dist_Values" localSheetId="17" hidden="1">[2]Solu!#REF!</definedName>
    <definedName name="_Dist_Values" localSheetId="47" hidden="1">[1]Solu!#REF!</definedName>
    <definedName name="_Dist_Values" localSheetId="41" hidden="1">[2]Solu!#REF!</definedName>
    <definedName name="_Dist_Values" localSheetId="39" hidden="1">[2]Solu!#REF!</definedName>
    <definedName name="_Dist_Values" localSheetId="40" hidden="1">[2]Solu!#REF!</definedName>
    <definedName name="_Dist_Values" localSheetId="32" hidden="1">[1]Solu!#REF!</definedName>
    <definedName name="_Dist_Values" localSheetId="43" hidden="1">[2]Solu!#REF!</definedName>
    <definedName name="_Dist_Values" localSheetId="44" hidden="1">[2]Solu!#REF!</definedName>
    <definedName name="_Dist_Values" localSheetId="45" hidden="1">[2]Solu!#REF!</definedName>
    <definedName name="_Dist_Values" localSheetId="46" hidden="1">[2]Solu!#REF!</definedName>
    <definedName name="_Dist_Values" localSheetId="36" hidden="1">[2]Solu!#REF!</definedName>
    <definedName name="_Dist_Values" localSheetId="20" hidden="1">[2]Solu!#REF!</definedName>
    <definedName name="_Dist_Values" localSheetId="21" hidden="1">[2]Solu!#REF!</definedName>
    <definedName name="_Dist_Values" localSheetId="33" hidden="1">[2]Solu!#REF!</definedName>
    <definedName name="_Dist_Values" localSheetId="18" hidden="1">[2]Solu!#REF!</definedName>
    <definedName name="_Dist_Values" localSheetId="29" hidden="1">[1]Solu!#REF!</definedName>
    <definedName name="_Dist_Values" localSheetId="26" hidden="1">[2]Solu!#REF!</definedName>
    <definedName name="_Dist_Values" localSheetId="25" hidden="1">[1]Solu!#REF!</definedName>
    <definedName name="_Dist_Values" localSheetId="13" hidden="1">[2]Solu!#REF!</definedName>
    <definedName name="_Dist_Values" localSheetId="14" hidden="1">[2]Solu!#REF!</definedName>
    <definedName name="_Dist_Values" localSheetId="12" hidden="1">[1]Solu!#REF!</definedName>
    <definedName name="_Dist_Values" localSheetId="19" hidden="1">[2]Solu!#REF!</definedName>
    <definedName name="_Dist_Values" localSheetId="34" hidden="1">[2]Solu!#REF!</definedName>
    <definedName name="_Dist_Values" localSheetId="58" hidden="1">[1]Solu!#REF!</definedName>
    <definedName name="_Dist_Values" localSheetId="69" hidden="1">[2]Solu!#REF!</definedName>
    <definedName name="_Dist_Values" localSheetId="68" hidden="1">[2]Solu!#REF!</definedName>
    <definedName name="_Dist_Values" localSheetId="0" hidden="1">[1]Solu!#REF!</definedName>
    <definedName name="_Dist_Values" localSheetId="52" hidden="1">[1]Solu!#REF!</definedName>
    <definedName name="_Dist_Values" localSheetId="73" hidden="1">[2]Solu!#REF!</definedName>
    <definedName name="_Dist_Values" localSheetId="61" hidden="1">[1]Solu!#REF!</definedName>
    <definedName name="_Dist_Values" localSheetId="38" hidden="1">[2]Solu!#REF!</definedName>
    <definedName name="_Dist_Values" localSheetId="71" hidden="1">[2]Solu!#REF!</definedName>
    <definedName name="_Dist_Values" localSheetId="22" hidden="1">[1]Solu!#REF!</definedName>
    <definedName name="_Dist_Values" localSheetId="28" hidden="1">[1]Solu!#REF!</definedName>
    <definedName name="_Dist_Values" localSheetId="65" hidden="1">[2]Solu!#REF!</definedName>
    <definedName name="_Dist_Values" localSheetId="66" hidden="1">[2]Solu!#REF!</definedName>
    <definedName name="_Dist_Values" localSheetId="67" hidden="1">[2]Solu!#REF!</definedName>
    <definedName name="_Dist_Values" localSheetId="42" hidden="1">[2]Solu!#REF!</definedName>
    <definedName name="_Dist_Values" hidden="1">[1]Solu!#REF!</definedName>
    <definedName name="_Fill" localSheetId="4" hidden="1">[1]Solu!#REF!</definedName>
    <definedName name="_Fill" localSheetId="78" hidden="1">[1]Solu!#REF!</definedName>
    <definedName name="_Fill" localSheetId="7" hidden="1">[1]Solu!#REF!</definedName>
    <definedName name="_Fill" localSheetId="8" hidden="1">[1]Solu!#REF!</definedName>
    <definedName name="_Fill" localSheetId="1" hidden="1">[1]Solu!#REF!</definedName>
    <definedName name="_Fill" localSheetId="24" hidden="1">[1]Solu!#REF!</definedName>
    <definedName name="_Fill" localSheetId="35" hidden="1">[2]Solu!#REF!</definedName>
    <definedName name="_Fill" localSheetId="37" hidden="1">[2]Solu!#REF!</definedName>
    <definedName name="_Fill" localSheetId="57" hidden="1">[2]Solu!#REF!</definedName>
    <definedName name="_Fill" localSheetId="5" hidden="1">[1]Solu!#REF!</definedName>
    <definedName name="_Fill" localSheetId="23" hidden="1">[2]Solu!#REF!</definedName>
    <definedName name="_Fill" localSheetId="27" hidden="1">[2]Solu!#REF!</definedName>
    <definedName name="_Fill" localSheetId="17" hidden="1">[2]Solu!#REF!</definedName>
    <definedName name="_Fill" localSheetId="47" hidden="1">[1]Solu!#REF!</definedName>
    <definedName name="_Fill" localSheetId="41" hidden="1">[2]Solu!#REF!</definedName>
    <definedName name="_Fill" localSheetId="39" hidden="1">[2]Solu!#REF!</definedName>
    <definedName name="_Fill" localSheetId="40" hidden="1">[2]Solu!#REF!</definedName>
    <definedName name="_Fill" localSheetId="32" hidden="1">[1]Solu!#REF!</definedName>
    <definedName name="_Fill" localSheetId="43" hidden="1">[2]Solu!#REF!</definedName>
    <definedName name="_Fill" localSheetId="44" hidden="1">[2]Solu!#REF!</definedName>
    <definedName name="_Fill" localSheetId="45" hidden="1">[2]Solu!#REF!</definedName>
    <definedName name="_Fill" localSheetId="46" hidden="1">[2]Solu!#REF!</definedName>
    <definedName name="_Fill" localSheetId="36" hidden="1">[2]Solu!#REF!</definedName>
    <definedName name="_Fill" localSheetId="20" hidden="1">[2]Solu!#REF!</definedName>
    <definedName name="_Fill" localSheetId="21" hidden="1">[2]Solu!#REF!</definedName>
    <definedName name="_Fill" localSheetId="33" hidden="1">[2]Solu!#REF!</definedName>
    <definedName name="_Fill" localSheetId="18" hidden="1">[2]Solu!#REF!</definedName>
    <definedName name="_Fill" localSheetId="29" hidden="1">[1]Solu!#REF!</definedName>
    <definedName name="_Fill" localSheetId="26" hidden="1">[2]Solu!#REF!</definedName>
    <definedName name="_Fill" localSheetId="25" hidden="1">[1]Solu!#REF!</definedName>
    <definedName name="_Fill" localSheetId="13" hidden="1">[2]Solu!#REF!</definedName>
    <definedName name="_Fill" localSheetId="14" hidden="1">[2]Solu!#REF!</definedName>
    <definedName name="_Fill" localSheetId="12" hidden="1">[1]Solu!#REF!</definedName>
    <definedName name="_Fill" localSheetId="19" hidden="1">[2]Solu!#REF!</definedName>
    <definedName name="_Fill" localSheetId="34" hidden="1">[2]Solu!#REF!</definedName>
    <definedName name="_Fill" localSheetId="58" hidden="1">[1]Solu!#REF!</definedName>
    <definedName name="_Fill" localSheetId="69" hidden="1">[2]Solu!#REF!</definedName>
    <definedName name="_Fill" localSheetId="68" hidden="1">[2]Solu!#REF!</definedName>
    <definedName name="_Fill" localSheetId="0" hidden="1">[1]Solu!#REF!</definedName>
    <definedName name="_Fill" localSheetId="52" hidden="1">[1]Solu!#REF!</definedName>
    <definedName name="_Fill" localSheetId="73" hidden="1">[2]Solu!#REF!</definedName>
    <definedName name="_Fill" localSheetId="61" hidden="1">[1]Solu!#REF!</definedName>
    <definedName name="_Fill" localSheetId="38" hidden="1">[2]Solu!#REF!</definedName>
    <definedName name="_Fill" localSheetId="71" hidden="1">[2]Solu!#REF!</definedName>
    <definedName name="_Fill" localSheetId="22" hidden="1">[1]Solu!#REF!</definedName>
    <definedName name="_Fill" localSheetId="28" hidden="1">[1]Solu!#REF!</definedName>
    <definedName name="_Fill" localSheetId="65" hidden="1">[2]Solu!#REF!</definedName>
    <definedName name="_Fill" localSheetId="66" hidden="1">[2]Solu!#REF!</definedName>
    <definedName name="_Fill" localSheetId="67" hidden="1">[2]Solu!#REF!</definedName>
    <definedName name="_Fill" localSheetId="42" hidden="1">[2]Solu!#REF!</definedName>
    <definedName name="_Fill" hidden="1">[1]Solu!#REF!</definedName>
    <definedName name="_xlnm._FilterDatabase" localSheetId="51" hidden="1">Summary!$A$4:$J$299</definedName>
    <definedName name="_p1">[3]Autocad_Plan!$E$2</definedName>
    <definedName name="_p10">[3]Autocad_Plan!$E$11</definedName>
    <definedName name="_p11">[3]Autocad_Plan!$E$12</definedName>
    <definedName name="_p12">[3]Autocad_Plan!$E$13</definedName>
    <definedName name="_p13">[3]Autocad_Plan!$E$14</definedName>
    <definedName name="_p14">[3]Autocad_Plan!$E$15</definedName>
    <definedName name="_p15">[3]Autocad_Plan!$E$16</definedName>
    <definedName name="_p16">[3]Autocad_Plan!$E$17</definedName>
    <definedName name="_p17">[3]Autocad_Plan!$E$18</definedName>
    <definedName name="_p18">[3]Autocad_Plan!$E$19</definedName>
    <definedName name="_p19">[3]Autocad_Plan!$E$20</definedName>
    <definedName name="_p2">[3]Autocad_Plan!$E$3</definedName>
    <definedName name="_p20">[3]Autocad_Plan!$E$21</definedName>
    <definedName name="_p21">[3]Autocad_Plan!$E$22</definedName>
    <definedName name="_p22">[3]Autocad_Plan!$E$23</definedName>
    <definedName name="_p23">[3]Autocad_Plan!$E$24</definedName>
    <definedName name="_p24">[3]Autocad_Plan!$E$25</definedName>
    <definedName name="_p3">[3]Autocad_Plan!$E$4</definedName>
    <definedName name="_p4">[3]Autocad_Plan!$E$5</definedName>
    <definedName name="_p5">[3]Autocad_Plan!$E$6</definedName>
    <definedName name="_p6">[3]Autocad_Plan!$E$7</definedName>
    <definedName name="_p7">[3]Autocad_Plan!$E$8</definedName>
    <definedName name="_p8">[3]Autocad_Plan!$E$9</definedName>
    <definedName name="_p9">[3]Autocad_Plan!$E$10</definedName>
    <definedName name="A" localSheetId="35">'[4]Headloss calculation'!$D$16</definedName>
    <definedName name="A" localSheetId="37">'[4]Headloss calculation'!$D$16</definedName>
    <definedName name="A" localSheetId="57">'[4]Headloss calculation'!$D$16</definedName>
    <definedName name="A" localSheetId="23">'[4]Headloss calculation'!$D$16</definedName>
    <definedName name="A" localSheetId="27">'[4]Headloss calculation'!$D$16</definedName>
    <definedName name="A" localSheetId="17">'[4]Headloss calculation'!$D$16</definedName>
    <definedName name="A" localSheetId="41">'[4]Headloss calculation'!$D$16</definedName>
    <definedName name="A" localSheetId="39">'[4]Headloss calculation'!$D$16</definedName>
    <definedName name="A" localSheetId="40">'[4]Headloss calculation'!$D$16</definedName>
    <definedName name="A" localSheetId="36">'[4]Headloss calculation'!$D$16</definedName>
    <definedName name="A" localSheetId="20">'[4]Headloss calculation'!$D$16</definedName>
    <definedName name="A" localSheetId="21">'[4]Headloss calculation'!$D$16</definedName>
    <definedName name="A" localSheetId="33">'[4]Headloss calculation'!$D$16</definedName>
    <definedName name="A" localSheetId="18">'[4]Headloss calculation'!$D$16</definedName>
    <definedName name="A" localSheetId="26">'[4]Headloss calculation'!$D$16</definedName>
    <definedName name="A" localSheetId="13">'[4]Headloss calculation'!$D$16</definedName>
    <definedName name="A" localSheetId="14">'[4]Headloss calculation'!$D$16</definedName>
    <definedName name="A" localSheetId="19">'[4]Headloss calculation'!$D$16</definedName>
    <definedName name="A" localSheetId="34">'[4]Headloss calculation'!$D$16</definedName>
    <definedName name="A" localSheetId="69">'[4]Headloss calculation'!$D$16</definedName>
    <definedName name="A" localSheetId="68">'[4]Headloss calculation'!$D$16</definedName>
    <definedName name="A" localSheetId="38">'[4]Headloss calculation'!$D$16</definedName>
    <definedName name="A" localSheetId="71">'[4]Headloss calculation'!$D$16</definedName>
    <definedName name="A" localSheetId="65">'[4]Headloss calculation'!$D$16</definedName>
    <definedName name="A" localSheetId="66">'[4]Headloss calculation'!$D$16</definedName>
    <definedName name="A" localSheetId="67">'[4]Headloss calculation'!$D$16</definedName>
    <definedName name="A" localSheetId="42">'[4]Headloss calculation'!$D$16</definedName>
    <definedName name="A">'[5]Headloss calculation'!$D$16</definedName>
    <definedName name="Acc.due2gravity" localSheetId="35">'[6]Energy_INPUT&amp;OUTPUT'!$C$37</definedName>
    <definedName name="Acc.due2gravity" localSheetId="37">'[6]Energy_INPUT&amp;OUTPUT'!$C$37</definedName>
    <definedName name="Acc.due2gravity" localSheetId="57">'[6]Energy_INPUT&amp;OUTPUT'!$C$37</definedName>
    <definedName name="Acc.due2gravity" localSheetId="23">'[6]Energy_INPUT&amp;OUTPUT'!$C$37</definedName>
    <definedName name="Acc.due2gravity" localSheetId="27">'[6]Energy_INPUT&amp;OUTPUT'!$C$37</definedName>
    <definedName name="Acc.due2gravity" localSheetId="17">'[6]Energy_INPUT&amp;OUTPUT'!$C$37</definedName>
    <definedName name="Acc.due2gravity" localSheetId="41">'[6]Energy_INPUT&amp;OUTPUT'!$C$37</definedName>
    <definedName name="Acc.due2gravity" localSheetId="39">'[6]Energy_INPUT&amp;OUTPUT'!$C$37</definedName>
    <definedName name="Acc.due2gravity" localSheetId="40">'[6]Energy_INPUT&amp;OUTPUT'!$C$37</definedName>
    <definedName name="Acc.due2gravity" localSheetId="36">'[6]Energy_INPUT&amp;OUTPUT'!$C$37</definedName>
    <definedName name="Acc.due2gravity" localSheetId="20">'[6]Energy_INPUT&amp;OUTPUT'!$C$37</definedName>
    <definedName name="Acc.due2gravity" localSheetId="21">'[6]Energy_INPUT&amp;OUTPUT'!$C$37</definedName>
    <definedName name="Acc.due2gravity" localSheetId="33">'[6]Energy_INPUT&amp;OUTPUT'!$C$37</definedName>
    <definedName name="Acc.due2gravity" localSheetId="18">'[6]Energy_INPUT&amp;OUTPUT'!$C$37</definedName>
    <definedName name="Acc.due2gravity" localSheetId="26">'[6]Energy_INPUT&amp;OUTPUT'!$C$37</definedName>
    <definedName name="Acc.due2gravity" localSheetId="13">'[6]Energy_INPUT&amp;OUTPUT'!$C$37</definedName>
    <definedName name="Acc.due2gravity" localSheetId="14">'[6]Energy_INPUT&amp;OUTPUT'!$C$37</definedName>
    <definedName name="Acc.due2gravity" localSheetId="19">'[6]Energy_INPUT&amp;OUTPUT'!$C$37</definedName>
    <definedName name="Acc.due2gravity" localSheetId="34">'[6]Energy_INPUT&amp;OUTPUT'!$C$37</definedName>
    <definedName name="Acc.due2gravity" localSheetId="69">'[6]Energy_INPUT&amp;OUTPUT'!$C$37</definedName>
    <definedName name="Acc.due2gravity" localSheetId="68">'[6]Energy_INPUT&amp;OUTPUT'!$C$37</definedName>
    <definedName name="Acc.due2gravity" localSheetId="38">'[6]Energy_INPUT&amp;OUTPUT'!$C$37</definedName>
    <definedName name="Acc.due2gravity" localSheetId="71">'[6]Energy_INPUT&amp;OUTPUT'!$C$37</definedName>
    <definedName name="Acc.due2gravity" localSheetId="65">'[6]Energy_INPUT&amp;OUTPUT'!$C$37</definedName>
    <definedName name="Acc.due2gravity" localSheetId="66">'[6]Energy_INPUT&amp;OUTPUT'!$C$37</definedName>
    <definedName name="Acc.due2gravity" localSheetId="67">'[6]Energy_INPUT&amp;OUTPUT'!$C$37</definedName>
    <definedName name="Acc.due2gravity" localSheetId="42">'[6]Energy_INPUT&amp;OUTPUT'!$C$37</definedName>
    <definedName name="Acc.due2gravity">'[7]Energy_INPUT&amp;OUTPUT'!$C$37</definedName>
    <definedName name="accelerator" localSheetId="35">'[8]RATES INCLUDING TRANSPORATION'!$V$42</definedName>
    <definedName name="accelerator" localSheetId="37">'[8]RATES INCLUDING TRANSPORATION'!$V$42</definedName>
    <definedName name="accelerator" localSheetId="57">'[8]RATES INCLUDING TRANSPORATION'!$V$42</definedName>
    <definedName name="accelerator" localSheetId="23">'[8]RATES INCLUDING TRANSPORATION'!$V$42</definedName>
    <definedName name="accelerator" localSheetId="27">'[8]RATES INCLUDING TRANSPORATION'!$V$42</definedName>
    <definedName name="accelerator" localSheetId="17">'[8]RATES INCLUDING TRANSPORATION'!$V$42</definedName>
    <definedName name="accelerator" localSheetId="41">'[8]RATES INCLUDING TRANSPORATION'!$V$42</definedName>
    <definedName name="accelerator" localSheetId="39">'[8]RATES INCLUDING TRANSPORATION'!$V$42</definedName>
    <definedName name="accelerator" localSheetId="40">'[8]RATES INCLUDING TRANSPORATION'!$V$42</definedName>
    <definedName name="accelerator" localSheetId="36">'[8]RATES INCLUDING TRANSPORATION'!$V$42</definedName>
    <definedName name="accelerator" localSheetId="20">'[8]RATES INCLUDING TRANSPORATION'!$V$42</definedName>
    <definedName name="accelerator" localSheetId="21">'[8]RATES INCLUDING TRANSPORATION'!$V$42</definedName>
    <definedName name="accelerator" localSheetId="33">'[8]RATES INCLUDING TRANSPORATION'!$V$42</definedName>
    <definedName name="accelerator" localSheetId="18">'[8]RATES INCLUDING TRANSPORATION'!$V$42</definedName>
    <definedName name="accelerator" localSheetId="26">'[8]RATES INCLUDING TRANSPORATION'!$V$42</definedName>
    <definedName name="accelerator" localSheetId="13">'[8]RATES INCLUDING TRANSPORATION'!$V$42</definedName>
    <definedName name="accelerator" localSheetId="14">'[8]RATES INCLUDING TRANSPORATION'!$V$42</definedName>
    <definedName name="accelerator" localSheetId="19">'[8]RATES INCLUDING TRANSPORATION'!$V$42</definedName>
    <definedName name="accelerator" localSheetId="34">'[8]RATES INCLUDING TRANSPORATION'!$V$42</definedName>
    <definedName name="accelerator" localSheetId="69">'[8]RATES INCLUDING TRANSPORATION'!$V$42</definedName>
    <definedName name="accelerator" localSheetId="68">'[8]RATES INCLUDING TRANSPORATION'!$V$42</definedName>
    <definedName name="accelerator" localSheetId="51">#REF!</definedName>
    <definedName name="accelerator" localSheetId="38">'[8]RATES INCLUDING TRANSPORATION'!$V$42</definedName>
    <definedName name="accelerator" localSheetId="71">'[8]RATES INCLUDING TRANSPORATION'!$V$42</definedName>
    <definedName name="accelerator" localSheetId="65">'[8]RATES INCLUDING TRANSPORATION'!$V$42</definedName>
    <definedName name="accelerator" localSheetId="66">'[8]RATES INCLUDING TRANSPORATION'!$V$42</definedName>
    <definedName name="accelerator" localSheetId="67">'[8]RATES INCLUDING TRANSPORATION'!$V$42</definedName>
    <definedName name="accelerator" localSheetId="42">'[8]RATES INCLUDING TRANSPORATION'!$V$42</definedName>
    <definedName name="accelerator">'[9]RATES INCLUDING TRANSPORATION'!$V$42</definedName>
    <definedName name="Agg_10" localSheetId="35">'[8]RATES INCLUDING TRANSPORATION'!$V$23</definedName>
    <definedName name="Agg_10" localSheetId="37">'[8]RATES INCLUDING TRANSPORATION'!$V$23</definedName>
    <definedName name="Agg_10" localSheetId="57">'[8]RATES INCLUDING TRANSPORATION'!$V$23</definedName>
    <definedName name="Agg_10" localSheetId="23">'[8]RATES INCLUDING TRANSPORATION'!$V$23</definedName>
    <definedName name="Agg_10" localSheetId="27">'[8]RATES INCLUDING TRANSPORATION'!$V$23</definedName>
    <definedName name="Agg_10" localSheetId="17">'[8]RATES INCLUDING TRANSPORATION'!$V$23</definedName>
    <definedName name="Agg_10" localSheetId="41">'[8]RATES INCLUDING TRANSPORATION'!$V$23</definedName>
    <definedName name="Agg_10" localSheetId="39">'[8]RATES INCLUDING TRANSPORATION'!$V$23</definedName>
    <definedName name="Agg_10" localSheetId="40">'[8]RATES INCLUDING TRANSPORATION'!$V$23</definedName>
    <definedName name="Agg_10" localSheetId="36">'[8]RATES INCLUDING TRANSPORATION'!$V$23</definedName>
    <definedName name="Agg_10" localSheetId="20">'[8]RATES INCLUDING TRANSPORATION'!$V$23</definedName>
    <definedName name="Agg_10" localSheetId="21">'[8]RATES INCLUDING TRANSPORATION'!$V$23</definedName>
    <definedName name="Agg_10" localSheetId="33">'[8]RATES INCLUDING TRANSPORATION'!$V$23</definedName>
    <definedName name="Agg_10" localSheetId="18">'[8]RATES INCLUDING TRANSPORATION'!$V$23</definedName>
    <definedName name="Agg_10" localSheetId="26">'[8]RATES INCLUDING TRANSPORATION'!$V$23</definedName>
    <definedName name="Agg_10" localSheetId="13">'[8]RATES INCLUDING TRANSPORATION'!$V$23</definedName>
    <definedName name="Agg_10" localSheetId="14">'[8]RATES INCLUDING TRANSPORATION'!$V$23</definedName>
    <definedName name="Agg_10" localSheetId="19">'[8]RATES INCLUDING TRANSPORATION'!$V$23</definedName>
    <definedName name="Agg_10" localSheetId="34">'[8]RATES INCLUDING TRANSPORATION'!$V$23</definedName>
    <definedName name="Agg_10" localSheetId="69">'[8]RATES INCLUDING TRANSPORATION'!$V$23</definedName>
    <definedName name="Agg_10" localSheetId="68">'[8]RATES INCLUDING TRANSPORATION'!$V$23</definedName>
    <definedName name="Agg_10" localSheetId="51">#REF!</definedName>
    <definedName name="Agg_10" localSheetId="38">'[8]RATES INCLUDING TRANSPORATION'!$V$23</definedName>
    <definedName name="Agg_10" localSheetId="71">'[8]RATES INCLUDING TRANSPORATION'!$V$23</definedName>
    <definedName name="Agg_10" localSheetId="65">'[8]RATES INCLUDING TRANSPORATION'!$V$23</definedName>
    <definedName name="Agg_10" localSheetId="66">'[8]RATES INCLUDING TRANSPORATION'!$V$23</definedName>
    <definedName name="Agg_10" localSheetId="67">'[8]RATES INCLUDING TRANSPORATION'!$V$23</definedName>
    <definedName name="Agg_10" localSheetId="42">'[8]RATES INCLUDING TRANSPORATION'!$V$23</definedName>
    <definedName name="Agg_10">'[9]RATES INCLUDING TRANSPORATION'!$V$23</definedName>
    <definedName name="Agg_20" localSheetId="35">'[10]RATES INCLUDING TRANSPORATION'!$V$24</definedName>
    <definedName name="Agg_20" localSheetId="37">'[10]RATES INCLUDING TRANSPORATION'!$V$24</definedName>
    <definedName name="Agg_20" localSheetId="17">'[10]RATES INCLUDING TRANSPORATION'!$V$24</definedName>
    <definedName name="Agg_20" localSheetId="47">#REF!</definedName>
    <definedName name="Agg_20" localSheetId="41">'[10]RATES INCLUDING TRANSPORATION'!$V$24</definedName>
    <definedName name="Agg_20" localSheetId="39">'[10]RATES INCLUDING TRANSPORATION'!$V$24</definedName>
    <definedName name="Agg_20" localSheetId="40">'[10]RATES INCLUDING TRANSPORATION'!$V$24</definedName>
    <definedName name="Agg_20" localSheetId="36">'[10]RATES INCLUDING TRANSPORATION'!$V$24</definedName>
    <definedName name="Agg_20" localSheetId="20">'[10]RATES INCLUDING TRANSPORATION'!$V$24</definedName>
    <definedName name="Agg_20" localSheetId="21">'[10]RATES INCLUDING TRANSPORATION'!$V$24</definedName>
    <definedName name="Agg_20" localSheetId="33">'[10]RATES INCLUDING TRANSPORATION'!$V$24</definedName>
    <definedName name="Agg_20" localSheetId="18">'[10]RATES INCLUDING TRANSPORATION'!$V$24</definedName>
    <definedName name="Agg_20" localSheetId="19">'[10]RATES INCLUDING TRANSPORATION'!$V$24</definedName>
    <definedName name="Agg_20" localSheetId="34">'[10]RATES INCLUDING TRANSPORATION'!$V$24</definedName>
    <definedName name="Agg_20" localSheetId="69">'[10]RATES INCLUDING TRANSPORATION'!$V$24</definedName>
    <definedName name="Agg_20" localSheetId="68">'[10]RATES INCLUDING TRANSPORATION'!$V$24</definedName>
    <definedName name="Agg_20" localSheetId="38">'[10]RATES INCLUDING TRANSPORATION'!$V$24</definedName>
    <definedName name="Agg_20" localSheetId="65">'[10]RATES INCLUDING TRANSPORATION'!$V$24</definedName>
    <definedName name="Agg_20" localSheetId="66">'[10]RATES INCLUDING TRANSPORATION'!$V$24</definedName>
    <definedName name="Agg_20" localSheetId="67">'[10]RATES INCLUDING TRANSPORATION'!$V$24</definedName>
    <definedName name="Agg_20" localSheetId="42">'[10]RATES INCLUDING TRANSPORATION'!$V$24</definedName>
    <definedName name="Agg_40" localSheetId="35">'[10]RATES INCLUDING TRANSPORATION'!$V$23</definedName>
    <definedName name="Agg_40" localSheetId="37">'[10]RATES INCLUDING TRANSPORATION'!$V$23</definedName>
    <definedName name="Agg_40" localSheetId="17">'[10]RATES INCLUDING TRANSPORATION'!$V$23</definedName>
    <definedName name="Agg_40" localSheetId="47">#REF!</definedName>
    <definedName name="Agg_40" localSheetId="41">'[10]RATES INCLUDING TRANSPORATION'!$V$23</definedName>
    <definedName name="Agg_40" localSheetId="39">'[10]RATES INCLUDING TRANSPORATION'!$V$23</definedName>
    <definedName name="Agg_40" localSheetId="40">'[10]RATES INCLUDING TRANSPORATION'!$V$23</definedName>
    <definedName name="Agg_40" localSheetId="36">'[10]RATES INCLUDING TRANSPORATION'!$V$23</definedName>
    <definedName name="Agg_40" localSheetId="20">'[10]RATES INCLUDING TRANSPORATION'!$V$23</definedName>
    <definedName name="Agg_40" localSheetId="21">'[10]RATES INCLUDING TRANSPORATION'!$V$23</definedName>
    <definedName name="Agg_40" localSheetId="33">'[10]RATES INCLUDING TRANSPORATION'!$V$23</definedName>
    <definedName name="Agg_40" localSheetId="18">'[10]RATES INCLUDING TRANSPORATION'!$V$23</definedName>
    <definedName name="Agg_40" localSheetId="19">'[10]RATES INCLUDING TRANSPORATION'!$V$23</definedName>
    <definedName name="Agg_40" localSheetId="34">'[10]RATES INCLUDING TRANSPORATION'!$V$23</definedName>
    <definedName name="Agg_40" localSheetId="69">'[10]RATES INCLUDING TRANSPORATION'!$V$23</definedName>
    <definedName name="Agg_40" localSheetId="68">'[10]RATES INCLUDING TRANSPORATION'!$V$23</definedName>
    <definedName name="Agg_40" localSheetId="38">'[10]RATES INCLUDING TRANSPORATION'!$V$23</definedName>
    <definedName name="Agg_40" localSheetId="65">'[10]RATES INCLUDING TRANSPORATION'!$V$23</definedName>
    <definedName name="Agg_40" localSheetId="66">'[10]RATES INCLUDING TRANSPORATION'!$V$23</definedName>
    <definedName name="Agg_40" localSheetId="67">'[10]RATES INCLUDING TRANSPORATION'!$V$23</definedName>
    <definedName name="Agg_40" localSheetId="42">'[10]RATES INCLUDING TRANSPORATION'!$V$23</definedName>
    <definedName name="agitator" localSheetId="35">'[10]Basic Rates'!$D$145</definedName>
    <definedName name="agitator" localSheetId="37">'[10]Basic Rates'!$D$145</definedName>
    <definedName name="agitator" localSheetId="17">'[10]Basic Rates'!$D$145</definedName>
    <definedName name="agitator" localSheetId="47">#REF!</definedName>
    <definedName name="agitator" localSheetId="41">'[10]Basic Rates'!$D$145</definedName>
    <definedName name="agitator" localSheetId="39">'[10]Basic Rates'!$D$145</definedName>
    <definedName name="agitator" localSheetId="40">'[10]Basic Rates'!$D$145</definedName>
    <definedName name="agitator" localSheetId="36">'[10]Basic Rates'!$D$145</definedName>
    <definedName name="agitator" localSheetId="20">'[10]Basic Rates'!$D$145</definedName>
    <definedName name="agitator" localSheetId="21">'[10]Basic Rates'!$D$145</definedName>
    <definedName name="agitator" localSheetId="33">'[10]Basic Rates'!$D$145</definedName>
    <definedName name="agitator" localSheetId="18">'[10]Basic Rates'!$D$145</definedName>
    <definedName name="agitator" localSheetId="19">'[10]Basic Rates'!$D$145</definedName>
    <definedName name="agitator" localSheetId="34">'[10]Basic Rates'!$D$145</definedName>
    <definedName name="agitator" localSheetId="69">'[10]Basic Rates'!$D$145</definedName>
    <definedName name="agitator" localSheetId="68">'[10]Basic Rates'!$D$145</definedName>
    <definedName name="agitator" localSheetId="38">'[10]Basic Rates'!$D$145</definedName>
    <definedName name="agitator" localSheetId="65">'[10]Basic Rates'!$D$145</definedName>
    <definedName name="agitator" localSheetId="66">'[10]Basic Rates'!$D$145</definedName>
    <definedName name="agitator" localSheetId="67">'[10]Basic Rates'!$D$145</definedName>
    <definedName name="agitator" localSheetId="42">'[10]Basic Rates'!$D$145</definedName>
    <definedName name="Ai" localSheetId="35">'[11]settling basin 240'!$D$7</definedName>
    <definedName name="Ai" localSheetId="37">'[11]settling basin 240'!$D$7</definedName>
    <definedName name="Ai" localSheetId="17">'[11]settling basin 240'!$D$7</definedName>
    <definedName name="Ai" localSheetId="41">'[11]settling basin 240'!$D$7</definedName>
    <definedName name="Ai" localSheetId="39">'[11]settling basin 240'!$D$7</definedName>
    <definedName name="Ai" localSheetId="40">'[11]settling basin 240'!$D$7</definedName>
    <definedName name="Ai" localSheetId="43">'[11]settling basin 240'!$D$7</definedName>
    <definedName name="Ai" localSheetId="44">'[11]settling basin 240'!$D$7</definedName>
    <definedName name="Ai" localSheetId="45">'[11]settling basin 240'!$D$7</definedName>
    <definedName name="Ai" localSheetId="46">'[11]settling basin 240'!$D$7</definedName>
    <definedName name="Ai" localSheetId="36">'[11]settling basin 240'!$D$7</definedName>
    <definedName name="Ai" localSheetId="20">'[11]settling basin 240'!$D$7</definedName>
    <definedName name="Ai" localSheetId="21">'[11]settling basin 240'!$D$7</definedName>
    <definedName name="Ai" localSheetId="33">'[11]settling basin 240'!$D$7</definedName>
    <definedName name="Ai" localSheetId="18">'[11]settling basin 240'!$D$7</definedName>
    <definedName name="Ai" localSheetId="19">'[11]settling basin 240'!$D$7</definedName>
    <definedName name="Ai" localSheetId="34">'[11]settling basin 240'!$D$7</definedName>
    <definedName name="Ai" localSheetId="69">'[11]settling basin 240'!$D$7</definedName>
    <definedName name="Ai" localSheetId="68">'[11]settling basin 240'!$D$7</definedName>
    <definedName name="Ai" localSheetId="38">'[11]settling basin 240'!$D$7</definedName>
    <definedName name="Ai" localSheetId="71">'[11]settling basin 240'!$D$7</definedName>
    <definedName name="Ai" localSheetId="65">'[11]settling basin 240'!$D$7</definedName>
    <definedName name="Ai" localSheetId="66">'[11]settling basin 240'!$D$7</definedName>
    <definedName name="Ai" localSheetId="67">'[11]settling basin 240'!$D$7</definedName>
    <definedName name="Ai" localSheetId="42">'[11]settling basin 240'!$D$7</definedName>
    <definedName name="Ai">'[11]settling basin 240'!$D$7</definedName>
    <definedName name="alpha" localSheetId="78">#REF!</definedName>
    <definedName name="alpha" localSheetId="1">#REF!</definedName>
    <definedName name="alpha" localSheetId="57">#REF!</definedName>
    <definedName name="alpha" localSheetId="23">#REF!</definedName>
    <definedName name="alpha" localSheetId="47">#REF!</definedName>
    <definedName name="alpha" localSheetId="58">#REF!</definedName>
    <definedName name="alpha" localSheetId="0">#REF!</definedName>
    <definedName name="alpha" localSheetId="52">#REF!</definedName>
    <definedName name="alpha" localSheetId="61">#REF!</definedName>
    <definedName name="anchor_pin" localSheetId="35">'[8]RATES INCLUDING TRANSPORATION'!$V$82</definedName>
    <definedName name="anchor_pin" localSheetId="37">'[8]RATES INCLUDING TRANSPORATION'!$V$82</definedName>
    <definedName name="anchor_pin" localSheetId="57">'[8]RATES INCLUDING TRANSPORATION'!$V$82</definedName>
    <definedName name="anchor_pin" localSheetId="23">'[8]RATES INCLUDING TRANSPORATION'!$V$82</definedName>
    <definedName name="anchor_pin" localSheetId="27">'[8]RATES INCLUDING TRANSPORATION'!$V$82</definedName>
    <definedName name="anchor_pin" localSheetId="17">'[8]RATES INCLUDING TRANSPORATION'!$V$82</definedName>
    <definedName name="anchor_pin" localSheetId="41">'[8]RATES INCLUDING TRANSPORATION'!$V$82</definedName>
    <definedName name="anchor_pin" localSheetId="39">'[8]RATES INCLUDING TRANSPORATION'!$V$82</definedName>
    <definedName name="anchor_pin" localSheetId="40">'[8]RATES INCLUDING TRANSPORATION'!$V$82</definedName>
    <definedName name="anchor_pin" localSheetId="36">'[8]RATES INCLUDING TRANSPORATION'!$V$82</definedName>
    <definedName name="anchor_pin" localSheetId="20">'[8]RATES INCLUDING TRANSPORATION'!$V$82</definedName>
    <definedName name="anchor_pin" localSheetId="21">'[8]RATES INCLUDING TRANSPORATION'!$V$82</definedName>
    <definedName name="anchor_pin" localSheetId="33">'[8]RATES INCLUDING TRANSPORATION'!$V$82</definedName>
    <definedName name="anchor_pin" localSheetId="18">'[8]RATES INCLUDING TRANSPORATION'!$V$82</definedName>
    <definedName name="anchor_pin" localSheetId="26">'[8]RATES INCLUDING TRANSPORATION'!$V$82</definedName>
    <definedName name="anchor_pin" localSheetId="13">'[8]RATES INCLUDING TRANSPORATION'!$V$82</definedName>
    <definedName name="anchor_pin" localSheetId="14">'[8]RATES INCLUDING TRANSPORATION'!$V$82</definedName>
    <definedName name="anchor_pin" localSheetId="19">'[8]RATES INCLUDING TRANSPORATION'!$V$82</definedName>
    <definedName name="anchor_pin" localSheetId="34">'[8]RATES INCLUDING TRANSPORATION'!$V$82</definedName>
    <definedName name="anchor_pin" localSheetId="69">'[8]RATES INCLUDING TRANSPORATION'!$V$82</definedName>
    <definedName name="anchor_pin" localSheetId="68">'[8]RATES INCLUDING TRANSPORATION'!$V$82</definedName>
    <definedName name="anchor_pin" localSheetId="51">#REF!</definedName>
    <definedName name="anchor_pin" localSheetId="38">'[8]RATES INCLUDING TRANSPORATION'!$V$82</definedName>
    <definedName name="anchor_pin" localSheetId="71">'[8]RATES INCLUDING TRANSPORATION'!$V$82</definedName>
    <definedName name="anchor_pin" localSheetId="65">'[8]RATES INCLUDING TRANSPORATION'!$V$82</definedName>
    <definedName name="anchor_pin" localSheetId="66">'[8]RATES INCLUDING TRANSPORATION'!$V$82</definedName>
    <definedName name="anchor_pin" localSheetId="67">'[8]RATES INCLUDING TRANSPORATION'!$V$82</definedName>
    <definedName name="anchor_pin" localSheetId="42">'[8]RATES INCLUDING TRANSPORATION'!$V$82</definedName>
    <definedName name="anchor_pin">'[9]RATES INCLUDING TRANSPORATION'!$V$82</definedName>
    <definedName name="Annuinity_factor" localSheetId="35">[6]OPTIMIZATION!$E$19</definedName>
    <definedName name="Annuinity_factor" localSheetId="37">[6]OPTIMIZATION!$E$19</definedName>
    <definedName name="Annuinity_factor" localSheetId="57">[6]OPTIMIZATION!$E$19</definedName>
    <definedName name="Annuinity_factor" localSheetId="23">[6]OPTIMIZATION!$E$19</definedName>
    <definedName name="Annuinity_factor" localSheetId="27">[6]OPTIMIZATION!$E$19</definedName>
    <definedName name="Annuinity_factor" localSheetId="17">[6]OPTIMIZATION!$E$19</definedName>
    <definedName name="Annuinity_factor" localSheetId="41">[6]OPTIMIZATION!$E$19</definedName>
    <definedName name="Annuinity_factor" localSheetId="39">[6]OPTIMIZATION!$E$19</definedName>
    <definedName name="Annuinity_factor" localSheetId="40">[6]OPTIMIZATION!$E$19</definedName>
    <definedName name="Annuinity_factor" localSheetId="36">[6]OPTIMIZATION!$E$19</definedName>
    <definedName name="Annuinity_factor" localSheetId="20">[6]OPTIMIZATION!$E$19</definedName>
    <definedName name="Annuinity_factor" localSheetId="21">[6]OPTIMIZATION!$E$19</definedName>
    <definedName name="Annuinity_factor" localSheetId="33">[6]OPTIMIZATION!$E$19</definedName>
    <definedName name="Annuinity_factor" localSheetId="18">[6]OPTIMIZATION!$E$19</definedName>
    <definedName name="Annuinity_factor" localSheetId="26">[6]OPTIMIZATION!$E$19</definedName>
    <definedName name="Annuinity_factor" localSheetId="13">[6]OPTIMIZATION!$E$19</definedName>
    <definedName name="Annuinity_factor" localSheetId="14">[6]OPTIMIZATION!$E$19</definedName>
    <definedName name="Annuinity_factor" localSheetId="19">[6]OPTIMIZATION!$E$19</definedName>
    <definedName name="Annuinity_factor" localSheetId="34">[6]OPTIMIZATION!$E$19</definedName>
    <definedName name="Annuinity_factor" localSheetId="69">[6]OPTIMIZATION!$E$19</definedName>
    <definedName name="Annuinity_factor" localSheetId="68">[6]OPTIMIZATION!$E$19</definedName>
    <definedName name="Annuinity_factor" localSheetId="38">[6]OPTIMIZATION!$E$19</definedName>
    <definedName name="Annuinity_factor" localSheetId="71">[6]OPTIMIZATION!$E$19</definedName>
    <definedName name="Annuinity_factor" localSheetId="65">[6]OPTIMIZATION!$E$19</definedName>
    <definedName name="Annuinity_factor" localSheetId="66">[6]OPTIMIZATION!$E$19</definedName>
    <definedName name="Annuinity_factor" localSheetId="67">[6]OPTIMIZATION!$E$19</definedName>
    <definedName name="Annuinity_factor" localSheetId="42">[6]OPTIMIZATION!$E$19</definedName>
    <definedName name="Annuinity_factor">[7]OPTIMIZATION!$E$19</definedName>
    <definedName name="anscount" hidden="1">5</definedName>
    <definedName name="as" localSheetId="35" hidden="1">{#N/A,#N/A,TRUE,"Flat Before Crest";#N/A,#N/A,TRUE,"1-4 Before Crest";#N/A,#N/A,TRUE,"Crest";#N/A,#N/A,TRUE,"after crest";#N/A,#N/A,TRUE,"Data"}</definedName>
    <definedName name="as" localSheetId="37" hidden="1">{#N/A,#N/A,TRUE,"Flat Before Crest";#N/A,#N/A,TRUE,"1-4 Before Crest";#N/A,#N/A,TRUE,"Crest";#N/A,#N/A,TRUE,"after crest";#N/A,#N/A,TRUE,"Data"}</definedName>
    <definedName name="as" localSheetId="17" hidden="1">{#N/A,#N/A,TRUE,"Flat Before Crest";#N/A,#N/A,TRUE,"1-4 Before Crest";#N/A,#N/A,TRUE,"Crest";#N/A,#N/A,TRUE,"after crest";#N/A,#N/A,TRUE,"Data"}</definedName>
    <definedName name="as" localSheetId="41" hidden="1">{#N/A,#N/A,TRUE,"Flat Before Crest";#N/A,#N/A,TRUE,"1-4 Before Crest";#N/A,#N/A,TRUE,"Crest";#N/A,#N/A,TRUE,"after crest";#N/A,#N/A,TRUE,"Data"}</definedName>
    <definedName name="as" localSheetId="39" hidden="1">{#N/A,#N/A,TRUE,"Flat Before Crest";#N/A,#N/A,TRUE,"1-4 Before Crest";#N/A,#N/A,TRUE,"Crest";#N/A,#N/A,TRUE,"after crest";#N/A,#N/A,TRUE,"Data"}</definedName>
    <definedName name="as" localSheetId="40" hidden="1">{#N/A,#N/A,TRUE,"Flat Before Crest";#N/A,#N/A,TRUE,"1-4 Before Crest";#N/A,#N/A,TRUE,"Crest";#N/A,#N/A,TRUE,"after crest";#N/A,#N/A,TRUE,"Data"}</definedName>
    <definedName name="as" localSheetId="36" hidden="1">{#N/A,#N/A,TRUE,"Flat Before Crest";#N/A,#N/A,TRUE,"1-4 Before Crest";#N/A,#N/A,TRUE,"Crest";#N/A,#N/A,TRUE,"after crest";#N/A,#N/A,TRUE,"Data"}</definedName>
    <definedName name="as" localSheetId="20" hidden="1">{#N/A,#N/A,TRUE,"Flat Before Crest";#N/A,#N/A,TRUE,"1-4 Before Crest";#N/A,#N/A,TRUE,"Crest";#N/A,#N/A,TRUE,"after crest";#N/A,#N/A,TRUE,"Data"}</definedName>
    <definedName name="as" localSheetId="21" hidden="1">{#N/A,#N/A,TRUE,"Flat Before Crest";#N/A,#N/A,TRUE,"1-4 Before Crest";#N/A,#N/A,TRUE,"Crest";#N/A,#N/A,TRUE,"after crest";#N/A,#N/A,TRUE,"Data"}</definedName>
    <definedName name="as" localSheetId="33" hidden="1">{#N/A,#N/A,TRUE,"Flat Before Crest";#N/A,#N/A,TRUE,"1-4 Before Crest";#N/A,#N/A,TRUE,"Crest";#N/A,#N/A,TRUE,"after crest";#N/A,#N/A,TRUE,"Data"}</definedName>
    <definedName name="as" localSheetId="18" hidden="1">{#N/A,#N/A,TRUE,"Flat Before Crest";#N/A,#N/A,TRUE,"1-4 Before Crest";#N/A,#N/A,TRUE,"Crest";#N/A,#N/A,TRUE,"after crest";#N/A,#N/A,TRUE,"Data"}</definedName>
    <definedName name="as" localSheetId="19" hidden="1">{#N/A,#N/A,TRUE,"Flat Before Crest";#N/A,#N/A,TRUE,"1-4 Before Crest";#N/A,#N/A,TRUE,"Crest";#N/A,#N/A,TRUE,"after crest";#N/A,#N/A,TRUE,"Data"}</definedName>
    <definedName name="as" localSheetId="34" hidden="1">{#N/A,#N/A,TRUE,"Flat Before Crest";#N/A,#N/A,TRUE,"1-4 Before Crest";#N/A,#N/A,TRUE,"Crest";#N/A,#N/A,TRUE,"after crest";#N/A,#N/A,TRUE,"Data"}</definedName>
    <definedName name="as" localSheetId="69" hidden="1">{#N/A,#N/A,TRUE,"Flat Before Crest";#N/A,#N/A,TRUE,"1-4 Before Crest";#N/A,#N/A,TRUE,"Crest";#N/A,#N/A,TRUE,"after crest";#N/A,#N/A,TRUE,"Data"}</definedName>
    <definedName name="as" localSheetId="68" hidden="1">{#N/A,#N/A,TRUE,"Flat Before Crest";#N/A,#N/A,TRUE,"1-4 Before Crest";#N/A,#N/A,TRUE,"Crest";#N/A,#N/A,TRUE,"after crest";#N/A,#N/A,TRUE,"Data"}</definedName>
    <definedName name="as" localSheetId="38" hidden="1">{#N/A,#N/A,TRUE,"Flat Before Crest";#N/A,#N/A,TRUE,"1-4 Before Crest";#N/A,#N/A,TRUE,"Crest";#N/A,#N/A,TRUE,"after crest";#N/A,#N/A,TRUE,"Data"}</definedName>
    <definedName name="as" localSheetId="65" hidden="1">{#N/A,#N/A,TRUE,"Flat Before Crest";#N/A,#N/A,TRUE,"1-4 Before Crest";#N/A,#N/A,TRUE,"Crest";#N/A,#N/A,TRUE,"after crest";#N/A,#N/A,TRUE,"Data"}</definedName>
    <definedName name="as" localSheetId="66" hidden="1">{#N/A,#N/A,TRUE,"Flat Before Crest";#N/A,#N/A,TRUE,"1-4 Before Crest";#N/A,#N/A,TRUE,"Crest";#N/A,#N/A,TRUE,"after crest";#N/A,#N/A,TRUE,"Data"}</definedName>
    <definedName name="as" localSheetId="67" hidden="1">{#N/A,#N/A,TRUE,"Flat Before Crest";#N/A,#N/A,TRUE,"1-4 Before Crest";#N/A,#N/A,TRUE,"Crest";#N/A,#N/A,TRUE,"after crest";#N/A,#N/A,TRUE,"Data"}</definedName>
    <definedName name="as" localSheetId="42" hidden="1">{#N/A,#N/A,TRUE,"Flat Before Crest";#N/A,#N/A,TRUE,"1-4 Before Crest";#N/A,#N/A,TRUE,"Crest";#N/A,#N/A,TRUE,"after crest";#N/A,#N/A,TRUE,"Data"}</definedName>
    <definedName name="asd" localSheetId="4" hidden="1">[1]Solu!#REF!</definedName>
    <definedName name="asd" localSheetId="7" hidden="1">[1]Solu!#REF!</definedName>
    <definedName name="asd" localSheetId="8" hidden="1">[1]Solu!#REF!</definedName>
    <definedName name="asd" localSheetId="41" hidden="1">[1]Solu!#REF!</definedName>
    <definedName name="asd" hidden="1">[1]Solu!#REF!</definedName>
    <definedName name="Average_GrossHead" localSheetId="35">'[6]Energy_INPUT&amp;OUTPUT'!$C$14</definedName>
    <definedName name="Average_GrossHead" localSheetId="37">'[6]Energy_INPUT&amp;OUTPUT'!$C$14</definedName>
    <definedName name="Average_GrossHead" localSheetId="57">'[6]Energy_INPUT&amp;OUTPUT'!$C$14</definedName>
    <definedName name="Average_GrossHead" localSheetId="23">'[6]Energy_INPUT&amp;OUTPUT'!$C$14</definedName>
    <definedName name="Average_GrossHead" localSheetId="27">'[6]Energy_INPUT&amp;OUTPUT'!$C$14</definedName>
    <definedName name="Average_GrossHead" localSheetId="17">'[6]Energy_INPUT&amp;OUTPUT'!$C$14</definedName>
    <definedName name="Average_GrossHead" localSheetId="41">'[6]Energy_INPUT&amp;OUTPUT'!$C$14</definedName>
    <definedName name="Average_GrossHead" localSheetId="39">'[6]Energy_INPUT&amp;OUTPUT'!$C$14</definedName>
    <definedName name="Average_GrossHead" localSheetId="40">'[6]Energy_INPUT&amp;OUTPUT'!$C$14</definedName>
    <definedName name="Average_GrossHead" localSheetId="36">'[6]Energy_INPUT&amp;OUTPUT'!$C$14</definedName>
    <definedName name="Average_GrossHead" localSheetId="20">'[6]Energy_INPUT&amp;OUTPUT'!$C$14</definedName>
    <definedName name="Average_GrossHead" localSheetId="21">'[6]Energy_INPUT&amp;OUTPUT'!$C$14</definedName>
    <definedName name="Average_GrossHead" localSheetId="33">'[6]Energy_INPUT&amp;OUTPUT'!$C$14</definedName>
    <definedName name="Average_GrossHead" localSheetId="18">'[6]Energy_INPUT&amp;OUTPUT'!$C$14</definedName>
    <definedName name="Average_GrossHead" localSheetId="26">'[6]Energy_INPUT&amp;OUTPUT'!$C$14</definedName>
    <definedName name="Average_GrossHead" localSheetId="13">'[6]Energy_INPUT&amp;OUTPUT'!$C$14</definedName>
    <definedName name="Average_GrossHead" localSheetId="14">'[6]Energy_INPUT&amp;OUTPUT'!$C$14</definedName>
    <definedName name="Average_GrossHead" localSheetId="19">'[6]Energy_INPUT&amp;OUTPUT'!$C$14</definedName>
    <definedName name="Average_GrossHead" localSheetId="34">'[6]Energy_INPUT&amp;OUTPUT'!$C$14</definedName>
    <definedName name="Average_GrossHead" localSheetId="69">'[6]Energy_INPUT&amp;OUTPUT'!$C$14</definedName>
    <definedName name="Average_GrossHead" localSheetId="68">'[6]Energy_INPUT&amp;OUTPUT'!$C$14</definedName>
    <definedName name="Average_GrossHead" localSheetId="38">'[6]Energy_INPUT&amp;OUTPUT'!$C$14</definedName>
    <definedName name="Average_GrossHead" localSheetId="71">'[6]Energy_INPUT&amp;OUTPUT'!$C$14</definedName>
    <definedName name="Average_GrossHead" localSheetId="65">'[6]Energy_INPUT&amp;OUTPUT'!$C$14</definedName>
    <definedName name="Average_GrossHead" localSheetId="66">'[6]Energy_INPUT&amp;OUTPUT'!$C$14</definedName>
    <definedName name="Average_GrossHead" localSheetId="67">'[6]Energy_INPUT&amp;OUTPUT'!$C$14</definedName>
    <definedName name="Average_GrossHead" localSheetId="42">'[6]Energy_INPUT&amp;OUTPUT'!$C$14</definedName>
    <definedName name="Average_GrossHead">'[7]Energy_INPUT&amp;OUTPUT'!$C$14</definedName>
    <definedName name="AvgHWL" localSheetId="35">'[6]Energy_INPUT&amp;OUTPUT'!$C$10</definedName>
    <definedName name="AvgHWL" localSheetId="37">'[6]Energy_INPUT&amp;OUTPUT'!$C$10</definedName>
    <definedName name="AvgHWL" localSheetId="57">'[6]Energy_INPUT&amp;OUTPUT'!$C$10</definedName>
    <definedName name="AvgHWL" localSheetId="23">'[6]Energy_INPUT&amp;OUTPUT'!$C$10</definedName>
    <definedName name="AvgHWL" localSheetId="27">'[6]Energy_INPUT&amp;OUTPUT'!$C$10</definedName>
    <definedName name="AvgHWL" localSheetId="17">'[6]Energy_INPUT&amp;OUTPUT'!$C$10</definedName>
    <definedName name="AvgHWL" localSheetId="41">'[6]Energy_INPUT&amp;OUTPUT'!$C$10</definedName>
    <definedName name="AvgHWL" localSheetId="39">'[6]Energy_INPUT&amp;OUTPUT'!$C$10</definedName>
    <definedName name="AvgHWL" localSheetId="40">'[6]Energy_INPUT&amp;OUTPUT'!$C$10</definedName>
    <definedName name="AvgHWL" localSheetId="36">'[6]Energy_INPUT&amp;OUTPUT'!$C$10</definedName>
    <definedName name="AvgHWL" localSheetId="20">'[6]Energy_INPUT&amp;OUTPUT'!$C$10</definedName>
    <definedName name="AvgHWL" localSheetId="21">'[6]Energy_INPUT&amp;OUTPUT'!$C$10</definedName>
    <definedName name="AvgHWL" localSheetId="33">'[6]Energy_INPUT&amp;OUTPUT'!$C$10</definedName>
    <definedName name="AvgHWL" localSheetId="18">'[6]Energy_INPUT&amp;OUTPUT'!$C$10</definedName>
    <definedName name="AvgHWL" localSheetId="26">'[6]Energy_INPUT&amp;OUTPUT'!$C$10</definedName>
    <definedName name="AvgHWL" localSheetId="13">'[6]Energy_INPUT&amp;OUTPUT'!$C$10</definedName>
    <definedName name="AvgHWL" localSheetId="14">'[6]Energy_INPUT&amp;OUTPUT'!$C$10</definedName>
    <definedName name="AvgHWL" localSheetId="19">'[6]Energy_INPUT&amp;OUTPUT'!$C$10</definedName>
    <definedName name="AvgHWL" localSheetId="34">'[6]Energy_INPUT&amp;OUTPUT'!$C$10</definedName>
    <definedName name="AvgHWL" localSheetId="69">'[6]Energy_INPUT&amp;OUTPUT'!$C$10</definedName>
    <definedName name="AvgHWL" localSheetId="68">'[6]Energy_INPUT&amp;OUTPUT'!$C$10</definedName>
    <definedName name="AvgHWL" localSheetId="38">'[6]Energy_INPUT&amp;OUTPUT'!$C$10</definedName>
    <definedName name="AvgHWL" localSheetId="71">'[6]Energy_INPUT&amp;OUTPUT'!$C$10</definedName>
    <definedName name="AvgHWL" localSheetId="65">'[6]Energy_INPUT&amp;OUTPUT'!$C$10</definedName>
    <definedName name="AvgHWL" localSheetId="66">'[6]Energy_INPUT&amp;OUTPUT'!$C$10</definedName>
    <definedName name="AvgHWL" localSheetId="67">'[6]Energy_INPUT&amp;OUTPUT'!$C$10</definedName>
    <definedName name="AvgHWL" localSheetId="42">'[6]Energy_INPUT&amp;OUTPUT'!$C$10</definedName>
    <definedName name="AvgHWL">'[7]Energy_INPUT&amp;OUTPUT'!$C$10</definedName>
    <definedName name="AX_headcanal" localSheetId="78">#REF!</definedName>
    <definedName name="AX_headcanal" localSheetId="1">#REF!</definedName>
    <definedName name="AX_headcanal" localSheetId="57">#REF!</definedName>
    <definedName name="AX_headcanal" localSheetId="23">#REF!</definedName>
    <definedName name="AX_headcanal" localSheetId="47">#REF!</definedName>
    <definedName name="AX_headcanal" localSheetId="58">#REF!</definedName>
    <definedName name="AX_headcanal" localSheetId="0">#REF!</definedName>
    <definedName name="AX_headcanal" localSheetId="52">#REF!</definedName>
    <definedName name="AX_headcanal" localSheetId="61">#REF!</definedName>
    <definedName name="B" localSheetId="35">'[11]settling basin 240'!$D$6</definedName>
    <definedName name="B" localSheetId="37">'[11]settling basin 240'!$D$6</definedName>
    <definedName name="B" localSheetId="17">'[11]settling basin 240'!$D$6</definedName>
    <definedName name="B" localSheetId="41">'[11]settling basin 240'!$D$6</definedName>
    <definedName name="B" localSheetId="39">'[11]settling basin 240'!$D$6</definedName>
    <definedName name="B" localSheetId="40">'[11]settling basin 240'!$D$6</definedName>
    <definedName name="B" localSheetId="43">'[11]settling basin 240'!$D$6</definedName>
    <definedName name="B" localSheetId="44">'[11]settling basin 240'!$D$6</definedName>
    <definedName name="B" localSheetId="45">'[11]settling basin 240'!$D$6</definedName>
    <definedName name="B" localSheetId="46">'[11]settling basin 240'!$D$6</definedName>
    <definedName name="B" localSheetId="36">'[11]settling basin 240'!$D$6</definedName>
    <definedName name="B" localSheetId="20">'[11]settling basin 240'!$D$6</definedName>
    <definedName name="B" localSheetId="21">'[11]settling basin 240'!$D$6</definedName>
    <definedName name="B" localSheetId="33">'[11]settling basin 240'!$D$6</definedName>
    <definedName name="B" localSheetId="18">'[11]settling basin 240'!$D$6</definedName>
    <definedName name="B" localSheetId="19">'[11]settling basin 240'!$D$6</definedName>
    <definedName name="B" localSheetId="34">'[11]settling basin 240'!$D$6</definedName>
    <definedName name="B" localSheetId="69">'[11]settling basin 240'!$D$6</definedName>
    <definedName name="B" localSheetId="68">'[11]settling basin 240'!$D$6</definedName>
    <definedName name="B" localSheetId="38">'[11]settling basin 240'!$D$6</definedName>
    <definedName name="B" localSheetId="71">'[11]settling basin 240'!$D$6</definedName>
    <definedName name="B" localSheetId="65">'[11]settling basin 240'!$D$6</definedName>
    <definedName name="B" localSheetId="66">'[11]settling basin 240'!$D$6</definedName>
    <definedName name="B" localSheetId="67">'[11]settling basin 240'!$D$6</definedName>
    <definedName name="B" localSheetId="42">'[11]settling basin 240'!$D$6</definedName>
    <definedName name="B">'[11]settling basin 240'!$D$6</definedName>
    <definedName name="backhoe" localSheetId="35">'[10]Basic Rates'!$D$151</definedName>
    <definedName name="backhoe" localSheetId="37">'[10]Basic Rates'!$D$151</definedName>
    <definedName name="backhoe" localSheetId="17">'[10]Basic Rates'!$D$151</definedName>
    <definedName name="backhoe" localSheetId="47">#REF!</definedName>
    <definedName name="backhoe" localSheetId="41">'[10]Basic Rates'!$D$151</definedName>
    <definedName name="backhoe" localSheetId="39">'[10]Basic Rates'!$D$151</definedName>
    <definedName name="backhoe" localSheetId="40">'[10]Basic Rates'!$D$151</definedName>
    <definedName name="backhoe" localSheetId="36">'[10]Basic Rates'!$D$151</definedName>
    <definedName name="backhoe" localSheetId="20">'[10]Basic Rates'!$D$151</definedName>
    <definedName name="backhoe" localSheetId="21">'[10]Basic Rates'!$D$151</definedName>
    <definedName name="backhoe" localSheetId="33">'[10]Basic Rates'!$D$151</definedName>
    <definedName name="backhoe" localSheetId="18">'[10]Basic Rates'!$D$151</definedName>
    <definedName name="backhoe" localSheetId="19">'[10]Basic Rates'!$D$151</definedName>
    <definedName name="backhoe" localSheetId="34">'[10]Basic Rates'!$D$151</definedName>
    <definedName name="backhoe" localSheetId="69">'[10]Basic Rates'!$D$151</definedName>
    <definedName name="backhoe" localSheetId="68">'[10]Basic Rates'!$D$151</definedName>
    <definedName name="backhoe" localSheetId="38">'[10]Basic Rates'!$D$151</definedName>
    <definedName name="backhoe" localSheetId="65">'[10]Basic Rates'!$D$151</definedName>
    <definedName name="backhoe" localSheetId="66">'[10]Basic Rates'!$D$151</definedName>
    <definedName name="backhoe" localSheetId="67">'[10]Basic Rates'!$D$151</definedName>
    <definedName name="backhoe" localSheetId="42">'[10]Basic Rates'!$D$151</definedName>
    <definedName name="BBKK" localSheetId="24" hidden="1">{"Mahesh Maskey - Personal View",#N/A,FALSE,"HeadLossApril (2)";#N/A,#N/A,FALSE,"Hydraulic Gadient"}</definedName>
    <definedName name="BBKK" localSheetId="35" hidden="1">{"Mahesh Maskey - Personal View",#N/A,FALSE,"HeadLossApril (2)";#N/A,#N/A,FALSE,"Hydraulic Gadient"}</definedName>
    <definedName name="BBKK" localSheetId="37" hidden="1">{"Mahesh Maskey - Personal View",#N/A,FALSE,"HeadLossApril (2)";#N/A,#N/A,FALSE,"Hydraulic Gadient"}</definedName>
    <definedName name="BBKK" localSheetId="27" hidden="1">{"Mahesh Maskey - Personal View",#N/A,FALSE,"HeadLossApril (2)";#N/A,#N/A,FALSE,"Hydraulic Gadient"}</definedName>
    <definedName name="BBKK" localSheetId="17" hidden="1">{"Mahesh Maskey - Personal View",#N/A,FALSE,"HeadLossApril (2)";#N/A,#N/A,FALSE,"Hydraulic Gadient"}</definedName>
    <definedName name="BBKK" localSheetId="47" hidden="1">{"Mahesh Maskey - Personal View",#N/A,FALSE,"HeadLossApril (2)";#N/A,#N/A,FALSE,"Hydraulic Gadient"}</definedName>
    <definedName name="BBKK" localSheetId="41" hidden="1">{"Mahesh Maskey - Personal View",#N/A,FALSE,"HeadLossApril (2)";#N/A,#N/A,FALSE,"Hydraulic Gadient"}</definedName>
    <definedName name="BBKK" localSheetId="39" hidden="1">{"Mahesh Maskey - Personal View",#N/A,FALSE,"HeadLossApril (2)";#N/A,#N/A,FALSE,"Hydraulic Gadient"}</definedName>
    <definedName name="BBKK" localSheetId="40" hidden="1">{"Mahesh Maskey - Personal View",#N/A,FALSE,"HeadLossApril (2)";#N/A,#N/A,FALSE,"Hydraulic Gadient"}</definedName>
    <definedName name="BBKK" localSheetId="32" hidden="1">{"Mahesh Maskey - Personal View",#N/A,FALSE,"HeadLossApril (2)";#N/A,#N/A,FALSE,"Hydraulic Gadient"}</definedName>
    <definedName name="BBKK" localSheetId="36" hidden="1">{"Mahesh Maskey - Personal View",#N/A,FALSE,"HeadLossApril (2)";#N/A,#N/A,FALSE,"Hydraulic Gadient"}</definedName>
    <definedName name="BBKK" localSheetId="20" hidden="1">{"Mahesh Maskey - Personal View",#N/A,FALSE,"HeadLossApril (2)";#N/A,#N/A,FALSE,"Hydraulic Gadient"}</definedName>
    <definedName name="BBKK" localSheetId="21" hidden="1">{"Mahesh Maskey - Personal View",#N/A,FALSE,"HeadLossApril (2)";#N/A,#N/A,FALSE,"Hydraulic Gadient"}</definedName>
    <definedName name="BBKK" localSheetId="33" hidden="1">{"Mahesh Maskey - Personal View",#N/A,FALSE,"HeadLossApril (2)";#N/A,#N/A,FALSE,"Hydraulic Gadient"}</definedName>
    <definedName name="BBKK" localSheetId="18" hidden="1">{"Mahesh Maskey - Personal View",#N/A,FALSE,"HeadLossApril (2)";#N/A,#N/A,FALSE,"Hydraulic Gadient"}</definedName>
    <definedName name="BBKK" localSheetId="29" hidden="1">{"Mahesh Maskey - Personal View",#N/A,FALSE,"HeadLossApril (2)";#N/A,#N/A,FALSE,"Hydraulic Gadient"}</definedName>
    <definedName name="BBKK" localSheetId="19" hidden="1">{"Mahesh Maskey - Personal View",#N/A,FALSE,"HeadLossApril (2)";#N/A,#N/A,FALSE,"Hydraulic Gadient"}</definedName>
    <definedName name="BBKK" localSheetId="34" hidden="1">{"Mahesh Maskey - Personal View",#N/A,FALSE,"HeadLossApril (2)";#N/A,#N/A,FALSE,"Hydraulic Gadient"}</definedName>
    <definedName name="BBKK" localSheetId="69" hidden="1">{"Mahesh Maskey - Personal View",#N/A,FALSE,"HeadLossApril (2)";#N/A,#N/A,FALSE,"Hydraulic Gadient"}</definedName>
    <definedName name="BBKK" localSheetId="68" hidden="1">{"Mahesh Maskey - Personal View",#N/A,FALSE,"HeadLossApril (2)";#N/A,#N/A,FALSE,"Hydraulic Gadient"}</definedName>
    <definedName name="BBKK" localSheetId="73" hidden="1">{"Mahesh Maskey - Personal View",#N/A,FALSE,"HeadLossApril (2)";#N/A,#N/A,FALSE,"Hydraulic Gadient"}</definedName>
    <definedName name="BBKK" localSheetId="38" hidden="1">{"Mahesh Maskey - Personal View",#N/A,FALSE,"HeadLossApril (2)";#N/A,#N/A,FALSE,"Hydraulic Gadient"}</definedName>
    <definedName name="BBKK" localSheetId="22" hidden="1">{"Mahesh Maskey - Personal View",#N/A,FALSE,"HeadLossApril (2)";#N/A,#N/A,FALSE,"Hydraulic Gadient"}</definedName>
    <definedName name="BBKK" localSheetId="72" hidden="1">{"Mahesh Maskey - Personal View",#N/A,FALSE,"HeadLossApril (2)";#N/A,#N/A,FALSE,"Hydraulic Gadient"}</definedName>
    <definedName name="BBKK" localSheetId="28" hidden="1">{"Mahesh Maskey - Personal View",#N/A,FALSE,"HeadLossApril (2)";#N/A,#N/A,FALSE,"Hydraulic Gadient"}</definedName>
    <definedName name="BBKK" localSheetId="65" hidden="1">{"Mahesh Maskey - Personal View",#N/A,FALSE,"HeadLossApril (2)";#N/A,#N/A,FALSE,"Hydraulic Gadient"}</definedName>
    <definedName name="BBKK" localSheetId="66" hidden="1">{"Mahesh Maskey - Personal View",#N/A,FALSE,"HeadLossApril (2)";#N/A,#N/A,FALSE,"Hydraulic Gadient"}</definedName>
    <definedName name="BBKK" localSheetId="67" hidden="1">{"Mahesh Maskey - Personal View",#N/A,FALSE,"HeadLossApril (2)";#N/A,#N/A,FALSE,"Hydraulic Gadient"}</definedName>
    <definedName name="BBKK" localSheetId="42" hidden="1">{"Mahesh Maskey - Personal View",#N/A,FALSE,"HeadLossApril (2)";#N/A,#N/A,FALSE,"Hydraulic Gadient"}</definedName>
    <definedName name="BBKK" hidden="1">{"Mahesh Maskey - Personal View",#N/A,FALSE,"HeadLossApril (2)";#N/A,#N/A,FALSE,"Hydraulic Gadient"}</definedName>
    <definedName name="Bcanal" localSheetId="35">'[12]Intake Canal'!$C$13</definedName>
    <definedName name="Bcanal" localSheetId="37">'[12]Intake Canal'!$C$13</definedName>
    <definedName name="Bcanal" localSheetId="57">'[12]Intake Canal'!$C$13</definedName>
    <definedName name="Bcanal" localSheetId="23">'[12]Intake Canal'!$C$13</definedName>
    <definedName name="Bcanal" localSheetId="27">'[12]Intake Canal'!$C$13</definedName>
    <definedName name="Bcanal" localSheetId="17">'[12]Intake Canal'!$C$13</definedName>
    <definedName name="Bcanal" localSheetId="41">'[12]Intake Canal'!$C$13</definedName>
    <definedName name="Bcanal" localSheetId="39">'[12]Intake Canal'!$C$13</definedName>
    <definedName name="Bcanal" localSheetId="40">'[12]Intake Canal'!$C$13</definedName>
    <definedName name="Bcanal" localSheetId="36">'[12]Intake Canal'!$C$13</definedName>
    <definedName name="Bcanal" localSheetId="20">'[12]Intake Canal'!$C$13</definedName>
    <definedName name="Bcanal" localSheetId="21">'[12]Intake Canal'!$C$13</definedName>
    <definedName name="Bcanal" localSheetId="33">'[12]Intake Canal'!$C$13</definedName>
    <definedName name="Bcanal" localSheetId="18">'[12]Intake Canal'!$C$13</definedName>
    <definedName name="Bcanal" localSheetId="26">'[12]Intake Canal'!$C$13</definedName>
    <definedName name="Bcanal" localSheetId="13">'[12]Intake Canal'!$C$13</definedName>
    <definedName name="Bcanal" localSheetId="14">'[12]Intake Canal'!$C$13</definedName>
    <definedName name="Bcanal" localSheetId="19">'[12]Intake Canal'!$C$13</definedName>
    <definedName name="Bcanal" localSheetId="34">'[12]Intake Canal'!$C$13</definedName>
    <definedName name="Bcanal" localSheetId="69">'[12]Intake Canal'!$C$13</definedName>
    <definedName name="Bcanal" localSheetId="68">'[12]Intake Canal'!$C$13</definedName>
    <definedName name="Bcanal" localSheetId="38">'[12]Intake Canal'!$C$13</definedName>
    <definedName name="Bcanal" localSheetId="71">'[12]Intake Canal'!$C$13</definedName>
    <definedName name="Bcanal" localSheetId="65">'[12]Intake Canal'!$C$13</definedName>
    <definedName name="Bcanal" localSheetId="66">'[12]Intake Canal'!$C$13</definedName>
    <definedName name="Bcanal" localSheetId="67">'[12]Intake Canal'!$C$13</definedName>
    <definedName name="Bcanal" localSheetId="42">'[12]Intake Canal'!$C$13</definedName>
    <definedName name="Bcanal">'[13]Intake Canal'!$C$13</definedName>
    <definedName name="bearing_plate" localSheetId="47">#REF!</definedName>
    <definedName name="Bentonite" localSheetId="35">'[10]RATES INCLUDING TRANSPORATION'!$V$58</definedName>
    <definedName name="Bentonite" localSheetId="37">'[10]RATES INCLUDING TRANSPORATION'!$V$58</definedName>
    <definedName name="Bentonite" localSheetId="17">'[10]RATES INCLUDING TRANSPORATION'!$V$58</definedName>
    <definedName name="Bentonite" localSheetId="47">#REF!</definedName>
    <definedName name="Bentonite" localSheetId="41">'[10]RATES INCLUDING TRANSPORATION'!$V$58</definedName>
    <definedName name="Bentonite" localSheetId="39">'[10]RATES INCLUDING TRANSPORATION'!$V$58</definedName>
    <definedName name="Bentonite" localSheetId="40">'[10]RATES INCLUDING TRANSPORATION'!$V$58</definedName>
    <definedName name="Bentonite" localSheetId="36">'[10]RATES INCLUDING TRANSPORATION'!$V$58</definedName>
    <definedName name="Bentonite" localSheetId="20">'[10]RATES INCLUDING TRANSPORATION'!$V$58</definedName>
    <definedName name="Bentonite" localSheetId="21">'[10]RATES INCLUDING TRANSPORATION'!$V$58</definedName>
    <definedName name="Bentonite" localSheetId="33">'[10]RATES INCLUDING TRANSPORATION'!$V$58</definedName>
    <definedName name="Bentonite" localSheetId="18">'[10]RATES INCLUDING TRANSPORATION'!$V$58</definedName>
    <definedName name="Bentonite" localSheetId="19">'[10]RATES INCLUDING TRANSPORATION'!$V$58</definedName>
    <definedName name="Bentonite" localSheetId="34">'[10]RATES INCLUDING TRANSPORATION'!$V$58</definedName>
    <definedName name="Bentonite" localSheetId="69">'[10]RATES INCLUDING TRANSPORATION'!$V$58</definedName>
    <definedName name="Bentonite" localSheetId="68">'[10]RATES INCLUDING TRANSPORATION'!$V$58</definedName>
    <definedName name="Bentonite" localSheetId="38">'[10]RATES INCLUDING TRANSPORATION'!$V$58</definedName>
    <definedName name="Bentonite" localSheetId="65">'[10]RATES INCLUDING TRANSPORATION'!$V$58</definedName>
    <definedName name="Bentonite" localSheetId="66">'[10]RATES INCLUDING TRANSPORATION'!$V$58</definedName>
    <definedName name="Bentonite" localSheetId="67">'[10]RATES INCLUDING TRANSPORATION'!$V$58</definedName>
    <definedName name="Bentonite" localSheetId="42">'[10]RATES INCLUDING TRANSPORATION'!$V$58</definedName>
    <definedName name="beta" localSheetId="78">#REF!</definedName>
    <definedName name="beta" localSheetId="1">#REF!</definedName>
    <definedName name="beta" localSheetId="57">#REF!</definedName>
    <definedName name="beta" localSheetId="23">#REF!</definedName>
    <definedName name="beta" localSheetId="47">#REF!</definedName>
    <definedName name="beta" localSheetId="58">#REF!</definedName>
    <definedName name="beta" localSheetId="0">#REF!</definedName>
    <definedName name="beta" localSheetId="52">#REF!</definedName>
    <definedName name="beta" localSheetId="61">#REF!</definedName>
    <definedName name="Bheadcanal" localSheetId="78">#REF!</definedName>
    <definedName name="Bheadcanal" localSheetId="1">#REF!</definedName>
    <definedName name="Bheadcanal" localSheetId="57">#REF!</definedName>
    <definedName name="Bheadcanal" localSheetId="23">#REF!</definedName>
    <definedName name="Bheadcanal" localSheetId="47">#REF!</definedName>
    <definedName name="Bheadcanal" localSheetId="58">#REF!</definedName>
    <definedName name="Bheadcanal" localSheetId="0">#REF!</definedName>
    <definedName name="Bheadcanal" localSheetId="52">#REF!</definedName>
    <definedName name="Bheadcanal" localSheetId="61">#REF!</definedName>
    <definedName name="binding" localSheetId="35">'[10]RATES INCLUDING TRANSPORATION'!$V$31</definedName>
    <definedName name="binding" localSheetId="37">'[10]RATES INCLUDING TRANSPORATION'!$V$31</definedName>
    <definedName name="binding" localSheetId="17">'[10]RATES INCLUDING TRANSPORATION'!$V$31</definedName>
    <definedName name="binding" localSheetId="47">#REF!</definedName>
    <definedName name="binding" localSheetId="41">'[10]RATES INCLUDING TRANSPORATION'!$V$31</definedName>
    <definedName name="binding" localSheetId="39">'[10]RATES INCLUDING TRANSPORATION'!$V$31</definedName>
    <definedName name="binding" localSheetId="40">'[10]RATES INCLUDING TRANSPORATION'!$V$31</definedName>
    <definedName name="binding" localSheetId="36">'[10]RATES INCLUDING TRANSPORATION'!$V$31</definedName>
    <definedName name="binding" localSheetId="20">'[10]RATES INCLUDING TRANSPORATION'!$V$31</definedName>
    <definedName name="binding" localSheetId="21">'[10]RATES INCLUDING TRANSPORATION'!$V$31</definedName>
    <definedName name="binding" localSheetId="33">'[10]RATES INCLUDING TRANSPORATION'!$V$31</definedName>
    <definedName name="binding" localSheetId="18">'[10]RATES INCLUDING TRANSPORATION'!$V$31</definedName>
    <definedName name="binding" localSheetId="19">'[10]RATES INCLUDING TRANSPORATION'!$V$31</definedName>
    <definedName name="binding" localSheetId="34">'[10]RATES INCLUDING TRANSPORATION'!$V$31</definedName>
    <definedName name="binding" localSheetId="69">'[10]RATES INCLUDING TRANSPORATION'!$V$31</definedName>
    <definedName name="binding" localSheetId="68">'[10]RATES INCLUDING TRANSPORATION'!$V$31</definedName>
    <definedName name="binding" localSheetId="38">'[10]RATES INCLUDING TRANSPORATION'!$V$31</definedName>
    <definedName name="binding" localSheetId="65">'[10]RATES INCLUDING TRANSPORATION'!$V$31</definedName>
    <definedName name="binding" localSheetId="66">'[10]RATES INCLUDING TRANSPORATION'!$V$31</definedName>
    <definedName name="binding" localSheetId="67">'[10]RATES INCLUDING TRANSPORATION'!$V$31</definedName>
    <definedName name="binding" localSheetId="42">'[10]RATES INCLUDING TRANSPORATION'!$V$31</definedName>
    <definedName name="BK" localSheetId="24" hidden="1">{"Mahesh Maskey - Personal View",#N/A,FALSE,"HeadLossApril (2)";#N/A,#N/A,FALSE,"Hydraulic Gadient"}</definedName>
    <definedName name="BK" localSheetId="35" hidden="1">{"Mahesh Maskey - Personal View",#N/A,FALSE,"HeadLossApril (2)";#N/A,#N/A,FALSE,"Hydraulic Gadient"}</definedName>
    <definedName name="BK" localSheetId="37" hidden="1">{"Mahesh Maskey - Personal View",#N/A,FALSE,"HeadLossApril (2)";#N/A,#N/A,FALSE,"Hydraulic Gadient"}</definedName>
    <definedName name="BK" localSheetId="57" hidden="1">{"Mahesh Maskey - Personal View",#N/A,FALSE,"HeadLossApril (2)";#N/A,#N/A,FALSE,"Hydraulic Gadient"}</definedName>
    <definedName name="BK" localSheetId="23" hidden="1">{"Mahesh Maskey - Personal View",#N/A,FALSE,"HeadLossApril (2)";#N/A,#N/A,FALSE,"Hydraulic Gadient"}</definedName>
    <definedName name="BK" localSheetId="27" hidden="1">{"Mahesh Maskey - Personal View",#N/A,FALSE,"HeadLossApril (2)";#N/A,#N/A,FALSE,"Hydraulic Gadient"}</definedName>
    <definedName name="BK" localSheetId="17" hidden="1">{"Mahesh Maskey - Personal View",#N/A,FALSE,"HeadLossApril (2)";#N/A,#N/A,FALSE,"Hydraulic Gadient"}</definedName>
    <definedName name="BK" localSheetId="47" hidden="1">{"Mahesh Maskey - Personal View",#N/A,FALSE,"HeadLossApril (2)";#N/A,#N/A,FALSE,"Hydraulic Gadient"}</definedName>
    <definedName name="BK" localSheetId="41" hidden="1">{"Mahesh Maskey - Personal View",#N/A,FALSE,"HeadLossApril (2)";#N/A,#N/A,FALSE,"Hydraulic Gadient"}</definedName>
    <definedName name="BK" localSheetId="39" hidden="1">{"Mahesh Maskey - Personal View",#N/A,FALSE,"HeadLossApril (2)";#N/A,#N/A,FALSE,"Hydraulic Gadient"}</definedName>
    <definedName name="BK" localSheetId="40" hidden="1">{"Mahesh Maskey - Personal View",#N/A,FALSE,"HeadLossApril (2)";#N/A,#N/A,FALSE,"Hydraulic Gadient"}</definedName>
    <definedName name="BK" localSheetId="32" hidden="1">{"Mahesh Maskey - Personal View",#N/A,FALSE,"HeadLossApril (2)";#N/A,#N/A,FALSE,"Hydraulic Gadient"}</definedName>
    <definedName name="BK" localSheetId="43" hidden="1">{"Mahesh Maskey - Personal View",#N/A,FALSE,"HeadLossApril (2)";#N/A,#N/A,FALSE,"Hydraulic Gadient"}</definedName>
    <definedName name="BK" localSheetId="44" hidden="1">{"Mahesh Maskey - Personal View",#N/A,FALSE,"HeadLossApril (2)";#N/A,#N/A,FALSE,"Hydraulic Gadient"}</definedName>
    <definedName name="BK" localSheetId="45" hidden="1">{"Mahesh Maskey - Personal View",#N/A,FALSE,"HeadLossApril (2)";#N/A,#N/A,FALSE,"Hydraulic Gadient"}</definedName>
    <definedName name="BK" localSheetId="46" hidden="1">{"Mahesh Maskey - Personal View",#N/A,FALSE,"HeadLossApril (2)";#N/A,#N/A,FALSE,"Hydraulic Gadient"}</definedName>
    <definedName name="BK" localSheetId="36" hidden="1">{"Mahesh Maskey - Personal View",#N/A,FALSE,"HeadLossApril (2)";#N/A,#N/A,FALSE,"Hydraulic Gadient"}</definedName>
    <definedName name="BK" localSheetId="20" hidden="1">{"Mahesh Maskey - Personal View",#N/A,FALSE,"HeadLossApril (2)";#N/A,#N/A,FALSE,"Hydraulic Gadient"}</definedName>
    <definedName name="BK" localSheetId="21" hidden="1">{"Mahesh Maskey - Personal View",#N/A,FALSE,"HeadLossApril (2)";#N/A,#N/A,FALSE,"Hydraulic Gadient"}</definedName>
    <definedName name="BK" localSheetId="33" hidden="1">{"Mahesh Maskey - Personal View",#N/A,FALSE,"HeadLossApril (2)";#N/A,#N/A,FALSE,"Hydraulic Gadient"}</definedName>
    <definedName name="BK" localSheetId="18" hidden="1">{"Mahesh Maskey - Personal View",#N/A,FALSE,"HeadLossApril (2)";#N/A,#N/A,FALSE,"Hydraulic Gadient"}</definedName>
    <definedName name="BK" localSheetId="29" hidden="1">{"Mahesh Maskey - Personal View",#N/A,FALSE,"HeadLossApril (2)";#N/A,#N/A,FALSE,"Hydraulic Gadient"}</definedName>
    <definedName name="BK" localSheetId="26" hidden="1">{"Mahesh Maskey - Personal View",#N/A,FALSE,"HeadLossApril (2)";#N/A,#N/A,FALSE,"Hydraulic Gadient"}</definedName>
    <definedName name="BK" localSheetId="13" hidden="1">{"Mahesh Maskey - Personal View",#N/A,FALSE,"HeadLossApril (2)";#N/A,#N/A,FALSE,"Hydraulic Gadient"}</definedName>
    <definedName name="BK" localSheetId="14" hidden="1">{"Mahesh Maskey - Personal View",#N/A,FALSE,"HeadLossApril (2)";#N/A,#N/A,FALSE,"Hydraulic Gadient"}</definedName>
    <definedName name="BK" localSheetId="19" hidden="1">{"Mahesh Maskey - Personal View",#N/A,FALSE,"HeadLossApril (2)";#N/A,#N/A,FALSE,"Hydraulic Gadient"}</definedName>
    <definedName name="BK" localSheetId="34" hidden="1">{"Mahesh Maskey - Personal View",#N/A,FALSE,"HeadLossApril (2)";#N/A,#N/A,FALSE,"Hydraulic Gadient"}</definedName>
    <definedName name="BK" localSheetId="69" hidden="1">{"Mahesh Maskey - Personal View",#N/A,FALSE,"HeadLossApril (2)";#N/A,#N/A,FALSE,"Hydraulic Gadient"}</definedName>
    <definedName name="BK" localSheetId="68" hidden="1">{"Mahesh Maskey - Personal View",#N/A,FALSE,"HeadLossApril (2)";#N/A,#N/A,FALSE,"Hydraulic Gadient"}</definedName>
    <definedName name="BK" localSheetId="55" hidden="1">{"Mahesh Maskey - Personal View",#N/A,FALSE,"HeadLossApril (2)";#N/A,#N/A,FALSE,"Hydraulic Gadient"}</definedName>
    <definedName name="BK" localSheetId="73" hidden="1">{"Mahesh Maskey - Personal View",#N/A,FALSE,"HeadLossApril (2)";#N/A,#N/A,FALSE,"Hydraulic Gadient"}</definedName>
    <definedName name="BK" localSheetId="38" hidden="1">{"Mahesh Maskey - Personal View",#N/A,FALSE,"HeadLossApril (2)";#N/A,#N/A,FALSE,"Hydraulic Gadient"}</definedName>
    <definedName name="BK" localSheetId="71" hidden="1">{"Mahesh Maskey - Personal View",#N/A,FALSE,"HeadLossApril (2)";#N/A,#N/A,FALSE,"Hydraulic Gadient"}</definedName>
    <definedName name="BK" localSheetId="22" hidden="1">{"Mahesh Maskey - Personal View",#N/A,FALSE,"HeadLossApril (2)";#N/A,#N/A,FALSE,"Hydraulic Gadient"}</definedName>
    <definedName name="BK" localSheetId="72" hidden="1">{"Mahesh Maskey - Personal View",#N/A,FALSE,"HeadLossApril (2)";#N/A,#N/A,FALSE,"Hydraulic Gadient"}</definedName>
    <definedName name="BK" localSheetId="28" hidden="1">{"Mahesh Maskey - Personal View",#N/A,FALSE,"HeadLossApril (2)";#N/A,#N/A,FALSE,"Hydraulic Gadient"}</definedName>
    <definedName name="BK" localSheetId="65" hidden="1">{"Mahesh Maskey - Personal View",#N/A,FALSE,"HeadLossApril (2)";#N/A,#N/A,FALSE,"Hydraulic Gadient"}</definedName>
    <definedName name="BK" localSheetId="66" hidden="1">{"Mahesh Maskey - Personal View",#N/A,FALSE,"HeadLossApril (2)";#N/A,#N/A,FALSE,"Hydraulic Gadient"}</definedName>
    <definedName name="BK" localSheetId="67" hidden="1">{"Mahesh Maskey - Personal View",#N/A,FALSE,"HeadLossApril (2)";#N/A,#N/A,FALSE,"Hydraulic Gadient"}</definedName>
    <definedName name="BK" localSheetId="42" hidden="1">{"Mahesh Maskey - Personal View",#N/A,FALSE,"HeadLossApril (2)";#N/A,#N/A,FALSE,"Hydraulic Gadient"}</definedName>
    <definedName name="BK" hidden="1">{"Mahesh Maskey - Personal View",#N/A,FALSE,"HeadLossApril (2)";#N/A,#N/A,FALSE,"Hydraulic Gadient"}</definedName>
    <definedName name="Blk" localSheetId="35">[14]Rates!$C$36</definedName>
    <definedName name="Blk" localSheetId="37">[14]Rates!$C$36</definedName>
    <definedName name="Blk" localSheetId="57">[14]Rates!$C$36</definedName>
    <definedName name="Blk" localSheetId="23">[14]Rates!$C$36</definedName>
    <definedName name="Blk" localSheetId="27">[14]Rates!$C$36</definedName>
    <definedName name="Blk" localSheetId="17">[14]Rates!$C$36</definedName>
    <definedName name="Blk" localSheetId="41">[14]Rates!$C$36</definedName>
    <definedName name="Blk" localSheetId="39">[14]Rates!$C$36</definedName>
    <definedName name="Blk" localSheetId="40">[14]Rates!$C$36</definedName>
    <definedName name="Blk" localSheetId="36">[14]Rates!$C$36</definedName>
    <definedName name="Blk" localSheetId="20">[14]Rates!$C$36</definedName>
    <definedName name="Blk" localSheetId="21">[14]Rates!$C$36</definedName>
    <definedName name="Blk" localSheetId="33">[14]Rates!$C$36</definedName>
    <definedName name="Blk" localSheetId="18">[14]Rates!$C$36</definedName>
    <definedName name="Blk" localSheetId="26">[14]Rates!$C$36</definedName>
    <definedName name="Blk" localSheetId="13">[14]Rates!$C$36</definedName>
    <definedName name="Blk" localSheetId="14">[14]Rates!$C$36</definedName>
    <definedName name="Blk" localSheetId="19">[14]Rates!$C$36</definedName>
    <definedName name="Blk" localSheetId="34">[14]Rates!$C$36</definedName>
    <definedName name="Blk" localSheetId="69">[14]Rates!$C$36</definedName>
    <definedName name="Blk" localSheetId="68">[14]Rates!$C$36</definedName>
    <definedName name="Blk" localSheetId="38">[14]Rates!$C$36</definedName>
    <definedName name="Blk" localSheetId="71">[14]Rates!$C$36</definedName>
    <definedName name="Blk" localSheetId="65">[14]Rates!$C$36</definedName>
    <definedName name="Blk" localSheetId="66">[14]Rates!$C$36</definedName>
    <definedName name="Blk" localSheetId="67">[14]Rates!$C$36</definedName>
    <definedName name="Blk" localSheetId="42">[14]Rates!$C$36</definedName>
    <definedName name="Blk">[15]Rates!$C$36</definedName>
    <definedName name="Block_Stone" localSheetId="35">'[10]RATES INCLUDING TRANSPORATION'!$V$21</definedName>
    <definedName name="Block_Stone" localSheetId="37">'[10]RATES INCLUDING TRANSPORATION'!$V$21</definedName>
    <definedName name="Block_Stone" localSheetId="17">'[10]RATES INCLUDING TRANSPORATION'!$V$21</definedName>
    <definedName name="Block_Stone" localSheetId="47">#REF!</definedName>
    <definedName name="Block_Stone" localSheetId="41">'[10]RATES INCLUDING TRANSPORATION'!$V$21</definedName>
    <definedName name="Block_Stone" localSheetId="39">'[10]RATES INCLUDING TRANSPORATION'!$V$21</definedName>
    <definedName name="Block_Stone" localSheetId="40">'[10]RATES INCLUDING TRANSPORATION'!$V$21</definedName>
    <definedName name="Block_Stone" localSheetId="36">'[10]RATES INCLUDING TRANSPORATION'!$V$21</definedName>
    <definedName name="Block_Stone" localSheetId="20">'[10]RATES INCLUDING TRANSPORATION'!$V$21</definedName>
    <definedName name="Block_Stone" localSheetId="21">'[10]RATES INCLUDING TRANSPORATION'!$V$21</definedName>
    <definedName name="Block_Stone" localSheetId="33">'[10]RATES INCLUDING TRANSPORATION'!$V$21</definedName>
    <definedName name="Block_Stone" localSheetId="18">'[10]RATES INCLUDING TRANSPORATION'!$V$21</definedName>
    <definedName name="Block_Stone" localSheetId="19">'[10]RATES INCLUDING TRANSPORATION'!$V$21</definedName>
    <definedName name="Block_Stone" localSheetId="34">'[10]RATES INCLUDING TRANSPORATION'!$V$21</definedName>
    <definedName name="Block_Stone" localSheetId="69">'[10]RATES INCLUDING TRANSPORATION'!$V$21</definedName>
    <definedName name="Block_Stone" localSheetId="68">'[10]RATES INCLUDING TRANSPORATION'!$V$21</definedName>
    <definedName name="Block_Stone" localSheetId="38">'[10]RATES INCLUDING TRANSPORATION'!$V$21</definedName>
    <definedName name="Block_Stone" localSheetId="65">'[10]RATES INCLUDING TRANSPORATION'!$V$21</definedName>
    <definedName name="Block_Stone" localSheetId="66">'[10]RATES INCLUDING TRANSPORATION'!$V$21</definedName>
    <definedName name="Block_Stone" localSheetId="67">'[10]RATES INCLUDING TRANSPORATION'!$V$21</definedName>
    <definedName name="Block_Stone" localSheetId="42">'[10]RATES INCLUDING TRANSPORATION'!$V$21</definedName>
    <definedName name="Bond_Stone" localSheetId="35">'[10]RATES INCLUDING TRANSPORATION'!$V$22</definedName>
    <definedName name="Bond_Stone" localSheetId="37">'[10]RATES INCLUDING TRANSPORATION'!$V$22</definedName>
    <definedName name="Bond_Stone" localSheetId="17">'[10]RATES INCLUDING TRANSPORATION'!$V$22</definedName>
    <definedName name="Bond_Stone" localSheetId="47">#REF!</definedName>
    <definedName name="Bond_Stone" localSheetId="41">'[10]RATES INCLUDING TRANSPORATION'!$V$22</definedName>
    <definedName name="Bond_Stone" localSheetId="39">'[10]RATES INCLUDING TRANSPORATION'!$V$22</definedName>
    <definedName name="Bond_Stone" localSheetId="40">'[10]RATES INCLUDING TRANSPORATION'!$V$22</definedName>
    <definedName name="Bond_Stone" localSheetId="36">'[10]RATES INCLUDING TRANSPORATION'!$V$22</definedName>
    <definedName name="Bond_Stone" localSheetId="20">'[10]RATES INCLUDING TRANSPORATION'!$V$22</definedName>
    <definedName name="Bond_Stone" localSheetId="21">'[10]RATES INCLUDING TRANSPORATION'!$V$22</definedName>
    <definedName name="Bond_Stone" localSheetId="33">'[10]RATES INCLUDING TRANSPORATION'!$V$22</definedName>
    <definedName name="Bond_Stone" localSheetId="18">'[10]RATES INCLUDING TRANSPORATION'!$V$22</definedName>
    <definedName name="Bond_Stone" localSheetId="19">'[10]RATES INCLUDING TRANSPORATION'!$V$22</definedName>
    <definedName name="Bond_Stone" localSheetId="34">'[10]RATES INCLUDING TRANSPORATION'!$V$22</definedName>
    <definedName name="Bond_Stone" localSheetId="69">'[10]RATES INCLUDING TRANSPORATION'!$V$22</definedName>
    <definedName name="Bond_Stone" localSheetId="68">'[10]RATES INCLUDING TRANSPORATION'!$V$22</definedName>
    <definedName name="Bond_Stone" localSheetId="38">'[10]RATES INCLUDING TRANSPORATION'!$V$22</definedName>
    <definedName name="Bond_Stone" localSheetId="65">'[10]RATES INCLUDING TRANSPORATION'!$V$22</definedName>
    <definedName name="Bond_Stone" localSheetId="66">'[10]RATES INCLUDING TRANSPORATION'!$V$22</definedName>
    <definedName name="Bond_Stone" localSheetId="67">'[10]RATES INCLUDING TRANSPORATION'!$V$22</definedName>
    <definedName name="Bond_Stone" localSheetId="42">'[10]RATES INCLUDING TRANSPORATION'!$V$22</definedName>
    <definedName name="br" localSheetId="35">'[8]Basic Rates'!$D$34</definedName>
    <definedName name="br" localSheetId="37">'[8]Basic Rates'!$D$34</definedName>
    <definedName name="br" localSheetId="57">'[8]Basic Rates'!$D$34</definedName>
    <definedName name="br" localSheetId="23">'[8]Basic Rates'!$D$34</definedName>
    <definedName name="br" localSheetId="27">'[8]Basic Rates'!$D$34</definedName>
    <definedName name="br" localSheetId="17">'[8]Basic Rates'!$D$34</definedName>
    <definedName name="br" localSheetId="41">'[8]Basic Rates'!$D$34</definedName>
    <definedName name="br" localSheetId="39">'[8]Basic Rates'!$D$34</definedName>
    <definedName name="br" localSheetId="40">'[8]Basic Rates'!$D$34</definedName>
    <definedName name="br" localSheetId="36">'[8]Basic Rates'!$D$34</definedName>
    <definedName name="br" localSheetId="20">'[8]Basic Rates'!$D$34</definedName>
    <definedName name="br" localSheetId="21">'[8]Basic Rates'!$D$34</definedName>
    <definedName name="br" localSheetId="33">'[8]Basic Rates'!$D$34</definedName>
    <definedName name="br" localSheetId="18">'[8]Basic Rates'!$D$34</definedName>
    <definedName name="br" localSheetId="26">'[8]Basic Rates'!$D$34</definedName>
    <definedName name="br" localSheetId="13">'[8]Basic Rates'!$D$34</definedName>
    <definedName name="br" localSheetId="14">'[8]Basic Rates'!$D$34</definedName>
    <definedName name="br" localSheetId="19">'[8]Basic Rates'!$D$34</definedName>
    <definedName name="br" localSheetId="34">'[8]Basic Rates'!$D$34</definedName>
    <definedName name="br" localSheetId="69">'[8]Basic Rates'!$D$34</definedName>
    <definedName name="br" localSheetId="68">'[8]Basic Rates'!$D$34</definedName>
    <definedName name="br" localSheetId="51">#REF!</definedName>
    <definedName name="br" localSheetId="38">'[8]Basic Rates'!$D$34</definedName>
    <definedName name="br" localSheetId="71">'[8]Basic Rates'!$D$34</definedName>
    <definedName name="br" localSheetId="65">'[8]Basic Rates'!$D$34</definedName>
    <definedName name="br" localSheetId="66">'[8]Basic Rates'!$D$34</definedName>
    <definedName name="br" localSheetId="67">'[8]Basic Rates'!$D$34</definedName>
    <definedName name="br" localSheetId="42">'[8]Basic Rates'!$D$34</definedName>
    <definedName name="br">'[9]Basic Rates'!$D$34</definedName>
    <definedName name="bricks" localSheetId="35">'[10]RATES INCLUDING TRANSPORATION'!$V$42</definedName>
    <definedName name="bricks" localSheetId="37">'[10]RATES INCLUDING TRANSPORATION'!$V$42</definedName>
    <definedName name="bricks" localSheetId="17">'[10]RATES INCLUDING TRANSPORATION'!$V$42</definedName>
    <definedName name="bricks" localSheetId="47">#REF!</definedName>
    <definedName name="bricks" localSheetId="41">'[10]RATES INCLUDING TRANSPORATION'!$V$42</definedName>
    <definedName name="bricks" localSheetId="39">'[10]RATES INCLUDING TRANSPORATION'!$V$42</definedName>
    <definedName name="bricks" localSheetId="40">'[10]RATES INCLUDING TRANSPORATION'!$V$42</definedName>
    <definedName name="bricks" localSheetId="36">'[10]RATES INCLUDING TRANSPORATION'!$V$42</definedName>
    <definedName name="bricks" localSheetId="20">'[10]RATES INCLUDING TRANSPORATION'!$V$42</definedName>
    <definedName name="bricks" localSheetId="21">'[10]RATES INCLUDING TRANSPORATION'!$V$42</definedName>
    <definedName name="bricks" localSheetId="33">'[10]RATES INCLUDING TRANSPORATION'!$V$42</definedName>
    <definedName name="bricks" localSheetId="18">'[10]RATES INCLUDING TRANSPORATION'!$V$42</definedName>
    <definedName name="bricks" localSheetId="19">'[10]RATES INCLUDING TRANSPORATION'!$V$42</definedName>
    <definedName name="bricks" localSheetId="34">'[10]RATES INCLUDING TRANSPORATION'!$V$42</definedName>
    <definedName name="bricks" localSheetId="69">'[10]RATES INCLUDING TRANSPORATION'!$V$42</definedName>
    <definedName name="bricks" localSheetId="68">'[10]RATES INCLUDING TRANSPORATION'!$V$42</definedName>
    <definedName name="bricks" localSheetId="38">'[10]RATES INCLUDING TRANSPORATION'!$V$42</definedName>
    <definedName name="bricks" localSheetId="65">'[10]RATES INCLUDING TRANSPORATION'!$V$42</definedName>
    <definedName name="bricks" localSheetId="66">'[10]RATES INCLUDING TRANSPORATION'!$V$42</definedName>
    <definedName name="bricks" localSheetId="67">'[10]RATES INCLUDING TRANSPORATION'!$V$42</definedName>
    <definedName name="bricks" localSheetId="42">'[10]RATES INCLUDING TRANSPORATION'!$V$42</definedName>
    <definedName name="cal">"Ronit Kayastha"</definedName>
    <definedName name="cement" localSheetId="35">'[8]RATES INCLUDING TRANSPORATION'!$V$27</definedName>
    <definedName name="cement" localSheetId="37">'[8]RATES INCLUDING TRANSPORATION'!$V$27</definedName>
    <definedName name="cement" localSheetId="57">'[8]RATES INCLUDING TRANSPORATION'!$V$27</definedName>
    <definedName name="cement" localSheetId="23">'[8]RATES INCLUDING TRANSPORATION'!$V$27</definedName>
    <definedName name="cement" localSheetId="27">'[8]RATES INCLUDING TRANSPORATION'!$V$27</definedName>
    <definedName name="cement" localSheetId="17">'[8]RATES INCLUDING TRANSPORATION'!$V$27</definedName>
    <definedName name="cement" localSheetId="41">'[8]RATES INCLUDING TRANSPORATION'!$V$27</definedName>
    <definedName name="cement" localSheetId="39">'[8]RATES INCLUDING TRANSPORATION'!$V$27</definedName>
    <definedName name="cement" localSheetId="40">'[8]RATES INCLUDING TRANSPORATION'!$V$27</definedName>
    <definedName name="cement" localSheetId="36">'[8]RATES INCLUDING TRANSPORATION'!$V$27</definedName>
    <definedName name="cement" localSheetId="20">'[8]RATES INCLUDING TRANSPORATION'!$V$27</definedName>
    <definedName name="cement" localSheetId="21">'[8]RATES INCLUDING TRANSPORATION'!$V$27</definedName>
    <definedName name="cement" localSheetId="33">'[8]RATES INCLUDING TRANSPORATION'!$V$27</definedName>
    <definedName name="cement" localSheetId="18">'[8]RATES INCLUDING TRANSPORATION'!$V$27</definedName>
    <definedName name="cement" localSheetId="26">'[8]RATES INCLUDING TRANSPORATION'!$V$27</definedName>
    <definedName name="cement" localSheetId="13">'[8]RATES INCLUDING TRANSPORATION'!$V$27</definedName>
    <definedName name="cement" localSheetId="14">'[8]RATES INCLUDING TRANSPORATION'!$V$27</definedName>
    <definedName name="cement" localSheetId="19">'[8]RATES INCLUDING TRANSPORATION'!$V$27</definedName>
    <definedName name="cement" localSheetId="34">'[8]RATES INCLUDING TRANSPORATION'!$V$27</definedName>
    <definedName name="cement" localSheetId="69">'[8]RATES INCLUDING TRANSPORATION'!$V$27</definedName>
    <definedName name="cement" localSheetId="68">'[8]RATES INCLUDING TRANSPORATION'!$V$27</definedName>
    <definedName name="cement" localSheetId="51">#REF!</definedName>
    <definedName name="cement" localSheetId="38">'[8]RATES INCLUDING TRANSPORATION'!$V$27</definedName>
    <definedName name="cement" localSheetId="71">'[8]RATES INCLUDING TRANSPORATION'!$V$27</definedName>
    <definedName name="cement" localSheetId="65">'[8]RATES INCLUDING TRANSPORATION'!$V$27</definedName>
    <definedName name="cement" localSheetId="66">'[8]RATES INCLUDING TRANSPORATION'!$V$27</definedName>
    <definedName name="cement" localSheetId="67">'[8]RATES INCLUDING TRANSPORATION'!$V$27</definedName>
    <definedName name="cement" localSheetId="42">'[8]RATES INCLUDING TRANSPORATION'!$V$27</definedName>
    <definedName name="cement">'[9]RATES INCLUDING TRANSPORATION'!$V$27</definedName>
    <definedName name="CGI" localSheetId="35">'[10]RATES INCLUDING TRANSPORATION'!$V$71</definedName>
    <definedName name="CGI" localSheetId="37">'[10]RATES INCLUDING TRANSPORATION'!$V$71</definedName>
    <definedName name="CGI" localSheetId="17">'[10]RATES INCLUDING TRANSPORATION'!$V$71</definedName>
    <definedName name="CGI" localSheetId="47">#REF!</definedName>
    <definedName name="CGI" localSheetId="41">'[10]RATES INCLUDING TRANSPORATION'!$V$71</definedName>
    <definedName name="CGI" localSheetId="39">'[10]RATES INCLUDING TRANSPORATION'!$V$71</definedName>
    <definedName name="CGI" localSheetId="40">'[10]RATES INCLUDING TRANSPORATION'!$V$71</definedName>
    <definedName name="CGI" localSheetId="36">'[10]RATES INCLUDING TRANSPORATION'!$V$71</definedName>
    <definedName name="CGI" localSheetId="20">'[10]RATES INCLUDING TRANSPORATION'!$V$71</definedName>
    <definedName name="CGI" localSheetId="21">'[10]RATES INCLUDING TRANSPORATION'!$V$71</definedName>
    <definedName name="CGI" localSheetId="33">'[10]RATES INCLUDING TRANSPORATION'!$V$71</definedName>
    <definedName name="CGI" localSheetId="18">'[10]RATES INCLUDING TRANSPORATION'!$V$71</definedName>
    <definedName name="CGI" localSheetId="19">'[10]RATES INCLUDING TRANSPORATION'!$V$71</definedName>
    <definedName name="CGI" localSheetId="34">'[10]RATES INCLUDING TRANSPORATION'!$V$71</definedName>
    <definedName name="CGI" localSheetId="69">'[10]RATES INCLUDING TRANSPORATION'!$V$71</definedName>
    <definedName name="CGI" localSheetId="68">'[10]RATES INCLUDING TRANSPORATION'!$V$71</definedName>
    <definedName name="CGI" localSheetId="38">'[10]RATES INCLUDING TRANSPORATION'!$V$71</definedName>
    <definedName name="CGI" localSheetId="65">'[10]RATES INCLUDING TRANSPORATION'!$V$71</definedName>
    <definedName name="CGI" localSheetId="66">'[10]RATES INCLUDING TRANSPORATION'!$V$71</definedName>
    <definedName name="CGI" localSheetId="67">'[10]RATES INCLUDING TRANSPORATION'!$V$71</definedName>
    <definedName name="CGI" localSheetId="42">'[10]RATES INCLUDING TRANSPORATION'!$V$71</definedName>
    <definedName name="chart" localSheetId="7">#REF!</definedName>
    <definedName name="chart" localSheetId="41">#REF!</definedName>
    <definedName name="chart">#REF!</definedName>
    <definedName name="chk">"Anamaya Upadhaya"</definedName>
    <definedName name="Clamps" localSheetId="35">'[10]RATES INCLUDING TRANSPORATION'!$V$56</definedName>
    <definedName name="Clamps" localSheetId="37">'[10]RATES INCLUDING TRANSPORATION'!$V$56</definedName>
    <definedName name="Clamps" localSheetId="17">'[10]RATES INCLUDING TRANSPORATION'!$V$56</definedName>
    <definedName name="Clamps" localSheetId="47">#REF!</definedName>
    <definedName name="Clamps" localSheetId="41">'[10]RATES INCLUDING TRANSPORATION'!$V$56</definedName>
    <definedName name="Clamps" localSheetId="39">'[10]RATES INCLUDING TRANSPORATION'!$V$56</definedName>
    <definedName name="Clamps" localSheetId="40">'[10]RATES INCLUDING TRANSPORATION'!$V$56</definedName>
    <definedName name="Clamps" localSheetId="36">'[10]RATES INCLUDING TRANSPORATION'!$V$56</definedName>
    <definedName name="Clamps" localSheetId="20">'[10]RATES INCLUDING TRANSPORATION'!$V$56</definedName>
    <definedName name="Clamps" localSheetId="21">'[10]RATES INCLUDING TRANSPORATION'!$V$56</definedName>
    <definedName name="Clamps" localSheetId="33">'[10]RATES INCLUDING TRANSPORATION'!$V$56</definedName>
    <definedName name="Clamps" localSheetId="18">'[10]RATES INCLUDING TRANSPORATION'!$V$56</definedName>
    <definedName name="Clamps" localSheetId="19">'[10]RATES INCLUDING TRANSPORATION'!$V$56</definedName>
    <definedName name="Clamps" localSheetId="34">'[10]RATES INCLUDING TRANSPORATION'!$V$56</definedName>
    <definedName name="Clamps" localSheetId="69">'[10]RATES INCLUDING TRANSPORATION'!$V$56</definedName>
    <definedName name="Clamps" localSheetId="68">'[10]RATES INCLUDING TRANSPORATION'!$V$56</definedName>
    <definedName name="Clamps" localSheetId="38">'[10]RATES INCLUDING TRANSPORATION'!$V$56</definedName>
    <definedName name="Clamps" localSheetId="65">'[10]RATES INCLUDING TRANSPORATION'!$V$56</definedName>
    <definedName name="Clamps" localSheetId="66">'[10]RATES INCLUDING TRANSPORATION'!$V$56</definedName>
    <definedName name="Clamps" localSheetId="67">'[10]RATES INCLUDING TRANSPORATION'!$V$56</definedName>
    <definedName name="Clamps" localSheetId="42">'[10]RATES INCLUDING TRANSPORATION'!$V$56</definedName>
    <definedName name="compressor" localSheetId="35">'[8]Basic Rates'!$D$151</definedName>
    <definedName name="compressor" localSheetId="37">'[8]Basic Rates'!$D$151</definedName>
    <definedName name="compressor" localSheetId="57">'[8]Basic Rates'!$D$151</definedName>
    <definedName name="compressor" localSheetId="23">'[8]Basic Rates'!$D$151</definedName>
    <definedName name="compressor" localSheetId="27">'[8]Basic Rates'!$D$151</definedName>
    <definedName name="compressor" localSheetId="17">'[8]Basic Rates'!$D$151</definedName>
    <definedName name="compressor" localSheetId="41">'[8]Basic Rates'!$D$151</definedName>
    <definedName name="compressor" localSheetId="39">'[8]Basic Rates'!$D$151</definedName>
    <definedName name="compressor" localSheetId="40">'[8]Basic Rates'!$D$151</definedName>
    <definedName name="compressor" localSheetId="36">'[8]Basic Rates'!$D$151</definedName>
    <definedName name="compressor" localSheetId="20">'[8]Basic Rates'!$D$151</definedName>
    <definedName name="compressor" localSheetId="21">'[8]Basic Rates'!$D$151</definedName>
    <definedName name="compressor" localSheetId="33">'[8]Basic Rates'!$D$151</definedName>
    <definedName name="compressor" localSheetId="18">'[8]Basic Rates'!$D$151</definedName>
    <definedName name="compressor" localSheetId="26">'[8]Basic Rates'!$D$151</definedName>
    <definedName name="compressor" localSheetId="13">'[8]Basic Rates'!$D$151</definedName>
    <definedName name="compressor" localSheetId="14">'[8]Basic Rates'!$D$151</definedName>
    <definedName name="compressor" localSheetId="19">'[8]Basic Rates'!$D$151</definedName>
    <definedName name="compressor" localSheetId="34">'[8]Basic Rates'!$D$151</definedName>
    <definedName name="compressor" localSheetId="69">'[8]Basic Rates'!$D$151</definedName>
    <definedName name="compressor" localSheetId="68">'[8]Basic Rates'!$D$151</definedName>
    <definedName name="compressor" localSheetId="51">#REF!</definedName>
    <definedName name="compressor" localSheetId="38">'[8]Basic Rates'!$D$151</definedName>
    <definedName name="compressor" localSheetId="71">'[8]Basic Rates'!$D$151</definedName>
    <definedName name="compressor" localSheetId="65">'[8]Basic Rates'!$D$151</definedName>
    <definedName name="compressor" localSheetId="66">'[8]Basic Rates'!$D$151</definedName>
    <definedName name="compressor" localSheetId="67">'[8]Basic Rates'!$D$151</definedName>
    <definedName name="compressor" localSheetId="42">'[8]Basic Rates'!$D$151</definedName>
    <definedName name="compressor">'[9]Basic Rates'!$D$151</definedName>
    <definedName name="concrete_pump" localSheetId="35">'[10]Basic Rates'!$D$172</definedName>
    <definedName name="concrete_pump" localSheetId="37">'[10]Basic Rates'!$D$172</definedName>
    <definedName name="concrete_pump" localSheetId="17">'[10]Basic Rates'!$D$172</definedName>
    <definedName name="concrete_pump" localSheetId="47">#REF!</definedName>
    <definedName name="concrete_pump" localSheetId="41">'[10]Basic Rates'!$D$172</definedName>
    <definedName name="concrete_pump" localSheetId="39">'[10]Basic Rates'!$D$172</definedName>
    <definedName name="concrete_pump" localSheetId="40">'[10]Basic Rates'!$D$172</definedName>
    <definedName name="concrete_pump" localSheetId="36">'[10]Basic Rates'!$D$172</definedName>
    <definedName name="concrete_pump" localSheetId="20">'[10]Basic Rates'!$D$172</definedName>
    <definedName name="concrete_pump" localSheetId="21">'[10]Basic Rates'!$D$172</definedName>
    <definedName name="concrete_pump" localSheetId="33">'[10]Basic Rates'!$D$172</definedName>
    <definedName name="concrete_pump" localSheetId="18">'[10]Basic Rates'!$D$172</definedName>
    <definedName name="concrete_pump" localSheetId="19">'[10]Basic Rates'!$D$172</definedName>
    <definedName name="concrete_pump" localSheetId="34">'[10]Basic Rates'!$D$172</definedName>
    <definedName name="concrete_pump" localSheetId="69">'[10]Basic Rates'!$D$172</definedName>
    <definedName name="concrete_pump" localSheetId="68">'[10]Basic Rates'!$D$172</definedName>
    <definedName name="concrete_pump" localSheetId="38">'[10]Basic Rates'!$D$172</definedName>
    <definedName name="concrete_pump" localSheetId="65">'[10]Basic Rates'!$D$172</definedName>
    <definedName name="concrete_pump" localSheetId="66">'[10]Basic Rates'!$D$172</definedName>
    <definedName name="concrete_pump" localSheetId="67">'[10]Basic Rates'!$D$172</definedName>
    <definedName name="concrete_pump" localSheetId="42">'[10]Basic Rates'!$D$172</definedName>
    <definedName name="core_box" localSheetId="47">#REF!</definedName>
    <definedName name="crane" localSheetId="35">'[10]Basic Rates'!$D$152</definedName>
    <definedName name="crane" localSheetId="37">'[10]Basic Rates'!$D$152</definedName>
    <definedName name="crane" localSheetId="17">'[10]Basic Rates'!$D$152</definedName>
    <definedName name="crane" localSheetId="47">#REF!</definedName>
    <definedName name="crane" localSheetId="41">'[10]Basic Rates'!$D$152</definedName>
    <definedName name="crane" localSheetId="39">'[10]Basic Rates'!$D$152</definedName>
    <definedName name="crane" localSheetId="40">'[10]Basic Rates'!$D$152</definedName>
    <definedName name="crane" localSheetId="36">'[10]Basic Rates'!$D$152</definedName>
    <definedName name="crane" localSheetId="20">'[10]Basic Rates'!$D$152</definedName>
    <definedName name="crane" localSheetId="21">'[10]Basic Rates'!$D$152</definedName>
    <definedName name="crane" localSheetId="33">'[10]Basic Rates'!$D$152</definedName>
    <definedName name="crane" localSheetId="18">'[10]Basic Rates'!$D$152</definedName>
    <definedName name="crane" localSheetId="19">'[10]Basic Rates'!$D$152</definedName>
    <definedName name="crane" localSheetId="34">'[10]Basic Rates'!$D$152</definedName>
    <definedName name="crane" localSheetId="69">'[10]Basic Rates'!$D$152</definedName>
    <definedName name="crane" localSheetId="68">'[10]Basic Rates'!$D$152</definedName>
    <definedName name="crane" localSheetId="38">'[10]Basic Rates'!$D$152</definedName>
    <definedName name="crane" localSheetId="65">'[10]Basic Rates'!$D$152</definedName>
    <definedName name="crane" localSheetId="66">'[10]Basic Rates'!$D$152</definedName>
    <definedName name="crane" localSheetId="67">'[10]Basic Rates'!$D$152</definedName>
    <definedName name="crane" localSheetId="42">'[10]Basic Rates'!$D$152</definedName>
    <definedName name="currency" localSheetId="9">'[16]basic-rates at project site'!$F$23</definedName>
    <definedName name="Currency">"NRs"</definedName>
    <definedName name="cww">'[17]7m weir'!$B$3</definedName>
    <definedName name="d_pen" localSheetId="78">#REF!</definedName>
    <definedName name="d_pen" localSheetId="1">#REF!</definedName>
    <definedName name="d_pen" localSheetId="57">#REF!</definedName>
    <definedName name="d_pen" localSheetId="23">#REF!</definedName>
    <definedName name="d_pen" localSheetId="47">#REF!</definedName>
    <definedName name="d_pen" localSheetId="58">#REF!</definedName>
    <definedName name="d_pen" localSheetId="0">#REF!</definedName>
    <definedName name="d_pen" localSheetId="52">#REF!</definedName>
    <definedName name="d_pen" localSheetId="61">#REF!</definedName>
    <definedName name="damite" localSheetId="35">'[10]RATES INCLUDING TRANSPORATION'!$V$85</definedName>
    <definedName name="damite" localSheetId="37">'[10]RATES INCLUDING TRANSPORATION'!$V$85</definedName>
    <definedName name="damite" localSheetId="17">'[10]RATES INCLUDING TRANSPORATION'!$V$85</definedName>
    <definedName name="damite" localSheetId="47">#REF!</definedName>
    <definedName name="damite" localSheetId="41">'[10]RATES INCLUDING TRANSPORATION'!$V$85</definedName>
    <definedName name="damite" localSheetId="39">'[10]RATES INCLUDING TRANSPORATION'!$V$85</definedName>
    <definedName name="damite" localSheetId="40">'[10]RATES INCLUDING TRANSPORATION'!$V$85</definedName>
    <definedName name="damite" localSheetId="36">'[10]RATES INCLUDING TRANSPORATION'!$V$85</definedName>
    <definedName name="damite" localSheetId="20">'[10]RATES INCLUDING TRANSPORATION'!$V$85</definedName>
    <definedName name="damite" localSheetId="21">'[10]RATES INCLUDING TRANSPORATION'!$V$85</definedName>
    <definedName name="damite" localSheetId="33">'[10]RATES INCLUDING TRANSPORATION'!$V$85</definedName>
    <definedName name="damite" localSheetId="18">'[10]RATES INCLUDING TRANSPORATION'!$V$85</definedName>
    <definedName name="damite" localSheetId="19">'[10]RATES INCLUDING TRANSPORATION'!$V$85</definedName>
    <definedName name="damite" localSheetId="34">'[10]RATES INCLUDING TRANSPORATION'!$V$85</definedName>
    <definedName name="damite" localSheetId="69">'[10]RATES INCLUDING TRANSPORATION'!$V$85</definedName>
    <definedName name="damite" localSheetId="68">'[10]RATES INCLUDING TRANSPORATION'!$V$85</definedName>
    <definedName name="damite" localSheetId="38">'[10]RATES INCLUDING TRANSPORATION'!$V$85</definedName>
    <definedName name="damite" localSheetId="65">'[10]RATES INCLUDING TRANSPORATION'!$V$85</definedName>
    <definedName name="damite" localSheetId="66">'[10]RATES INCLUDING TRANSPORATION'!$V$85</definedName>
    <definedName name="damite" localSheetId="67">'[10]RATES INCLUDING TRANSPORATION'!$V$85</definedName>
    <definedName name="damite" localSheetId="42">'[10]RATES INCLUDING TRANSPORATION'!$V$85</definedName>
    <definedName name="Day_After_MonsoonPeriod" localSheetId="35">'[6]Energy_INPUT&amp;OUTPUT'!$C$51</definedName>
    <definedName name="Day_After_MonsoonPeriod" localSheetId="37">'[6]Energy_INPUT&amp;OUTPUT'!$C$51</definedName>
    <definedName name="Day_After_MonsoonPeriod" localSheetId="57">'[6]Energy_INPUT&amp;OUTPUT'!$C$51</definedName>
    <definedName name="Day_After_MonsoonPeriod" localSheetId="23">'[6]Energy_INPUT&amp;OUTPUT'!$C$51</definedName>
    <definedName name="Day_After_MonsoonPeriod" localSheetId="27">'[6]Energy_INPUT&amp;OUTPUT'!$C$51</definedName>
    <definedName name="Day_After_MonsoonPeriod" localSheetId="17">'[6]Energy_INPUT&amp;OUTPUT'!$C$51</definedName>
    <definedName name="Day_After_MonsoonPeriod" localSheetId="41">'[6]Energy_INPUT&amp;OUTPUT'!$C$51</definedName>
    <definedName name="Day_After_MonsoonPeriod" localSheetId="39">'[6]Energy_INPUT&amp;OUTPUT'!$C$51</definedName>
    <definedName name="Day_After_MonsoonPeriod" localSheetId="40">'[6]Energy_INPUT&amp;OUTPUT'!$C$51</definedName>
    <definedName name="Day_After_MonsoonPeriod" localSheetId="36">'[6]Energy_INPUT&amp;OUTPUT'!$C$51</definedName>
    <definedName name="Day_After_MonsoonPeriod" localSheetId="20">'[6]Energy_INPUT&amp;OUTPUT'!$C$51</definedName>
    <definedName name="Day_After_MonsoonPeriod" localSheetId="21">'[6]Energy_INPUT&amp;OUTPUT'!$C$51</definedName>
    <definedName name="Day_After_MonsoonPeriod" localSheetId="33">'[6]Energy_INPUT&amp;OUTPUT'!$C$51</definedName>
    <definedName name="Day_After_MonsoonPeriod" localSheetId="18">'[6]Energy_INPUT&amp;OUTPUT'!$C$51</definedName>
    <definedName name="Day_After_MonsoonPeriod" localSheetId="26">'[6]Energy_INPUT&amp;OUTPUT'!$C$51</definedName>
    <definedName name="Day_After_MonsoonPeriod" localSheetId="13">'[6]Energy_INPUT&amp;OUTPUT'!$C$51</definedName>
    <definedName name="Day_After_MonsoonPeriod" localSheetId="14">'[6]Energy_INPUT&amp;OUTPUT'!$C$51</definedName>
    <definedName name="Day_After_MonsoonPeriod" localSheetId="19">'[6]Energy_INPUT&amp;OUTPUT'!$C$51</definedName>
    <definedName name="Day_After_MonsoonPeriod" localSheetId="34">'[6]Energy_INPUT&amp;OUTPUT'!$C$51</definedName>
    <definedName name="Day_After_MonsoonPeriod" localSheetId="69">'[6]Energy_INPUT&amp;OUTPUT'!$C$51</definedName>
    <definedName name="Day_After_MonsoonPeriod" localSheetId="68">'[6]Energy_INPUT&amp;OUTPUT'!$C$51</definedName>
    <definedName name="Day_After_MonsoonPeriod" localSheetId="38">'[6]Energy_INPUT&amp;OUTPUT'!$C$51</definedName>
    <definedName name="Day_After_MonsoonPeriod" localSheetId="71">'[6]Energy_INPUT&amp;OUTPUT'!$C$51</definedName>
    <definedName name="Day_After_MonsoonPeriod" localSheetId="65">'[6]Energy_INPUT&amp;OUTPUT'!$C$51</definedName>
    <definedName name="Day_After_MonsoonPeriod" localSheetId="66">'[6]Energy_INPUT&amp;OUTPUT'!$C$51</definedName>
    <definedName name="Day_After_MonsoonPeriod" localSheetId="67">'[6]Energy_INPUT&amp;OUTPUT'!$C$51</definedName>
    <definedName name="Day_After_MonsoonPeriod" localSheetId="42">'[6]Energy_INPUT&amp;OUTPUT'!$C$51</definedName>
    <definedName name="Day_After_MonsoonPeriod">'[7]Energy_INPUT&amp;OUTPUT'!$C$51</definedName>
    <definedName name="ddd" localSheetId="4" hidden="1">[1]Solu!#REF!</definedName>
    <definedName name="ddd" localSheetId="78" hidden="1">[1]Solu!#REF!</definedName>
    <definedName name="ddd" localSheetId="7" hidden="1">[1]Solu!#REF!</definedName>
    <definedName name="ddd" localSheetId="8" hidden="1">[1]Solu!#REF!</definedName>
    <definedName name="ddd" localSheetId="24" hidden="1">[1]Solu!#REF!</definedName>
    <definedName name="ddd" localSheetId="5" hidden="1">[1]Solu!#REF!</definedName>
    <definedName name="ddd" localSheetId="27" hidden="1">[1]Solu!#REF!</definedName>
    <definedName name="ddd" localSheetId="17" hidden="1">[1]Solu!#REF!</definedName>
    <definedName name="ddd" localSheetId="47" hidden="1">[1]Solu!#REF!</definedName>
    <definedName name="ddd" localSheetId="41" hidden="1">[1]Solu!#REF!</definedName>
    <definedName name="ddd" localSheetId="40" hidden="1">[1]Solu!#REF!</definedName>
    <definedName name="ddd" localSheetId="32" hidden="1">[1]Solu!#REF!</definedName>
    <definedName name="ddd" localSheetId="43" hidden="1">[1]Solu!#REF!</definedName>
    <definedName name="ddd" localSheetId="44" hidden="1">[1]Solu!#REF!</definedName>
    <definedName name="ddd" localSheetId="45" hidden="1">[1]Solu!#REF!</definedName>
    <definedName name="ddd" localSheetId="46" hidden="1">[1]Solu!#REF!</definedName>
    <definedName name="ddd" localSheetId="20" hidden="1">[1]Solu!#REF!</definedName>
    <definedName name="ddd" localSheetId="21" hidden="1">[1]Solu!#REF!</definedName>
    <definedName name="ddd" localSheetId="18" hidden="1">[1]Solu!#REF!</definedName>
    <definedName name="ddd" localSheetId="29" hidden="1">[1]Solu!#REF!</definedName>
    <definedName name="ddd" localSheetId="25" hidden="1">[1]Solu!#REF!</definedName>
    <definedName name="ddd" localSheetId="12" hidden="1">[1]Solu!#REF!</definedName>
    <definedName name="ddd" localSheetId="19" hidden="1">[1]Solu!#REF!</definedName>
    <definedName name="ddd" localSheetId="34" hidden="1">[1]Solu!#REF!</definedName>
    <definedName name="ddd" localSheetId="58" hidden="1">[1]Solu!#REF!</definedName>
    <definedName name="ddd" localSheetId="61" hidden="1">[1]Solu!#REF!</definedName>
    <definedName name="ddd" localSheetId="22" hidden="1">[1]Solu!#REF!</definedName>
    <definedName name="ddd" localSheetId="28" hidden="1">[1]Solu!#REF!</definedName>
    <definedName name="ddd" hidden="1">[1]Solu!#REF!</definedName>
    <definedName name="delta" localSheetId="78">#REF!</definedName>
    <definedName name="delta" localSheetId="47">#REF!</definedName>
    <definedName name="delta" localSheetId="58">#REF!</definedName>
    <definedName name="delta" localSheetId="61">#REF!</definedName>
    <definedName name="DesignDischarge" localSheetId="35">'[6]Energy_INPUT&amp;OUTPUT'!$C$17</definedName>
    <definedName name="DesignDischarge" localSheetId="37">'[6]Energy_INPUT&amp;OUTPUT'!$C$17</definedName>
    <definedName name="DesignDischarge" localSheetId="57">'[6]Energy_INPUT&amp;OUTPUT'!$C$17</definedName>
    <definedName name="DesignDischarge" localSheetId="23">'[6]Energy_INPUT&amp;OUTPUT'!$C$17</definedName>
    <definedName name="DesignDischarge" localSheetId="27">'[6]Energy_INPUT&amp;OUTPUT'!$C$17</definedName>
    <definedName name="DesignDischarge" localSheetId="17">'[6]Energy_INPUT&amp;OUTPUT'!$C$17</definedName>
    <definedName name="DesignDischarge" localSheetId="41">'[6]Energy_INPUT&amp;OUTPUT'!$C$17</definedName>
    <definedName name="DesignDischarge" localSheetId="39">'[6]Energy_INPUT&amp;OUTPUT'!$C$17</definedName>
    <definedName name="DesignDischarge" localSheetId="40">'[6]Energy_INPUT&amp;OUTPUT'!$C$17</definedName>
    <definedName name="DesignDischarge" localSheetId="36">'[6]Energy_INPUT&amp;OUTPUT'!$C$17</definedName>
    <definedName name="DesignDischarge" localSheetId="20">'[6]Energy_INPUT&amp;OUTPUT'!$C$17</definedName>
    <definedName name="DesignDischarge" localSheetId="21">'[6]Energy_INPUT&amp;OUTPUT'!$C$17</definedName>
    <definedName name="DesignDischarge" localSheetId="33">'[6]Energy_INPUT&amp;OUTPUT'!$C$17</definedName>
    <definedName name="DesignDischarge" localSheetId="18">'[6]Energy_INPUT&amp;OUTPUT'!$C$17</definedName>
    <definedName name="DesignDischarge" localSheetId="26">'[6]Energy_INPUT&amp;OUTPUT'!$C$17</definedName>
    <definedName name="DesignDischarge" localSheetId="13">'[6]Energy_INPUT&amp;OUTPUT'!$C$17</definedName>
    <definedName name="DesignDischarge" localSheetId="14">'[6]Energy_INPUT&amp;OUTPUT'!$C$17</definedName>
    <definedName name="DesignDischarge" localSheetId="19">'[6]Energy_INPUT&amp;OUTPUT'!$C$17</definedName>
    <definedName name="DesignDischarge" localSheetId="34">'[6]Energy_INPUT&amp;OUTPUT'!$C$17</definedName>
    <definedName name="DesignDischarge" localSheetId="69">'[6]Energy_INPUT&amp;OUTPUT'!$C$17</definedName>
    <definedName name="DesignDischarge" localSheetId="68">'[6]Energy_INPUT&amp;OUTPUT'!$C$17</definedName>
    <definedName name="DesignDischarge" localSheetId="38">'[6]Energy_INPUT&amp;OUTPUT'!$C$17</definedName>
    <definedName name="DesignDischarge" localSheetId="71">'[6]Energy_INPUT&amp;OUTPUT'!$C$17</definedName>
    <definedName name="DesignDischarge" localSheetId="65">'[6]Energy_INPUT&amp;OUTPUT'!$C$17</definedName>
    <definedName name="DesignDischarge" localSheetId="66">'[6]Energy_INPUT&amp;OUTPUT'!$C$17</definedName>
    <definedName name="DesignDischarge" localSheetId="67">'[6]Energy_INPUT&amp;OUTPUT'!$C$17</definedName>
    <definedName name="DesignDischarge" localSheetId="42">'[6]Energy_INPUT&amp;OUTPUT'!$C$17</definedName>
    <definedName name="DesignDischarge">'[7]Energy_INPUT&amp;OUTPUT'!$C$17</definedName>
    <definedName name="Detonating_chord" localSheetId="35">'[8]RATES INCLUDING TRANSPORATION'!$V$75</definedName>
    <definedName name="Detonating_chord" localSheetId="37">'[8]RATES INCLUDING TRANSPORATION'!$V$75</definedName>
    <definedName name="Detonating_chord" localSheetId="57">'[8]RATES INCLUDING TRANSPORATION'!$V$75</definedName>
    <definedName name="Detonating_chord" localSheetId="23">'[8]RATES INCLUDING TRANSPORATION'!$V$75</definedName>
    <definedName name="Detonating_chord" localSheetId="27">'[8]RATES INCLUDING TRANSPORATION'!$V$75</definedName>
    <definedName name="Detonating_chord" localSheetId="17">'[8]RATES INCLUDING TRANSPORATION'!$V$75</definedName>
    <definedName name="Detonating_chord" localSheetId="41">'[8]RATES INCLUDING TRANSPORATION'!$V$75</definedName>
    <definedName name="Detonating_chord" localSheetId="39">'[8]RATES INCLUDING TRANSPORATION'!$V$75</definedName>
    <definedName name="Detonating_chord" localSheetId="40">'[8]RATES INCLUDING TRANSPORATION'!$V$75</definedName>
    <definedName name="Detonating_chord" localSheetId="36">'[8]RATES INCLUDING TRANSPORATION'!$V$75</definedName>
    <definedName name="Detonating_chord" localSheetId="20">'[8]RATES INCLUDING TRANSPORATION'!$V$75</definedName>
    <definedName name="Detonating_chord" localSheetId="21">'[8]RATES INCLUDING TRANSPORATION'!$V$75</definedName>
    <definedName name="Detonating_chord" localSheetId="33">'[8]RATES INCLUDING TRANSPORATION'!$V$75</definedName>
    <definedName name="Detonating_chord" localSheetId="18">'[8]RATES INCLUDING TRANSPORATION'!$V$75</definedName>
    <definedName name="Detonating_chord" localSheetId="26">'[8]RATES INCLUDING TRANSPORATION'!$V$75</definedName>
    <definedName name="Detonating_chord" localSheetId="13">'[8]RATES INCLUDING TRANSPORATION'!$V$75</definedName>
    <definedName name="Detonating_chord" localSheetId="14">'[8]RATES INCLUDING TRANSPORATION'!$V$75</definedName>
    <definedName name="Detonating_chord" localSheetId="19">'[8]RATES INCLUDING TRANSPORATION'!$V$75</definedName>
    <definedName name="Detonating_chord" localSheetId="34">'[8]RATES INCLUDING TRANSPORATION'!$V$75</definedName>
    <definedName name="Detonating_chord" localSheetId="69">'[8]RATES INCLUDING TRANSPORATION'!$V$75</definedName>
    <definedName name="Detonating_chord" localSheetId="68">'[8]RATES INCLUDING TRANSPORATION'!$V$75</definedName>
    <definedName name="Detonating_chord" localSheetId="51">#REF!</definedName>
    <definedName name="Detonating_chord" localSheetId="38">'[8]RATES INCLUDING TRANSPORATION'!$V$75</definedName>
    <definedName name="Detonating_chord" localSheetId="71">'[8]RATES INCLUDING TRANSPORATION'!$V$75</definedName>
    <definedName name="Detonating_chord" localSheetId="65">'[8]RATES INCLUDING TRANSPORATION'!$V$75</definedName>
    <definedName name="Detonating_chord" localSheetId="66">'[8]RATES INCLUDING TRANSPORATION'!$V$75</definedName>
    <definedName name="Detonating_chord" localSheetId="67">'[8]RATES INCLUDING TRANSPORATION'!$V$75</definedName>
    <definedName name="Detonating_chord" localSheetId="42">'[8]RATES INCLUDING TRANSPORATION'!$V$75</definedName>
    <definedName name="Detonating_chord">'[9]RATES INCLUDING TRANSPORATION'!$V$75</definedName>
    <definedName name="detonator" localSheetId="35">'[8]RATES INCLUDING TRANSPORATION'!$V$74</definedName>
    <definedName name="detonator" localSheetId="37">'[8]RATES INCLUDING TRANSPORATION'!$V$74</definedName>
    <definedName name="detonator" localSheetId="57">'[8]RATES INCLUDING TRANSPORATION'!$V$74</definedName>
    <definedName name="detonator" localSheetId="23">'[8]RATES INCLUDING TRANSPORATION'!$V$74</definedName>
    <definedName name="detonator" localSheetId="27">'[8]RATES INCLUDING TRANSPORATION'!$V$74</definedName>
    <definedName name="detonator" localSheetId="17">'[8]RATES INCLUDING TRANSPORATION'!$V$74</definedName>
    <definedName name="detonator" localSheetId="41">'[8]RATES INCLUDING TRANSPORATION'!$V$74</definedName>
    <definedName name="detonator" localSheetId="39">'[8]RATES INCLUDING TRANSPORATION'!$V$74</definedName>
    <definedName name="detonator" localSheetId="40">'[8]RATES INCLUDING TRANSPORATION'!$V$74</definedName>
    <definedName name="detonator" localSheetId="36">'[8]RATES INCLUDING TRANSPORATION'!$V$74</definedName>
    <definedName name="detonator" localSheetId="20">'[8]RATES INCLUDING TRANSPORATION'!$V$74</definedName>
    <definedName name="detonator" localSheetId="21">'[8]RATES INCLUDING TRANSPORATION'!$V$74</definedName>
    <definedName name="detonator" localSheetId="33">'[8]RATES INCLUDING TRANSPORATION'!$V$74</definedName>
    <definedName name="detonator" localSheetId="18">'[8]RATES INCLUDING TRANSPORATION'!$V$74</definedName>
    <definedName name="detonator" localSheetId="26">'[8]RATES INCLUDING TRANSPORATION'!$V$74</definedName>
    <definedName name="detonator" localSheetId="13">'[8]RATES INCLUDING TRANSPORATION'!$V$74</definedName>
    <definedName name="detonator" localSheetId="14">'[8]RATES INCLUDING TRANSPORATION'!$V$74</definedName>
    <definedName name="detonator" localSheetId="19">'[8]RATES INCLUDING TRANSPORATION'!$V$74</definedName>
    <definedName name="detonator" localSheetId="34">'[8]RATES INCLUDING TRANSPORATION'!$V$74</definedName>
    <definedName name="detonator" localSheetId="69">'[8]RATES INCLUDING TRANSPORATION'!$V$74</definedName>
    <definedName name="detonator" localSheetId="68">'[8]RATES INCLUDING TRANSPORATION'!$V$74</definedName>
    <definedName name="detonator" localSheetId="51">#REF!</definedName>
    <definedName name="detonator" localSheetId="38">'[8]RATES INCLUDING TRANSPORATION'!$V$74</definedName>
    <definedName name="detonator" localSheetId="71">'[8]RATES INCLUDING TRANSPORATION'!$V$74</definedName>
    <definedName name="detonator" localSheetId="65">'[8]RATES INCLUDING TRANSPORATION'!$V$74</definedName>
    <definedName name="detonator" localSheetId="66">'[8]RATES INCLUDING TRANSPORATION'!$V$74</definedName>
    <definedName name="detonator" localSheetId="67">'[8]RATES INCLUDING TRANSPORATION'!$V$74</definedName>
    <definedName name="detonator" localSheetId="42">'[8]RATES INCLUDING TRANSPORATION'!$V$74</definedName>
    <definedName name="detonator">'[9]RATES INCLUDING TRANSPORATION'!$V$74</definedName>
    <definedName name="df" localSheetId="4" hidden="1">[2]Solu!#REF!</definedName>
    <definedName name="df" localSheetId="7" hidden="1">[2]Solu!#REF!</definedName>
    <definedName name="df" localSheetId="8" hidden="1">[2]Solu!#REF!</definedName>
    <definedName name="df" localSheetId="24" hidden="1">[2]Solu!#REF!</definedName>
    <definedName name="df" localSheetId="5" hidden="1">[2]Solu!#REF!</definedName>
    <definedName name="df" localSheetId="27" hidden="1">[2]Solu!#REF!</definedName>
    <definedName name="df" localSheetId="17" hidden="1">[2]Solu!#REF!</definedName>
    <definedName name="df" localSheetId="47" hidden="1">[2]Solu!#REF!</definedName>
    <definedName name="df" localSheetId="41" hidden="1">[2]Solu!#REF!</definedName>
    <definedName name="df" localSheetId="39" hidden="1">[2]Solu!#REF!</definedName>
    <definedName name="df" localSheetId="40" hidden="1">[2]Solu!#REF!</definedName>
    <definedName name="df" localSheetId="32" hidden="1">[2]Solu!#REF!</definedName>
    <definedName name="df" localSheetId="43" hidden="1">[2]Solu!#REF!</definedName>
    <definedName name="df" localSheetId="44" hidden="1">[2]Solu!#REF!</definedName>
    <definedName name="df" localSheetId="45" hidden="1">[2]Solu!#REF!</definedName>
    <definedName name="df" localSheetId="46" hidden="1">[2]Solu!#REF!</definedName>
    <definedName name="df" localSheetId="20" hidden="1">[2]Solu!#REF!</definedName>
    <definedName name="df" localSheetId="21" hidden="1">[2]Solu!#REF!</definedName>
    <definedName name="df" localSheetId="18" hidden="1">[2]Solu!#REF!</definedName>
    <definedName name="df" localSheetId="29" hidden="1">[2]Solu!#REF!</definedName>
    <definedName name="df" localSheetId="25" hidden="1">[2]Solu!#REF!</definedName>
    <definedName name="df" localSheetId="12" hidden="1">[2]Solu!#REF!</definedName>
    <definedName name="df" localSheetId="19" hidden="1">[2]Solu!#REF!</definedName>
    <definedName name="df" localSheetId="34" hidden="1">[2]Solu!#REF!</definedName>
    <definedName name="df" localSheetId="69" hidden="1">[2]Solu!#REF!</definedName>
    <definedName name="df" localSheetId="68" hidden="1">[2]Solu!#REF!</definedName>
    <definedName name="df" localSheetId="22" hidden="1">[2]Solu!#REF!</definedName>
    <definedName name="df" localSheetId="28" hidden="1">[2]Solu!#REF!</definedName>
    <definedName name="df" localSheetId="66" hidden="1">[2]Solu!#REF!</definedName>
    <definedName name="df" localSheetId="67" hidden="1">[2]Solu!#REF!</definedName>
    <definedName name="df" hidden="1">[2]Solu!#REF!</definedName>
    <definedName name="Diameter_of_Spillway_pipe">'[3]Spillway Pipe Design'!$B$11</definedName>
    <definedName name="diesel" localSheetId="35">'[8]RATES INCLUDING TRANSPORATION'!$V$51</definedName>
    <definedName name="diesel" localSheetId="37">'[8]RATES INCLUDING TRANSPORATION'!$V$51</definedName>
    <definedName name="diesel" localSheetId="57">'[8]RATES INCLUDING TRANSPORATION'!$V$51</definedName>
    <definedName name="diesel" localSheetId="23">'[8]RATES INCLUDING TRANSPORATION'!$V$51</definedName>
    <definedName name="diesel" localSheetId="27">'[8]RATES INCLUDING TRANSPORATION'!$V$51</definedName>
    <definedName name="diesel" localSheetId="17">'[8]RATES INCLUDING TRANSPORATION'!$V$51</definedName>
    <definedName name="diesel" localSheetId="41">'[8]RATES INCLUDING TRANSPORATION'!$V$51</definedName>
    <definedName name="diesel" localSheetId="39">'[8]RATES INCLUDING TRANSPORATION'!$V$51</definedName>
    <definedName name="diesel" localSheetId="40">'[8]RATES INCLUDING TRANSPORATION'!$V$51</definedName>
    <definedName name="diesel" localSheetId="36">'[8]RATES INCLUDING TRANSPORATION'!$V$51</definedName>
    <definedName name="diesel" localSheetId="20">'[8]RATES INCLUDING TRANSPORATION'!$V$51</definedName>
    <definedName name="diesel" localSheetId="21">'[8]RATES INCLUDING TRANSPORATION'!$V$51</definedName>
    <definedName name="diesel" localSheetId="33">'[8]RATES INCLUDING TRANSPORATION'!$V$51</definedName>
    <definedName name="diesel" localSheetId="18">'[8]RATES INCLUDING TRANSPORATION'!$V$51</definedName>
    <definedName name="diesel" localSheetId="26">'[8]RATES INCLUDING TRANSPORATION'!$V$51</definedName>
    <definedName name="diesel" localSheetId="13">'[8]RATES INCLUDING TRANSPORATION'!$V$51</definedName>
    <definedName name="diesel" localSheetId="14">'[8]RATES INCLUDING TRANSPORATION'!$V$51</definedName>
    <definedName name="diesel" localSheetId="19">'[8]RATES INCLUDING TRANSPORATION'!$V$51</definedName>
    <definedName name="diesel" localSheetId="34">'[8]RATES INCLUDING TRANSPORATION'!$V$51</definedName>
    <definedName name="diesel" localSheetId="69">'[8]RATES INCLUDING TRANSPORATION'!$V$51</definedName>
    <definedName name="diesel" localSheetId="68">'[8]RATES INCLUDING TRANSPORATION'!$V$51</definedName>
    <definedName name="diesel" localSheetId="51">#REF!</definedName>
    <definedName name="diesel" localSheetId="38">'[8]RATES INCLUDING TRANSPORATION'!$V$51</definedName>
    <definedName name="diesel" localSheetId="71">'[8]RATES INCLUDING TRANSPORATION'!$V$51</definedName>
    <definedName name="diesel" localSheetId="65">'[8]RATES INCLUDING TRANSPORATION'!$V$51</definedName>
    <definedName name="diesel" localSheetId="66">'[8]RATES INCLUDING TRANSPORATION'!$V$51</definedName>
    <definedName name="diesel" localSheetId="67">'[8]RATES INCLUDING TRANSPORATION'!$V$51</definedName>
    <definedName name="diesel" localSheetId="42">'[8]RATES INCLUDING TRANSPORATION'!$V$51</definedName>
    <definedName name="diesel">'[9]RATES INCLUDING TRANSPORATION'!$V$51</definedName>
    <definedName name="Discount_Rate" localSheetId="78">[18]Summary!#REF!</definedName>
    <definedName name="Discount_Rate" localSheetId="1">[18]Summary!#REF!</definedName>
    <definedName name="Discount_Rate" localSheetId="57">[18]Summary!#REF!</definedName>
    <definedName name="Discount_Rate" localSheetId="23">[18]Summary!#REF!</definedName>
    <definedName name="Discount_Rate" localSheetId="47">[18]Summary!#REF!</definedName>
    <definedName name="Discount_Rate" localSheetId="58">[18]Summary!#REF!</definedName>
    <definedName name="Discount_Rate" localSheetId="0">[18]Summary!#REF!</definedName>
    <definedName name="Discount_Rate" localSheetId="52">[18]Summary!#REF!</definedName>
    <definedName name="Discount_Rate" localSheetId="61">[18]Summary!#REF!</definedName>
    <definedName name="distance" localSheetId="35">[19]Distances!$B$5:$E$14</definedName>
    <definedName name="distance" localSheetId="37">[19]Distances!$B$5:$E$14</definedName>
    <definedName name="distance" localSheetId="57">[19]Distances!$B$5:$E$14</definedName>
    <definedName name="distance" localSheetId="23">[19]Distances!$B$5:$E$14</definedName>
    <definedName name="distance" localSheetId="27">[19]Distances!$B$5:$E$14</definedName>
    <definedName name="distance" localSheetId="17">[19]Distances!$B$5:$E$14</definedName>
    <definedName name="distance" localSheetId="41">[19]Distances!$B$5:$E$14</definedName>
    <definedName name="distance" localSheetId="39">[19]Distances!$B$5:$E$14</definedName>
    <definedName name="distance" localSheetId="40">[19]Distances!$B$5:$E$14</definedName>
    <definedName name="distance" localSheetId="36">[19]Distances!$B$5:$E$14</definedName>
    <definedName name="distance" localSheetId="20">[19]Distances!$B$5:$E$14</definedName>
    <definedName name="distance" localSheetId="21">[19]Distances!$B$5:$E$14</definedName>
    <definedName name="distance" localSheetId="33">[19]Distances!$B$5:$E$14</definedName>
    <definedName name="distance" localSheetId="18">[19]Distances!$B$5:$E$14</definedName>
    <definedName name="distance" localSheetId="26">[19]Distances!$B$5:$E$14</definedName>
    <definedName name="distance" localSheetId="13">[19]Distances!$B$5:$E$14</definedName>
    <definedName name="distance" localSheetId="14">[19]Distances!$B$5:$E$14</definedName>
    <definedName name="distance" localSheetId="19">[19]Distances!$B$5:$E$14</definedName>
    <definedName name="distance" localSheetId="34">[19]Distances!$B$5:$E$14</definedName>
    <definedName name="distance" localSheetId="69">[19]Distances!$B$5:$E$14</definedName>
    <definedName name="distance" localSheetId="68">[19]Distances!$B$5:$E$14</definedName>
    <definedName name="distance" localSheetId="38">[19]Distances!$B$5:$E$14</definedName>
    <definedName name="distance" localSheetId="71">[19]Distances!$B$5:$E$14</definedName>
    <definedName name="distance" localSheetId="65">[19]Distances!$B$5:$E$14</definedName>
    <definedName name="distance" localSheetId="66">[19]Distances!$B$5:$E$14</definedName>
    <definedName name="distance" localSheetId="67">[19]Distances!$B$5:$E$14</definedName>
    <definedName name="distance" localSheetId="42">[19]Distances!$B$5:$E$14</definedName>
    <definedName name="distance">[20]Distances!$B$5:$E$14</definedName>
    <definedName name="dr" localSheetId="35">'[8]Basic Rates'!$D$32</definedName>
    <definedName name="dr" localSheetId="37">'[8]Basic Rates'!$D$32</definedName>
    <definedName name="dr" localSheetId="57">'[8]Basic Rates'!$D$32</definedName>
    <definedName name="dr" localSheetId="23">'[8]Basic Rates'!$D$32</definedName>
    <definedName name="dr" localSheetId="27">'[8]Basic Rates'!$D$32</definedName>
    <definedName name="dr" localSheetId="17">'[8]Basic Rates'!$D$32</definedName>
    <definedName name="dr" localSheetId="41">'[8]Basic Rates'!$D$32</definedName>
    <definedName name="dr" localSheetId="39">'[8]Basic Rates'!$D$32</definedName>
    <definedName name="dr" localSheetId="40">'[8]Basic Rates'!$D$32</definedName>
    <definedName name="dr" localSheetId="36">'[8]Basic Rates'!$D$32</definedName>
    <definedName name="dr" localSheetId="20">'[8]Basic Rates'!$D$32</definedName>
    <definedName name="dr" localSheetId="21">'[8]Basic Rates'!$D$32</definedName>
    <definedName name="dr" localSheetId="33">'[8]Basic Rates'!$D$32</definedName>
    <definedName name="dr" localSheetId="18">'[8]Basic Rates'!$D$32</definedName>
    <definedName name="dr" localSheetId="26">'[8]Basic Rates'!$D$32</definedName>
    <definedName name="dr" localSheetId="13">'[8]Basic Rates'!$D$32</definedName>
    <definedName name="dr" localSheetId="14">'[8]Basic Rates'!$D$32</definedName>
    <definedName name="dr" localSheetId="19">'[8]Basic Rates'!$D$32</definedName>
    <definedName name="dr" localSheetId="34">'[8]Basic Rates'!$D$32</definedName>
    <definedName name="dr" localSheetId="69">'[8]Basic Rates'!$D$32</definedName>
    <definedName name="dr" localSheetId="68">'[8]Basic Rates'!$D$32</definedName>
    <definedName name="dr" localSheetId="51">#REF!</definedName>
    <definedName name="dr" localSheetId="38">'[8]Basic Rates'!$D$32</definedName>
    <definedName name="dr" localSheetId="71">'[8]Basic Rates'!$D$32</definedName>
    <definedName name="dr" localSheetId="65">'[8]Basic Rates'!$D$32</definedName>
    <definedName name="dr" localSheetId="66">'[8]Basic Rates'!$D$32</definedName>
    <definedName name="dr" localSheetId="67">'[8]Basic Rates'!$D$32</definedName>
    <definedName name="dr" localSheetId="42">'[8]Basic Rates'!$D$32</definedName>
    <definedName name="dr">'[9]Basic Rates'!$D$32</definedName>
    <definedName name="Drawdown_Start" localSheetId="35">'[6]Energy_INPUT&amp;OUTPUT'!$C$44</definedName>
    <definedName name="Drawdown_Start" localSheetId="37">'[6]Energy_INPUT&amp;OUTPUT'!$C$44</definedName>
    <definedName name="Drawdown_Start" localSheetId="57">'[6]Energy_INPUT&amp;OUTPUT'!$C$44</definedName>
    <definedName name="Drawdown_Start" localSheetId="23">'[6]Energy_INPUT&amp;OUTPUT'!$C$44</definedName>
    <definedName name="Drawdown_Start" localSheetId="27">'[6]Energy_INPUT&amp;OUTPUT'!$C$44</definedName>
    <definedName name="Drawdown_Start" localSheetId="17">'[6]Energy_INPUT&amp;OUTPUT'!$C$44</definedName>
    <definedName name="Drawdown_Start" localSheetId="41">'[6]Energy_INPUT&amp;OUTPUT'!$C$44</definedName>
    <definedName name="Drawdown_Start" localSheetId="39">'[6]Energy_INPUT&amp;OUTPUT'!$C$44</definedName>
    <definedName name="Drawdown_Start" localSheetId="40">'[6]Energy_INPUT&amp;OUTPUT'!$C$44</definedName>
    <definedName name="Drawdown_Start" localSheetId="36">'[6]Energy_INPUT&amp;OUTPUT'!$C$44</definedName>
    <definedName name="Drawdown_Start" localSheetId="20">'[6]Energy_INPUT&amp;OUTPUT'!$C$44</definedName>
    <definedName name="Drawdown_Start" localSheetId="21">'[6]Energy_INPUT&amp;OUTPUT'!$C$44</definedName>
    <definedName name="Drawdown_Start" localSheetId="33">'[6]Energy_INPUT&amp;OUTPUT'!$C$44</definedName>
    <definedName name="Drawdown_Start" localSheetId="18">'[6]Energy_INPUT&amp;OUTPUT'!$C$44</definedName>
    <definedName name="Drawdown_Start" localSheetId="26">'[6]Energy_INPUT&amp;OUTPUT'!$C$44</definedName>
    <definedName name="Drawdown_Start" localSheetId="13">'[6]Energy_INPUT&amp;OUTPUT'!$C$44</definedName>
    <definedName name="Drawdown_Start" localSheetId="14">'[6]Energy_INPUT&amp;OUTPUT'!$C$44</definedName>
    <definedName name="Drawdown_Start" localSheetId="19">'[6]Energy_INPUT&amp;OUTPUT'!$C$44</definedName>
    <definedName name="Drawdown_Start" localSheetId="34">'[6]Energy_INPUT&amp;OUTPUT'!$C$44</definedName>
    <definedName name="Drawdown_Start" localSheetId="69">'[6]Energy_INPUT&amp;OUTPUT'!$C$44</definedName>
    <definedName name="Drawdown_Start" localSheetId="68">'[6]Energy_INPUT&amp;OUTPUT'!$C$44</definedName>
    <definedName name="Drawdown_Start" localSheetId="38">'[6]Energy_INPUT&amp;OUTPUT'!$C$44</definedName>
    <definedName name="Drawdown_Start" localSheetId="71">'[6]Energy_INPUT&amp;OUTPUT'!$C$44</definedName>
    <definedName name="Drawdown_Start" localSheetId="65">'[6]Energy_INPUT&amp;OUTPUT'!$C$44</definedName>
    <definedName name="Drawdown_Start" localSheetId="66">'[6]Energy_INPUT&amp;OUTPUT'!$C$44</definedName>
    <definedName name="Drawdown_Start" localSheetId="67">'[6]Energy_INPUT&amp;OUTPUT'!$C$44</definedName>
    <definedName name="Drawdown_Start" localSheetId="42">'[6]Energy_INPUT&amp;OUTPUT'!$C$44</definedName>
    <definedName name="Drawdown_Start">'[7]Energy_INPUT&amp;OUTPUT'!$C$44</definedName>
    <definedName name="drh" localSheetId="35">'[8]Basic Rates'!$D$33</definedName>
    <definedName name="drh" localSheetId="37">'[8]Basic Rates'!$D$33</definedName>
    <definedName name="drh" localSheetId="57">'[8]Basic Rates'!$D$33</definedName>
    <definedName name="drh" localSheetId="23">'[8]Basic Rates'!$D$33</definedName>
    <definedName name="drh" localSheetId="27">'[8]Basic Rates'!$D$33</definedName>
    <definedName name="drh" localSheetId="17">'[8]Basic Rates'!$D$33</definedName>
    <definedName name="drh" localSheetId="41">'[8]Basic Rates'!$D$33</definedName>
    <definedName name="drh" localSheetId="39">'[8]Basic Rates'!$D$33</definedName>
    <definedName name="drh" localSheetId="40">'[8]Basic Rates'!$D$33</definedName>
    <definedName name="drh" localSheetId="36">'[8]Basic Rates'!$D$33</definedName>
    <definedName name="drh" localSheetId="20">'[8]Basic Rates'!$D$33</definedName>
    <definedName name="drh" localSheetId="21">'[8]Basic Rates'!$D$33</definedName>
    <definedName name="drh" localSheetId="33">'[8]Basic Rates'!$D$33</definedName>
    <definedName name="drh" localSheetId="18">'[8]Basic Rates'!$D$33</definedName>
    <definedName name="drh" localSheetId="26">'[8]Basic Rates'!$D$33</definedName>
    <definedName name="drh" localSheetId="13">'[8]Basic Rates'!$D$33</definedName>
    <definedName name="drh" localSheetId="14">'[8]Basic Rates'!$D$33</definedName>
    <definedName name="drh" localSheetId="19">'[8]Basic Rates'!$D$33</definedName>
    <definedName name="drh" localSheetId="34">'[8]Basic Rates'!$D$33</definedName>
    <definedName name="drh" localSheetId="69">'[8]Basic Rates'!$D$33</definedName>
    <definedName name="drh" localSheetId="68">'[8]Basic Rates'!$D$33</definedName>
    <definedName name="drh" localSheetId="51">#REF!</definedName>
    <definedName name="drh" localSheetId="38">'[8]Basic Rates'!$D$33</definedName>
    <definedName name="drh" localSheetId="71">'[8]Basic Rates'!$D$33</definedName>
    <definedName name="drh" localSheetId="65">'[8]Basic Rates'!$D$33</definedName>
    <definedName name="drh" localSheetId="66">'[8]Basic Rates'!$D$33</definedName>
    <definedName name="drh" localSheetId="67">'[8]Basic Rates'!$D$33</definedName>
    <definedName name="drh" localSheetId="42">'[8]Basic Rates'!$D$33</definedName>
    <definedName name="drh">'[9]Basic Rates'!$D$33</definedName>
    <definedName name="drill_rod" localSheetId="35">'[8]RATES INCLUDING TRANSPORATION'!$V$77</definedName>
    <definedName name="drill_rod" localSheetId="37">'[8]RATES INCLUDING TRANSPORATION'!$V$77</definedName>
    <definedName name="drill_rod" localSheetId="57">'[8]RATES INCLUDING TRANSPORATION'!$V$77</definedName>
    <definedName name="drill_rod" localSheetId="23">'[8]RATES INCLUDING TRANSPORATION'!$V$77</definedName>
    <definedName name="drill_rod" localSheetId="27">'[8]RATES INCLUDING TRANSPORATION'!$V$77</definedName>
    <definedName name="drill_rod" localSheetId="17">'[8]RATES INCLUDING TRANSPORATION'!$V$77</definedName>
    <definedName name="drill_rod" localSheetId="41">'[8]RATES INCLUDING TRANSPORATION'!$V$77</definedName>
    <definedName name="drill_rod" localSheetId="39">'[8]RATES INCLUDING TRANSPORATION'!$V$77</definedName>
    <definedName name="drill_rod" localSheetId="40">'[8]RATES INCLUDING TRANSPORATION'!$V$77</definedName>
    <definedName name="drill_rod" localSheetId="36">'[8]RATES INCLUDING TRANSPORATION'!$V$77</definedName>
    <definedName name="drill_rod" localSheetId="20">'[8]RATES INCLUDING TRANSPORATION'!$V$77</definedName>
    <definedName name="drill_rod" localSheetId="21">'[8]RATES INCLUDING TRANSPORATION'!$V$77</definedName>
    <definedName name="drill_rod" localSheetId="33">'[8]RATES INCLUDING TRANSPORATION'!$V$77</definedName>
    <definedName name="drill_rod" localSheetId="18">'[8]RATES INCLUDING TRANSPORATION'!$V$77</definedName>
    <definedName name="drill_rod" localSheetId="26">'[8]RATES INCLUDING TRANSPORATION'!$V$77</definedName>
    <definedName name="drill_rod" localSheetId="13">'[8]RATES INCLUDING TRANSPORATION'!$V$77</definedName>
    <definedName name="drill_rod" localSheetId="14">'[8]RATES INCLUDING TRANSPORATION'!$V$77</definedName>
    <definedName name="drill_rod" localSheetId="19">'[8]RATES INCLUDING TRANSPORATION'!$V$77</definedName>
    <definedName name="drill_rod" localSheetId="34">'[8]RATES INCLUDING TRANSPORATION'!$V$77</definedName>
    <definedName name="drill_rod" localSheetId="69">'[8]RATES INCLUDING TRANSPORATION'!$V$77</definedName>
    <definedName name="drill_rod" localSheetId="68">'[8]RATES INCLUDING TRANSPORATION'!$V$77</definedName>
    <definedName name="drill_rod" localSheetId="51">#REF!</definedName>
    <definedName name="drill_rod" localSheetId="38">'[8]RATES INCLUDING TRANSPORATION'!$V$77</definedName>
    <definedName name="drill_rod" localSheetId="71">'[8]RATES INCLUDING TRANSPORATION'!$V$77</definedName>
    <definedName name="drill_rod" localSheetId="65">'[8]RATES INCLUDING TRANSPORATION'!$V$77</definedName>
    <definedName name="drill_rod" localSheetId="66">'[8]RATES INCLUDING TRANSPORATION'!$V$77</definedName>
    <definedName name="drill_rod" localSheetId="67">'[8]RATES INCLUDING TRANSPORATION'!$V$77</definedName>
    <definedName name="drill_rod" localSheetId="42">'[8]RATES INCLUDING TRANSPORATION'!$V$77</definedName>
    <definedName name="drill_rod">'[9]RATES INCLUDING TRANSPORATION'!$V$77</definedName>
    <definedName name="Drillbit_32" localSheetId="35">'[8]RATES INCLUDING TRANSPORATION'!$V$78</definedName>
    <definedName name="Drillbit_32" localSheetId="37">'[8]RATES INCLUDING TRANSPORATION'!$V$78</definedName>
    <definedName name="Drillbit_32" localSheetId="57">'[8]RATES INCLUDING TRANSPORATION'!$V$78</definedName>
    <definedName name="Drillbit_32" localSheetId="23">'[8]RATES INCLUDING TRANSPORATION'!$V$78</definedName>
    <definedName name="Drillbit_32" localSheetId="27">'[8]RATES INCLUDING TRANSPORATION'!$V$78</definedName>
    <definedName name="Drillbit_32" localSheetId="17">'[8]RATES INCLUDING TRANSPORATION'!$V$78</definedName>
    <definedName name="Drillbit_32" localSheetId="41">'[8]RATES INCLUDING TRANSPORATION'!$V$78</definedName>
    <definedName name="Drillbit_32" localSheetId="39">'[8]RATES INCLUDING TRANSPORATION'!$V$78</definedName>
    <definedName name="Drillbit_32" localSheetId="40">'[8]RATES INCLUDING TRANSPORATION'!$V$78</definedName>
    <definedName name="Drillbit_32" localSheetId="36">'[8]RATES INCLUDING TRANSPORATION'!$V$78</definedName>
    <definedName name="Drillbit_32" localSheetId="20">'[8]RATES INCLUDING TRANSPORATION'!$V$78</definedName>
    <definedName name="Drillbit_32" localSheetId="21">'[8]RATES INCLUDING TRANSPORATION'!$V$78</definedName>
    <definedName name="Drillbit_32" localSheetId="33">'[8]RATES INCLUDING TRANSPORATION'!$V$78</definedName>
    <definedName name="Drillbit_32" localSheetId="18">'[8]RATES INCLUDING TRANSPORATION'!$V$78</definedName>
    <definedName name="Drillbit_32" localSheetId="26">'[8]RATES INCLUDING TRANSPORATION'!$V$78</definedName>
    <definedName name="Drillbit_32" localSheetId="13">'[8]RATES INCLUDING TRANSPORATION'!$V$78</definedName>
    <definedName name="Drillbit_32" localSheetId="14">'[8]RATES INCLUDING TRANSPORATION'!$V$78</definedName>
    <definedName name="Drillbit_32" localSheetId="19">'[8]RATES INCLUDING TRANSPORATION'!$V$78</definedName>
    <definedName name="Drillbit_32" localSheetId="34">'[8]RATES INCLUDING TRANSPORATION'!$V$78</definedName>
    <definedName name="Drillbit_32" localSheetId="69">'[8]RATES INCLUDING TRANSPORATION'!$V$78</definedName>
    <definedName name="Drillbit_32" localSheetId="68">'[8]RATES INCLUDING TRANSPORATION'!$V$78</definedName>
    <definedName name="Drillbit_32" localSheetId="51">#REF!</definedName>
    <definedName name="Drillbit_32" localSheetId="38">'[8]RATES INCLUDING TRANSPORATION'!$V$78</definedName>
    <definedName name="Drillbit_32" localSheetId="71">'[8]RATES INCLUDING TRANSPORATION'!$V$78</definedName>
    <definedName name="Drillbit_32" localSheetId="65">'[8]RATES INCLUDING TRANSPORATION'!$V$78</definedName>
    <definedName name="Drillbit_32" localSheetId="66">'[8]RATES INCLUDING TRANSPORATION'!$V$78</definedName>
    <definedName name="Drillbit_32" localSheetId="67">'[8]RATES INCLUDING TRANSPORATION'!$V$78</definedName>
    <definedName name="Drillbit_32" localSheetId="42">'[8]RATES INCLUDING TRANSPORATION'!$V$78</definedName>
    <definedName name="Drillbit_32">'[9]RATES INCLUDING TRANSPORATION'!$V$78</definedName>
    <definedName name="Drillbit_38" localSheetId="35">'[8]RATES INCLUDING TRANSPORATION'!$V$79</definedName>
    <definedName name="Drillbit_38" localSheetId="37">'[8]RATES INCLUDING TRANSPORATION'!$V$79</definedName>
    <definedName name="Drillbit_38" localSheetId="57">'[8]RATES INCLUDING TRANSPORATION'!$V$79</definedName>
    <definedName name="Drillbit_38" localSheetId="23">'[8]RATES INCLUDING TRANSPORATION'!$V$79</definedName>
    <definedName name="Drillbit_38" localSheetId="27">'[8]RATES INCLUDING TRANSPORATION'!$V$79</definedName>
    <definedName name="Drillbit_38" localSheetId="17">'[8]RATES INCLUDING TRANSPORATION'!$V$79</definedName>
    <definedName name="Drillbit_38" localSheetId="41">'[8]RATES INCLUDING TRANSPORATION'!$V$79</definedName>
    <definedName name="Drillbit_38" localSheetId="39">'[8]RATES INCLUDING TRANSPORATION'!$V$79</definedName>
    <definedName name="Drillbit_38" localSheetId="40">'[8]RATES INCLUDING TRANSPORATION'!$V$79</definedName>
    <definedName name="Drillbit_38" localSheetId="36">'[8]RATES INCLUDING TRANSPORATION'!$V$79</definedName>
    <definedName name="Drillbit_38" localSheetId="20">'[8]RATES INCLUDING TRANSPORATION'!$V$79</definedName>
    <definedName name="Drillbit_38" localSheetId="21">'[8]RATES INCLUDING TRANSPORATION'!$V$79</definedName>
    <definedName name="Drillbit_38" localSheetId="33">'[8]RATES INCLUDING TRANSPORATION'!$V$79</definedName>
    <definedName name="Drillbit_38" localSheetId="18">'[8]RATES INCLUDING TRANSPORATION'!$V$79</definedName>
    <definedName name="Drillbit_38" localSheetId="26">'[8]RATES INCLUDING TRANSPORATION'!$V$79</definedName>
    <definedName name="Drillbit_38" localSheetId="13">'[8]RATES INCLUDING TRANSPORATION'!$V$79</definedName>
    <definedName name="Drillbit_38" localSheetId="14">'[8]RATES INCLUDING TRANSPORATION'!$V$79</definedName>
    <definedName name="Drillbit_38" localSheetId="19">'[8]RATES INCLUDING TRANSPORATION'!$V$79</definedName>
    <definedName name="Drillbit_38" localSheetId="34">'[8]RATES INCLUDING TRANSPORATION'!$V$79</definedName>
    <definedName name="Drillbit_38" localSheetId="69">'[8]RATES INCLUDING TRANSPORATION'!$V$79</definedName>
    <definedName name="Drillbit_38" localSheetId="68">'[8]RATES INCLUDING TRANSPORATION'!$V$79</definedName>
    <definedName name="Drillbit_38" localSheetId="51">#REF!</definedName>
    <definedName name="Drillbit_38" localSheetId="38">'[8]RATES INCLUDING TRANSPORATION'!$V$79</definedName>
    <definedName name="Drillbit_38" localSheetId="71">'[8]RATES INCLUDING TRANSPORATION'!$V$79</definedName>
    <definedName name="Drillbit_38" localSheetId="65">'[8]RATES INCLUDING TRANSPORATION'!$V$79</definedName>
    <definedName name="Drillbit_38" localSheetId="66">'[8]RATES INCLUDING TRANSPORATION'!$V$79</definedName>
    <definedName name="Drillbit_38" localSheetId="67">'[8]RATES INCLUDING TRANSPORATION'!$V$79</definedName>
    <definedName name="Drillbit_38" localSheetId="42">'[8]RATES INCLUDING TRANSPORATION'!$V$79</definedName>
    <definedName name="Drillbit_38">'[9]RATES INCLUDING TRANSPORATION'!$V$79</definedName>
    <definedName name="drv" localSheetId="35">'[8]Basic Rates'!$D$29</definedName>
    <definedName name="drv" localSheetId="37">'[8]Basic Rates'!$D$29</definedName>
    <definedName name="drv" localSheetId="57">'[8]Basic Rates'!$D$29</definedName>
    <definedName name="drv" localSheetId="23">'[8]Basic Rates'!$D$29</definedName>
    <definedName name="drv" localSheetId="27">'[8]Basic Rates'!$D$29</definedName>
    <definedName name="drv" localSheetId="17">'[8]Basic Rates'!$D$29</definedName>
    <definedName name="drv" localSheetId="41">'[8]Basic Rates'!$D$29</definedName>
    <definedName name="drv" localSheetId="39">'[8]Basic Rates'!$D$29</definedName>
    <definedName name="drv" localSheetId="40">'[8]Basic Rates'!$D$29</definedName>
    <definedName name="drv" localSheetId="36">'[8]Basic Rates'!$D$29</definedName>
    <definedName name="drv" localSheetId="20">'[8]Basic Rates'!$D$29</definedName>
    <definedName name="drv" localSheetId="21">'[8]Basic Rates'!$D$29</definedName>
    <definedName name="drv" localSheetId="33">'[8]Basic Rates'!$D$29</definedName>
    <definedName name="drv" localSheetId="18">'[8]Basic Rates'!$D$29</definedName>
    <definedName name="drv" localSheetId="26">'[8]Basic Rates'!$D$29</definedName>
    <definedName name="drv" localSheetId="13">'[8]Basic Rates'!$D$29</definedName>
    <definedName name="drv" localSheetId="14">'[8]Basic Rates'!$D$29</definedName>
    <definedName name="drv" localSheetId="19">'[8]Basic Rates'!$D$29</definedName>
    <definedName name="drv" localSheetId="34">'[8]Basic Rates'!$D$29</definedName>
    <definedName name="drv" localSheetId="69">'[8]Basic Rates'!$D$29</definedName>
    <definedName name="drv" localSheetId="68">'[8]Basic Rates'!$D$29</definedName>
    <definedName name="drv" localSheetId="51">#REF!</definedName>
    <definedName name="drv" localSheetId="38">'[8]Basic Rates'!$D$29</definedName>
    <definedName name="drv" localSheetId="71">'[8]Basic Rates'!$D$29</definedName>
    <definedName name="drv" localSheetId="65">'[8]Basic Rates'!$D$29</definedName>
    <definedName name="drv" localSheetId="66">'[8]Basic Rates'!$D$29</definedName>
    <definedName name="drv" localSheetId="67">'[8]Basic Rates'!$D$29</definedName>
    <definedName name="drv" localSheetId="42">'[8]Basic Rates'!$D$29</definedName>
    <definedName name="drv">'[9]Basic Rates'!$D$29</definedName>
    <definedName name="eee" localSheetId="78">#REF!</definedName>
    <definedName name="eee" localSheetId="1">#REF!</definedName>
    <definedName name="eee" localSheetId="57">#REF!</definedName>
    <definedName name="eee" localSheetId="23">#REF!</definedName>
    <definedName name="eee" localSheetId="47">#REF!</definedName>
    <definedName name="eee" localSheetId="58">#REF!</definedName>
    <definedName name="eee" localSheetId="0">#REF!</definedName>
    <definedName name="eee" localSheetId="52">#REF!</definedName>
    <definedName name="eee" localSheetId="61">#REF!</definedName>
    <definedName name="el" localSheetId="35">'[8]Basic Rates'!$D$35</definedName>
    <definedName name="el" localSheetId="37">'[8]Basic Rates'!$D$35</definedName>
    <definedName name="el" localSheetId="57">'[8]Basic Rates'!$D$35</definedName>
    <definedName name="el" localSheetId="23">'[8]Basic Rates'!$D$35</definedName>
    <definedName name="el" localSheetId="27">'[8]Basic Rates'!$D$35</definedName>
    <definedName name="el" localSheetId="17">'[8]Basic Rates'!$D$35</definedName>
    <definedName name="el" localSheetId="41">'[8]Basic Rates'!$D$35</definedName>
    <definedName name="el" localSheetId="39">'[8]Basic Rates'!$D$35</definedName>
    <definedName name="el" localSheetId="40">'[8]Basic Rates'!$D$35</definedName>
    <definedName name="el" localSheetId="36">'[8]Basic Rates'!$D$35</definedName>
    <definedName name="el" localSheetId="20">'[8]Basic Rates'!$D$35</definedName>
    <definedName name="el" localSheetId="21">'[8]Basic Rates'!$D$35</definedName>
    <definedName name="el" localSheetId="33">'[8]Basic Rates'!$D$35</definedName>
    <definedName name="el" localSheetId="18">'[8]Basic Rates'!$D$35</definedName>
    <definedName name="el" localSheetId="26">'[8]Basic Rates'!$D$35</definedName>
    <definedName name="el" localSheetId="13">'[8]Basic Rates'!$D$35</definedName>
    <definedName name="el" localSheetId="14">'[8]Basic Rates'!$D$35</definedName>
    <definedName name="el" localSheetId="19">'[8]Basic Rates'!$D$35</definedName>
    <definedName name="el" localSheetId="34">'[8]Basic Rates'!$D$35</definedName>
    <definedName name="el" localSheetId="69">'[8]Basic Rates'!$D$35</definedName>
    <definedName name="el" localSheetId="68">'[8]Basic Rates'!$D$35</definedName>
    <definedName name="el" localSheetId="51">#REF!</definedName>
    <definedName name="el" localSheetId="38">'[8]Basic Rates'!$D$35</definedName>
    <definedName name="el" localSheetId="71">'[8]Basic Rates'!$D$35</definedName>
    <definedName name="el" localSheetId="65">'[8]Basic Rates'!$D$35</definedName>
    <definedName name="el" localSheetId="66">'[8]Basic Rates'!$D$35</definedName>
    <definedName name="el" localSheetId="67">'[8]Basic Rates'!$D$35</definedName>
    <definedName name="el" localSheetId="42">'[8]Basic Rates'!$D$35</definedName>
    <definedName name="el">'[9]Basic Rates'!$D$35</definedName>
    <definedName name="enamel" localSheetId="35">'[10]RATES INCLUDING TRANSPORATION'!$V$68</definedName>
    <definedName name="enamel" localSheetId="37">'[10]RATES INCLUDING TRANSPORATION'!$V$68</definedName>
    <definedName name="enamel" localSheetId="17">'[10]RATES INCLUDING TRANSPORATION'!$V$68</definedName>
    <definedName name="enamel" localSheetId="47">#REF!</definedName>
    <definedName name="enamel" localSheetId="41">'[10]RATES INCLUDING TRANSPORATION'!$V$68</definedName>
    <definedName name="enamel" localSheetId="39">'[10]RATES INCLUDING TRANSPORATION'!$V$68</definedName>
    <definedName name="enamel" localSheetId="40">'[10]RATES INCLUDING TRANSPORATION'!$V$68</definedName>
    <definedName name="enamel" localSheetId="36">'[10]RATES INCLUDING TRANSPORATION'!$V$68</definedName>
    <definedName name="enamel" localSheetId="20">'[10]RATES INCLUDING TRANSPORATION'!$V$68</definedName>
    <definedName name="enamel" localSheetId="21">'[10]RATES INCLUDING TRANSPORATION'!$V$68</definedName>
    <definedName name="enamel" localSheetId="33">'[10]RATES INCLUDING TRANSPORATION'!$V$68</definedName>
    <definedName name="enamel" localSheetId="18">'[10]RATES INCLUDING TRANSPORATION'!$V$68</definedName>
    <definedName name="enamel" localSheetId="19">'[10]RATES INCLUDING TRANSPORATION'!$V$68</definedName>
    <definedName name="enamel" localSheetId="34">'[10]RATES INCLUDING TRANSPORATION'!$V$68</definedName>
    <definedName name="enamel" localSheetId="69">'[10]RATES INCLUDING TRANSPORATION'!$V$68</definedName>
    <definedName name="enamel" localSheetId="68">'[10]RATES INCLUDING TRANSPORATION'!$V$68</definedName>
    <definedName name="enamel" localSheetId="38">'[10]RATES INCLUDING TRANSPORATION'!$V$68</definedName>
    <definedName name="enamel" localSheetId="65">'[10]RATES INCLUDING TRANSPORATION'!$V$68</definedName>
    <definedName name="enamel" localSheetId="66">'[10]RATES INCLUDING TRANSPORATION'!$V$68</definedName>
    <definedName name="enamel" localSheetId="67">'[10]RATES INCLUDING TRANSPORATION'!$V$68</definedName>
    <definedName name="enamel" localSheetId="42">'[10]RATES INCLUDING TRANSPORATION'!$V$68</definedName>
    <definedName name="er" localSheetId="35">'[10]Basic Rates'!$D$40</definedName>
    <definedName name="er" localSheetId="37">'[10]Basic Rates'!$D$40</definedName>
    <definedName name="er" localSheetId="17">'[10]Basic Rates'!$D$40</definedName>
    <definedName name="er" localSheetId="47">#REF!</definedName>
    <definedName name="er" localSheetId="41">'[10]Basic Rates'!$D$40</definedName>
    <definedName name="er" localSheetId="39">'[10]Basic Rates'!$D$40</definedName>
    <definedName name="er" localSheetId="40">'[10]Basic Rates'!$D$40</definedName>
    <definedName name="er" localSheetId="36">'[10]Basic Rates'!$D$40</definedName>
    <definedName name="er" localSheetId="20">'[10]Basic Rates'!$D$40</definedName>
    <definedName name="er" localSheetId="21">'[10]Basic Rates'!$D$40</definedName>
    <definedName name="er" localSheetId="33">'[10]Basic Rates'!$D$40</definedName>
    <definedName name="er" localSheetId="18">'[10]Basic Rates'!$D$40</definedName>
    <definedName name="er" localSheetId="19">'[10]Basic Rates'!$D$40</definedName>
    <definedName name="er" localSheetId="34">'[10]Basic Rates'!$D$40</definedName>
    <definedName name="er" localSheetId="69">'[10]Basic Rates'!$D$40</definedName>
    <definedName name="er" localSheetId="68">'[10]Basic Rates'!$D$40</definedName>
    <definedName name="er" localSheetId="38">'[10]Basic Rates'!$D$40</definedName>
    <definedName name="er" localSheetId="65">'[10]Basic Rates'!$D$40</definedName>
    <definedName name="er" localSheetId="66">'[10]Basic Rates'!$D$40</definedName>
    <definedName name="er" localSheetId="67">'[10]Basic Rates'!$D$40</definedName>
    <definedName name="er" localSheetId="42">'[10]Basic Rates'!$D$40</definedName>
    <definedName name="ex" localSheetId="47">#REF!</definedName>
    <definedName name="Excavation" localSheetId="78">#REF!</definedName>
    <definedName name="Excavation" localSheetId="1">#REF!</definedName>
    <definedName name="Excavation" localSheetId="57">#REF!</definedName>
    <definedName name="Excavation" localSheetId="23">#REF!</definedName>
    <definedName name="Excavation" localSheetId="47">#REF!</definedName>
    <definedName name="Excavation" localSheetId="58">#REF!</definedName>
    <definedName name="Excavation" localSheetId="0">#REF!</definedName>
    <definedName name="Excavation" localSheetId="52">#REF!</definedName>
    <definedName name="Excavation" localSheetId="61">#REF!</definedName>
    <definedName name="excavator">'[21]Basic Rates'!$D$143</definedName>
    <definedName name="excavator_breaker">'[21]Basic Rates'!$D$144</definedName>
    <definedName name="exr" localSheetId="35">'[8]Basic Rates'!$D$19</definedName>
    <definedName name="exr" localSheetId="37">'[8]Basic Rates'!$D$19</definedName>
    <definedName name="exr" localSheetId="57">'[8]Basic Rates'!$D$19</definedName>
    <definedName name="exr" localSheetId="23">'[8]Basic Rates'!$D$19</definedName>
    <definedName name="exr" localSheetId="27">'[8]Basic Rates'!$D$19</definedName>
    <definedName name="exr" localSheetId="17">'[8]Basic Rates'!$D$19</definedName>
    <definedName name="exr" localSheetId="41">'[8]Basic Rates'!$D$19</definedName>
    <definedName name="exr" localSheetId="39">'[8]Basic Rates'!$D$19</definedName>
    <definedName name="exr" localSheetId="40">'[8]Basic Rates'!$D$19</definedName>
    <definedName name="exr" localSheetId="36">'[8]Basic Rates'!$D$19</definedName>
    <definedName name="exr" localSheetId="20">'[8]Basic Rates'!$D$19</definedName>
    <definedName name="exr" localSheetId="21">'[8]Basic Rates'!$D$19</definedName>
    <definedName name="exr" localSheetId="33">'[8]Basic Rates'!$D$19</definedName>
    <definedName name="exr" localSheetId="18">'[8]Basic Rates'!$D$19</definedName>
    <definedName name="exr" localSheetId="26">'[8]Basic Rates'!$D$19</definedName>
    <definedName name="exr" localSheetId="13">'[8]Basic Rates'!$D$19</definedName>
    <definedName name="exr" localSheetId="14">'[8]Basic Rates'!$D$19</definedName>
    <definedName name="exr" localSheetId="19">'[8]Basic Rates'!$D$19</definedName>
    <definedName name="exr" localSheetId="34">'[8]Basic Rates'!$D$19</definedName>
    <definedName name="exr" localSheetId="69">'[8]Basic Rates'!$D$19</definedName>
    <definedName name="exr" localSheetId="68">'[8]Basic Rates'!$D$19</definedName>
    <definedName name="exr" localSheetId="51">#REF!</definedName>
    <definedName name="exr" localSheetId="38">'[8]Basic Rates'!$D$19</definedName>
    <definedName name="exr" localSheetId="71">'[8]Basic Rates'!$D$19</definedName>
    <definedName name="exr" localSheetId="65">'[8]Basic Rates'!$D$19</definedName>
    <definedName name="exr" localSheetId="66">'[8]Basic Rates'!$D$19</definedName>
    <definedName name="exr" localSheetId="67">'[8]Basic Rates'!$D$19</definedName>
    <definedName name="exr" localSheetId="42">'[8]Basic Rates'!$D$19</definedName>
    <definedName name="exr">'[9]Basic Rates'!$D$19</definedName>
    <definedName name="ExRate" localSheetId="35">'[6]Energy_INPUT&amp;OUTPUT'!$C$36</definedName>
    <definedName name="ExRate" localSheetId="37">'[6]Energy_INPUT&amp;OUTPUT'!$C$36</definedName>
    <definedName name="ExRate" localSheetId="57">'[6]Energy_INPUT&amp;OUTPUT'!$C$36</definedName>
    <definedName name="ExRate" localSheetId="23">'[6]Energy_INPUT&amp;OUTPUT'!$C$36</definedName>
    <definedName name="ExRate" localSheetId="27">'[6]Energy_INPUT&amp;OUTPUT'!$C$36</definedName>
    <definedName name="ExRate" localSheetId="17">'[6]Energy_INPUT&amp;OUTPUT'!$C$36</definedName>
    <definedName name="ExRate" localSheetId="41">'[6]Energy_INPUT&amp;OUTPUT'!$C$36</definedName>
    <definedName name="ExRate" localSheetId="39">'[6]Energy_INPUT&amp;OUTPUT'!$C$36</definedName>
    <definedName name="ExRate" localSheetId="40">'[6]Energy_INPUT&amp;OUTPUT'!$C$36</definedName>
    <definedName name="ExRate" localSheetId="36">'[6]Energy_INPUT&amp;OUTPUT'!$C$36</definedName>
    <definedName name="ExRate" localSheetId="20">'[6]Energy_INPUT&amp;OUTPUT'!$C$36</definedName>
    <definedName name="ExRate" localSheetId="21">'[6]Energy_INPUT&amp;OUTPUT'!$C$36</definedName>
    <definedName name="ExRate" localSheetId="33">'[6]Energy_INPUT&amp;OUTPUT'!$C$36</definedName>
    <definedName name="ExRate" localSheetId="18">'[6]Energy_INPUT&amp;OUTPUT'!$C$36</definedName>
    <definedName name="ExRate" localSheetId="26">'[6]Energy_INPUT&amp;OUTPUT'!$C$36</definedName>
    <definedName name="ExRate" localSheetId="13">'[6]Energy_INPUT&amp;OUTPUT'!$C$36</definedName>
    <definedName name="ExRate" localSheetId="14">'[6]Energy_INPUT&amp;OUTPUT'!$C$36</definedName>
    <definedName name="ExRate" localSheetId="19">'[6]Energy_INPUT&amp;OUTPUT'!$C$36</definedName>
    <definedName name="ExRate" localSheetId="34">'[6]Energy_INPUT&amp;OUTPUT'!$C$36</definedName>
    <definedName name="ExRate" localSheetId="69">'[6]Energy_INPUT&amp;OUTPUT'!$C$36</definedName>
    <definedName name="ExRate" localSheetId="68">'[6]Energy_INPUT&amp;OUTPUT'!$C$36</definedName>
    <definedName name="ExRate" localSheetId="38">'[6]Energy_INPUT&amp;OUTPUT'!$C$36</definedName>
    <definedName name="ExRate" localSheetId="71">'[6]Energy_INPUT&amp;OUTPUT'!$C$36</definedName>
    <definedName name="ExRate" localSheetId="65">'[6]Energy_INPUT&amp;OUTPUT'!$C$36</definedName>
    <definedName name="ExRate" localSheetId="66">'[6]Energy_INPUT&amp;OUTPUT'!$C$36</definedName>
    <definedName name="ExRate" localSheetId="67">'[6]Energy_INPUT&amp;OUTPUT'!$C$36</definedName>
    <definedName name="ExRate" localSheetId="42">'[6]Energy_INPUT&amp;OUTPUT'!$C$36</definedName>
    <definedName name="ExRate">'[7]Energy_INPUT&amp;OUTPUT'!$C$36</definedName>
    <definedName name="f" localSheetId="78">#REF!</definedName>
    <definedName name="f" localSheetId="1">#REF!</definedName>
    <definedName name="f" localSheetId="57">#REF!</definedName>
    <definedName name="f" localSheetId="23">#REF!</definedName>
    <definedName name="f" localSheetId="47">#REF!</definedName>
    <definedName name="f" localSheetId="58">#REF!</definedName>
    <definedName name="f" localSheetId="0">#REF!</definedName>
    <definedName name="f" localSheetId="52">#REF!</definedName>
    <definedName name="f" localSheetId="61">#REF!</definedName>
    <definedName name="f_10" localSheetId="78">#REF!</definedName>
    <definedName name="f_10" localSheetId="1">#REF!</definedName>
    <definedName name="f_10" localSheetId="57">#REF!</definedName>
    <definedName name="f_10" localSheetId="23">#REF!</definedName>
    <definedName name="f_10" localSheetId="47">#REF!</definedName>
    <definedName name="f_10" localSheetId="58">#REF!</definedName>
    <definedName name="f_10" localSheetId="0">#REF!</definedName>
    <definedName name="f_10" localSheetId="52">#REF!</definedName>
    <definedName name="f_10" localSheetId="61">#REF!</definedName>
    <definedName name="f_1d" localSheetId="78">#REF!</definedName>
    <definedName name="f_1d" localSheetId="1">#REF!</definedName>
    <definedName name="f_1d" localSheetId="57">#REF!</definedName>
    <definedName name="f_1d" localSheetId="23">#REF!</definedName>
    <definedName name="f_1d" localSheetId="47">#REF!</definedName>
    <definedName name="f_1d" localSheetId="58">#REF!</definedName>
    <definedName name="f_1d" localSheetId="0">#REF!</definedName>
    <definedName name="f_1d" localSheetId="52">#REF!</definedName>
    <definedName name="f_1d" localSheetId="61">#REF!</definedName>
    <definedName name="f_1u" localSheetId="78">#REF!</definedName>
    <definedName name="f_1u" localSheetId="1">#REF!</definedName>
    <definedName name="f_1u" localSheetId="57">#REF!</definedName>
    <definedName name="f_1u" localSheetId="23">#REF!</definedName>
    <definedName name="f_1u" localSheetId="47">#REF!</definedName>
    <definedName name="f_1u" localSheetId="58">#REF!</definedName>
    <definedName name="f_1u" localSheetId="0">#REF!</definedName>
    <definedName name="f_1u" localSheetId="52">#REF!</definedName>
    <definedName name="f_1u" localSheetId="61">#REF!</definedName>
    <definedName name="f_3" localSheetId="78">#REF!</definedName>
    <definedName name="f_3" localSheetId="1">#REF!</definedName>
    <definedName name="f_3" localSheetId="57">#REF!</definedName>
    <definedName name="f_3" localSheetId="23">#REF!</definedName>
    <definedName name="f_3" localSheetId="47">#REF!</definedName>
    <definedName name="f_3" localSheetId="58">#REF!</definedName>
    <definedName name="f_3" localSheetId="0">#REF!</definedName>
    <definedName name="f_3" localSheetId="52">#REF!</definedName>
    <definedName name="f_3" localSheetId="61">#REF!</definedName>
    <definedName name="f_5" localSheetId="78">#REF!</definedName>
    <definedName name="f_5" localSheetId="1">#REF!</definedName>
    <definedName name="f_5" localSheetId="57">#REF!</definedName>
    <definedName name="f_5" localSheetId="23">#REF!</definedName>
    <definedName name="f_5" localSheetId="47">#REF!</definedName>
    <definedName name="f_5" localSheetId="58">#REF!</definedName>
    <definedName name="f_5" localSheetId="0">#REF!</definedName>
    <definedName name="f_5" localSheetId="52">#REF!</definedName>
    <definedName name="f_5" localSheetId="61">#REF!</definedName>
    <definedName name="f_6" localSheetId="78">#REF!</definedName>
    <definedName name="f_6" localSheetId="1">#REF!</definedName>
    <definedName name="f_6" localSheetId="57">#REF!</definedName>
    <definedName name="f_6" localSheetId="23">#REF!</definedName>
    <definedName name="f_6" localSheetId="47">#REF!</definedName>
    <definedName name="f_6" localSheetId="58">#REF!</definedName>
    <definedName name="f_6" localSheetId="0">#REF!</definedName>
    <definedName name="f_6" localSheetId="52">#REF!</definedName>
    <definedName name="f_6" localSheetId="61">#REF!</definedName>
    <definedName name="f_7" localSheetId="78">#REF!</definedName>
    <definedName name="f_7" localSheetId="1">#REF!</definedName>
    <definedName name="f_7" localSheetId="57">#REF!</definedName>
    <definedName name="f_7" localSheetId="23">#REF!</definedName>
    <definedName name="f_7" localSheetId="47">#REF!</definedName>
    <definedName name="f_7" localSheetId="58">#REF!</definedName>
    <definedName name="f_7" localSheetId="0">#REF!</definedName>
    <definedName name="f_7" localSheetId="52">#REF!</definedName>
    <definedName name="f_7" localSheetId="61">#REF!</definedName>
    <definedName name="f_8" localSheetId="78">#REF!</definedName>
    <definedName name="f_8" localSheetId="1">#REF!</definedName>
    <definedName name="f_8" localSheetId="57">#REF!</definedName>
    <definedName name="f_8" localSheetId="23">#REF!</definedName>
    <definedName name="f_8" localSheetId="47">#REF!</definedName>
    <definedName name="f_8" localSheetId="58">#REF!</definedName>
    <definedName name="f_8" localSheetId="0">#REF!</definedName>
    <definedName name="f_8" localSheetId="52">#REF!</definedName>
    <definedName name="f_8" localSheetId="61">#REF!</definedName>
    <definedName name="f_9" localSheetId="78">#REF!</definedName>
    <definedName name="f_9" localSheetId="1">#REF!</definedName>
    <definedName name="f_9" localSheetId="57">#REF!</definedName>
    <definedName name="f_9" localSheetId="23">#REF!</definedName>
    <definedName name="f_9" localSheetId="47">#REF!</definedName>
    <definedName name="f_9" localSheetId="58">#REF!</definedName>
    <definedName name="f_9" localSheetId="0">#REF!</definedName>
    <definedName name="f_9" localSheetId="52">#REF!</definedName>
    <definedName name="f_9" localSheetId="61">#REF!</definedName>
    <definedName name="f1u" localSheetId="78">#REF!</definedName>
    <definedName name="f1u" localSheetId="1">#REF!</definedName>
    <definedName name="f1u" localSheetId="57">#REF!</definedName>
    <definedName name="f1u" localSheetId="23">#REF!</definedName>
    <definedName name="f1u" localSheetId="47">#REF!</definedName>
    <definedName name="f1u" localSheetId="58">#REF!</definedName>
    <definedName name="f1u" localSheetId="0">#REF!</definedName>
    <definedName name="f1u" localSheetId="52">#REF!</definedName>
    <definedName name="f1u" localSheetId="61">#REF!</definedName>
    <definedName name="f2u" localSheetId="78">#REF!</definedName>
    <definedName name="f2u" localSheetId="1">#REF!</definedName>
    <definedName name="f2u" localSheetId="57">#REF!</definedName>
    <definedName name="f2u" localSheetId="23">#REF!</definedName>
    <definedName name="f2u" localSheetId="47">#REF!</definedName>
    <definedName name="f2u" localSheetId="58">#REF!</definedName>
    <definedName name="f2u" localSheetId="0">#REF!</definedName>
    <definedName name="f2u" localSheetId="52">#REF!</definedName>
    <definedName name="f2u" localSheetId="61">#REF!</definedName>
    <definedName name="fan" localSheetId="35">'[8]Basic Rates'!$D$152</definedName>
    <definedName name="fan" localSheetId="37">'[8]Basic Rates'!$D$152</definedName>
    <definedName name="fan" localSheetId="57">'[8]Basic Rates'!$D$152</definedName>
    <definedName name="fan" localSheetId="23">'[8]Basic Rates'!$D$152</definedName>
    <definedName name="fan" localSheetId="27">'[8]Basic Rates'!$D$152</definedName>
    <definedName name="fan" localSheetId="17">'[8]Basic Rates'!$D$152</definedName>
    <definedName name="fan" localSheetId="41">'[8]Basic Rates'!$D$152</definedName>
    <definedName name="fan" localSheetId="39">'[8]Basic Rates'!$D$152</definedName>
    <definedName name="fan" localSheetId="40">'[8]Basic Rates'!$D$152</definedName>
    <definedName name="fan" localSheetId="36">'[8]Basic Rates'!$D$152</definedName>
    <definedName name="fan" localSheetId="20">'[8]Basic Rates'!$D$152</definedName>
    <definedName name="fan" localSheetId="21">'[8]Basic Rates'!$D$152</definedName>
    <definedName name="fan" localSheetId="33">'[8]Basic Rates'!$D$152</definedName>
    <definedName name="fan" localSheetId="18">'[8]Basic Rates'!$D$152</definedName>
    <definedName name="fan" localSheetId="26">'[8]Basic Rates'!$D$152</definedName>
    <definedName name="fan" localSheetId="13">'[8]Basic Rates'!$D$152</definedName>
    <definedName name="fan" localSheetId="14">'[8]Basic Rates'!$D$152</definedName>
    <definedName name="fan" localSheetId="19">'[8]Basic Rates'!$D$152</definedName>
    <definedName name="fan" localSheetId="34">'[8]Basic Rates'!$D$152</definedName>
    <definedName name="fan" localSheetId="69">'[8]Basic Rates'!$D$152</definedName>
    <definedName name="fan" localSheetId="68">'[8]Basic Rates'!$D$152</definedName>
    <definedName name="fan" localSheetId="51">#REF!</definedName>
    <definedName name="fan" localSheetId="38">'[8]Basic Rates'!$D$152</definedName>
    <definedName name="fan" localSheetId="71">'[8]Basic Rates'!$D$152</definedName>
    <definedName name="fan" localSheetId="65">'[8]Basic Rates'!$D$152</definedName>
    <definedName name="fan" localSheetId="66">'[8]Basic Rates'!$D$152</definedName>
    <definedName name="fan" localSheetId="67">'[8]Basic Rates'!$D$152</definedName>
    <definedName name="fan" localSheetId="42">'[8]Basic Rates'!$D$152</definedName>
    <definedName name="fan">'[9]Basic Rates'!$D$152</definedName>
    <definedName name="fgt" localSheetId="4" hidden="1">[1]Solu!#REF!</definedName>
    <definedName name="fgt" localSheetId="78" hidden="1">[1]Solu!#REF!</definedName>
    <definedName name="fgt" localSheetId="7" hidden="1">[1]Solu!#REF!</definedName>
    <definedName name="fgt" localSheetId="8" hidden="1">[1]Solu!#REF!</definedName>
    <definedName name="fgt" localSheetId="1" hidden="1">[1]Solu!#REF!</definedName>
    <definedName name="fgt" localSheetId="24" hidden="1">[1]Solu!#REF!</definedName>
    <definedName name="fgt" localSheetId="35" hidden="1">[2]Solu!#REF!</definedName>
    <definedName name="fgt" localSheetId="37" hidden="1">[2]Solu!#REF!</definedName>
    <definedName name="fgt" localSheetId="57" hidden="1">[2]Solu!#REF!</definedName>
    <definedName name="fgt" localSheetId="5" hidden="1">[1]Solu!#REF!</definedName>
    <definedName name="fgt" localSheetId="23" hidden="1">[2]Solu!#REF!</definedName>
    <definedName name="fgt" localSheetId="27" hidden="1">[2]Solu!#REF!</definedName>
    <definedName name="fgt" localSheetId="17" hidden="1">[2]Solu!#REF!</definedName>
    <definedName name="fgt" localSheetId="47" hidden="1">[1]Solu!#REF!</definedName>
    <definedName name="fgt" localSheetId="41" hidden="1">[2]Solu!#REF!</definedName>
    <definedName name="fgt" localSheetId="39" hidden="1">[2]Solu!#REF!</definedName>
    <definedName name="fgt" localSheetId="40" hidden="1">[2]Solu!#REF!</definedName>
    <definedName name="fgt" localSheetId="32" hidden="1">[1]Solu!#REF!</definedName>
    <definedName name="fgt" localSheetId="43" hidden="1">[2]Solu!#REF!</definedName>
    <definedName name="fgt" localSheetId="44" hidden="1">[2]Solu!#REF!</definedName>
    <definedName name="fgt" localSheetId="45" hidden="1">[2]Solu!#REF!</definedName>
    <definedName name="fgt" localSheetId="46" hidden="1">[2]Solu!#REF!</definedName>
    <definedName name="fgt" localSheetId="36" hidden="1">[2]Solu!#REF!</definedName>
    <definedName name="fgt" localSheetId="20" hidden="1">[2]Solu!#REF!</definedName>
    <definedName name="fgt" localSheetId="21" hidden="1">[2]Solu!#REF!</definedName>
    <definedName name="fgt" localSheetId="33" hidden="1">[2]Solu!#REF!</definedName>
    <definedName name="fgt" localSheetId="18" hidden="1">[2]Solu!#REF!</definedName>
    <definedName name="fgt" localSheetId="29" hidden="1">[1]Solu!#REF!</definedName>
    <definedName name="fgt" localSheetId="26" hidden="1">[2]Solu!#REF!</definedName>
    <definedName name="fgt" localSheetId="25" hidden="1">[1]Solu!#REF!</definedName>
    <definedName name="fgt" localSheetId="13" hidden="1">[2]Solu!#REF!</definedName>
    <definedName name="fgt" localSheetId="14" hidden="1">[2]Solu!#REF!</definedName>
    <definedName name="fgt" localSheetId="12" hidden="1">[1]Solu!#REF!</definedName>
    <definedName name="fgt" localSheetId="19" hidden="1">[2]Solu!#REF!</definedName>
    <definedName name="fgt" localSheetId="34" hidden="1">[2]Solu!#REF!</definedName>
    <definedName name="fgt" localSheetId="58" hidden="1">[1]Solu!#REF!</definedName>
    <definedName name="fgt" localSheetId="69" hidden="1">[2]Solu!#REF!</definedName>
    <definedName name="fgt" localSheetId="68" hidden="1">[2]Solu!#REF!</definedName>
    <definedName name="fgt" localSheetId="0" hidden="1">[1]Solu!#REF!</definedName>
    <definedName name="fgt" localSheetId="52" hidden="1">[1]Solu!#REF!</definedName>
    <definedName name="fgt" localSheetId="73" hidden="1">[2]Solu!#REF!</definedName>
    <definedName name="fgt" localSheetId="61" hidden="1">[1]Solu!#REF!</definedName>
    <definedName name="fgt" localSheetId="38" hidden="1">[2]Solu!#REF!</definedName>
    <definedName name="fgt" localSheetId="71" hidden="1">[2]Solu!#REF!</definedName>
    <definedName name="fgt" localSheetId="22" hidden="1">[1]Solu!#REF!</definedName>
    <definedName name="fgt" localSheetId="28" hidden="1">[1]Solu!#REF!</definedName>
    <definedName name="fgt" localSheetId="65" hidden="1">[2]Solu!#REF!</definedName>
    <definedName name="fgt" localSheetId="66" hidden="1">[2]Solu!#REF!</definedName>
    <definedName name="fgt" localSheetId="67" hidden="1">[2]Solu!#REF!</definedName>
    <definedName name="fgt" localSheetId="42" hidden="1">[2]Solu!#REF!</definedName>
    <definedName name="fgt" hidden="1">[1]Solu!#REF!</definedName>
    <definedName name="fid" localSheetId="78">#REF!</definedName>
    <definedName name="fid" localSheetId="1">#REF!</definedName>
    <definedName name="fid" localSheetId="57">#REF!</definedName>
    <definedName name="fid" localSheetId="23">#REF!</definedName>
    <definedName name="fid" localSheetId="47">#REF!</definedName>
    <definedName name="fid" localSheetId="58">#REF!</definedName>
    <definedName name="fid" localSheetId="0">#REF!</definedName>
    <definedName name="fid" localSheetId="52">#REF!</definedName>
    <definedName name="fid" localSheetId="61">#REF!</definedName>
    <definedName name="filter" localSheetId="35">'[10]RATES INCLUDING TRANSPORATION'!$V$27</definedName>
    <definedName name="filter" localSheetId="37">'[10]RATES INCLUDING TRANSPORATION'!$V$27</definedName>
    <definedName name="filter" localSheetId="17">'[10]RATES INCLUDING TRANSPORATION'!$V$27</definedName>
    <definedName name="filter" localSheetId="47">#REF!</definedName>
    <definedName name="filter" localSheetId="41">'[10]RATES INCLUDING TRANSPORATION'!$V$27</definedName>
    <definedName name="filter" localSheetId="39">'[10]RATES INCLUDING TRANSPORATION'!$V$27</definedName>
    <definedName name="filter" localSheetId="40">'[10]RATES INCLUDING TRANSPORATION'!$V$27</definedName>
    <definedName name="filter" localSheetId="36">'[10]RATES INCLUDING TRANSPORATION'!$V$27</definedName>
    <definedName name="filter" localSheetId="20">'[10]RATES INCLUDING TRANSPORATION'!$V$27</definedName>
    <definedName name="filter" localSheetId="21">'[10]RATES INCLUDING TRANSPORATION'!$V$27</definedName>
    <definedName name="filter" localSheetId="33">'[10]RATES INCLUDING TRANSPORATION'!$V$27</definedName>
    <definedName name="filter" localSheetId="18">'[10]RATES INCLUDING TRANSPORATION'!$V$27</definedName>
    <definedName name="filter" localSheetId="19">'[10]RATES INCLUDING TRANSPORATION'!$V$27</definedName>
    <definedName name="filter" localSheetId="34">'[10]RATES INCLUDING TRANSPORATION'!$V$27</definedName>
    <definedName name="filter" localSheetId="69">'[10]RATES INCLUDING TRANSPORATION'!$V$27</definedName>
    <definedName name="filter" localSheetId="68">'[10]RATES INCLUDING TRANSPORATION'!$V$27</definedName>
    <definedName name="filter" localSheetId="38">'[10]RATES INCLUDING TRANSPORATION'!$V$27</definedName>
    <definedName name="filter" localSheetId="65">'[10]RATES INCLUDING TRANSPORATION'!$V$27</definedName>
    <definedName name="filter" localSheetId="66">'[10]RATES INCLUDING TRANSPORATION'!$V$27</definedName>
    <definedName name="filter" localSheetId="67">'[10]RATES INCLUDING TRANSPORATION'!$V$27</definedName>
    <definedName name="filter" localSheetId="42">'[10]RATES INCLUDING TRANSPORATION'!$V$27</definedName>
    <definedName name="FLinlet" localSheetId="78">'[22]Settling Basin'!#REF!</definedName>
    <definedName name="FLinlet" localSheetId="1">'[22]Settling Basin'!#REF!</definedName>
    <definedName name="FLinlet" localSheetId="57">'[23]Settling Basin'!#REF!</definedName>
    <definedName name="FLinlet" localSheetId="23">'[23]Settling Basin'!#REF!</definedName>
    <definedName name="FLinlet" localSheetId="47">'[22]Settling Basin'!#REF!</definedName>
    <definedName name="FLinlet" localSheetId="58">'[22]Settling Basin'!#REF!</definedName>
    <definedName name="FLinlet" localSheetId="0">'[22]Settling Basin'!#REF!</definedName>
    <definedName name="FLinlet" localSheetId="52">'[22]Settling Basin'!#REF!</definedName>
    <definedName name="FLinlet" localSheetId="61">'[22]Settling Basin'!#REF!</definedName>
    <definedName name="Flushing_Start" localSheetId="35">'[6]Energy_INPUT&amp;OUTPUT'!$C$45</definedName>
    <definedName name="Flushing_Start" localSheetId="37">'[6]Energy_INPUT&amp;OUTPUT'!$C$45</definedName>
    <definedName name="Flushing_Start" localSheetId="57">'[6]Energy_INPUT&amp;OUTPUT'!$C$45</definedName>
    <definedName name="Flushing_Start" localSheetId="23">'[6]Energy_INPUT&amp;OUTPUT'!$C$45</definedName>
    <definedName name="Flushing_Start" localSheetId="27">'[6]Energy_INPUT&amp;OUTPUT'!$C$45</definedName>
    <definedName name="Flushing_Start" localSheetId="17">'[6]Energy_INPUT&amp;OUTPUT'!$C$45</definedName>
    <definedName name="Flushing_Start" localSheetId="41">'[6]Energy_INPUT&amp;OUTPUT'!$C$45</definedName>
    <definedName name="Flushing_Start" localSheetId="39">'[6]Energy_INPUT&amp;OUTPUT'!$C$45</definedName>
    <definedName name="Flushing_Start" localSheetId="40">'[6]Energy_INPUT&amp;OUTPUT'!$C$45</definedName>
    <definedName name="Flushing_Start" localSheetId="36">'[6]Energy_INPUT&amp;OUTPUT'!$C$45</definedName>
    <definedName name="Flushing_Start" localSheetId="20">'[6]Energy_INPUT&amp;OUTPUT'!$C$45</definedName>
    <definedName name="Flushing_Start" localSheetId="21">'[6]Energy_INPUT&amp;OUTPUT'!$C$45</definedName>
    <definedName name="Flushing_Start" localSheetId="33">'[6]Energy_INPUT&amp;OUTPUT'!$C$45</definedName>
    <definedName name="Flushing_Start" localSheetId="18">'[6]Energy_INPUT&amp;OUTPUT'!$C$45</definedName>
    <definedName name="Flushing_Start" localSheetId="26">'[6]Energy_INPUT&amp;OUTPUT'!$C$45</definedName>
    <definedName name="Flushing_Start" localSheetId="13">'[6]Energy_INPUT&amp;OUTPUT'!$C$45</definedName>
    <definedName name="Flushing_Start" localSheetId="14">'[6]Energy_INPUT&amp;OUTPUT'!$C$45</definedName>
    <definedName name="Flushing_Start" localSheetId="19">'[6]Energy_INPUT&amp;OUTPUT'!$C$45</definedName>
    <definedName name="Flushing_Start" localSheetId="34">'[6]Energy_INPUT&amp;OUTPUT'!$C$45</definedName>
    <definedName name="Flushing_Start" localSheetId="69">'[6]Energy_INPUT&amp;OUTPUT'!$C$45</definedName>
    <definedName name="Flushing_Start" localSheetId="68">'[6]Energy_INPUT&amp;OUTPUT'!$C$45</definedName>
    <definedName name="Flushing_Start" localSheetId="38">'[6]Energy_INPUT&amp;OUTPUT'!$C$45</definedName>
    <definedName name="Flushing_Start" localSheetId="71">'[6]Energy_INPUT&amp;OUTPUT'!$C$45</definedName>
    <definedName name="Flushing_Start" localSheetId="65">'[6]Energy_INPUT&amp;OUTPUT'!$C$45</definedName>
    <definedName name="Flushing_Start" localSheetId="66">'[6]Energy_INPUT&amp;OUTPUT'!$C$45</definedName>
    <definedName name="Flushing_Start" localSheetId="67">'[6]Energy_INPUT&amp;OUTPUT'!$C$45</definedName>
    <definedName name="Flushing_Start" localSheetId="42">'[6]Energy_INPUT&amp;OUTPUT'!$C$45</definedName>
    <definedName name="Flushing_Start">'[7]Energy_INPUT&amp;OUTPUT'!$C$45</definedName>
    <definedName name="Flushing_Till" localSheetId="35">'[6]Energy_INPUT&amp;OUTPUT'!$C$47</definedName>
    <definedName name="Flushing_Till" localSheetId="37">'[6]Energy_INPUT&amp;OUTPUT'!$C$47</definedName>
    <definedName name="Flushing_Till" localSheetId="57">'[6]Energy_INPUT&amp;OUTPUT'!$C$47</definedName>
    <definedName name="Flushing_Till" localSheetId="23">'[6]Energy_INPUT&amp;OUTPUT'!$C$47</definedName>
    <definedName name="Flushing_Till" localSheetId="27">'[6]Energy_INPUT&amp;OUTPUT'!$C$47</definedName>
    <definedName name="Flushing_Till" localSheetId="17">'[6]Energy_INPUT&amp;OUTPUT'!$C$47</definedName>
    <definedName name="Flushing_Till" localSheetId="41">'[6]Energy_INPUT&amp;OUTPUT'!$C$47</definedName>
    <definedName name="Flushing_Till" localSheetId="39">'[6]Energy_INPUT&amp;OUTPUT'!$C$47</definedName>
    <definedName name="Flushing_Till" localSheetId="40">'[6]Energy_INPUT&amp;OUTPUT'!$C$47</definedName>
    <definedName name="Flushing_Till" localSheetId="36">'[6]Energy_INPUT&amp;OUTPUT'!$C$47</definedName>
    <definedName name="Flushing_Till" localSheetId="20">'[6]Energy_INPUT&amp;OUTPUT'!$C$47</definedName>
    <definedName name="Flushing_Till" localSheetId="21">'[6]Energy_INPUT&amp;OUTPUT'!$C$47</definedName>
    <definedName name="Flushing_Till" localSheetId="33">'[6]Energy_INPUT&amp;OUTPUT'!$C$47</definedName>
    <definedName name="Flushing_Till" localSheetId="18">'[6]Energy_INPUT&amp;OUTPUT'!$C$47</definedName>
    <definedName name="Flushing_Till" localSheetId="26">'[6]Energy_INPUT&amp;OUTPUT'!$C$47</definedName>
    <definedName name="Flushing_Till" localSheetId="13">'[6]Energy_INPUT&amp;OUTPUT'!$C$47</definedName>
    <definedName name="Flushing_Till" localSheetId="14">'[6]Energy_INPUT&amp;OUTPUT'!$C$47</definedName>
    <definedName name="Flushing_Till" localSheetId="19">'[6]Energy_INPUT&amp;OUTPUT'!$C$47</definedName>
    <definedName name="Flushing_Till" localSheetId="34">'[6]Energy_INPUT&amp;OUTPUT'!$C$47</definedName>
    <definedName name="Flushing_Till" localSheetId="69">'[6]Energy_INPUT&amp;OUTPUT'!$C$47</definedName>
    <definedName name="Flushing_Till" localSheetId="68">'[6]Energy_INPUT&amp;OUTPUT'!$C$47</definedName>
    <definedName name="Flushing_Till" localSheetId="38">'[6]Energy_INPUT&amp;OUTPUT'!$C$47</definedName>
    <definedName name="Flushing_Till" localSheetId="71">'[6]Energy_INPUT&amp;OUTPUT'!$C$47</definedName>
    <definedName name="Flushing_Till" localSheetId="65">'[6]Energy_INPUT&amp;OUTPUT'!$C$47</definedName>
    <definedName name="Flushing_Till" localSheetId="66">'[6]Energy_INPUT&amp;OUTPUT'!$C$47</definedName>
    <definedName name="Flushing_Till" localSheetId="67">'[6]Energy_INPUT&amp;OUTPUT'!$C$47</definedName>
    <definedName name="Flushing_Till" localSheetId="42">'[6]Energy_INPUT&amp;OUTPUT'!$C$47</definedName>
    <definedName name="Flushing_Till">'[7]Energy_INPUT&amp;OUTPUT'!$C$47</definedName>
    <definedName name="fr" localSheetId="35">'[8]Basic Rates'!$D$27</definedName>
    <definedName name="fr" localSheetId="37">'[8]Basic Rates'!$D$27</definedName>
    <definedName name="fr" localSheetId="57">'[8]Basic Rates'!$D$27</definedName>
    <definedName name="fr" localSheetId="23">'[8]Basic Rates'!$D$27</definedName>
    <definedName name="fr" localSheetId="27">'[8]Basic Rates'!$D$27</definedName>
    <definedName name="fr" localSheetId="17">'[8]Basic Rates'!$D$27</definedName>
    <definedName name="fr" localSheetId="41">'[8]Basic Rates'!$D$27</definedName>
    <definedName name="fr" localSheetId="39">'[8]Basic Rates'!$D$27</definedName>
    <definedName name="fr" localSheetId="40">'[8]Basic Rates'!$D$27</definedName>
    <definedName name="fr" localSheetId="36">'[8]Basic Rates'!$D$27</definedName>
    <definedName name="fr" localSheetId="20">'[8]Basic Rates'!$D$27</definedName>
    <definedName name="fr" localSheetId="21">'[8]Basic Rates'!$D$27</definedName>
    <definedName name="fr" localSheetId="33">'[8]Basic Rates'!$D$27</definedName>
    <definedName name="fr" localSheetId="18">'[8]Basic Rates'!$D$27</definedName>
    <definedName name="fr" localSheetId="26">'[8]Basic Rates'!$D$27</definedName>
    <definedName name="fr" localSheetId="13">'[8]Basic Rates'!$D$27</definedName>
    <definedName name="fr" localSheetId="14">'[8]Basic Rates'!$D$27</definedName>
    <definedName name="fr" localSheetId="19">'[8]Basic Rates'!$D$27</definedName>
    <definedName name="fr" localSheetId="34">'[8]Basic Rates'!$D$27</definedName>
    <definedName name="fr" localSheetId="69">'[8]Basic Rates'!$D$27</definedName>
    <definedName name="fr" localSheetId="68">'[8]Basic Rates'!$D$27</definedName>
    <definedName name="fr" localSheetId="51">#REF!</definedName>
    <definedName name="fr" localSheetId="38">'[8]Basic Rates'!$D$27</definedName>
    <definedName name="fr" localSheetId="71">'[8]Basic Rates'!$D$27</definedName>
    <definedName name="fr" localSheetId="65">'[8]Basic Rates'!$D$27</definedName>
    <definedName name="fr" localSheetId="66">'[8]Basic Rates'!$D$27</definedName>
    <definedName name="fr" localSheetId="67">'[8]Basic Rates'!$D$27</definedName>
    <definedName name="fr" localSheetId="42">'[8]Basic Rates'!$D$27</definedName>
    <definedName name="fr">'[9]Basic Rates'!$D$27</definedName>
    <definedName name="Freaboard" localSheetId="78">#REF!</definedName>
    <definedName name="Freaboard" localSheetId="1">#REF!</definedName>
    <definedName name="Freaboard" localSheetId="57">#REF!</definedName>
    <definedName name="Freaboard" localSheetId="23">#REF!</definedName>
    <definedName name="Freaboard" localSheetId="47">#REF!</definedName>
    <definedName name="Freaboard" localSheetId="58">#REF!</definedName>
    <definedName name="Freaboard" localSheetId="0">#REF!</definedName>
    <definedName name="Freaboard" localSheetId="52">#REF!</definedName>
    <definedName name="Freaboard" localSheetId="61">#REF!</definedName>
    <definedName name="FSL" localSheetId="35">'[6]Energy_INPUT&amp;OUTPUT'!$C$43</definedName>
    <definedName name="FSL" localSheetId="37">'[6]Energy_INPUT&amp;OUTPUT'!$C$43</definedName>
    <definedName name="FSL" localSheetId="57">'[6]Energy_INPUT&amp;OUTPUT'!$C$43</definedName>
    <definedName name="FSL" localSheetId="23">'[6]Energy_INPUT&amp;OUTPUT'!$C$43</definedName>
    <definedName name="FSL" localSheetId="27">'[6]Energy_INPUT&amp;OUTPUT'!$C$43</definedName>
    <definedName name="FSL" localSheetId="17">'[6]Energy_INPUT&amp;OUTPUT'!$C$43</definedName>
    <definedName name="FSL" localSheetId="41">'[6]Energy_INPUT&amp;OUTPUT'!$C$43</definedName>
    <definedName name="FSL" localSheetId="39">'[6]Energy_INPUT&amp;OUTPUT'!$C$43</definedName>
    <definedName name="FSL" localSheetId="40">'[6]Energy_INPUT&amp;OUTPUT'!$C$43</definedName>
    <definedName name="FSL" localSheetId="36">'[6]Energy_INPUT&amp;OUTPUT'!$C$43</definedName>
    <definedName name="FSL" localSheetId="20">'[6]Energy_INPUT&amp;OUTPUT'!$C$43</definedName>
    <definedName name="FSL" localSheetId="21">'[6]Energy_INPUT&amp;OUTPUT'!$C$43</definedName>
    <definedName name="FSL" localSheetId="33">'[6]Energy_INPUT&amp;OUTPUT'!$C$43</definedName>
    <definedName name="FSL" localSheetId="18">'[6]Energy_INPUT&amp;OUTPUT'!$C$43</definedName>
    <definedName name="FSL" localSheetId="26">'[6]Energy_INPUT&amp;OUTPUT'!$C$43</definedName>
    <definedName name="FSL" localSheetId="13">'[6]Energy_INPUT&amp;OUTPUT'!$C$43</definedName>
    <definedName name="FSL" localSheetId="14">'[6]Energy_INPUT&amp;OUTPUT'!$C$43</definedName>
    <definedName name="FSL" localSheetId="19">'[6]Energy_INPUT&amp;OUTPUT'!$C$43</definedName>
    <definedName name="FSL" localSheetId="34">'[6]Energy_INPUT&amp;OUTPUT'!$C$43</definedName>
    <definedName name="FSL" localSheetId="69">'[6]Energy_INPUT&amp;OUTPUT'!$C$43</definedName>
    <definedName name="FSL" localSheetId="68">'[6]Energy_INPUT&amp;OUTPUT'!$C$43</definedName>
    <definedName name="FSL" localSheetId="38">'[6]Energy_INPUT&amp;OUTPUT'!$C$43</definedName>
    <definedName name="FSL" localSheetId="71">'[6]Energy_INPUT&amp;OUTPUT'!$C$43</definedName>
    <definedName name="FSL" localSheetId="65">'[6]Energy_INPUT&amp;OUTPUT'!$C$43</definedName>
    <definedName name="FSL" localSheetId="66">'[6]Energy_INPUT&amp;OUTPUT'!$C$43</definedName>
    <definedName name="FSL" localSheetId="67">'[6]Energy_INPUT&amp;OUTPUT'!$C$43</definedName>
    <definedName name="FSL" localSheetId="42">'[6]Energy_INPUT&amp;OUTPUT'!$C$43</definedName>
    <definedName name="FSL">'[7]Energy_INPUT&amp;OUTPUT'!$C$43</definedName>
    <definedName name="gabion_10" localSheetId="35">'[10]RATES INCLUDING TRANSPORATION'!$V$34</definedName>
    <definedName name="gabion_10" localSheetId="37">'[10]RATES INCLUDING TRANSPORATION'!$V$34</definedName>
    <definedName name="gabion_10" localSheetId="17">'[10]RATES INCLUDING TRANSPORATION'!$V$34</definedName>
    <definedName name="gabion_10" localSheetId="47">#REF!</definedName>
    <definedName name="gabion_10" localSheetId="41">'[10]RATES INCLUDING TRANSPORATION'!$V$34</definedName>
    <definedName name="gabion_10" localSheetId="39">'[10]RATES INCLUDING TRANSPORATION'!$V$34</definedName>
    <definedName name="gabion_10" localSheetId="40">'[10]RATES INCLUDING TRANSPORATION'!$V$34</definedName>
    <definedName name="gabion_10" localSheetId="36">'[10]RATES INCLUDING TRANSPORATION'!$V$34</definedName>
    <definedName name="gabion_10" localSheetId="20">'[10]RATES INCLUDING TRANSPORATION'!$V$34</definedName>
    <definedName name="gabion_10" localSheetId="21">'[10]RATES INCLUDING TRANSPORATION'!$V$34</definedName>
    <definedName name="gabion_10" localSheetId="33">'[10]RATES INCLUDING TRANSPORATION'!$V$34</definedName>
    <definedName name="gabion_10" localSheetId="18">'[10]RATES INCLUDING TRANSPORATION'!$V$34</definedName>
    <definedName name="gabion_10" localSheetId="19">'[10]RATES INCLUDING TRANSPORATION'!$V$34</definedName>
    <definedName name="gabion_10" localSheetId="34">'[10]RATES INCLUDING TRANSPORATION'!$V$34</definedName>
    <definedName name="gabion_10" localSheetId="69">'[10]RATES INCLUDING TRANSPORATION'!$V$34</definedName>
    <definedName name="gabion_10" localSheetId="68">'[10]RATES INCLUDING TRANSPORATION'!$V$34</definedName>
    <definedName name="gabion_10" localSheetId="38">'[10]RATES INCLUDING TRANSPORATION'!$V$34</definedName>
    <definedName name="gabion_10" localSheetId="65">'[10]RATES INCLUDING TRANSPORATION'!$V$34</definedName>
    <definedName name="gabion_10" localSheetId="66">'[10]RATES INCLUDING TRANSPORATION'!$V$34</definedName>
    <definedName name="gabion_10" localSheetId="67">'[10]RATES INCLUDING TRANSPORATION'!$V$34</definedName>
    <definedName name="gabion_10" localSheetId="42">'[10]RATES INCLUDING TRANSPORATION'!$V$34</definedName>
    <definedName name="gabion_12" localSheetId="35">'[10]RATES INCLUDING TRANSPORATION'!$V$35</definedName>
    <definedName name="gabion_12" localSheetId="37">'[10]RATES INCLUDING TRANSPORATION'!$V$35</definedName>
    <definedName name="gabion_12" localSheetId="17">'[10]RATES INCLUDING TRANSPORATION'!$V$35</definedName>
    <definedName name="gabion_12" localSheetId="47">#REF!</definedName>
    <definedName name="gabion_12" localSheetId="41">'[10]RATES INCLUDING TRANSPORATION'!$V$35</definedName>
    <definedName name="gabion_12" localSheetId="39">'[10]RATES INCLUDING TRANSPORATION'!$V$35</definedName>
    <definedName name="gabion_12" localSheetId="40">'[10]RATES INCLUDING TRANSPORATION'!$V$35</definedName>
    <definedName name="gabion_12" localSheetId="36">'[10]RATES INCLUDING TRANSPORATION'!$V$35</definedName>
    <definedName name="gabion_12" localSheetId="20">'[10]RATES INCLUDING TRANSPORATION'!$V$35</definedName>
    <definedName name="gabion_12" localSheetId="21">'[10]RATES INCLUDING TRANSPORATION'!$V$35</definedName>
    <definedName name="gabion_12" localSheetId="33">'[10]RATES INCLUDING TRANSPORATION'!$V$35</definedName>
    <definedName name="gabion_12" localSheetId="18">'[10]RATES INCLUDING TRANSPORATION'!$V$35</definedName>
    <definedName name="gabion_12" localSheetId="19">'[10]RATES INCLUDING TRANSPORATION'!$V$35</definedName>
    <definedName name="gabion_12" localSheetId="34">'[10]RATES INCLUDING TRANSPORATION'!$V$35</definedName>
    <definedName name="gabion_12" localSheetId="69">'[10]RATES INCLUDING TRANSPORATION'!$V$35</definedName>
    <definedName name="gabion_12" localSheetId="68">'[10]RATES INCLUDING TRANSPORATION'!$V$35</definedName>
    <definedName name="gabion_12" localSheetId="38">'[10]RATES INCLUDING TRANSPORATION'!$V$35</definedName>
    <definedName name="gabion_12" localSheetId="65">'[10]RATES INCLUDING TRANSPORATION'!$V$35</definedName>
    <definedName name="gabion_12" localSheetId="66">'[10]RATES INCLUDING TRANSPORATION'!$V$35</definedName>
    <definedName name="gabion_12" localSheetId="67">'[10]RATES INCLUDING TRANSPORATION'!$V$35</definedName>
    <definedName name="gabion_12" localSheetId="42">'[10]RATES INCLUDING TRANSPORATION'!$V$35</definedName>
    <definedName name="gabion_9" localSheetId="35">'[10]RATES INCLUDING TRANSPORATION'!$V$33</definedName>
    <definedName name="gabion_9" localSheetId="37">'[10]RATES INCLUDING TRANSPORATION'!$V$33</definedName>
    <definedName name="gabion_9" localSheetId="17">'[10]RATES INCLUDING TRANSPORATION'!$V$33</definedName>
    <definedName name="gabion_9" localSheetId="47">#REF!</definedName>
    <definedName name="gabion_9" localSheetId="41">'[10]RATES INCLUDING TRANSPORATION'!$V$33</definedName>
    <definedName name="gabion_9" localSheetId="39">'[10]RATES INCLUDING TRANSPORATION'!$V$33</definedName>
    <definedName name="gabion_9" localSheetId="40">'[10]RATES INCLUDING TRANSPORATION'!$V$33</definedName>
    <definedName name="gabion_9" localSheetId="36">'[10]RATES INCLUDING TRANSPORATION'!$V$33</definedName>
    <definedName name="gabion_9" localSheetId="20">'[10]RATES INCLUDING TRANSPORATION'!$V$33</definedName>
    <definedName name="gabion_9" localSheetId="21">'[10]RATES INCLUDING TRANSPORATION'!$V$33</definedName>
    <definedName name="gabion_9" localSheetId="33">'[10]RATES INCLUDING TRANSPORATION'!$V$33</definedName>
    <definedName name="gabion_9" localSheetId="18">'[10]RATES INCLUDING TRANSPORATION'!$V$33</definedName>
    <definedName name="gabion_9" localSheetId="19">'[10]RATES INCLUDING TRANSPORATION'!$V$33</definedName>
    <definedName name="gabion_9" localSheetId="34">'[10]RATES INCLUDING TRANSPORATION'!$V$33</definedName>
    <definedName name="gabion_9" localSheetId="69">'[10]RATES INCLUDING TRANSPORATION'!$V$33</definedName>
    <definedName name="gabion_9" localSheetId="68">'[10]RATES INCLUDING TRANSPORATION'!$V$33</definedName>
    <definedName name="gabion_9" localSheetId="38">'[10]RATES INCLUDING TRANSPORATION'!$V$33</definedName>
    <definedName name="gabion_9" localSheetId="65">'[10]RATES INCLUDING TRANSPORATION'!$V$33</definedName>
    <definedName name="gabion_9" localSheetId="66">'[10]RATES INCLUDING TRANSPORATION'!$V$33</definedName>
    <definedName name="gabion_9" localSheetId="67">'[10]RATES INCLUDING TRANSPORATION'!$V$33</definedName>
    <definedName name="gabion_9" localSheetId="42">'[10]RATES INCLUDING TRANSPORATION'!$V$33</definedName>
    <definedName name="gamma_concrete" localSheetId="78">#REF!</definedName>
    <definedName name="gamma_concrete" localSheetId="1">#REF!</definedName>
    <definedName name="gamma_concrete" localSheetId="57">#REF!</definedName>
    <definedName name="gamma_concrete" localSheetId="23">#REF!</definedName>
    <definedName name="gamma_concrete" localSheetId="47">#REF!</definedName>
    <definedName name="gamma_concrete" localSheetId="58">#REF!</definedName>
    <definedName name="gamma_concrete" localSheetId="0">#REF!</definedName>
    <definedName name="gamma_concrete" localSheetId="52">#REF!</definedName>
    <definedName name="gamma_concrete" localSheetId="61">#REF!</definedName>
    <definedName name="gamma_soil" localSheetId="78">#REF!</definedName>
    <definedName name="gamma_soil" localSheetId="1">#REF!</definedName>
    <definedName name="gamma_soil" localSheetId="57">#REF!</definedName>
    <definedName name="gamma_soil" localSheetId="23">#REF!</definedName>
    <definedName name="gamma_soil" localSheetId="47">#REF!</definedName>
    <definedName name="gamma_soil" localSheetId="58">#REF!</definedName>
    <definedName name="gamma_soil" localSheetId="0">#REF!</definedName>
    <definedName name="gamma_soil" localSheetId="52">#REF!</definedName>
    <definedName name="gamma_soil" localSheetId="61">#REF!</definedName>
    <definedName name="gamma_steel" localSheetId="78">#REF!</definedName>
    <definedName name="gamma_steel" localSheetId="1">#REF!</definedName>
    <definedName name="gamma_steel" localSheetId="57">#REF!</definedName>
    <definedName name="gamma_steel" localSheetId="23">#REF!</definedName>
    <definedName name="gamma_steel" localSheetId="47">#REF!</definedName>
    <definedName name="gamma_steel" localSheetId="58">#REF!</definedName>
    <definedName name="gamma_steel" localSheetId="0">#REF!</definedName>
    <definedName name="gamma_steel" localSheetId="52">#REF!</definedName>
    <definedName name="gamma_steel" localSheetId="61">#REF!</definedName>
    <definedName name="gelatine" localSheetId="35">'[8]RATES INCLUDING TRANSPORATION'!$V$73</definedName>
    <definedName name="gelatine" localSheetId="37">'[8]RATES INCLUDING TRANSPORATION'!$V$73</definedName>
    <definedName name="gelatine" localSheetId="57">'[8]RATES INCLUDING TRANSPORATION'!$V$73</definedName>
    <definedName name="gelatine" localSheetId="23">'[8]RATES INCLUDING TRANSPORATION'!$V$73</definedName>
    <definedName name="gelatine" localSheetId="27">'[8]RATES INCLUDING TRANSPORATION'!$V$73</definedName>
    <definedName name="gelatine" localSheetId="17">'[8]RATES INCLUDING TRANSPORATION'!$V$73</definedName>
    <definedName name="gelatine" localSheetId="41">'[8]RATES INCLUDING TRANSPORATION'!$V$73</definedName>
    <definedName name="gelatine" localSheetId="39">'[8]RATES INCLUDING TRANSPORATION'!$V$73</definedName>
    <definedName name="gelatine" localSheetId="40">'[8]RATES INCLUDING TRANSPORATION'!$V$73</definedName>
    <definedName name="gelatine" localSheetId="36">'[8]RATES INCLUDING TRANSPORATION'!$V$73</definedName>
    <definedName name="gelatine" localSheetId="20">'[8]RATES INCLUDING TRANSPORATION'!$V$73</definedName>
    <definedName name="gelatine" localSheetId="21">'[8]RATES INCLUDING TRANSPORATION'!$V$73</definedName>
    <definedName name="gelatine" localSheetId="33">'[8]RATES INCLUDING TRANSPORATION'!$V$73</definedName>
    <definedName name="gelatine" localSheetId="18">'[8]RATES INCLUDING TRANSPORATION'!$V$73</definedName>
    <definedName name="gelatine" localSheetId="26">'[8]RATES INCLUDING TRANSPORATION'!$V$73</definedName>
    <definedName name="gelatine" localSheetId="13">'[8]RATES INCLUDING TRANSPORATION'!$V$73</definedName>
    <definedName name="gelatine" localSheetId="14">'[8]RATES INCLUDING TRANSPORATION'!$V$73</definedName>
    <definedName name="gelatine" localSheetId="19">'[8]RATES INCLUDING TRANSPORATION'!$V$73</definedName>
    <definedName name="gelatine" localSheetId="34">'[8]RATES INCLUDING TRANSPORATION'!$V$73</definedName>
    <definedName name="gelatine" localSheetId="69">'[8]RATES INCLUDING TRANSPORATION'!$V$73</definedName>
    <definedName name="gelatine" localSheetId="68">'[8]RATES INCLUDING TRANSPORATION'!$V$73</definedName>
    <definedName name="gelatine" localSheetId="51">#REF!</definedName>
    <definedName name="gelatine" localSheetId="38">'[8]RATES INCLUDING TRANSPORATION'!$V$73</definedName>
    <definedName name="gelatine" localSheetId="71">'[8]RATES INCLUDING TRANSPORATION'!$V$73</definedName>
    <definedName name="gelatine" localSheetId="65">'[8]RATES INCLUDING TRANSPORATION'!$V$73</definedName>
    <definedName name="gelatine" localSheetId="66">'[8]RATES INCLUDING TRANSPORATION'!$V$73</definedName>
    <definedName name="gelatine" localSheetId="67">'[8]RATES INCLUDING TRANSPORATION'!$V$73</definedName>
    <definedName name="gelatine" localSheetId="42">'[8]RATES INCLUDING TRANSPORATION'!$V$73</definedName>
    <definedName name="gelatine">'[9]RATES INCLUDING TRANSPORATION'!$V$73</definedName>
    <definedName name="geotex" localSheetId="35">'[10]RATES INCLUDING TRANSPORATION'!$V$51</definedName>
    <definedName name="geotex" localSheetId="37">'[10]RATES INCLUDING TRANSPORATION'!$V$51</definedName>
    <definedName name="geotex" localSheetId="17">'[10]RATES INCLUDING TRANSPORATION'!$V$51</definedName>
    <definedName name="geotex" localSheetId="47">#REF!</definedName>
    <definedName name="geotex" localSheetId="41">'[10]RATES INCLUDING TRANSPORATION'!$V$51</definedName>
    <definedName name="geotex" localSheetId="39">'[10]RATES INCLUDING TRANSPORATION'!$V$51</definedName>
    <definedName name="geotex" localSheetId="40">'[10]RATES INCLUDING TRANSPORATION'!$V$51</definedName>
    <definedName name="geotex" localSheetId="36">'[10]RATES INCLUDING TRANSPORATION'!$V$51</definedName>
    <definedName name="geotex" localSheetId="20">'[10]RATES INCLUDING TRANSPORATION'!$V$51</definedName>
    <definedName name="geotex" localSheetId="21">'[10]RATES INCLUDING TRANSPORATION'!$V$51</definedName>
    <definedName name="geotex" localSheetId="33">'[10]RATES INCLUDING TRANSPORATION'!$V$51</definedName>
    <definedName name="geotex" localSheetId="18">'[10]RATES INCLUDING TRANSPORATION'!$V$51</definedName>
    <definedName name="geotex" localSheetId="19">'[10]RATES INCLUDING TRANSPORATION'!$V$51</definedName>
    <definedName name="geotex" localSheetId="34">'[10]RATES INCLUDING TRANSPORATION'!$V$51</definedName>
    <definedName name="geotex" localSheetId="69">'[10]RATES INCLUDING TRANSPORATION'!$V$51</definedName>
    <definedName name="geotex" localSheetId="68">'[10]RATES INCLUDING TRANSPORATION'!$V$51</definedName>
    <definedName name="geotex" localSheetId="38">'[10]RATES INCLUDING TRANSPORATION'!$V$51</definedName>
    <definedName name="geotex" localSheetId="65">'[10]RATES INCLUDING TRANSPORATION'!$V$51</definedName>
    <definedName name="geotex" localSheetId="66">'[10]RATES INCLUDING TRANSPORATION'!$V$51</definedName>
    <definedName name="geotex" localSheetId="67">'[10]RATES INCLUDING TRANSPORATION'!$V$51</definedName>
    <definedName name="geotex" localSheetId="42">'[10]RATES INCLUDING TRANSPORATION'!$V$51</definedName>
    <definedName name="gi_wiremesh" localSheetId="47">#REF!</definedName>
    <definedName name="gipipe" localSheetId="35">'[10]RATES INCLUDING TRANSPORATION'!$V$49</definedName>
    <definedName name="gipipe" localSheetId="37">'[10]RATES INCLUDING TRANSPORATION'!$V$49</definedName>
    <definedName name="gipipe" localSheetId="17">'[10]RATES INCLUDING TRANSPORATION'!$V$49</definedName>
    <definedName name="gipipe" localSheetId="47">#REF!</definedName>
    <definedName name="gipipe" localSheetId="41">'[10]RATES INCLUDING TRANSPORATION'!$V$49</definedName>
    <definedName name="gipipe" localSheetId="39">'[10]RATES INCLUDING TRANSPORATION'!$V$49</definedName>
    <definedName name="gipipe" localSheetId="40">'[10]RATES INCLUDING TRANSPORATION'!$V$49</definedName>
    <definedName name="gipipe" localSheetId="36">'[10]RATES INCLUDING TRANSPORATION'!$V$49</definedName>
    <definedName name="gipipe" localSheetId="20">'[10]RATES INCLUDING TRANSPORATION'!$V$49</definedName>
    <definedName name="gipipe" localSheetId="21">'[10]RATES INCLUDING TRANSPORATION'!$V$49</definedName>
    <definedName name="gipipe" localSheetId="33">'[10]RATES INCLUDING TRANSPORATION'!$V$49</definedName>
    <definedName name="gipipe" localSheetId="18">'[10]RATES INCLUDING TRANSPORATION'!$V$49</definedName>
    <definedName name="gipipe" localSheetId="19">'[10]RATES INCLUDING TRANSPORATION'!$V$49</definedName>
    <definedName name="gipipe" localSheetId="34">'[10]RATES INCLUDING TRANSPORATION'!$V$49</definedName>
    <definedName name="gipipe" localSheetId="69">'[10]RATES INCLUDING TRANSPORATION'!$V$49</definedName>
    <definedName name="gipipe" localSheetId="68">'[10]RATES INCLUDING TRANSPORATION'!$V$49</definedName>
    <definedName name="gipipe" localSheetId="38">'[10]RATES INCLUDING TRANSPORATION'!$V$49</definedName>
    <definedName name="gipipe" localSheetId="65">'[10]RATES INCLUDING TRANSPORATION'!$V$49</definedName>
    <definedName name="gipipe" localSheetId="66">'[10]RATES INCLUDING TRANSPORATION'!$V$49</definedName>
    <definedName name="gipipe" localSheetId="67">'[10]RATES INCLUDING TRANSPORATION'!$V$49</definedName>
    <definedName name="gipipe" localSheetId="42">'[10]RATES INCLUDING TRANSPORATION'!$V$49</definedName>
    <definedName name="glass" localSheetId="35">'[10]RATES INCLUDING TRANSPORATION'!$V$79</definedName>
    <definedName name="glass" localSheetId="37">'[10]RATES INCLUDING TRANSPORATION'!$V$79</definedName>
    <definedName name="glass" localSheetId="17">'[10]RATES INCLUDING TRANSPORATION'!$V$79</definedName>
    <definedName name="glass" localSheetId="47">#REF!</definedName>
    <definedName name="glass" localSheetId="41">'[10]RATES INCLUDING TRANSPORATION'!$V$79</definedName>
    <definedName name="glass" localSheetId="39">'[10]RATES INCLUDING TRANSPORATION'!$V$79</definedName>
    <definedName name="glass" localSheetId="40">'[10]RATES INCLUDING TRANSPORATION'!$V$79</definedName>
    <definedName name="glass" localSheetId="36">'[10]RATES INCLUDING TRANSPORATION'!$V$79</definedName>
    <definedName name="glass" localSheetId="20">'[10]RATES INCLUDING TRANSPORATION'!$V$79</definedName>
    <definedName name="glass" localSheetId="21">'[10]RATES INCLUDING TRANSPORATION'!$V$79</definedName>
    <definedName name="glass" localSheetId="33">'[10]RATES INCLUDING TRANSPORATION'!$V$79</definedName>
    <definedName name="glass" localSheetId="18">'[10]RATES INCLUDING TRANSPORATION'!$V$79</definedName>
    <definedName name="glass" localSheetId="19">'[10]RATES INCLUDING TRANSPORATION'!$V$79</definedName>
    <definedName name="glass" localSheetId="34">'[10]RATES INCLUDING TRANSPORATION'!$V$79</definedName>
    <definedName name="glass" localSheetId="69">'[10]RATES INCLUDING TRANSPORATION'!$V$79</definedName>
    <definedName name="glass" localSheetId="68">'[10]RATES INCLUDING TRANSPORATION'!$V$79</definedName>
    <definedName name="glass" localSheetId="38">'[10]RATES INCLUDING TRANSPORATION'!$V$79</definedName>
    <definedName name="glass" localSheetId="65">'[10]RATES INCLUDING TRANSPORATION'!$V$79</definedName>
    <definedName name="glass" localSheetId="66">'[10]RATES INCLUDING TRANSPORATION'!$V$79</definedName>
    <definedName name="glass" localSheetId="67">'[10]RATES INCLUDING TRANSPORATION'!$V$79</definedName>
    <definedName name="glass" localSheetId="42">'[10]RATES INCLUDING TRANSPORATION'!$V$79</definedName>
    <definedName name="graphflow" localSheetId="4" hidden="1">[1]Solu!#REF!</definedName>
    <definedName name="graphflow" localSheetId="7" hidden="1">[1]Solu!#REF!</definedName>
    <definedName name="graphflow" localSheetId="8" hidden="1">[1]Solu!#REF!</definedName>
    <definedName name="graphflow" localSheetId="24" hidden="1">[1]Solu!#REF!</definedName>
    <definedName name="graphflow" localSheetId="5" hidden="1">[1]Solu!#REF!</definedName>
    <definedName name="graphflow" localSheetId="27" hidden="1">[1]Solu!#REF!</definedName>
    <definedName name="graphflow" localSheetId="17" hidden="1">[1]Solu!#REF!</definedName>
    <definedName name="graphflow" localSheetId="47" hidden="1">[1]Solu!#REF!</definedName>
    <definedName name="graphflow" localSheetId="41" hidden="1">[1]Solu!#REF!</definedName>
    <definedName name="graphflow" localSheetId="40" hidden="1">[1]Solu!#REF!</definedName>
    <definedName name="graphflow" localSheetId="32" hidden="1">[1]Solu!#REF!</definedName>
    <definedName name="graphflow" localSheetId="43" hidden="1">[1]Solu!#REF!</definedName>
    <definedName name="graphflow" localSheetId="44" hidden="1">[1]Solu!#REF!</definedName>
    <definedName name="graphflow" localSheetId="45" hidden="1">[1]Solu!#REF!</definedName>
    <definedName name="graphflow" localSheetId="46" hidden="1">[1]Solu!#REF!</definedName>
    <definedName name="graphflow" localSheetId="20" hidden="1">[1]Solu!#REF!</definedName>
    <definedName name="graphflow" localSheetId="21" hidden="1">[1]Solu!#REF!</definedName>
    <definedName name="graphflow" localSheetId="18" hidden="1">[1]Solu!#REF!</definedName>
    <definedName name="graphflow" localSheetId="29" hidden="1">[1]Solu!#REF!</definedName>
    <definedName name="graphflow" localSheetId="25" hidden="1">[1]Solu!#REF!</definedName>
    <definedName name="graphflow" localSheetId="19" hidden="1">[1]Solu!#REF!</definedName>
    <definedName name="graphflow" localSheetId="34" hidden="1">[1]Solu!#REF!</definedName>
    <definedName name="graphflow" localSheetId="22" hidden="1">[1]Solu!#REF!</definedName>
    <definedName name="graphflow" localSheetId="28" hidden="1">[1]Solu!#REF!</definedName>
    <definedName name="graphflow" hidden="1">[1]Solu!#REF!</definedName>
    <definedName name="GrossHead" localSheetId="35">'[6]Energy_INPUT&amp;OUTPUT'!$C$13</definedName>
    <definedName name="GrossHead" localSheetId="37">'[6]Energy_INPUT&amp;OUTPUT'!$C$13</definedName>
    <definedName name="GrossHead" localSheetId="57">'[6]Energy_INPUT&amp;OUTPUT'!$C$13</definedName>
    <definedName name="GrossHead" localSheetId="23">'[6]Energy_INPUT&amp;OUTPUT'!$C$13</definedName>
    <definedName name="GrossHead" localSheetId="27">'[6]Energy_INPUT&amp;OUTPUT'!$C$13</definedName>
    <definedName name="GrossHead" localSheetId="17">'[6]Energy_INPUT&amp;OUTPUT'!$C$13</definedName>
    <definedName name="GrossHead" localSheetId="41">'[6]Energy_INPUT&amp;OUTPUT'!$C$13</definedName>
    <definedName name="GrossHead" localSheetId="39">'[6]Energy_INPUT&amp;OUTPUT'!$C$13</definedName>
    <definedName name="GrossHead" localSheetId="40">'[6]Energy_INPUT&amp;OUTPUT'!$C$13</definedName>
    <definedName name="GrossHead" localSheetId="36">'[6]Energy_INPUT&amp;OUTPUT'!$C$13</definedName>
    <definedName name="GrossHead" localSheetId="20">'[6]Energy_INPUT&amp;OUTPUT'!$C$13</definedName>
    <definedName name="GrossHead" localSheetId="21">'[6]Energy_INPUT&amp;OUTPUT'!$C$13</definedName>
    <definedName name="GrossHead" localSheetId="33">'[6]Energy_INPUT&amp;OUTPUT'!$C$13</definedName>
    <definedName name="GrossHead" localSheetId="18">'[6]Energy_INPUT&amp;OUTPUT'!$C$13</definedName>
    <definedName name="GrossHead" localSheetId="26">'[6]Energy_INPUT&amp;OUTPUT'!$C$13</definedName>
    <definedName name="GrossHead" localSheetId="13">'[6]Energy_INPUT&amp;OUTPUT'!$C$13</definedName>
    <definedName name="GrossHead" localSheetId="14">'[6]Energy_INPUT&amp;OUTPUT'!$C$13</definedName>
    <definedName name="GrossHead" localSheetId="19">'[6]Energy_INPUT&amp;OUTPUT'!$C$13</definedName>
    <definedName name="GrossHead" localSheetId="34">'[6]Energy_INPUT&amp;OUTPUT'!$C$13</definedName>
    <definedName name="GrossHead" localSheetId="69">'[6]Energy_INPUT&amp;OUTPUT'!$C$13</definedName>
    <definedName name="GrossHead" localSheetId="68">'[6]Energy_INPUT&amp;OUTPUT'!$C$13</definedName>
    <definedName name="GrossHead" localSheetId="38">'[6]Energy_INPUT&amp;OUTPUT'!$C$13</definedName>
    <definedName name="GrossHead" localSheetId="71">'[6]Energy_INPUT&amp;OUTPUT'!$C$13</definedName>
    <definedName name="GrossHead" localSheetId="65">'[6]Energy_INPUT&amp;OUTPUT'!$C$13</definedName>
    <definedName name="GrossHead" localSheetId="66">'[6]Energy_INPUT&amp;OUTPUT'!$C$13</definedName>
    <definedName name="GrossHead" localSheetId="67">'[6]Energy_INPUT&amp;OUTPUT'!$C$13</definedName>
    <definedName name="GrossHead" localSheetId="42">'[6]Energy_INPUT&amp;OUTPUT'!$C$13</definedName>
    <definedName name="GrossHead">'[7]Energy_INPUT&amp;OUTPUT'!$C$13</definedName>
    <definedName name="grout_pump" localSheetId="47">#REF!</definedName>
    <definedName name="groutcap" localSheetId="47">#REF!</definedName>
    <definedName name="Grt_plg" localSheetId="35">[14]Rates!$C$37</definedName>
    <definedName name="Grt_plg" localSheetId="37">[14]Rates!$C$37</definedName>
    <definedName name="Grt_plg" localSheetId="57">[14]Rates!$C$37</definedName>
    <definedName name="Grt_plg" localSheetId="23">[14]Rates!$C$37</definedName>
    <definedName name="Grt_plg" localSheetId="27">[14]Rates!$C$37</definedName>
    <definedName name="Grt_plg" localSheetId="17">[14]Rates!$C$37</definedName>
    <definedName name="Grt_plg" localSheetId="41">[14]Rates!$C$37</definedName>
    <definedName name="Grt_plg" localSheetId="39">[14]Rates!$C$37</definedName>
    <definedName name="Grt_plg" localSheetId="40">[14]Rates!$C$37</definedName>
    <definedName name="Grt_plg" localSheetId="36">[14]Rates!$C$37</definedName>
    <definedName name="Grt_plg" localSheetId="20">[14]Rates!$C$37</definedName>
    <definedName name="Grt_plg" localSheetId="21">[14]Rates!$C$37</definedName>
    <definedName name="Grt_plg" localSheetId="33">[14]Rates!$C$37</definedName>
    <definedName name="Grt_plg" localSheetId="18">[14]Rates!$C$37</definedName>
    <definedName name="Grt_plg" localSheetId="26">[14]Rates!$C$37</definedName>
    <definedName name="Grt_plg" localSheetId="13">[14]Rates!$C$37</definedName>
    <definedName name="Grt_plg" localSheetId="14">[14]Rates!$C$37</definedName>
    <definedName name="Grt_plg" localSheetId="19">[14]Rates!$C$37</definedName>
    <definedName name="Grt_plg" localSheetId="34">[14]Rates!$C$37</definedName>
    <definedName name="Grt_plg" localSheetId="69">[14]Rates!$C$37</definedName>
    <definedName name="Grt_plg" localSheetId="68">[14]Rates!$C$37</definedName>
    <definedName name="Grt_plg" localSheetId="38">[14]Rates!$C$37</definedName>
    <definedName name="Grt_plg" localSheetId="71">[14]Rates!$C$37</definedName>
    <definedName name="Grt_plg" localSheetId="65">[14]Rates!$C$37</definedName>
    <definedName name="Grt_plg" localSheetId="66">[14]Rates!$C$37</definedName>
    <definedName name="Grt_plg" localSheetId="67">[14]Rates!$C$37</definedName>
    <definedName name="Grt_plg" localSheetId="42">[14]Rates!$C$37</definedName>
    <definedName name="Grt_plg">[15]Rates!$C$37</definedName>
    <definedName name="gum" localSheetId="35">'[10]RATES INCLUDING TRANSPORATION'!$V$80</definedName>
    <definedName name="gum" localSheetId="37">'[10]RATES INCLUDING TRANSPORATION'!$V$80</definedName>
    <definedName name="gum" localSheetId="17">'[10]RATES INCLUDING TRANSPORATION'!$V$80</definedName>
    <definedName name="gum" localSheetId="47">#REF!</definedName>
    <definedName name="gum" localSheetId="41">'[10]RATES INCLUDING TRANSPORATION'!$V$80</definedName>
    <definedName name="gum" localSheetId="39">'[10]RATES INCLUDING TRANSPORATION'!$V$80</definedName>
    <definedName name="gum" localSheetId="40">'[10]RATES INCLUDING TRANSPORATION'!$V$80</definedName>
    <definedName name="gum" localSheetId="36">'[10]RATES INCLUDING TRANSPORATION'!$V$80</definedName>
    <definedName name="gum" localSheetId="20">'[10]RATES INCLUDING TRANSPORATION'!$V$80</definedName>
    <definedName name="gum" localSheetId="21">'[10]RATES INCLUDING TRANSPORATION'!$V$80</definedName>
    <definedName name="gum" localSheetId="33">'[10]RATES INCLUDING TRANSPORATION'!$V$80</definedName>
    <definedName name="gum" localSheetId="18">'[10]RATES INCLUDING TRANSPORATION'!$V$80</definedName>
    <definedName name="gum" localSheetId="19">'[10]RATES INCLUDING TRANSPORATION'!$V$80</definedName>
    <definedName name="gum" localSheetId="34">'[10]RATES INCLUDING TRANSPORATION'!$V$80</definedName>
    <definedName name="gum" localSheetId="69">'[10]RATES INCLUDING TRANSPORATION'!$V$80</definedName>
    <definedName name="gum" localSheetId="68">'[10]RATES INCLUDING TRANSPORATION'!$V$80</definedName>
    <definedName name="gum" localSheetId="38">'[10]RATES INCLUDING TRANSPORATION'!$V$80</definedName>
    <definedName name="gum" localSheetId="65">'[10]RATES INCLUDING TRANSPORATION'!$V$80</definedName>
    <definedName name="gum" localSheetId="66">'[10]RATES INCLUDING TRANSPORATION'!$V$80</definedName>
    <definedName name="gum" localSheetId="67">'[10]RATES INCLUDING TRANSPORATION'!$V$80</definedName>
    <definedName name="gum" localSheetId="42">'[10]RATES INCLUDING TRANSPORATION'!$V$80</definedName>
    <definedName name="h_1" localSheetId="78">#REF!</definedName>
    <definedName name="h_1" localSheetId="1">#REF!</definedName>
    <definedName name="h_1" localSheetId="57">#REF!</definedName>
    <definedName name="h_1" localSheetId="23">#REF!</definedName>
    <definedName name="h_1" localSheetId="47">#REF!</definedName>
    <definedName name="h_1" localSheetId="58">#REF!</definedName>
    <definedName name="h_1" localSheetId="0">#REF!</definedName>
    <definedName name="h_1" localSheetId="52">#REF!</definedName>
    <definedName name="h_1" localSheetId="61">#REF!</definedName>
    <definedName name="H_100" localSheetId="78">'[24]Side Intake and Orifice'!#REF!</definedName>
    <definedName name="H_100" localSheetId="1">'[24]Side Intake and Orifice'!#REF!</definedName>
    <definedName name="H_100" localSheetId="57">'[25]Side Intake and Orifice'!#REF!</definedName>
    <definedName name="H_100" localSheetId="23">'[25]Side Intake and Orifice'!#REF!</definedName>
    <definedName name="H_100" localSheetId="47">'[24]Side Intake and Orifice'!#REF!</definedName>
    <definedName name="H_100" localSheetId="58">'[24]Side Intake and Orifice'!#REF!</definedName>
    <definedName name="H_100" localSheetId="0">'[24]Side Intake and Orifice'!#REF!</definedName>
    <definedName name="H_100" localSheetId="52">'[24]Side Intake and Orifice'!#REF!</definedName>
    <definedName name="H_100" localSheetId="61">'[24]Side Intake and Orifice'!#REF!</definedName>
    <definedName name="h_2" localSheetId="78">#REF!</definedName>
    <definedName name="h_2" localSheetId="1">#REF!</definedName>
    <definedName name="h_2" localSheetId="57">#REF!</definedName>
    <definedName name="h_2" localSheetId="23">#REF!</definedName>
    <definedName name="h_2" localSheetId="47">#REF!</definedName>
    <definedName name="h_2" localSheetId="58">#REF!</definedName>
    <definedName name="h_2" localSheetId="0">#REF!</definedName>
    <definedName name="h_2" localSheetId="52">#REF!</definedName>
    <definedName name="h_2" localSheetId="61">#REF!</definedName>
    <definedName name="H_20" localSheetId="78">'[24]Side Intake and Orifice'!#REF!</definedName>
    <definedName name="H_20" localSheetId="1">'[24]Side Intake and Orifice'!#REF!</definedName>
    <definedName name="H_20" localSheetId="57">'[25]Side Intake and Orifice'!#REF!</definedName>
    <definedName name="H_20" localSheetId="23">'[25]Side Intake and Orifice'!#REF!</definedName>
    <definedName name="H_20" localSheetId="47">'[24]Side Intake and Orifice'!#REF!</definedName>
    <definedName name="H_20" localSheetId="58">'[24]Side Intake and Orifice'!#REF!</definedName>
    <definedName name="H_20" localSheetId="0">'[24]Side Intake and Orifice'!#REF!</definedName>
    <definedName name="H_20" localSheetId="52">'[24]Side Intake and Orifice'!#REF!</definedName>
    <definedName name="H_20" localSheetId="61">'[24]Side Intake and Orifice'!#REF!</definedName>
    <definedName name="H_L_orifice" localSheetId="78">'[24]Side Intake and Orifice'!#REF!</definedName>
    <definedName name="H_L_orifice" localSheetId="1">'[24]Side Intake and Orifice'!#REF!</definedName>
    <definedName name="H_L_orifice" localSheetId="57">'[25]Side Intake and Orifice'!#REF!</definedName>
    <definedName name="H_L_orifice" localSheetId="23">'[25]Side Intake and Orifice'!#REF!</definedName>
    <definedName name="H_L_orifice" localSheetId="47">'[24]Side Intake and Orifice'!#REF!</definedName>
    <definedName name="H_L_orifice" localSheetId="58">'[24]Side Intake and Orifice'!#REF!</definedName>
    <definedName name="H_L_orifice" localSheetId="0">'[24]Side Intake and Orifice'!#REF!</definedName>
    <definedName name="H_L_orifice" localSheetId="52">'[24]Side Intake and Orifice'!#REF!</definedName>
    <definedName name="H_L_orifice" localSheetId="61">'[24]Side Intake and Orifice'!#REF!</definedName>
    <definedName name="H100y" localSheetId="35">'[26]Water Level'!$B$19</definedName>
    <definedName name="H100y" localSheetId="37">'[26]Water Level'!$B$19</definedName>
    <definedName name="H100y" localSheetId="57">'[26]Water Level'!$B$19</definedName>
    <definedName name="H100y" localSheetId="23">'[26]Water Level'!$B$19</definedName>
    <definedName name="H100y" localSheetId="27">'[26]Water Level'!$B$19</definedName>
    <definedName name="H100y" localSheetId="17">'[26]Water Level'!$B$19</definedName>
    <definedName name="H100y" localSheetId="41">'[26]Water Level'!$B$19</definedName>
    <definedName name="H100y" localSheetId="39">'[26]Water Level'!$B$19</definedName>
    <definedName name="H100y" localSheetId="40">'[26]Water Level'!$B$19</definedName>
    <definedName name="H100y" localSheetId="36">'[26]Water Level'!$B$19</definedName>
    <definedName name="H100y" localSheetId="20">'[26]Water Level'!$B$19</definedName>
    <definedName name="H100y" localSheetId="21">'[26]Water Level'!$B$19</definedName>
    <definedName name="H100y" localSheetId="33">'[26]Water Level'!$B$19</definedName>
    <definedName name="H100y" localSheetId="18">'[26]Water Level'!$B$19</definedName>
    <definedName name="H100y" localSheetId="26">'[26]Water Level'!$B$19</definedName>
    <definedName name="H100y" localSheetId="13">'[26]Water Level'!$B$19</definedName>
    <definedName name="H100y" localSheetId="14">'[26]Water Level'!$B$19</definedName>
    <definedName name="H100y" localSheetId="19">'[26]Water Level'!$B$19</definedName>
    <definedName name="H100y" localSheetId="34">'[26]Water Level'!$B$19</definedName>
    <definedName name="H100y" localSheetId="69">'[26]Water Level'!$B$19</definedName>
    <definedName name="H100y" localSheetId="68">'[26]Water Level'!$B$19</definedName>
    <definedName name="H100y" localSheetId="38">'[26]Water Level'!$B$19</definedName>
    <definedName name="H100y" localSheetId="71">'[26]Water Level'!$B$19</definedName>
    <definedName name="H100y" localSheetId="65">'[26]Water Level'!$B$19</definedName>
    <definedName name="H100y" localSheetId="66">'[26]Water Level'!$B$19</definedName>
    <definedName name="H100y" localSheetId="67">'[26]Water Level'!$B$19</definedName>
    <definedName name="H100y" localSheetId="42">'[26]Water Level'!$B$19</definedName>
    <definedName name="H100y">'[27]Water Level'!$B$19</definedName>
    <definedName name="hand_drill" localSheetId="35">'[8]Basic Rates'!$D$144</definedName>
    <definedName name="hand_drill" localSheetId="37">'[8]Basic Rates'!$D$144</definedName>
    <definedName name="hand_drill" localSheetId="57">'[8]Basic Rates'!$D$144</definedName>
    <definedName name="hand_drill" localSheetId="23">'[8]Basic Rates'!$D$144</definedName>
    <definedName name="hand_drill" localSheetId="27">'[8]Basic Rates'!$D$144</definedName>
    <definedName name="hand_drill" localSheetId="17">'[8]Basic Rates'!$D$144</definedName>
    <definedName name="hand_drill" localSheetId="41">'[8]Basic Rates'!$D$144</definedName>
    <definedName name="hand_drill" localSheetId="39">'[8]Basic Rates'!$D$144</definedName>
    <definedName name="hand_drill" localSheetId="40">'[8]Basic Rates'!$D$144</definedName>
    <definedName name="hand_drill" localSheetId="36">'[8]Basic Rates'!$D$144</definedName>
    <definedName name="hand_drill" localSheetId="20">'[8]Basic Rates'!$D$144</definedName>
    <definedName name="hand_drill" localSheetId="21">'[8]Basic Rates'!$D$144</definedName>
    <definedName name="hand_drill" localSheetId="33">'[8]Basic Rates'!$D$144</definedName>
    <definedName name="hand_drill" localSheetId="18">'[8]Basic Rates'!$D$144</definedName>
    <definedName name="hand_drill" localSheetId="26">'[8]Basic Rates'!$D$144</definedName>
    <definedName name="hand_drill" localSheetId="13">'[8]Basic Rates'!$D$144</definedName>
    <definedName name="hand_drill" localSheetId="14">'[8]Basic Rates'!$D$144</definedName>
    <definedName name="hand_drill" localSheetId="19">'[8]Basic Rates'!$D$144</definedName>
    <definedName name="hand_drill" localSheetId="34">'[8]Basic Rates'!$D$144</definedName>
    <definedName name="hand_drill" localSheetId="69">'[8]Basic Rates'!$D$144</definedName>
    <definedName name="hand_drill" localSheetId="68">'[8]Basic Rates'!$D$144</definedName>
    <definedName name="hand_drill" localSheetId="51">#REF!</definedName>
    <definedName name="hand_drill" localSheetId="38">'[8]Basic Rates'!$D$144</definedName>
    <definedName name="hand_drill" localSheetId="71">'[8]Basic Rates'!$D$144</definedName>
    <definedName name="hand_drill" localSheetId="65">'[8]Basic Rates'!$D$144</definedName>
    <definedName name="hand_drill" localSheetId="66">'[8]Basic Rates'!$D$144</definedName>
    <definedName name="hand_drill" localSheetId="67">'[8]Basic Rates'!$D$144</definedName>
    <definedName name="hand_drill" localSheetId="42">'[8]Basic Rates'!$D$144</definedName>
    <definedName name="hand_drill">'[9]Basic Rates'!$D$144</definedName>
    <definedName name="handle" localSheetId="35">'[10]RATES INCLUDING TRANSPORATION'!$V$78</definedName>
    <definedName name="handle" localSheetId="37">'[10]RATES INCLUDING TRANSPORATION'!$V$78</definedName>
    <definedName name="handle" localSheetId="17">'[10]RATES INCLUDING TRANSPORATION'!$V$78</definedName>
    <definedName name="handle" localSheetId="47">#REF!</definedName>
    <definedName name="handle" localSheetId="41">'[10]RATES INCLUDING TRANSPORATION'!$V$78</definedName>
    <definedName name="handle" localSheetId="39">'[10]RATES INCLUDING TRANSPORATION'!$V$78</definedName>
    <definedName name="handle" localSheetId="40">'[10]RATES INCLUDING TRANSPORATION'!$V$78</definedName>
    <definedName name="handle" localSheetId="36">'[10]RATES INCLUDING TRANSPORATION'!$V$78</definedName>
    <definedName name="handle" localSheetId="20">'[10]RATES INCLUDING TRANSPORATION'!$V$78</definedName>
    <definedName name="handle" localSheetId="21">'[10]RATES INCLUDING TRANSPORATION'!$V$78</definedName>
    <definedName name="handle" localSheetId="33">'[10]RATES INCLUDING TRANSPORATION'!$V$78</definedName>
    <definedName name="handle" localSheetId="18">'[10]RATES INCLUDING TRANSPORATION'!$V$78</definedName>
    <definedName name="handle" localSheetId="19">'[10]RATES INCLUDING TRANSPORATION'!$V$78</definedName>
    <definedName name="handle" localSheetId="34">'[10]RATES INCLUDING TRANSPORATION'!$V$78</definedName>
    <definedName name="handle" localSheetId="69">'[10]RATES INCLUDING TRANSPORATION'!$V$78</definedName>
    <definedName name="handle" localSheetId="68">'[10]RATES INCLUDING TRANSPORATION'!$V$78</definedName>
    <definedName name="handle" localSheetId="38">'[10]RATES INCLUDING TRANSPORATION'!$V$78</definedName>
    <definedName name="handle" localSheetId="65">'[10]RATES INCLUDING TRANSPORATION'!$V$78</definedName>
    <definedName name="handle" localSheetId="66">'[10]RATES INCLUDING TRANSPORATION'!$V$78</definedName>
    <definedName name="handle" localSheetId="67">'[10]RATES INCLUDING TRANSPORATION'!$V$78</definedName>
    <definedName name="handle" localSheetId="42">'[10]RATES INCLUDING TRANSPORATION'!$V$78</definedName>
    <definedName name="Hbasin" localSheetId="35">'[25]Settling Basin'!$I$31</definedName>
    <definedName name="Hbasin" localSheetId="37">'[25]Settling Basin'!$I$31</definedName>
    <definedName name="Hbasin" localSheetId="57">'[25]Settling Basin'!$I$31</definedName>
    <definedName name="Hbasin" localSheetId="23">'[25]Settling Basin'!$I$31</definedName>
    <definedName name="Hbasin" localSheetId="27">'[25]Settling Basin'!$I$31</definedName>
    <definedName name="Hbasin" localSheetId="17">'[25]Settling Basin'!$I$31</definedName>
    <definedName name="Hbasin" localSheetId="41">'[25]Settling Basin'!$I$31</definedName>
    <definedName name="Hbasin" localSheetId="39">'[25]Settling Basin'!$I$31</definedName>
    <definedName name="Hbasin" localSheetId="40">'[25]Settling Basin'!$I$31</definedName>
    <definedName name="Hbasin" localSheetId="36">'[25]Settling Basin'!$I$31</definedName>
    <definedName name="Hbasin" localSheetId="20">'[25]Settling Basin'!$I$31</definedName>
    <definedName name="Hbasin" localSheetId="21">'[25]Settling Basin'!$I$31</definedName>
    <definedName name="Hbasin" localSheetId="33">'[25]Settling Basin'!$I$31</definedName>
    <definedName name="Hbasin" localSheetId="18">'[25]Settling Basin'!$I$31</definedName>
    <definedName name="Hbasin" localSheetId="26">'[25]Settling Basin'!$I$31</definedName>
    <definedName name="Hbasin" localSheetId="13">'[25]Settling Basin'!$I$31</definedName>
    <definedName name="Hbasin" localSheetId="14">'[25]Settling Basin'!$I$31</definedName>
    <definedName name="Hbasin" localSheetId="19">'[25]Settling Basin'!$I$31</definedName>
    <definedName name="Hbasin" localSheetId="34">'[25]Settling Basin'!$I$31</definedName>
    <definedName name="Hbasin" localSheetId="69">'[25]Settling Basin'!$I$31</definedName>
    <definedName name="Hbasin" localSheetId="68">'[25]Settling Basin'!$I$31</definedName>
    <definedName name="Hbasin" localSheetId="38">'[25]Settling Basin'!$I$31</definedName>
    <definedName name="Hbasin" localSheetId="71">'[25]Settling Basin'!$I$31</definedName>
    <definedName name="Hbasin" localSheetId="65">'[25]Settling Basin'!$I$31</definedName>
    <definedName name="Hbasin" localSheetId="66">'[25]Settling Basin'!$I$31</definedName>
    <definedName name="Hbasin" localSheetId="67">'[25]Settling Basin'!$I$31</definedName>
    <definedName name="Hbasin" localSheetId="42">'[25]Settling Basin'!$I$31</definedName>
    <definedName name="Hbasin">'[24]Settling Basin'!$I$31</definedName>
    <definedName name="HcatCrest" localSheetId="78">'[28]Scour depth'!#REF!</definedName>
    <definedName name="HcatCrest" localSheetId="1">'[28]Scour depth'!#REF!</definedName>
    <definedName name="HcatCrest" localSheetId="57">'[29]Scour depth'!#REF!</definedName>
    <definedName name="HcatCrest" localSheetId="23">'[29]Scour depth'!#REF!</definedName>
    <definedName name="HcatCrest" localSheetId="47">'[28]Scour depth'!#REF!</definedName>
    <definedName name="HcatCrest" localSheetId="58">'[28]Scour depth'!#REF!</definedName>
    <definedName name="HcatCrest" localSheetId="0">'[28]Scour depth'!#REF!</definedName>
    <definedName name="HcatCrest" localSheetId="52">'[28]Scour depth'!#REF!</definedName>
    <definedName name="HcatCrest" localSheetId="61">'[28]Scour depth'!#REF!</definedName>
    <definedName name="Hd" localSheetId="35">'[26]Water Level'!$B$14</definedName>
    <definedName name="Hd" localSheetId="37">'[26]Water Level'!$B$14</definedName>
    <definedName name="Hd" localSheetId="57">'[26]Water Level'!$B$14</definedName>
    <definedName name="Hd" localSheetId="23">'[26]Water Level'!$B$14</definedName>
    <definedName name="Hd" localSheetId="27">'[26]Water Level'!$B$14</definedName>
    <definedName name="Hd" localSheetId="17">'[26]Water Level'!$B$14</definedName>
    <definedName name="Hd" localSheetId="41">'[26]Water Level'!$B$14</definedName>
    <definedName name="Hd" localSheetId="39">'[26]Water Level'!$B$14</definedName>
    <definedName name="Hd" localSheetId="40">'[26]Water Level'!$B$14</definedName>
    <definedName name="Hd" localSheetId="36">'[26]Water Level'!$B$14</definedName>
    <definedName name="Hd" localSheetId="20">'[26]Water Level'!$B$14</definedName>
    <definedName name="Hd" localSheetId="21">'[26]Water Level'!$B$14</definedName>
    <definedName name="Hd" localSheetId="33">'[26]Water Level'!$B$14</definedName>
    <definedName name="Hd" localSheetId="18">'[26]Water Level'!$B$14</definedName>
    <definedName name="Hd" localSheetId="26">'[26]Water Level'!$B$14</definedName>
    <definedName name="Hd" localSheetId="13">'[26]Water Level'!$B$14</definedName>
    <definedName name="Hd" localSheetId="14">'[26]Water Level'!$B$14</definedName>
    <definedName name="Hd" localSheetId="19">'[26]Water Level'!$B$14</definedName>
    <definedName name="Hd" localSheetId="34">'[26]Water Level'!$B$14</definedName>
    <definedName name="Hd" localSheetId="69">'[26]Water Level'!$B$14</definedName>
    <definedName name="Hd" localSheetId="68">'[26]Water Level'!$B$14</definedName>
    <definedName name="Hd" localSheetId="38">'[26]Water Level'!$B$14</definedName>
    <definedName name="Hd" localSheetId="71">'[26]Water Level'!$B$14</definedName>
    <definedName name="Hd" localSheetId="65">'[26]Water Level'!$B$14</definedName>
    <definedName name="Hd" localSheetId="66">'[26]Water Level'!$B$14</definedName>
    <definedName name="Hd" localSheetId="67">'[26]Water Level'!$B$14</definedName>
    <definedName name="Hd" localSheetId="42">'[26]Water Level'!$B$14</definedName>
    <definedName name="Hd">'[27]Water Level'!$B$14</definedName>
    <definedName name="HDPE" localSheetId="35">'[10]RATES INCLUDING TRANSPORATION'!$V$50</definedName>
    <definedName name="HDPE" localSheetId="37">'[10]RATES INCLUDING TRANSPORATION'!$V$50</definedName>
    <definedName name="HDPE" localSheetId="17">'[10]RATES INCLUDING TRANSPORATION'!$V$50</definedName>
    <definedName name="HDPE" localSheetId="47">#REF!</definedName>
    <definedName name="HDPE" localSheetId="41">'[10]RATES INCLUDING TRANSPORATION'!$V$50</definedName>
    <definedName name="HDPE" localSheetId="39">'[10]RATES INCLUDING TRANSPORATION'!$V$50</definedName>
    <definedName name="HDPE" localSheetId="40">'[10]RATES INCLUDING TRANSPORATION'!$V$50</definedName>
    <definedName name="HDPE" localSheetId="36">'[10]RATES INCLUDING TRANSPORATION'!$V$50</definedName>
    <definedName name="HDPE" localSheetId="20">'[10]RATES INCLUDING TRANSPORATION'!$V$50</definedName>
    <definedName name="HDPE" localSheetId="21">'[10]RATES INCLUDING TRANSPORATION'!$V$50</definedName>
    <definedName name="HDPE" localSheetId="33">'[10]RATES INCLUDING TRANSPORATION'!$V$50</definedName>
    <definedName name="HDPE" localSheetId="18">'[10]RATES INCLUDING TRANSPORATION'!$V$50</definedName>
    <definedName name="HDPE" localSheetId="19">'[10]RATES INCLUDING TRANSPORATION'!$V$50</definedName>
    <definedName name="HDPE" localSheetId="34">'[10]RATES INCLUDING TRANSPORATION'!$V$50</definedName>
    <definedName name="HDPE" localSheetId="69">'[10]RATES INCLUDING TRANSPORATION'!$V$50</definedName>
    <definedName name="HDPE" localSheetId="68">'[10]RATES INCLUDING TRANSPORATION'!$V$50</definedName>
    <definedName name="HDPE" localSheetId="38">'[10]RATES INCLUDING TRANSPORATION'!$V$50</definedName>
    <definedName name="HDPE" localSheetId="65">'[10]RATES INCLUDING TRANSPORATION'!$V$50</definedName>
    <definedName name="HDPE" localSheetId="66">'[10]RATES INCLUDING TRANSPORATION'!$V$50</definedName>
    <definedName name="HDPE" localSheetId="67">'[10]RATES INCLUDING TRANSPORATION'!$V$50</definedName>
    <definedName name="HDPE" localSheetId="42">'[10]RATES INCLUDING TRANSPORATION'!$V$50</definedName>
    <definedName name="HeadraceTunnel" localSheetId="35">'[6]Energy_INPUT&amp;OUTPUT'!$C$20</definedName>
    <definedName name="HeadraceTunnel" localSheetId="37">'[6]Energy_INPUT&amp;OUTPUT'!$C$20</definedName>
    <definedName name="HeadraceTunnel" localSheetId="57">'[6]Energy_INPUT&amp;OUTPUT'!$C$20</definedName>
    <definedName name="HeadraceTunnel" localSheetId="23">'[6]Energy_INPUT&amp;OUTPUT'!$C$20</definedName>
    <definedName name="HeadraceTunnel" localSheetId="27">'[6]Energy_INPUT&amp;OUTPUT'!$C$20</definedName>
    <definedName name="HeadraceTunnel" localSheetId="17">'[6]Energy_INPUT&amp;OUTPUT'!$C$20</definedName>
    <definedName name="HeadraceTunnel" localSheetId="41">'[6]Energy_INPUT&amp;OUTPUT'!$C$20</definedName>
    <definedName name="HeadraceTunnel" localSheetId="39">'[6]Energy_INPUT&amp;OUTPUT'!$C$20</definedName>
    <definedName name="HeadraceTunnel" localSheetId="40">'[6]Energy_INPUT&amp;OUTPUT'!$C$20</definedName>
    <definedName name="HeadraceTunnel" localSheetId="36">'[6]Energy_INPUT&amp;OUTPUT'!$C$20</definedName>
    <definedName name="HeadraceTunnel" localSheetId="20">'[6]Energy_INPUT&amp;OUTPUT'!$C$20</definedName>
    <definedName name="HeadraceTunnel" localSheetId="21">'[6]Energy_INPUT&amp;OUTPUT'!$C$20</definedName>
    <definedName name="HeadraceTunnel" localSheetId="33">'[6]Energy_INPUT&amp;OUTPUT'!$C$20</definedName>
    <definedName name="HeadraceTunnel" localSheetId="18">'[6]Energy_INPUT&amp;OUTPUT'!$C$20</definedName>
    <definedName name="HeadraceTunnel" localSheetId="26">'[6]Energy_INPUT&amp;OUTPUT'!$C$20</definedName>
    <definedName name="HeadraceTunnel" localSheetId="13">'[6]Energy_INPUT&amp;OUTPUT'!$C$20</definedName>
    <definedName name="HeadraceTunnel" localSheetId="14">'[6]Energy_INPUT&amp;OUTPUT'!$C$20</definedName>
    <definedName name="HeadraceTunnel" localSheetId="19">'[6]Energy_INPUT&amp;OUTPUT'!$C$20</definedName>
    <definedName name="HeadraceTunnel" localSheetId="34">'[6]Energy_INPUT&amp;OUTPUT'!$C$20</definedName>
    <definedName name="HeadraceTunnel" localSheetId="69">'[6]Energy_INPUT&amp;OUTPUT'!$C$20</definedName>
    <definedName name="HeadraceTunnel" localSheetId="68">'[6]Energy_INPUT&amp;OUTPUT'!$C$20</definedName>
    <definedName name="HeadraceTunnel" localSheetId="38">'[6]Energy_INPUT&amp;OUTPUT'!$C$20</definedName>
    <definedName name="HeadraceTunnel" localSheetId="71">'[6]Energy_INPUT&amp;OUTPUT'!$C$20</definedName>
    <definedName name="HeadraceTunnel" localSheetId="65">'[6]Energy_INPUT&amp;OUTPUT'!$C$20</definedName>
    <definedName name="HeadraceTunnel" localSheetId="66">'[6]Energy_INPUT&amp;OUTPUT'!$C$20</definedName>
    <definedName name="HeadraceTunnel" localSheetId="67">'[6]Energy_INPUT&amp;OUTPUT'!$C$20</definedName>
    <definedName name="HeadraceTunnel" localSheetId="42">'[6]Energy_INPUT&amp;OUTPUT'!$C$20</definedName>
    <definedName name="HeadraceTunnel">'[7]Energy_INPUT&amp;OUTPUT'!$C$20</definedName>
    <definedName name="HFL" localSheetId="78">'[28]Scour depth'!#REF!</definedName>
    <definedName name="HFL" localSheetId="1">'[28]Scour depth'!#REF!</definedName>
    <definedName name="HFL" localSheetId="57">'[29]Scour depth'!#REF!</definedName>
    <definedName name="HFL" localSheetId="23">'[29]Scour depth'!#REF!</definedName>
    <definedName name="HFL" localSheetId="47">'[28]Scour depth'!#REF!</definedName>
    <definedName name="HFL" localSheetId="58">'[28]Scour depth'!#REF!</definedName>
    <definedName name="HFL" localSheetId="0">'[28]Scour depth'!#REF!</definedName>
    <definedName name="HFL" localSheetId="52">'[28]Scour depth'!#REF!</definedName>
    <definedName name="HFL" localSheetId="61">'[28]Scour depth'!#REF!</definedName>
    <definedName name="Hflood" localSheetId="78">'[28]Scour depth'!#REF!</definedName>
    <definedName name="Hflood" localSheetId="1">'[28]Scour depth'!#REF!</definedName>
    <definedName name="Hflood" localSheetId="57">'[29]Scour depth'!#REF!</definedName>
    <definedName name="Hflood" localSheetId="23">'[29]Scour depth'!#REF!</definedName>
    <definedName name="Hflood" localSheetId="47">'[28]Scour depth'!#REF!</definedName>
    <definedName name="Hflood" localSheetId="58">'[28]Scour depth'!#REF!</definedName>
    <definedName name="Hflood" localSheetId="0">'[28]Scour depth'!#REF!</definedName>
    <definedName name="Hflood" localSheetId="52">'[28]Scour depth'!#REF!</definedName>
    <definedName name="Hflood" localSheetId="61">'[28]Scour depth'!#REF!</definedName>
    <definedName name="hg" localSheetId="78">#REF!</definedName>
    <definedName name="hg" localSheetId="1">#REF!</definedName>
    <definedName name="hg" localSheetId="57">#REF!</definedName>
    <definedName name="hg" localSheetId="23">#REF!</definedName>
    <definedName name="hg" localSheetId="47">#REF!</definedName>
    <definedName name="hg" localSheetId="58">#REF!</definedName>
    <definedName name="hg" localSheetId="0">#REF!</definedName>
    <definedName name="hg" localSheetId="52">#REF!</definedName>
    <definedName name="hg" localSheetId="61">#REF!</definedName>
    <definedName name="hinges" localSheetId="35">'[10]RATES INCLUDING TRANSPORATION'!$V$76</definedName>
    <definedName name="hinges" localSheetId="37">'[10]RATES INCLUDING TRANSPORATION'!$V$76</definedName>
    <definedName name="hinges" localSheetId="17">'[10]RATES INCLUDING TRANSPORATION'!$V$76</definedName>
    <definedName name="hinges" localSheetId="47">#REF!</definedName>
    <definedName name="hinges" localSheetId="41">'[10]RATES INCLUDING TRANSPORATION'!$V$76</definedName>
    <definedName name="hinges" localSheetId="39">'[10]RATES INCLUDING TRANSPORATION'!$V$76</definedName>
    <definedName name="hinges" localSheetId="40">'[10]RATES INCLUDING TRANSPORATION'!$V$76</definedName>
    <definedName name="hinges" localSheetId="36">'[10]RATES INCLUDING TRANSPORATION'!$V$76</definedName>
    <definedName name="hinges" localSheetId="20">'[10]RATES INCLUDING TRANSPORATION'!$V$76</definedName>
    <definedName name="hinges" localSheetId="21">'[10]RATES INCLUDING TRANSPORATION'!$V$76</definedName>
    <definedName name="hinges" localSheetId="33">'[10]RATES INCLUDING TRANSPORATION'!$V$76</definedName>
    <definedName name="hinges" localSheetId="18">'[10]RATES INCLUDING TRANSPORATION'!$V$76</definedName>
    <definedName name="hinges" localSheetId="19">'[10]RATES INCLUDING TRANSPORATION'!$V$76</definedName>
    <definedName name="hinges" localSheetId="34">'[10]RATES INCLUDING TRANSPORATION'!$V$76</definedName>
    <definedName name="hinges" localSheetId="69">'[10]RATES INCLUDING TRANSPORATION'!$V$76</definedName>
    <definedName name="hinges" localSheetId="68">'[10]RATES INCLUDING TRANSPORATION'!$V$76</definedName>
    <definedName name="hinges" localSheetId="38">'[10]RATES INCLUDING TRANSPORATION'!$V$76</definedName>
    <definedName name="hinges" localSheetId="65">'[10]RATES INCLUDING TRANSPORATION'!$V$76</definedName>
    <definedName name="hinges" localSheetId="66">'[10]RATES INCLUDING TRANSPORATION'!$V$76</definedName>
    <definedName name="hinges" localSheetId="67">'[10]RATES INCLUDING TRANSPORATION'!$V$76</definedName>
    <definedName name="hinges" localSheetId="42">'[10]RATES INCLUDING TRANSPORATION'!$V$76</definedName>
    <definedName name="hjj" localSheetId="35" hidden="1">[2]Solu!#REF!</definedName>
    <definedName name="hjj" localSheetId="37" hidden="1">[2]Solu!#REF!</definedName>
    <definedName name="hjj" localSheetId="17" hidden="1">[2]Solu!#REF!</definedName>
    <definedName name="hjj" localSheetId="41" hidden="1">[2]Solu!#REF!</definedName>
    <definedName name="hjj" localSheetId="39" hidden="1">[2]Solu!#REF!</definedName>
    <definedName name="hjj" localSheetId="40" hidden="1">[2]Solu!#REF!</definedName>
    <definedName name="hjj" localSheetId="43" hidden="1">[2]Solu!#REF!</definedName>
    <definedName name="hjj" localSheetId="44" hidden="1">[2]Solu!#REF!</definedName>
    <definedName name="hjj" localSheetId="45" hidden="1">[2]Solu!#REF!</definedName>
    <definedName name="hjj" localSheetId="46" hidden="1">[2]Solu!#REF!</definedName>
    <definedName name="hjj" localSheetId="36" hidden="1">[2]Solu!#REF!</definedName>
    <definedName name="hjj" localSheetId="20" hidden="1">[2]Solu!#REF!</definedName>
    <definedName name="hjj" localSheetId="21" hidden="1">[2]Solu!#REF!</definedName>
    <definedName name="hjj" localSheetId="33" hidden="1">[2]Solu!#REF!</definedName>
    <definedName name="hjj" localSheetId="18" hidden="1">[2]Solu!#REF!</definedName>
    <definedName name="hjj" localSheetId="19" hidden="1">[2]Solu!#REF!</definedName>
    <definedName name="hjj" localSheetId="34" hidden="1">[2]Solu!#REF!</definedName>
    <definedName name="hjj" localSheetId="69" hidden="1">[2]Solu!#REF!</definedName>
    <definedName name="hjj" localSheetId="68" hidden="1">[2]Solu!#REF!</definedName>
    <definedName name="hjj" localSheetId="38" hidden="1">[2]Solu!#REF!</definedName>
    <definedName name="hjj" localSheetId="65" hidden="1">[2]Solu!#REF!</definedName>
    <definedName name="hjj" localSheetId="66" hidden="1">[2]Solu!#REF!</definedName>
    <definedName name="hjj" localSheetId="67" hidden="1">[2]Solu!#REF!</definedName>
    <definedName name="hjj" localSheetId="42" hidden="1">[2]Solu!#REF!</definedName>
    <definedName name="holdfast" localSheetId="35">'[10]RATES INCLUDING TRANSPORATION'!$V$75</definedName>
    <definedName name="holdfast" localSheetId="37">'[10]RATES INCLUDING TRANSPORATION'!$V$75</definedName>
    <definedName name="holdfast" localSheetId="17">'[10]RATES INCLUDING TRANSPORATION'!$V$75</definedName>
    <definedName name="holdfast" localSheetId="47">#REF!</definedName>
    <definedName name="holdfast" localSheetId="41">'[10]RATES INCLUDING TRANSPORATION'!$V$75</definedName>
    <definedName name="holdfast" localSheetId="39">'[10]RATES INCLUDING TRANSPORATION'!$V$75</definedName>
    <definedName name="holdfast" localSheetId="40">'[10]RATES INCLUDING TRANSPORATION'!$V$75</definedName>
    <definedName name="holdfast" localSheetId="36">'[10]RATES INCLUDING TRANSPORATION'!$V$75</definedName>
    <definedName name="holdfast" localSheetId="20">'[10]RATES INCLUDING TRANSPORATION'!$V$75</definedName>
    <definedName name="holdfast" localSheetId="21">'[10]RATES INCLUDING TRANSPORATION'!$V$75</definedName>
    <definedName name="holdfast" localSheetId="33">'[10]RATES INCLUDING TRANSPORATION'!$V$75</definedName>
    <definedName name="holdfast" localSheetId="18">'[10]RATES INCLUDING TRANSPORATION'!$V$75</definedName>
    <definedName name="holdfast" localSheetId="19">'[10]RATES INCLUDING TRANSPORATION'!$V$75</definedName>
    <definedName name="holdfast" localSheetId="34">'[10]RATES INCLUDING TRANSPORATION'!$V$75</definedName>
    <definedName name="holdfast" localSheetId="69">'[10]RATES INCLUDING TRANSPORATION'!$V$75</definedName>
    <definedName name="holdfast" localSheetId="68">'[10]RATES INCLUDING TRANSPORATION'!$V$75</definedName>
    <definedName name="holdfast" localSheetId="38">'[10]RATES INCLUDING TRANSPORATION'!$V$75</definedName>
    <definedName name="holdfast" localSheetId="65">'[10]RATES INCLUDING TRANSPORATION'!$V$75</definedName>
    <definedName name="holdfast" localSheetId="66">'[10]RATES INCLUDING TRANSPORATION'!$V$75</definedName>
    <definedName name="holdfast" localSheetId="67">'[10]RATES INCLUDING TRANSPORATION'!$V$75</definedName>
    <definedName name="holdfast" localSheetId="42">'[10]RATES INCLUDING TRANSPORATION'!$V$75</definedName>
    <definedName name="Hr" localSheetId="35">'[26]Side Intake and Orifice'!$H$18</definedName>
    <definedName name="Hr" localSheetId="37">'[26]Side Intake and Orifice'!$H$18</definedName>
    <definedName name="Hr" localSheetId="57">'[26]Side Intake and Orifice'!$H$18</definedName>
    <definedName name="Hr" localSheetId="23">'[26]Side Intake and Orifice'!$H$18</definedName>
    <definedName name="Hr" localSheetId="27">'[26]Side Intake and Orifice'!$H$18</definedName>
    <definedName name="Hr" localSheetId="17">'[26]Side Intake and Orifice'!$H$18</definedName>
    <definedName name="Hr" localSheetId="41">'[26]Side Intake and Orifice'!$H$18</definedName>
    <definedName name="Hr" localSheetId="39">'[26]Side Intake and Orifice'!$H$18</definedName>
    <definedName name="Hr" localSheetId="40">'[26]Side Intake and Orifice'!$H$18</definedName>
    <definedName name="Hr" localSheetId="36">'[26]Side Intake and Orifice'!$H$18</definedName>
    <definedName name="Hr" localSheetId="20">'[26]Side Intake and Orifice'!$H$18</definedName>
    <definedName name="Hr" localSheetId="21">'[26]Side Intake and Orifice'!$H$18</definedName>
    <definedName name="Hr" localSheetId="33">'[26]Side Intake and Orifice'!$H$18</definedName>
    <definedName name="Hr" localSheetId="18">'[26]Side Intake and Orifice'!$H$18</definedName>
    <definedName name="Hr" localSheetId="26">'[26]Side Intake and Orifice'!$H$18</definedName>
    <definedName name="Hr" localSheetId="13">'[26]Side Intake and Orifice'!$H$18</definedName>
    <definedName name="Hr" localSheetId="14">'[26]Side Intake and Orifice'!$H$18</definedName>
    <definedName name="Hr" localSheetId="19">'[26]Side Intake and Orifice'!$H$18</definedName>
    <definedName name="Hr" localSheetId="34">'[26]Side Intake and Orifice'!$H$18</definedName>
    <definedName name="Hr" localSheetId="69">'[26]Side Intake and Orifice'!$H$18</definedName>
    <definedName name="Hr" localSheetId="68">'[26]Side Intake and Orifice'!$H$18</definedName>
    <definedName name="hr" localSheetId="51">#REF!</definedName>
    <definedName name="Hr" localSheetId="38">'[26]Side Intake and Orifice'!$H$18</definedName>
    <definedName name="Hr" localSheetId="71">'[26]Side Intake and Orifice'!$H$18</definedName>
    <definedName name="Hr" localSheetId="65">'[26]Side Intake and Orifice'!$H$18</definedName>
    <definedName name="Hr" localSheetId="66">'[26]Side Intake and Orifice'!$H$18</definedName>
    <definedName name="Hr" localSheetId="67">'[26]Side Intake and Orifice'!$H$18</definedName>
    <definedName name="Hr" localSheetId="42">'[26]Side Intake and Orifice'!$H$18</definedName>
    <definedName name="Hr">'[27]Side Intake and Orifice'!$H$18</definedName>
    <definedName name="HRWL" localSheetId="35">'[6]Energy_INPUT&amp;OUTPUT'!$C$9</definedName>
    <definedName name="HRWL" localSheetId="37">'[6]Energy_INPUT&amp;OUTPUT'!$C$9</definedName>
    <definedName name="HRWL" localSheetId="57">'[6]Energy_INPUT&amp;OUTPUT'!$C$9</definedName>
    <definedName name="HRWL" localSheetId="23">'[6]Energy_INPUT&amp;OUTPUT'!$C$9</definedName>
    <definedName name="HRWL" localSheetId="27">'[6]Energy_INPUT&amp;OUTPUT'!$C$9</definedName>
    <definedName name="HRWL" localSheetId="17">'[6]Energy_INPUT&amp;OUTPUT'!$C$9</definedName>
    <definedName name="HRWL" localSheetId="41">'[6]Energy_INPUT&amp;OUTPUT'!$C$9</definedName>
    <definedName name="HRWL" localSheetId="39">'[6]Energy_INPUT&amp;OUTPUT'!$C$9</definedName>
    <definedName name="HRWL" localSheetId="40">'[6]Energy_INPUT&amp;OUTPUT'!$C$9</definedName>
    <definedName name="HRWL" localSheetId="36">'[6]Energy_INPUT&amp;OUTPUT'!$C$9</definedName>
    <definedName name="HRWL" localSheetId="20">'[6]Energy_INPUT&amp;OUTPUT'!$C$9</definedName>
    <definedName name="HRWL" localSheetId="21">'[6]Energy_INPUT&amp;OUTPUT'!$C$9</definedName>
    <definedName name="HRWL" localSheetId="33">'[6]Energy_INPUT&amp;OUTPUT'!$C$9</definedName>
    <definedName name="HRWL" localSheetId="18">'[6]Energy_INPUT&amp;OUTPUT'!$C$9</definedName>
    <definedName name="HRWL" localSheetId="26">'[6]Energy_INPUT&amp;OUTPUT'!$C$9</definedName>
    <definedName name="HRWL" localSheetId="13">'[6]Energy_INPUT&amp;OUTPUT'!$C$9</definedName>
    <definedName name="HRWL" localSheetId="14">'[6]Energy_INPUT&amp;OUTPUT'!$C$9</definedName>
    <definedName name="HRWL" localSheetId="19">'[6]Energy_INPUT&amp;OUTPUT'!$C$9</definedName>
    <definedName name="HRWL" localSheetId="34">'[6]Energy_INPUT&amp;OUTPUT'!$C$9</definedName>
    <definedName name="HRWL" localSheetId="69">'[6]Energy_INPUT&amp;OUTPUT'!$C$9</definedName>
    <definedName name="HRWL" localSheetId="68">'[6]Energy_INPUT&amp;OUTPUT'!$C$9</definedName>
    <definedName name="HRWL" localSheetId="38">'[6]Energy_INPUT&amp;OUTPUT'!$C$9</definedName>
    <definedName name="HRWL" localSheetId="71">'[6]Energy_INPUT&amp;OUTPUT'!$C$9</definedName>
    <definedName name="HRWL" localSheetId="65">'[6]Energy_INPUT&amp;OUTPUT'!$C$9</definedName>
    <definedName name="HRWL" localSheetId="66">'[6]Energy_INPUT&amp;OUTPUT'!$C$9</definedName>
    <definedName name="HRWL" localSheetId="67">'[6]Energy_INPUT&amp;OUTPUT'!$C$9</definedName>
    <definedName name="HRWL" localSheetId="42">'[6]Energy_INPUT&amp;OUTPUT'!$C$9</definedName>
    <definedName name="HRWL">'[7]Energy_INPUT&amp;OUTPUT'!$C$9</definedName>
    <definedName name="hs" localSheetId="78">#REF!</definedName>
    <definedName name="hs" localSheetId="1">#REF!</definedName>
    <definedName name="hs" localSheetId="57">#REF!</definedName>
    <definedName name="hs" localSheetId="23">#REF!</definedName>
    <definedName name="hs" localSheetId="47">#REF!</definedName>
    <definedName name="hs" localSheetId="58">#REF!</definedName>
    <definedName name="hs" localSheetId="0">#REF!</definedName>
    <definedName name="hs" localSheetId="52">#REF!</definedName>
    <definedName name="hs" localSheetId="61">#REF!</definedName>
    <definedName name="hui" localSheetId="4" hidden="1">[1]Solu!#REF!</definedName>
    <definedName name="hui" localSheetId="78" hidden="1">[1]Solu!#REF!</definedName>
    <definedName name="hui" localSheetId="7" hidden="1">[1]Solu!#REF!</definedName>
    <definedName name="hui" localSheetId="8" hidden="1">[1]Solu!#REF!</definedName>
    <definedName name="hui" localSheetId="1" hidden="1">[1]Solu!#REF!</definedName>
    <definedName name="hui" localSheetId="24" hidden="1">[1]Solu!#REF!</definedName>
    <definedName name="hui" localSheetId="35" hidden="1">[2]Solu!#REF!</definedName>
    <definedName name="hui" localSheetId="37" hidden="1">[2]Solu!#REF!</definedName>
    <definedName name="hui" localSheetId="57" hidden="1">[2]Solu!#REF!</definedName>
    <definedName name="hui" localSheetId="5" hidden="1">[1]Solu!#REF!</definedName>
    <definedName name="hui" localSheetId="23" hidden="1">[2]Solu!#REF!</definedName>
    <definedName name="hui" localSheetId="27" hidden="1">[2]Solu!#REF!</definedName>
    <definedName name="hui" localSheetId="17" hidden="1">[2]Solu!#REF!</definedName>
    <definedName name="hui" localSheetId="47" hidden="1">[1]Solu!#REF!</definedName>
    <definedName name="hui" localSheetId="41" hidden="1">[2]Solu!#REF!</definedName>
    <definedName name="hui" localSheetId="39" hidden="1">[2]Solu!#REF!</definedName>
    <definedName name="hui" localSheetId="40" hidden="1">[2]Solu!#REF!</definedName>
    <definedName name="hui" localSheetId="32" hidden="1">[1]Solu!#REF!</definedName>
    <definedName name="hui" localSheetId="43" hidden="1">[2]Solu!#REF!</definedName>
    <definedName name="hui" localSheetId="44" hidden="1">[2]Solu!#REF!</definedName>
    <definedName name="hui" localSheetId="45" hidden="1">[2]Solu!#REF!</definedName>
    <definedName name="hui" localSheetId="46" hidden="1">[2]Solu!#REF!</definedName>
    <definedName name="hui" localSheetId="36" hidden="1">[2]Solu!#REF!</definedName>
    <definedName name="hui" localSheetId="20" hidden="1">[2]Solu!#REF!</definedName>
    <definedName name="hui" localSheetId="21" hidden="1">[2]Solu!#REF!</definedName>
    <definedName name="hui" localSheetId="33" hidden="1">[2]Solu!#REF!</definedName>
    <definedName name="hui" localSheetId="18" hidden="1">[2]Solu!#REF!</definedName>
    <definedName name="hui" localSheetId="29" hidden="1">[1]Solu!#REF!</definedName>
    <definedName name="hui" localSheetId="26" hidden="1">[2]Solu!#REF!</definedName>
    <definedName name="hui" localSheetId="25" hidden="1">[1]Solu!#REF!</definedName>
    <definedName name="hui" localSheetId="13" hidden="1">[2]Solu!#REF!</definedName>
    <definedName name="hui" localSheetId="14" hidden="1">[2]Solu!#REF!</definedName>
    <definedName name="hui" localSheetId="12" hidden="1">[1]Solu!#REF!</definedName>
    <definedName name="hui" localSheetId="19" hidden="1">[2]Solu!#REF!</definedName>
    <definedName name="hui" localSheetId="34" hidden="1">[2]Solu!#REF!</definedName>
    <definedName name="hui" localSheetId="58" hidden="1">[1]Solu!#REF!</definedName>
    <definedName name="hui" localSheetId="69" hidden="1">[2]Solu!#REF!</definedName>
    <definedName name="hui" localSheetId="68" hidden="1">[2]Solu!#REF!</definedName>
    <definedName name="hui" localSheetId="0" hidden="1">[1]Solu!#REF!</definedName>
    <definedName name="hui" localSheetId="52" hidden="1">[1]Solu!#REF!</definedName>
    <definedName name="hui" localSheetId="73" hidden="1">[2]Solu!#REF!</definedName>
    <definedName name="hui" localSheetId="61" hidden="1">[1]Solu!#REF!</definedName>
    <definedName name="hui" localSheetId="38" hidden="1">[2]Solu!#REF!</definedName>
    <definedName name="hui" localSheetId="71" hidden="1">[2]Solu!#REF!</definedName>
    <definedName name="hui" localSheetId="22" hidden="1">[1]Solu!#REF!</definedName>
    <definedName name="hui" localSheetId="28" hidden="1">[1]Solu!#REF!</definedName>
    <definedName name="hui" localSheetId="65" hidden="1">[2]Solu!#REF!</definedName>
    <definedName name="hui" localSheetId="66" hidden="1">[2]Solu!#REF!</definedName>
    <definedName name="hui" localSheetId="67" hidden="1">[2]Solu!#REF!</definedName>
    <definedName name="hui" localSheetId="42" hidden="1">[2]Solu!#REF!</definedName>
    <definedName name="hui" hidden="1">[1]Solu!#REF!</definedName>
    <definedName name="HW" localSheetId="24" hidden="1">{"Mahesh Maskey - Personal View",#N/A,FALSE,"HeadLossApril (2)";#N/A,#N/A,FALSE,"Hydraulic Gadient"}</definedName>
    <definedName name="HW" localSheetId="27" hidden="1">{"Mahesh Maskey - Personal View",#N/A,FALSE,"HeadLossApril (2)";#N/A,#N/A,FALSE,"Hydraulic Gadient"}</definedName>
    <definedName name="HW" localSheetId="17" hidden="1">{"Mahesh Maskey - Personal View",#N/A,FALSE,"HeadLossApril (2)";#N/A,#N/A,FALSE,"Hydraulic Gadient"}</definedName>
    <definedName name="HW" localSheetId="47" hidden="1">{"Mahesh Maskey - Personal View",#N/A,FALSE,"HeadLossApril (2)";#N/A,#N/A,FALSE,"Hydraulic Gadient"}</definedName>
    <definedName name="HW" localSheetId="32" hidden="1">{"Mahesh Maskey - Personal View",#N/A,FALSE,"HeadLossApril (2)";#N/A,#N/A,FALSE,"Hydraulic Gadient"}</definedName>
    <definedName name="HW" localSheetId="18" hidden="1">{"Mahesh Maskey - Personal View",#N/A,FALSE,"HeadLossApril (2)";#N/A,#N/A,FALSE,"Hydraulic Gadient"}</definedName>
    <definedName name="HW" localSheetId="29" hidden="1">{"Mahesh Maskey - Personal View",#N/A,FALSE,"HeadLossApril (2)";#N/A,#N/A,FALSE,"Hydraulic Gadient"}</definedName>
    <definedName name="HW" localSheetId="19" hidden="1">{"Mahesh Maskey - Personal View",#N/A,FALSE,"HeadLossApril (2)";#N/A,#N/A,FALSE,"Hydraulic Gadient"}</definedName>
    <definedName name="HW" localSheetId="22" hidden="1">{"Mahesh Maskey - Personal View",#N/A,FALSE,"HeadLossApril (2)";#N/A,#N/A,FALSE,"Hydraulic Gadient"}</definedName>
    <definedName name="HW" localSheetId="28" hidden="1">{"Mahesh Maskey - Personal View",#N/A,FALSE,"HeadLossApril (2)";#N/A,#N/A,FALSE,"Hydraulic Gadient"}</definedName>
    <definedName name="HW" hidden="1">{"Mahesh Maskey - Personal View",#N/A,FALSE,"HeadLossApril (2)";#N/A,#N/A,FALSE,"Hydraulic Gadient"}</definedName>
    <definedName name="hydraulic_jack" localSheetId="35">'[10]Basic Rates'!$D$170</definedName>
    <definedName name="hydraulic_jack" localSheetId="37">'[10]Basic Rates'!$D$170</definedName>
    <definedName name="hydraulic_jack" localSheetId="17">'[10]Basic Rates'!$D$170</definedName>
    <definedName name="hydraulic_jack" localSheetId="47">#REF!</definedName>
    <definedName name="hydraulic_jack" localSheetId="41">'[10]Basic Rates'!$D$170</definedName>
    <definedName name="hydraulic_jack" localSheetId="39">'[10]Basic Rates'!$D$170</definedName>
    <definedName name="hydraulic_jack" localSheetId="40">'[10]Basic Rates'!$D$170</definedName>
    <definedName name="hydraulic_jack" localSheetId="36">'[10]Basic Rates'!$D$170</definedName>
    <definedName name="hydraulic_jack" localSheetId="20">'[10]Basic Rates'!$D$170</definedName>
    <definedName name="hydraulic_jack" localSheetId="21">'[10]Basic Rates'!$D$170</definedName>
    <definedName name="hydraulic_jack" localSheetId="33">'[10]Basic Rates'!$D$170</definedName>
    <definedName name="hydraulic_jack" localSheetId="18">'[10]Basic Rates'!$D$170</definedName>
    <definedName name="hydraulic_jack" localSheetId="19">'[10]Basic Rates'!$D$170</definedName>
    <definedName name="hydraulic_jack" localSheetId="34">'[10]Basic Rates'!$D$170</definedName>
    <definedName name="hydraulic_jack" localSheetId="69">'[10]Basic Rates'!$D$170</definedName>
    <definedName name="hydraulic_jack" localSheetId="68">'[10]Basic Rates'!$D$170</definedName>
    <definedName name="hydraulic_jack" localSheetId="38">'[10]Basic Rates'!$D$170</definedName>
    <definedName name="hydraulic_jack" localSheetId="65">'[10]Basic Rates'!$D$170</definedName>
    <definedName name="hydraulic_jack" localSheetId="66">'[10]Basic Rates'!$D$170</definedName>
    <definedName name="hydraulic_jack" localSheetId="67">'[10]Basic Rates'!$D$170</definedName>
    <definedName name="hydraulic_jack" localSheetId="42">'[10]Basic Rates'!$D$170</definedName>
    <definedName name="Hydraulic_oil" localSheetId="35">'[8]RATES INCLUDING TRANSPORATION'!$V$55</definedName>
    <definedName name="Hydraulic_oil" localSheetId="37">'[8]RATES INCLUDING TRANSPORATION'!$V$55</definedName>
    <definedName name="Hydraulic_oil" localSheetId="57">'[8]RATES INCLUDING TRANSPORATION'!$V$55</definedName>
    <definedName name="Hydraulic_oil" localSheetId="23">'[8]RATES INCLUDING TRANSPORATION'!$V$55</definedName>
    <definedName name="Hydraulic_oil" localSheetId="27">'[8]RATES INCLUDING TRANSPORATION'!$V$55</definedName>
    <definedName name="Hydraulic_oil" localSheetId="17">'[8]RATES INCLUDING TRANSPORATION'!$V$55</definedName>
    <definedName name="Hydraulic_oil" localSheetId="41">'[8]RATES INCLUDING TRANSPORATION'!$V$55</definedName>
    <definedName name="Hydraulic_oil" localSheetId="39">'[8]RATES INCLUDING TRANSPORATION'!$V$55</definedName>
    <definedName name="Hydraulic_oil" localSheetId="40">'[8]RATES INCLUDING TRANSPORATION'!$V$55</definedName>
    <definedName name="Hydraulic_oil" localSheetId="36">'[8]RATES INCLUDING TRANSPORATION'!$V$55</definedName>
    <definedName name="Hydraulic_oil" localSheetId="20">'[8]RATES INCLUDING TRANSPORATION'!$V$55</definedName>
    <definedName name="Hydraulic_oil" localSheetId="21">'[8]RATES INCLUDING TRANSPORATION'!$V$55</definedName>
    <definedName name="Hydraulic_oil" localSheetId="33">'[8]RATES INCLUDING TRANSPORATION'!$V$55</definedName>
    <definedName name="Hydraulic_oil" localSheetId="18">'[8]RATES INCLUDING TRANSPORATION'!$V$55</definedName>
    <definedName name="Hydraulic_oil" localSheetId="26">'[8]RATES INCLUDING TRANSPORATION'!$V$55</definedName>
    <definedName name="Hydraulic_oil" localSheetId="13">'[8]RATES INCLUDING TRANSPORATION'!$V$55</definedName>
    <definedName name="Hydraulic_oil" localSheetId="14">'[8]RATES INCLUDING TRANSPORATION'!$V$55</definedName>
    <definedName name="Hydraulic_oil" localSheetId="19">'[8]RATES INCLUDING TRANSPORATION'!$V$55</definedName>
    <definedName name="Hydraulic_oil" localSheetId="34">'[8]RATES INCLUDING TRANSPORATION'!$V$55</definedName>
    <definedName name="Hydraulic_oil" localSheetId="69">'[8]RATES INCLUDING TRANSPORATION'!$V$55</definedName>
    <definedName name="Hydraulic_oil" localSheetId="68">'[8]RATES INCLUDING TRANSPORATION'!$V$55</definedName>
    <definedName name="Hydraulic_oil" localSheetId="51">#REF!</definedName>
    <definedName name="Hydraulic_oil" localSheetId="38">'[8]RATES INCLUDING TRANSPORATION'!$V$55</definedName>
    <definedName name="Hydraulic_oil" localSheetId="71">'[8]RATES INCLUDING TRANSPORATION'!$V$55</definedName>
    <definedName name="Hydraulic_oil" localSheetId="65">'[8]RATES INCLUDING TRANSPORATION'!$V$55</definedName>
    <definedName name="Hydraulic_oil" localSheetId="66">'[8]RATES INCLUDING TRANSPORATION'!$V$55</definedName>
    <definedName name="Hydraulic_oil" localSheetId="67">'[8]RATES INCLUDING TRANSPORATION'!$V$55</definedName>
    <definedName name="Hydraulic_oil" localSheetId="42">'[8]RATES INCLUDING TRANSPORATION'!$V$55</definedName>
    <definedName name="Hydraulic_oil">'[9]RATES INCLUDING TRANSPORATION'!$V$55</definedName>
    <definedName name="i" localSheetId="78">#REF!</definedName>
    <definedName name="i" localSheetId="1">#REF!</definedName>
    <definedName name="i" localSheetId="57">#REF!</definedName>
    <definedName name="i" localSheetId="23">#REF!</definedName>
    <definedName name="i" localSheetId="47">#REF!</definedName>
    <definedName name="i" localSheetId="58">#REF!</definedName>
    <definedName name="i" localSheetId="0">#REF!</definedName>
    <definedName name="i" localSheetId="52">#REF!</definedName>
    <definedName name="i" localSheetId="61">#REF!</definedName>
    <definedName name="ih" localSheetId="4" hidden="1">[1]Solu!#REF!</definedName>
    <definedName name="ih" localSheetId="78" hidden="1">[1]Solu!#REF!</definedName>
    <definedName name="ih" localSheetId="7" hidden="1">[1]Solu!#REF!</definedName>
    <definedName name="ih" localSheetId="8" hidden="1">[1]Solu!#REF!</definedName>
    <definedName name="ih" localSheetId="1" hidden="1">[1]Solu!#REF!</definedName>
    <definedName name="ih" localSheetId="24" hidden="1">[1]Solu!#REF!</definedName>
    <definedName name="ih" localSheetId="35" hidden="1">[2]Solu!#REF!</definedName>
    <definedName name="ih" localSheetId="37" hidden="1">[2]Solu!#REF!</definedName>
    <definedName name="ih" localSheetId="57" hidden="1">[2]Solu!#REF!</definedName>
    <definedName name="ih" localSheetId="5" hidden="1">[1]Solu!#REF!</definedName>
    <definedName name="ih" localSheetId="23" hidden="1">[2]Solu!#REF!</definedName>
    <definedName name="ih" localSheetId="27" hidden="1">[2]Solu!#REF!</definedName>
    <definedName name="ih" localSheetId="17" hidden="1">[2]Solu!#REF!</definedName>
    <definedName name="ih" localSheetId="47" hidden="1">[1]Solu!#REF!</definedName>
    <definedName name="ih" localSheetId="41" hidden="1">[2]Solu!#REF!</definedName>
    <definedName name="ih" localSheetId="39" hidden="1">[2]Solu!#REF!</definedName>
    <definedName name="ih" localSheetId="40" hidden="1">[2]Solu!#REF!</definedName>
    <definedName name="ih" localSheetId="32" hidden="1">[1]Solu!#REF!</definedName>
    <definedName name="ih" localSheetId="43" hidden="1">[2]Solu!#REF!</definedName>
    <definedName name="ih" localSheetId="44" hidden="1">[2]Solu!#REF!</definedName>
    <definedName name="ih" localSheetId="45" hidden="1">[2]Solu!#REF!</definedName>
    <definedName name="ih" localSheetId="46" hidden="1">[2]Solu!#REF!</definedName>
    <definedName name="ih" localSheetId="36" hidden="1">[2]Solu!#REF!</definedName>
    <definedName name="ih" localSheetId="20" hidden="1">[2]Solu!#REF!</definedName>
    <definedName name="ih" localSheetId="21" hidden="1">[2]Solu!#REF!</definedName>
    <definedName name="ih" localSheetId="33" hidden="1">[2]Solu!#REF!</definedName>
    <definedName name="ih" localSheetId="18" hidden="1">[2]Solu!#REF!</definedName>
    <definedName name="ih" localSheetId="29" hidden="1">[1]Solu!#REF!</definedName>
    <definedName name="ih" localSheetId="26" hidden="1">[2]Solu!#REF!</definedName>
    <definedName name="ih" localSheetId="25" hidden="1">[1]Solu!#REF!</definedName>
    <definedName name="ih" localSheetId="13" hidden="1">[2]Solu!#REF!</definedName>
    <definedName name="ih" localSheetId="14" hidden="1">[2]Solu!#REF!</definedName>
    <definedName name="ih" localSheetId="12" hidden="1">[1]Solu!#REF!</definedName>
    <definedName name="ih" localSheetId="19" hidden="1">[2]Solu!#REF!</definedName>
    <definedName name="ih" localSheetId="34" hidden="1">[2]Solu!#REF!</definedName>
    <definedName name="ih" localSheetId="58" hidden="1">[1]Solu!#REF!</definedName>
    <definedName name="ih" localSheetId="69" hidden="1">[2]Solu!#REF!</definedName>
    <definedName name="ih" localSheetId="68" hidden="1">[2]Solu!#REF!</definedName>
    <definedName name="ih" localSheetId="0" hidden="1">[1]Solu!#REF!</definedName>
    <definedName name="ih" localSheetId="52" hidden="1">[1]Solu!#REF!</definedName>
    <definedName name="ih" localSheetId="73" hidden="1">[2]Solu!#REF!</definedName>
    <definedName name="ih" localSheetId="61" hidden="1">[1]Solu!#REF!</definedName>
    <definedName name="ih" localSheetId="38" hidden="1">[2]Solu!#REF!</definedName>
    <definedName name="ih" localSheetId="71" hidden="1">[2]Solu!#REF!</definedName>
    <definedName name="ih" localSheetId="22" hidden="1">[1]Solu!#REF!</definedName>
    <definedName name="ih" localSheetId="28" hidden="1">[1]Solu!#REF!</definedName>
    <definedName name="ih" localSheetId="65" hidden="1">[2]Solu!#REF!</definedName>
    <definedName name="ih" localSheetId="66" hidden="1">[2]Solu!#REF!</definedName>
    <definedName name="ih" localSheetId="67" hidden="1">[2]Solu!#REF!</definedName>
    <definedName name="ih" localSheetId="42" hidden="1">[2]Solu!#REF!</definedName>
    <definedName name="ih" hidden="1">[1]Solu!#REF!</definedName>
    <definedName name="inlet_transition_end_height">'[3]Forebay Design'!$D$56</definedName>
    <definedName name="Installed_Capacity" localSheetId="35">'[6]Energy_INPUT&amp;OUTPUT'!$C$34</definedName>
    <definedName name="Installed_Capacity" localSheetId="37">'[6]Energy_INPUT&amp;OUTPUT'!$C$34</definedName>
    <definedName name="Installed_Capacity" localSheetId="57">'[6]Energy_INPUT&amp;OUTPUT'!$C$34</definedName>
    <definedName name="Installed_Capacity" localSheetId="23">'[6]Energy_INPUT&amp;OUTPUT'!$C$34</definedName>
    <definedName name="Installed_Capacity" localSheetId="27">'[6]Energy_INPUT&amp;OUTPUT'!$C$34</definedName>
    <definedName name="Installed_Capacity" localSheetId="17">'[6]Energy_INPUT&amp;OUTPUT'!$C$34</definedName>
    <definedName name="Installed_Capacity" localSheetId="41">'[6]Energy_INPUT&amp;OUTPUT'!$C$34</definedName>
    <definedName name="Installed_Capacity" localSheetId="39">'[6]Energy_INPUT&amp;OUTPUT'!$C$34</definedName>
    <definedName name="Installed_Capacity" localSheetId="40">'[6]Energy_INPUT&amp;OUTPUT'!$C$34</definedName>
    <definedName name="Installed_Capacity" localSheetId="36">'[6]Energy_INPUT&amp;OUTPUT'!$C$34</definedName>
    <definedName name="Installed_Capacity" localSheetId="20">'[6]Energy_INPUT&amp;OUTPUT'!$C$34</definedName>
    <definedName name="Installed_Capacity" localSheetId="21">'[6]Energy_INPUT&amp;OUTPUT'!$C$34</definedName>
    <definedName name="Installed_Capacity" localSheetId="33">'[6]Energy_INPUT&amp;OUTPUT'!$C$34</definedName>
    <definedName name="Installed_Capacity" localSheetId="18">'[6]Energy_INPUT&amp;OUTPUT'!$C$34</definedName>
    <definedName name="Installed_Capacity" localSheetId="26">'[6]Energy_INPUT&amp;OUTPUT'!$C$34</definedName>
    <definedName name="Installed_Capacity" localSheetId="13">'[6]Energy_INPUT&amp;OUTPUT'!$C$34</definedName>
    <definedName name="Installed_Capacity" localSheetId="14">'[6]Energy_INPUT&amp;OUTPUT'!$C$34</definedName>
    <definedName name="Installed_Capacity" localSheetId="19">'[6]Energy_INPUT&amp;OUTPUT'!$C$34</definedName>
    <definedName name="Installed_Capacity" localSheetId="34">'[6]Energy_INPUT&amp;OUTPUT'!$C$34</definedName>
    <definedName name="Installed_Capacity" localSheetId="69">'[6]Energy_INPUT&amp;OUTPUT'!$C$34</definedName>
    <definedName name="Installed_Capacity" localSheetId="68">'[6]Energy_INPUT&amp;OUTPUT'!$C$34</definedName>
    <definedName name="Installed_Capacity" localSheetId="38">'[6]Energy_INPUT&amp;OUTPUT'!$C$34</definedName>
    <definedName name="Installed_Capacity" localSheetId="71">'[6]Energy_INPUT&amp;OUTPUT'!$C$34</definedName>
    <definedName name="Installed_Capacity" localSheetId="65">'[6]Energy_INPUT&amp;OUTPUT'!$C$34</definedName>
    <definedName name="Installed_Capacity" localSheetId="66">'[6]Energy_INPUT&amp;OUTPUT'!$C$34</definedName>
    <definedName name="Installed_Capacity" localSheetId="67">'[6]Energy_INPUT&amp;OUTPUT'!$C$34</definedName>
    <definedName name="Installed_Capacity" localSheetId="42">'[6]Energy_INPUT&amp;OUTPUT'!$C$34</definedName>
    <definedName name="Installed_Capacity">'[7]Energy_INPUT&amp;OUTPUT'!$C$34</definedName>
    <definedName name="jack_hammer" localSheetId="35">'[10]Basic Rates'!$D$158</definedName>
    <definedName name="jack_hammer" localSheetId="37">'[10]Basic Rates'!$D$158</definedName>
    <definedName name="jack_hammer" localSheetId="17">'[10]Basic Rates'!$D$158</definedName>
    <definedName name="jack_hammer" localSheetId="47">#REF!</definedName>
    <definedName name="jack_hammer" localSheetId="41">'[10]Basic Rates'!$D$158</definedName>
    <definedName name="jack_hammer" localSheetId="39">'[10]Basic Rates'!$D$158</definedName>
    <definedName name="jack_hammer" localSheetId="40">'[10]Basic Rates'!$D$158</definedName>
    <definedName name="jack_hammer" localSheetId="36">'[10]Basic Rates'!$D$158</definedName>
    <definedName name="jack_hammer" localSheetId="20">'[10]Basic Rates'!$D$158</definedName>
    <definedName name="jack_hammer" localSheetId="21">'[10]Basic Rates'!$D$158</definedName>
    <definedName name="jack_hammer" localSheetId="33">'[10]Basic Rates'!$D$158</definedName>
    <definedName name="jack_hammer" localSheetId="18">'[10]Basic Rates'!$D$158</definedName>
    <definedName name="jack_hammer" localSheetId="19">'[10]Basic Rates'!$D$158</definedName>
    <definedName name="jack_hammer" localSheetId="34">'[10]Basic Rates'!$D$158</definedName>
    <definedName name="jack_hammer" localSheetId="69">'[10]Basic Rates'!$D$158</definedName>
    <definedName name="jack_hammer" localSheetId="68">'[10]Basic Rates'!$D$158</definedName>
    <definedName name="jack_hammer" localSheetId="38">'[10]Basic Rates'!$D$158</definedName>
    <definedName name="jack_hammer" localSheetId="65">'[10]Basic Rates'!$D$158</definedName>
    <definedName name="jack_hammer" localSheetId="66">'[10]Basic Rates'!$D$158</definedName>
    <definedName name="jack_hammer" localSheetId="67">'[10]Basic Rates'!$D$158</definedName>
    <definedName name="jack_hammer" localSheetId="42">'[10]Basic Rates'!$D$158</definedName>
    <definedName name="jhooks" localSheetId="35">'[10]RATES INCLUDING TRANSPORATION'!$V$73</definedName>
    <definedName name="jhooks" localSheetId="37">'[10]RATES INCLUDING TRANSPORATION'!$V$73</definedName>
    <definedName name="jhooks" localSheetId="17">'[10]RATES INCLUDING TRANSPORATION'!$V$73</definedName>
    <definedName name="jhooks" localSheetId="47">#REF!</definedName>
    <definedName name="jhooks" localSheetId="41">'[10]RATES INCLUDING TRANSPORATION'!$V$73</definedName>
    <definedName name="jhooks" localSheetId="39">'[10]RATES INCLUDING TRANSPORATION'!$V$73</definedName>
    <definedName name="jhooks" localSheetId="40">'[10]RATES INCLUDING TRANSPORATION'!$V$73</definedName>
    <definedName name="jhooks" localSheetId="36">'[10]RATES INCLUDING TRANSPORATION'!$V$73</definedName>
    <definedName name="jhooks" localSheetId="20">'[10]RATES INCLUDING TRANSPORATION'!$V$73</definedName>
    <definedName name="jhooks" localSheetId="21">'[10]RATES INCLUDING TRANSPORATION'!$V$73</definedName>
    <definedName name="jhooks" localSheetId="33">'[10]RATES INCLUDING TRANSPORATION'!$V$73</definedName>
    <definedName name="jhooks" localSheetId="18">'[10]RATES INCLUDING TRANSPORATION'!$V$73</definedName>
    <definedName name="jhooks" localSheetId="19">'[10]RATES INCLUDING TRANSPORATION'!$V$73</definedName>
    <definedName name="jhooks" localSheetId="34">'[10]RATES INCLUDING TRANSPORATION'!$V$73</definedName>
    <definedName name="jhooks" localSheetId="69">'[10]RATES INCLUDING TRANSPORATION'!$V$73</definedName>
    <definedName name="jhooks" localSheetId="68">'[10]RATES INCLUDING TRANSPORATION'!$V$73</definedName>
    <definedName name="jhooks" localSheetId="38">'[10]RATES INCLUDING TRANSPORATION'!$V$73</definedName>
    <definedName name="jhooks" localSheetId="65">'[10]RATES INCLUDING TRANSPORATION'!$V$73</definedName>
    <definedName name="jhooks" localSheetId="66">'[10]RATES INCLUDING TRANSPORATION'!$V$73</definedName>
    <definedName name="jhooks" localSheetId="67">'[10]RATES INCLUDING TRANSPORATION'!$V$73</definedName>
    <definedName name="jhooks" localSheetId="42">'[10]RATES INCLUDING TRANSPORATION'!$V$73</definedName>
    <definedName name="jn">930074</definedName>
    <definedName name="ka" localSheetId="78">#REF!</definedName>
    <definedName name="ka" localSheetId="1">#REF!</definedName>
    <definedName name="ka" localSheetId="57">#REF!</definedName>
    <definedName name="ka" localSheetId="23">#REF!</definedName>
    <definedName name="ka" localSheetId="47">#REF!</definedName>
    <definedName name="ka" localSheetId="58">#REF!</definedName>
    <definedName name="ka" localSheetId="0">#REF!</definedName>
    <definedName name="ka" localSheetId="52">#REF!</definedName>
    <definedName name="ka" localSheetId="61">#REF!</definedName>
    <definedName name="l" localSheetId="78">#REF!</definedName>
    <definedName name="l" localSheetId="1">#REF!</definedName>
    <definedName name="l" localSheetId="57">#REF!</definedName>
    <definedName name="l" localSheetId="23">#REF!</definedName>
    <definedName name="l" localSheetId="47">#REF!</definedName>
    <definedName name="l" localSheetId="58">#REF!</definedName>
    <definedName name="l" localSheetId="0">#REF!</definedName>
    <definedName name="l" localSheetId="52">#REF!</definedName>
    <definedName name="l" localSheetId="61">#REF!</definedName>
    <definedName name="L1d" localSheetId="78">#REF!</definedName>
    <definedName name="L1d" localSheetId="1">#REF!</definedName>
    <definedName name="L1d" localSheetId="57">#REF!</definedName>
    <definedName name="L1d" localSheetId="23">#REF!</definedName>
    <definedName name="L1d" localSheetId="47">#REF!</definedName>
    <definedName name="L1d" localSheetId="58">#REF!</definedName>
    <definedName name="L1d" localSheetId="0">#REF!</definedName>
    <definedName name="L1d" localSheetId="52">#REF!</definedName>
    <definedName name="L1d" localSheetId="61">#REF!</definedName>
    <definedName name="L1u" localSheetId="78">#REF!</definedName>
    <definedName name="L1u" localSheetId="1">#REF!</definedName>
    <definedName name="L1u" localSheetId="57">#REF!</definedName>
    <definedName name="L1u" localSheetId="23">#REF!</definedName>
    <definedName name="L1u" localSheetId="47">#REF!</definedName>
    <definedName name="L1u" localSheetId="58">#REF!</definedName>
    <definedName name="L1u" localSheetId="0">#REF!</definedName>
    <definedName name="L1u" localSheetId="52">#REF!</definedName>
    <definedName name="L1u" localSheetId="61">#REF!</definedName>
    <definedName name="l2u" localSheetId="78">#REF!</definedName>
    <definedName name="l2u" localSheetId="1">#REF!</definedName>
    <definedName name="l2u" localSheetId="57">#REF!</definedName>
    <definedName name="l2u" localSheetId="23">#REF!</definedName>
    <definedName name="l2u" localSheetId="47">#REF!</definedName>
    <definedName name="l2u" localSheetId="58">#REF!</definedName>
    <definedName name="l2u" localSheetId="0">#REF!</definedName>
    <definedName name="l2u" localSheetId="52">#REF!</definedName>
    <definedName name="l2u" localSheetId="61">#REF!</definedName>
    <definedName name="l4u" localSheetId="78">#REF!</definedName>
    <definedName name="l4u" localSheetId="1">#REF!</definedName>
    <definedName name="l4u" localSheetId="57">#REF!</definedName>
    <definedName name="l4u" localSheetId="23">#REF!</definedName>
    <definedName name="l4u" localSheetId="47">#REF!</definedName>
    <definedName name="l4u" localSheetId="58">#REF!</definedName>
    <definedName name="l4u" localSheetId="0">#REF!</definedName>
    <definedName name="l4u" localSheetId="52">#REF!</definedName>
    <definedName name="l4u" localSheetId="61">#REF!</definedName>
    <definedName name="LHeadCanal" localSheetId="78">#REF!</definedName>
    <definedName name="LHeadCanal" localSheetId="1">#REF!</definedName>
    <definedName name="LHeadCanal" localSheetId="57">#REF!</definedName>
    <definedName name="LHeadCanal" localSheetId="23">#REF!</definedName>
    <definedName name="LHeadCanal" localSheetId="47">#REF!</definedName>
    <definedName name="LHeadCanal" localSheetId="58">#REF!</definedName>
    <definedName name="LHeadCanal" localSheetId="0">#REF!</definedName>
    <definedName name="LHeadCanal" localSheetId="52">#REF!</definedName>
    <definedName name="LHeadCanal" localSheetId="61">#REF!</definedName>
    <definedName name="limcount" hidden="1">1</definedName>
    <definedName name="Lining_Thickness" localSheetId="35">'[6]Energy_INPUT&amp;OUTPUT'!$C$29</definedName>
    <definedName name="Lining_Thickness" localSheetId="37">'[6]Energy_INPUT&amp;OUTPUT'!$C$29</definedName>
    <definedName name="Lining_Thickness" localSheetId="57">'[6]Energy_INPUT&amp;OUTPUT'!$C$29</definedName>
    <definedName name="Lining_Thickness" localSheetId="23">'[6]Energy_INPUT&amp;OUTPUT'!$C$29</definedName>
    <definedName name="Lining_Thickness" localSheetId="27">'[6]Energy_INPUT&amp;OUTPUT'!$C$29</definedName>
    <definedName name="Lining_Thickness" localSheetId="17">'[6]Energy_INPUT&amp;OUTPUT'!$C$29</definedName>
    <definedName name="Lining_Thickness" localSheetId="41">'[6]Energy_INPUT&amp;OUTPUT'!$C$29</definedName>
    <definedName name="Lining_Thickness" localSheetId="39">'[6]Energy_INPUT&amp;OUTPUT'!$C$29</definedName>
    <definedName name="Lining_Thickness" localSheetId="40">'[6]Energy_INPUT&amp;OUTPUT'!$C$29</definedName>
    <definedName name="Lining_Thickness" localSheetId="36">'[6]Energy_INPUT&amp;OUTPUT'!$C$29</definedName>
    <definedName name="Lining_Thickness" localSheetId="20">'[6]Energy_INPUT&amp;OUTPUT'!$C$29</definedName>
    <definedName name="Lining_Thickness" localSheetId="21">'[6]Energy_INPUT&amp;OUTPUT'!$C$29</definedName>
    <definedName name="Lining_Thickness" localSheetId="33">'[6]Energy_INPUT&amp;OUTPUT'!$C$29</definedName>
    <definedName name="Lining_Thickness" localSheetId="18">'[6]Energy_INPUT&amp;OUTPUT'!$C$29</definedName>
    <definedName name="Lining_Thickness" localSheetId="26">'[6]Energy_INPUT&amp;OUTPUT'!$C$29</definedName>
    <definedName name="Lining_Thickness" localSheetId="13">'[6]Energy_INPUT&amp;OUTPUT'!$C$29</definedName>
    <definedName name="Lining_Thickness" localSheetId="14">'[6]Energy_INPUT&amp;OUTPUT'!$C$29</definedName>
    <definedName name="Lining_Thickness" localSheetId="19">'[6]Energy_INPUT&amp;OUTPUT'!$C$29</definedName>
    <definedName name="Lining_Thickness" localSheetId="34">'[6]Energy_INPUT&amp;OUTPUT'!$C$29</definedName>
    <definedName name="Lining_Thickness" localSheetId="69">'[6]Energy_INPUT&amp;OUTPUT'!$C$29</definedName>
    <definedName name="Lining_Thickness" localSheetId="68">'[6]Energy_INPUT&amp;OUTPUT'!$C$29</definedName>
    <definedName name="Lining_Thickness" localSheetId="38">'[6]Energy_INPUT&amp;OUTPUT'!$C$29</definedName>
    <definedName name="Lining_Thickness" localSheetId="71">'[6]Energy_INPUT&amp;OUTPUT'!$C$29</definedName>
    <definedName name="Lining_Thickness" localSheetId="65">'[6]Energy_INPUT&amp;OUTPUT'!$C$29</definedName>
    <definedName name="Lining_Thickness" localSheetId="66">'[6]Energy_INPUT&amp;OUTPUT'!$C$29</definedName>
    <definedName name="Lining_Thickness" localSheetId="67">'[6]Energy_INPUT&amp;OUTPUT'!$C$29</definedName>
    <definedName name="Lining_Thickness" localSheetId="42">'[6]Energy_INPUT&amp;OUTPUT'!$C$29</definedName>
    <definedName name="Lining_Thickness">'[7]Energy_INPUT&amp;OUTPUT'!$C$29</definedName>
    <definedName name="LiningThickness" localSheetId="78">'[7]Energy_INPUT&amp;OUTPUT'!#REF!</definedName>
    <definedName name="LiningThickness" localSheetId="1">'[7]Energy_INPUT&amp;OUTPUT'!#REF!</definedName>
    <definedName name="LiningThickness" localSheetId="57">'[6]Energy_INPUT&amp;OUTPUT'!#REF!</definedName>
    <definedName name="LiningThickness" localSheetId="23">'[6]Energy_INPUT&amp;OUTPUT'!#REF!</definedName>
    <definedName name="LiningThickness" localSheetId="47">'[7]Energy_INPUT&amp;OUTPUT'!#REF!</definedName>
    <definedName name="LiningThickness" localSheetId="58">'[7]Energy_INPUT&amp;OUTPUT'!#REF!</definedName>
    <definedName name="LiningThickness" localSheetId="0">'[7]Energy_INPUT&amp;OUTPUT'!#REF!</definedName>
    <definedName name="LiningThickness" localSheetId="52">'[7]Energy_INPUT&amp;OUTPUT'!#REF!</definedName>
    <definedName name="LiningThickness" localSheetId="61">'[7]Energy_INPUT&amp;OUTPUT'!#REF!</definedName>
    <definedName name="ListPF">[30]Assumptions!$C$27:$C$28</definedName>
    <definedName name="ListVoltage">[30]Assumptions!$C$45:$C$48</definedName>
    <definedName name="Lo" localSheetId="35">'[31]fixing of water way crest '!$D$353</definedName>
    <definedName name="Lo" localSheetId="37">'[31]fixing of water way crest '!$D$353</definedName>
    <definedName name="Lo" localSheetId="17">'[31]fixing of water way crest '!$D$353</definedName>
    <definedName name="Lo" localSheetId="41">'[31]fixing of water way crest '!$D$353</definedName>
    <definedName name="Lo" localSheetId="39">'[31]fixing of water way crest '!$D$353</definedName>
    <definedName name="Lo" localSheetId="40">'[31]fixing of water way crest '!$D$353</definedName>
    <definedName name="Lo" localSheetId="36">'[31]fixing of water way crest '!$D$353</definedName>
    <definedName name="Lo" localSheetId="20">'[31]fixing of water way crest '!$D$353</definedName>
    <definedName name="Lo" localSheetId="21">'[31]fixing of water way crest '!$D$353</definedName>
    <definedName name="Lo" localSheetId="33">'[31]fixing of water way crest '!$D$353</definedName>
    <definedName name="Lo" localSheetId="18">'[31]fixing of water way crest '!$D$353</definedName>
    <definedName name="Lo" localSheetId="19">'[31]fixing of water way crest '!$D$353</definedName>
    <definedName name="Lo" localSheetId="34">'[31]fixing of water way crest '!$D$353</definedName>
    <definedName name="Lo" localSheetId="69">'[31]fixing of water way crest '!$D$353</definedName>
    <definedName name="Lo" localSheetId="68">'[31]fixing of water way crest '!$D$353</definedName>
    <definedName name="Lo" localSheetId="38">'[31]fixing of water way crest '!$D$353</definedName>
    <definedName name="Lo" localSheetId="71">'[31]fixing of water way crest '!$D$353</definedName>
    <definedName name="Lo" localSheetId="65">'[31]fixing of water way crest '!$D$353</definedName>
    <definedName name="Lo" localSheetId="66">'[31]fixing of water way crest '!$D$353</definedName>
    <definedName name="Lo" localSheetId="67">'[31]fixing of water way crest '!$D$353</definedName>
    <definedName name="Lo" localSheetId="42">'[31]fixing of water way crest '!$D$353</definedName>
    <definedName name="Lo">'[31]fixing of water way crest '!$D$353</definedName>
    <definedName name="locking" localSheetId="35">'[10]RATES INCLUDING TRANSPORATION'!$V$77</definedName>
    <definedName name="locking" localSheetId="37">'[10]RATES INCLUDING TRANSPORATION'!$V$77</definedName>
    <definedName name="locking" localSheetId="17">'[10]RATES INCLUDING TRANSPORATION'!$V$77</definedName>
    <definedName name="locking" localSheetId="47">#REF!</definedName>
    <definedName name="locking" localSheetId="41">'[10]RATES INCLUDING TRANSPORATION'!$V$77</definedName>
    <definedName name="locking" localSheetId="39">'[10]RATES INCLUDING TRANSPORATION'!$V$77</definedName>
    <definedName name="locking" localSheetId="40">'[10]RATES INCLUDING TRANSPORATION'!$V$77</definedName>
    <definedName name="locking" localSheetId="36">'[10]RATES INCLUDING TRANSPORATION'!$V$77</definedName>
    <definedName name="locking" localSheetId="20">'[10]RATES INCLUDING TRANSPORATION'!$V$77</definedName>
    <definedName name="locking" localSheetId="21">'[10]RATES INCLUDING TRANSPORATION'!$V$77</definedName>
    <definedName name="locking" localSheetId="33">'[10]RATES INCLUDING TRANSPORATION'!$V$77</definedName>
    <definedName name="locking" localSheetId="18">'[10]RATES INCLUDING TRANSPORATION'!$V$77</definedName>
    <definedName name="locking" localSheetId="19">'[10]RATES INCLUDING TRANSPORATION'!$V$77</definedName>
    <definedName name="locking" localSheetId="34">'[10]RATES INCLUDING TRANSPORATION'!$V$77</definedName>
    <definedName name="locking" localSheetId="69">'[10]RATES INCLUDING TRANSPORATION'!$V$77</definedName>
    <definedName name="locking" localSheetId="68">'[10]RATES INCLUDING TRANSPORATION'!$V$77</definedName>
    <definedName name="locking" localSheetId="38">'[10]RATES INCLUDING TRANSPORATION'!$V$77</definedName>
    <definedName name="locking" localSheetId="65">'[10]RATES INCLUDING TRANSPORATION'!$V$77</definedName>
    <definedName name="locking" localSheetId="66">'[10]RATES INCLUDING TRANSPORATION'!$V$77</definedName>
    <definedName name="locking" localSheetId="67">'[10]RATES INCLUDING TRANSPORATION'!$V$77</definedName>
    <definedName name="locking" localSheetId="42">'[10]RATES INCLUDING TRANSPORATION'!$V$77</definedName>
    <definedName name="lubricant" localSheetId="35">'[8]RATES INCLUDING TRANSPORATION'!$V$54</definedName>
    <definedName name="lubricant" localSheetId="37">'[8]RATES INCLUDING TRANSPORATION'!$V$54</definedName>
    <definedName name="lubricant" localSheetId="57">'[8]RATES INCLUDING TRANSPORATION'!$V$54</definedName>
    <definedName name="lubricant" localSheetId="23">'[8]RATES INCLUDING TRANSPORATION'!$V$54</definedName>
    <definedName name="lubricant" localSheetId="27">'[8]RATES INCLUDING TRANSPORATION'!$V$54</definedName>
    <definedName name="lubricant" localSheetId="17">'[8]RATES INCLUDING TRANSPORATION'!$V$54</definedName>
    <definedName name="lubricant" localSheetId="41">'[8]RATES INCLUDING TRANSPORATION'!$V$54</definedName>
    <definedName name="lubricant" localSheetId="39">'[8]RATES INCLUDING TRANSPORATION'!$V$54</definedName>
    <definedName name="lubricant" localSheetId="40">'[8]RATES INCLUDING TRANSPORATION'!$V$54</definedName>
    <definedName name="lubricant" localSheetId="36">'[8]RATES INCLUDING TRANSPORATION'!$V$54</definedName>
    <definedName name="lubricant" localSheetId="20">'[8]RATES INCLUDING TRANSPORATION'!$V$54</definedName>
    <definedName name="lubricant" localSheetId="21">'[8]RATES INCLUDING TRANSPORATION'!$V$54</definedName>
    <definedName name="lubricant" localSheetId="33">'[8]RATES INCLUDING TRANSPORATION'!$V$54</definedName>
    <definedName name="lubricant" localSheetId="18">'[8]RATES INCLUDING TRANSPORATION'!$V$54</definedName>
    <definedName name="lubricant" localSheetId="26">'[8]RATES INCLUDING TRANSPORATION'!$V$54</definedName>
    <definedName name="lubricant" localSheetId="13">'[8]RATES INCLUDING TRANSPORATION'!$V$54</definedName>
    <definedName name="lubricant" localSheetId="14">'[8]RATES INCLUDING TRANSPORATION'!$V$54</definedName>
    <definedName name="lubricant" localSheetId="19">'[8]RATES INCLUDING TRANSPORATION'!$V$54</definedName>
    <definedName name="lubricant" localSheetId="34">'[8]RATES INCLUDING TRANSPORATION'!$V$54</definedName>
    <definedName name="lubricant" localSheetId="69">'[8]RATES INCLUDING TRANSPORATION'!$V$54</definedName>
    <definedName name="lubricant" localSheetId="68">'[8]RATES INCLUDING TRANSPORATION'!$V$54</definedName>
    <definedName name="lubricant" localSheetId="51">#REF!</definedName>
    <definedName name="lubricant" localSheetId="38">'[8]RATES INCLUDING TRANSPORATION'!$V$54</definedName>
    <definedName name="lubricant" localSheetId="71">'[8]RATES INCLUDING TRANSPORATION'!$V$54</definedName>
    <definedName name="lubricant" localSheetId="65">'[8]RATES INCLUDING TRANSPORATION'!$V$54</definedName>
    <definedName name="lubricant" localSheetId="66">'[8]RATES INCLUDING TRANSPORATION'!$V$54</definedName>
    <definedName name="lubricant" localSheetId="67">'[8]RATES INCLUDING TRANSPORATION'!$V$54</definedName>
    <definedName name="lubricant" localSheetId="42">'[8]RATES INCLUDING TRANSPORATION'!$V$54</definedName>
    <definedName name="lubricant">'[9]RATES INCLUDING TRANSPORATION'!$V$54</definedName>
    <definedName name="M" localSheetId="35">'[4]Headloss calculation'!$D$19</definedName>
    <definedName name="M" localSheetId="37">'[4]Headloss calculation'!$D$19</definedName>
    <definedName name="M" localSheetId="57">'[4]Headloss calculation'!$D$19</definedName>
    <definedName name="M" localSheetId="23">'[4]Headloss calculation'!$D$19</definedName>
    <definedName name="M" localSheetId="27">'[4]Headloss calculation'!$D$19</definedName>
    <definedName name="M" localSheetId="17">'[4]Headloss calculation'!$D$19</definedName>
    <definedName name="M" localSheetId="41">'[4]Headloss calculation'!$D$19</definedName>
    <definedName name="M" localSheetId="39">'[4]Headloss calculation'!$D$19</definedName>
    <definedName name="M" localSheetId="40">'[4]Headloss calculation'!$D$19</definedName>
    <definedName name="M" localSheetId="36">'[4]Headloss calculation'!$D$19</definedName>
    <definedName name="M" localSheetId="20">'[4]Headloss calculation'!$D$19</definedName>
    <definedName name="M" localSheetId="21">'[4]Headloss calculation'!$D$19</definedName>
    <definedName name="M" localSheetId="33">'[4]Headloss calculation'!$D$19</definedName>
    <definedName name="M" localSheetId="18">'[4]Headloss calculation'!$D$19</definedName>
    <definedName name="M" localSheetId="26">'[4]Headloss calculation'!$D$19</definedName>
    <definedName name="M" localSheetId="13">'[4]Headloss calculation'!$D$19</definedName>
    <definedName name="M" localSheetId="14">'[4]Headloss calculation'!$D$19</definedName>
    <definedName name="M" localSheetId="19">'[4]Headloss calculation'!$D$19</definedName>
    <definedName name="M" localSheetId="34">'[4]Headloss calculation'!$D$19</definedName>
    <definedName name="M" localSheetId="69">'[4]Headloss calculation'!$D$19</definedName>
    <definedName name="M" localSheetId="68">'[4]Headloss calculation'!$D$19</definedName>
    <definedName name="M" localSheetId="38">'[4]Headloss calculation'!$D$19</definedName>
    <definedName name="M" localSheetId="71">'[4]Headloss calculation'!$D$19</definedName>
    <definedName name="M" localSheetId="65">'[4]Headloss calculation'!$D$19</definedName>
    <definedName name="M" localSheetId="66">'[4]Headloss calculation'!$D$19</definedName>
    <definedName name="M" localSheetId="67">'[4]Headloss calculation'!$D$19</definedName>
    <definedName name="M" localSheetId="42">'[4]Headloss calculation'!$D$19</definedName>
    <definedName name="M">'[5]Headloss calculation'!$D$19</definedName>
    <definedName name="M_15" localSheetId="35">[14]Rates!$C$35</definedName>
    <definedName name="M_15" localSheetId="37">[14]Rates!$C$35</definedName>
    <definedName name="M_15" localSheetId="57">[14]Rates!$C$35</definedName>
    <definedName name="M_15" localSheetId="23">[14]Rates!$C$35</definedName>
    <definedName name="M_15" localSheetId="27">[14]Rates!$C$35</definedName>
    <definedName name="M_15" localSheetId="17">[14]Rates!$C$35</definedName>
    <definedName name="M_15" localSheetId="41">[14]Rates!$C$35</definedName>
    <definedName name="M_15" localSheetId="39">[14]Rates!$C$35</definedName>
    <definedName name="M_15" localSheetId="40">[14]Rates!$C$35</definedName>
    <definedName name="M_15" localSheetId="36">[14]Rates!$C$35</definedName>
    <definedName name="M_15" localSheetId="20">[14]Rates!$C$35</definedName>
    <definedName name="M_15" localSheetId="21">[14]Rates!$C$35</definedName>
    <definedName name="M_15" localSheetId="33">[14]Rates!$C$35</definedName>
    <definedName name="M_15" localSheetId="18">[14]Rates!$C$35</definedName>
    <definedName name="M_15" localSheetId="26">[14]Rates!$C$35</definedName>
    <definedName name="M_15" localSheetId="13">[14]Rates!$C$35</definedName>
    <definedName name="M_15" localSheetId="14">[14]Rates!$C$35</definedName>
    <definedName name="M_15" localSheetId="19">[14]Rates!$C$35</definedName>
    <definedName name="M_15" localSheetId="34">[14]Rates!$C$35</definedName>
    <definedName name="M_15" localSheetId="69">[14]Rates!$C$35</definedName>
    <definedName name="M_15" localSheetId="68">[14]Rates!$C$35</definedName>
    <definedName name="M_15" localSheetId="38">[14]Rates!$C$35</definedName>
    <definedName name="M_15" localSheetId="71">[14]Rates!$C$35</definedName>
    <definedName name="M_15" localSheetId="65">[14]Rates!$C$35</definedName>
    <definedName name="M_15" localSheetId="66">[14]Rates!$C$35</definedName>
    <definedName name="M_15" localSheetId="67">[14]Rates!$C$35</definedName>
    <definedName name="M_15" localSheetId="42">[14]Rates!$C$35</definedName>
    <definedName name="M_15">[15]Rates!$C$35</definedName>
    <definedName name="M_25" localSheetId="35">[14]Rates!$C$34</definedName>
    <definedName name="M_25" localSheetId="37">[14]Rates!$C$34</definedName>
    <definedName name="M_25" localSheetId="57">[14]Rates!$C$34</definedName>
    <definedName name="M_25" localSheetId="23">[14]Rates!$C$34</definedName>
    <definedName name="M_25" localSheetId="27">[14]Rates!$C$34</definedName>
    <definedName name="M_25" localSheetId="17">[14]Rates!$C$34</definedName>
    <definedName name="M_25" localSheetId="41">[14]Rates!$C$34</definedName>
    <definedName name="M_25" localSheetId="39">[14]Rates!$C$34</definedName>
    <definedName name="M_25" localSheetId="40">[14]Rates!$C$34</definedName>
    <definedName name="M_25" localSheetId="36">[14]Rates!$C$34</definedName>
    <definedName name="M_25" localSheetId="20">[14]Rates!$C$34</definedName>
    <definedName name="M_25" localSheetId="21">[14]Rates!$C$34</definedName>
    <definedName name="M_25" localSheetId="33">[14]Rates!$C$34</definedName>
    <definedName name="M_25" localSheetId="18">[14]Rates!$C$34</definedName>
    <definedName name="M_25" localSheetId="26">[14]Rates!$C$34</definedName>
    <definedName name="M_25" localSheetId="13">[14]Rates!$C$34</definedName>
    <definedName name="M_25" localSheetId="14">[14]Rates!$C$34</definedName>
    <definedName name="M_25" localSheetId="19">[14]Rates!$C$34</definedName>
    <definedName name="M_25" localSheetId="34">[14]Rates!$C$34</definedName>
    <definedName name="M_25" localSheetId="69">[14]Rates!$C$34</definedName>
    <definedName name="M_25" localSheetId="68">[14]Rates!$C$34</definedName>
    <definedName name="M_25" localSheetId="38">[14]Rates!$C$34</definedName>
    <definedName name="M_25" localSheetId="71">[14]Rates!$C$34</definedName>
    <definedName name="M_25" localSheetId="65">[14]Rates!$C$34</definedName>
    <definedName name="M_25" localSheetId="66">[14]Rates!$C$34</definedName>
    <definedName name="M_25" localSheetId="67">[14]Rates!$C$34</definedName>
    <definedName name="M_25" localSheetId="42">[14]Rates!$C$34</definedName>
    <definedName name="M_25">[15]Rates!$C$34</definedName>
    <definedName name="Manning_Steel" localSheetId="35">'[6]Energy_INPUT&amp;OUTPUT'!$C$32</definedName>
    <definedName name="Manning_Steel" localSheetId="37">'[6]Energy_INPUT&amp;OUTPUT'!$C$32</definedName>
    <definedName name="Manning_Steel" localSheetId="57">'[6]Energy_INPUT&amp;OUTPUT'!$C$32</definedName>
    <definedName name="Manning_Steel" localSheetId="23">'[6]Energy_INPUT&amp;OUTPUT'!$C$32</definedName>
    <definedName name="Manning_Steel" localSheetId="27">'[6]Energy_INPUT&amp;OUTPUT'!$C$32</definedName>
    <definedName name="Manning_Steel" localSheetId="17">'[6]Energy_INPUT&amp;OUTPUT'!$C$32</definedName>
    <definedName name="Manning_Steel" localSheetId="41">'[6]Energy_INPUT&amp;OUTPUT'!$C$32</definedName>
    <definedName name="Manning_Steel" localSheetId="39">'[6]Energy_INPUT&amp;OUTPUT'!$C$32</definedName>
    <definedName name="Manning_Steel" localSheetId="40">'[6]Energy_INPUT&amp;OUTPUT'!$C$32</definedName>
    <definedName name="Manning_Steel" localSheetId="36">'[6]Energy_INPUT&amp;OUTPUT'!$C$32</definedName>
    <definedName name="Manning_Steel" localSheetId="20">'[6]Energy_INPUT&amp;OUTPUT'!$C$32</definedName>
    <definedName name="Manning_Steel" localSheetId="21">'[6]Energy_INPUT&amp;OUTPUT'!$C$32</definedName>
    <definedName name="Manning_Steel" localSheetId="33">'[6]Energy_INPUT&amp;OUTPUT'!$C$32</definedName>
    <definedName name="Manning_Steel" localSheetId="18">'[6]Energy_INPUT&amp;OUTPUT'!$C$32</definedName>
    <definedName name="Manning_Steel" localSheetId="26">'[6]Energy_INPUT&amp;OUTPUT'!$C$32</definedName>
    <definedName name="Manning_Steel" localSheetId="13">'[6]Energy_INPUT&amp;OUTPUT'!$C$32</definedName>
    <definedName name="Manning_Steel" localSheetId="14">'[6]Energy_INPUT&amp;OUTPUT'!$C$32</definedName>
    <definedName name="Manning_Steel" localSheetId="19">'[6]Energy_INPUT&amp;OUTPUT'!$C$32</definedName>
    <definedName name="Manning_Steel" localSheetId="34">'[6]Energy_INPUT&amp;OUTPUT'!$C$32</definedName>
    <definedName name="Manning_Steel" localSheetId="69">'[6]Energy_INPUT&amp;OUTPUT'!$C$32</definedName>
    <definedName name="Manning_Steel" localSheetId="68">'[6]Energy_INPUT&amp;OUTPUT'!$C$32</definedName>
    <definedName name="Manning_Steel" localSheetId="38">'[6]Energy_INPUT&amp;OUTPUT'!$C$32</definedName>
    <definedName name="Manning_Steel" localSheetId="71">'[6]Energy_INPUT&amp;OUTPUT'!$C$32</definedName>
    <definedName name="Manning_Steel" localSheetId="65">'[6]Energy_INPUT&amp;OUTPUT'!$C$32</definedName>
    <definedName name="Manning_Steel" localSheetId="66">'[6]Energy_INPUT&amp;OUTPUT'!$C$32</definedName>
    <definedName name="Manning_Steel" localSheetId="67">'[6]Energy_INPUT&amp;OUTPUT'!$C$32</definedName>
    <definedName name="Manning_Steel" localSheetId="42">'[6]Energy_INPUT&amp;OUTPUT'!$C$32</definedName>
    <definedName name="Manning_Steel">'[7]Energy_INPUT&amp;OUTPUT'!$C$32</definedName>
    <definedName name="Mannings_Lined" localSheetId="35">'[6]Energy_INPUT&amp;OUTPUT'!$C$31</definedName>
    <definedName name="Mannings_Lined" localSheetId="37">'[6]Energy_INPUT&amp;OUTPUT'!$C$31</definedName>
    <definedName name="Mannings_Lined" localSheetId="57">'[6]Energy_INPUT&amp;OUTPUT'!$C$31</definedName>
    <definedName name="Mannings_Lined" localSheetId="23">'[6]Energy_INPUT&amp;OUTPUT'!$C$31</definedName>
    <definedName name="Mannings_Lined" localSheetId="27">'[6]Energy_INPUT&amp;OUTPUT'!$C$31</definedName>
    <definedName name="Mannings_Lined" localSheetId="17">'[6]Energy_INPUT&amp;OUTPUT'!$C$31</definedName>
    <definedName name="Mannings_Lined" localSheetId="41">'[6]Energy_INPUT&amp;OUTPUT'!$C$31</definedName>
    <definedName name="Mannings_Lined" localSheetId="39">'[6]Energy_INPUT&amp;OUTPUT'!$C$31</definedName>
    <definedName name="Mannings_Lined" localSheetId="40">'[6]Energy_INPUT&amp;OUTPUT'!$C$31</definedName>
    <definedName name="Mannings_Lined" localSheetId="36">'[6]Energy_INPUT&amp;OUTPUT'!$C$31</definedName>
    <definedName name="Mannings_Lined" localSheetId="20">'[6]Energy_INPUT&amp;OUTPUT'!$C$31</definedName>
    <definedName name="Mannings_Lined" localSheetId="21">'[6]Energy_INPUT&amp;OUTPUT'!$C$31</definedName>
    <definedName name="Mannings_Lined" localSheetId="33">'[6]Energy_INPUT&amp;OUTPUT'!$C$31</definedName>
    <definedName name="Mannings_Lined" localSheetId="18">'[6]Energy_INPUT&amp;OUTPUT'!$C$31</definedName>
    <definedName name="Mannings_Lined" localSheetId="26">'[6]Energy_INPUT&amp;OUTPUT'!$C$31</definedName>
    <definedName name="Mannings_Lined" localSheetId="13">'[6]Energy_INPUT&amp;OUTPUT'!$C$31</definedName>
    <definedName name="Mannings_Lined" localSheetId="14">'[6]Energy_INPUT&amp;OUTPUT'!$C$31</definedName>
    <definedName name="Mannings_Lined" localSheetId="19">'[6]Energy_INPUT&amp;OUTPUT'!$C$31</definedName>
    <definedName name="Mannings_Lined" localSheetId="34">'[6]Energy_INPUT&amp;OUTPUT'!$C$31</definedName>
    <definedName name="Mannings_Lined" localSheetId="69">'[6]Energy_INPUT&amp;OUTPUT'!$C$31</definedName>
    <definedName name="Mannings_Lined" localSheetId="68">'[6]Energy_INPUT&amp;OUTPUT'!$C$31</definedName>
    <definedName name="Mannings_Lined" localSheetId="38">'[6]Energy_INPUT&amp;OUTPUT'!$C$31</definedName>
    <definedName name="Mannings_Lined" localSheetId="71">'[6]Energy_INPUT&amp;OUTPUT'!$C$31</definedName>
    <definedName name="Mannings_Lined" localSheetId="65">'[6]Energy_INPUT&amp;OUTPUT'!$C$31</definedName>
    <definedName name="Mannings_Lined" localSheetId="66">'[6]Energy_INPUT&amp;OUTPUT'!$C$31</definedName>
    <definedName name="Mannings_Lined" localSheetId="67">'[6]Energy_INPUT&amp;OUTPUT'!$C$31</definedName>
    <definedName name="Mannings_Lined" localSheetId="42">'[6]Energy_INPUT&amp;OUTPUT'!$C$31</definedName>
    <definedName name="Mannings_Lined">'[7]Energy_INPUT&amp;OUTPUT'!$C$31</definedName>
    <definedName name="Mannings_Unlined" localSheetId="35">'[6]Energy_INPUT&amp;OUTPUT'!$C$30</definedName>
    <definedName name="Mannings_Unlined" localSheetId="37">'[6]Energy_INPUT&amp;OUTPUT'!$C$30</definedName>
    <definedName name="Mannings_Unlined" localSheetId="57">'[6]Energy_INPUT&amp;OUTPUT'!$C$30</definedName>
    <definedName name="Mannings_Unlined" localSheetId="23">'[6]Energy_INPUT&amp;OUTPUT'!$C$30</definedName>
    <definedName name="Mannings_Unlined" localSheetId="27">'[6]Energy_INPUT&amp;OUTPUT'!$C$30</definedName>
    <definedName name="Mannings_Unlined" localSheetId="17">'[6]Energy_INPUT&amp;OUTPUT'!$C$30</definedName>
    <definedName name="Mannings_Unlined" localSheetId="41">'[6]Energy_INPUT&amp;OUTPUT'!$C$30</definedName>
    <definedName name="Mannings_Unlined" localSheetId="39">'[6]Energy_INPUT&amp;OUTPUT'!$C$30</definedName>
    <definedName name="Mannings_Unlined" localSheetId="40">'[6]Energy_INPUT&amp;OUTPUT'!$C$30</definedName>
    <definedName name="Mannings_Unlined" localSheetId="36">'[6]Energy_INPUT&amp;OUTPUT'!$C$30</definedName>
    <definedName name="Mannings_Unlined" localSheetId="20">'[6]Energy_INPUT&amp;OUTPUT'!$C$30</definedName>
    <definedName name="Mannings_Unlined" localSheetId="21">'[6]Energy_INPUT&amp;OUTPUT'!$C$30</definedName>
    <definedName name="Mannings_Unlined" localSheetId="33">'[6]Energy_INPUT&amp;OUTPUT'!$C$30</definedName>
    <definedName name="Mannings_Unlined" localSheetId="18">'[6]Energy_INPUT&amp;OUTPUT'!$C$30</definedName>
    <definedName name="Mannings_Unlined" localSheetId="26">'[6]Energy_INPUT&amp;OUTPUT'!$C$30</definedName>
    <definedName name="Mannings_Unlined" localSheetId="13">'[6]Energy_INPUT&amp;OUTPUT'!$C$30</definedName>
    <definedName name="Mannings_Unlined" localSheetId="14">'[6]Energy_INPUT&amp;OUTPUT'!$C$30</definedName>
    <definedName name="Mannings_Unlined" localSheetId="19">'[6]Energy_INPUT&amp;OUTPUT'!$C$30</definedName>
    <definedName name="Mannings_Unlined" localSheetId="34">'[6]Energy_INPUT&amp;OUTPUT'!$C$30</definedName>
    <definedName name="Mannings_Unlined" localSheetId="69">'[6]Energy_INPUT&amp;OUTPUT'!$C$30</definedName>
    <definedName name="Mannings_Unlined" localSheetId="68">'[6]Energy_INPUT&amp;OUTPUT'!$C$30</definedName>
    <definedName name="Mannings_Unlined" localSheetId="38">'[6]Energy_INPUT&amp;OUTPUT'!$C$30</definedName>
    <definedName name="Mannings_Unlined" localSheetId="71">'[6]Energy_INPUT&amp;OUTPUT'!$C$30</definedName>
    <definedName name="Mannings_Unlined" localSheetId="65">'[6]Energy_INPUT&amp;OUTPUT'!$C$30</definedName>
    <definedName name="Mannings_Unlined" localSheetId="66">'[6]Energy_INPUT&amp;OUTPUT'!$C$30</definedName>
    <definedName name="Mannings_Unlined" localSheetId="67">'[6]Energy_INPUT&amp;OUTPUT'!$C$30</definedName>
    <definedName name="Mannings_Unlined" localSheetId="42">'[6]Energy_INPUT&amp;OUTPUT'!$C$30</definedName>
    <definedName name="Mannings_Unlined">'[7]Energy_INPUT&amp;OUTPUT'!$C$30</definedName>
    <definedName name="MDDL" localSheetId="35">'[6]Energy_INPUT&amp;OUTPUT'!$C$11</definedName>
    <definedName name="MDDL" localSheetId="37">'[6]Energy_INPUT&amp;OUTPUT'!$C$11</definedName>
    <definedName name="MDDL" localSheetId="57">'[6]Energy_INPUT&amp;OUTPUT'!$C$11</definedName>
    <definedName name="MDDL" localSheetId="23">'[6]Energy_INPUT&amp;OUTPUT'!$C$11</definedName>
    <definedName name="MDDL" localSheetId="27">'[6]Energy_INPUT&amp;OUTPUT'!$C$11</definedName>
    <definedName name="MDDL" localSheetId="17">'[6]Energy_INPUT&amp;OUTPUT'!$C$11</definedName>
    <definedName name="MDDL" localSheetId="41">'[6]Energy_INPUT&amp;OUTPUT'!$C$11</definedName>
    <definedName name="MDDL" localSheetId="39">'[6]Energy_INPUT&amp;OUTPUT'!$C$11</definedName>
    <definedName name="MDDL" localSheetId="40">'[6]Energy_INPUT&amp;OUTPUT'!$C$11</definedName>
    <definedName name="MDDL" localSheetId="36">'[6]Energy_INPUT&amp;OUTPUT'!$C$11</definedName>
    <definedName name="MDDL" localSheetId="20">'[6]Energy_INPUT&amp;OUTPUT'!$C$11</definedName>
    <definedName name="MDDL" localSheetId="21">'[6]Energy_INPUT&amp;OUTPUT'!$C$11</definedName>
    <definedName name="MDDL" localSheetId="33">'[6]Energy_INPUT&amp;OUTPUT'!$C$11</definedName>
    <definedName name="MDDL" localSheetId="18">'[6]Energy_INPUT&amp;OUTPUT'!$C$11</definedName>
    <definedName name="MDDL" localSheetId="26">'[6]Energy_INPUT&amp;OUTPUT'!$C$11</definedName>
    <definedName name="MDDL" localSheetId="13">'[6]Energy_INPUT&amp;OUTPUT'!$C$11</definedName>
    <definedName name="MDDL" localSheetId="14">'[6]Energy_INPUT&amp;OUTPUT'!$C$11</definedName>
    <definedName name="MDDL" localSheetId="19">'[6]Energy_INPUT&amp;OUTPUT'!$C$11</definedName>
    <definedName name="MDDL" localSheetId="34">'[6]Energy_INPUT&amp;OUTPUT'!$C$11</definedName>
    <definedName name="MDDL" localSheetId="69">'[6]Energy_INPUT&amp;OUTPUT'!$C$11</definedName>
    <definedName name="MDDL" localSheetId="68">'[6]Energy_INPUT&amp;OUTPUT'!$C$11</definedName>
    <definedName name="MDDL" localSheetId="38">'[6]Energy_INPUT&amp;OUTPUT'!$C$11</definedName>
    <definedName name="MDDL" localSheetId="71">'[6]Energy_INPUT&amp;OUTPUT'!$C$11</definedName>
    <definedName name="MDDL" localSheetId="65">'[6]Energy_INPUT&amp;OUTPUT'!$C$11</definedName>
    <definedName name="MDDL" localSheetId="66">'[6]Energy_INPUT&amp;OUTPUT'!$C$11</definedName>
    <definedName name="MDDL" localSheetId="67">'[6]Energy_INPUT&amp;OUTPUT'!$C$11</definedName>
    <definedName name="MDDL" localSheetId="42">'[6]Energy_INPUT&amp;OUTPUT'!$C$11</definedName>
    <definedName name="MDDL">'[7]Energy_INPUT&amp;OUTPUT'!$C$11</definedName>
    <definedName name="mech" localSheetId="35">'[8]Basic Rates'!$D$36</definedName>
    <definedName name="mech" localSheetId="37">'[8]Basic Rates'!$D$36</definedName>
    <definedName name="mech" localSheetId="57">'[8]Basic Rates'!$D$36</definedName>
    <definedName name="mech" localSheetId="23">'[8]Basic Rates'!$D$36</definedName>
    <definedName name="mech" localSheetId="27">'[8]Basic Rates'!$D$36</definedName>
    <definedName name="mech" localSheetId="17">'[8]Basic Rates'!$D$36</definedName>
    <definedName name="mech" localSheetId="41">'[8]Basic Rates'!$D$36</definedName>
    <definedName name="mech" localSheetId="39">'[8]Basic Rates'!$D$36</definedName>
    <definedName name="mech" localSheetId="40">'[8]Basic Rates'!$D$36</definedName>
    <definedName name="mech" localSheetId="36">'[8]Basic Rates'!$D$36</definedName>
    <definedName name="mech" localSheetId="20">'[8]Basic Rates'!$D$36</definedName>
    <definedName name="mech" localSheetId="21">'[8]Basic Rates'!$D$36</definedName>
    <definedName name="mech" localSheetId="33">'[8]Basic Rates'!$D$36</definedName>
    <definedName name="mech" localSheetId="18">'[8]Basic Rates'!$D$36</definedName>
    <definedName name="mech" localSheetId="26">'[8]Basic Rates'!$D$36</definedName>
    <definedName name="mech" localSheetId="13">'[8]Basic Rates'!$D$36</definedName>
    <definedName name="mech" localSheetId="14">'[8]Basic Rates'!$D$36</definedName>
    <definedName name="mech" localSheetId="19">'[8]Basic Rates'!$D$36</definedName>
    <definedName name="mech" localSheetId="34">'[8]Basic Rates'!$D$36</definedName>
    <definedName name="mech" localSheetId="69">'[8]Basic Rates'!$D$36</definedName>
    <definedName name="mech" localSheetId="68">'[8]Basic Rates'!$D$36</definedName>
    <definedName name="mech" localSheetId="51">#REF!</definedName>
    <definedName name="mech" localSheetId="38">'[8]Basic Rates'!$D$36</definedName>
    <definedName name="mech" localSheetId="71">'[8]Basic Rates'!$D$36</definedName>
    <definedName name="mech" localSheetId="65">'[8]Basic Rates'!$D$36</definedName>
    <definedName name="mech" localSheetId="66">'[8]Basic Rates'!$D$36</definedName>
    <definedName name="mech" localSheetId="67">'[8]Basic Rates'!$D$36</definedName>
    <definedName name="mech" localSheetId="42">'[8]Basic Rates'!$D$36</definedName>
    <definedName name="mech">'[9]Basic Rates'!$D$36</definedName>
    <definedName name="Metal_Pipe" localSheetId="35">'[10]RATES INCLUDING TRANSPORATION'!$V$46</definedName>
    <definedName name="Metal_Pipe" localSheetId="37">'[10]RATES INCLUDING TRANSPORATION'!$V$46</definedName>
    <definedName name="Metal_Pipe" localSheetId="17">'[10]RATES INCLUDING TRANSPORATION'!$V$46</definedName>
    <definedName name="Metal_Pipe" localSheetId="47">#REF!</definedName>
    <definedName name="Metal_Pipe" localSheetId="41">'[10]RATES INCLUDING TRANSPORATION'!$V$46</definedName>
    <definedName name="Metal_Pipe" localSheetId="39">'[10]RATES INCLUDING TRANSPORATION'!$V$46</definedName>
    <definedName name="Metal_Pipe" localSheetId="40">'[10]RATES INCLUDING TRANSPORATION'!$V$46</definedName>
    <definedName name="Metal_Pipe" localSheetId="36">'[10]RATES INCLUDING TRANSPORATION'!$V$46</definedName>
    <definedName name="Metal_Pipe" localSheetId="20">'[10]RATES INCLUDING TRANSPORATION'!$V$46</definedName>
    <definedName name="Metal_Pipe" localSheetId="21">'[10]RATES INCLUDING TRANSPORATION'!$V$46</definedName>
    <definedName name="Metal_Pipe" localSheetId="33">'[10]RATES INCLUDING TRANSPORATION'!$V$46</definedName>
    <definedName name="Metal_Pipe" localSheetId="18">'[10]RATES INCLUDING TRANSPORATION'!$V$46</definedName>
    <definedName name="Metal_Pipe" localSheetId="19">'[10]RATES INCLUDING TRANSPORATION'!$V$46</definedName>
    <definedName name="Metal_Pipe" localSheetId="34">'[10]RATES INCLUDING TRANSPORATION'!$V$46</definedName>
    <definedName name="Metal_Pipe" localSheetId="69">'[10]RATES INCLUDING TRANSPORATION'!$V$46</definedName>
    <definedName name="Metal_Pipe" localSheetId="68">'[10]RATES INCLUDING TRANSPORATION'!$V$46</definedName>
    <definedName name="Metal_Pipe" localSheetId="38">'[10]RATES INCLUDING TRANSPORATION'!$V$46</definedName>
    <definedName name="Metal_Pipe" localSheetId="65">'[10]RATES INCLUDING TRANSPORATION'!$V$46</definedName>
    <definedName name="Metal_Pipe" localSheetId="66">'[10]RATES INCLUDING TRANSPORATION'!$V$46</definedName>
    <definedName name="Metal_Pipe" localSheetId="67">'[10]RATES INCLUDING TRANSPORATION'!$V$46</definedName>
    <definedName name="Metal_Pipe" localSheetId="42">'[10]RATES INCLUDING TRANSPORATION'!$V$46</definedName>
    <definedName name="minitruck">'[21]Basic Rates'!$D$134</definedName>
    <definedName name="MinRelease" localSheetId="35">'[6]Energy_INPUT&amp;OUTPUT'!$C$19</definedName>
    <definedName name="MinRelease" localSheetId="37">'[6]Energy_INPUT&amp;OUTPUT'!$C$19</definedName>
    <definedName name="MinRelease" localSheetId="57">'[6]Energy_INPUT&amp;OUTPUT'!$C$19</definedName>
    <definedName name="MinRelease" localSheetId="23">'[6]Energy_INPUT&amp;OUTPUT'!$C$19</definedName>
    <definedName name="MinRelease" localSheetId="27">'[6]Energy_INPUT&amp;OUTPUT'!$C$19</definedName>
    <definedName name="MinRelease" localSheetId="17">'[6]Energy_INPUT&amp;OUTPUT'!$C$19</definedName>
    <definedName name="MinRelease" localSheetId="41">'[6]Energy_INPUT&amp;OUTPUT'!$C$19</definedName>
    <definedName name="MinRelease" localSheetId="39">'[6]Energy_INPUT&amp;OUTPUT'!$C$19</definedName>
    <definedName name="MinRelease" localSheetId="40">'[6]Energy_INPUT&amp;OUTPUT'!$C$19</definedName>
    <definedName name="MinRelease" localSheetId="36">'[6]Energy_INPUT&amp;OUTPUT'!$C$19</definedName>
    <definedName name="MinRelease" localSheetId="20">'[6]Energy_INPUT&amp;OUTPUT'!$C$19</definedName>
    <definedName name="MinRelease" localSheetId="21">'[6]Energy_INPUT&amp;OUTPUT'!$C$19</definedName>
    <definedName name="MinRelease" localSheetId="33">'[6]Energy_INPUT&amp;OUTPUT'!$C$19</definedName>
    <definedName name="MinRelease" localSheetId="18">'[6]Energy_INPUT&amp;OUTPUT'!$C$19</definedName>
    <definedName name="MinRelease" localSheetId="26">'[6]Energy_INPUT&amp;OUTPUT'!$C$19</definedName>
    <definedName name="MinRelease" localSheetId="13">'[6]Energy_INPUT&amp;OUTPUT'!$C$19</definedName>
    <definedName name="MinRelease" localSheetId="14">'[6]Energy_INPUT&amp;OUTPUT'!$C$19</definedName>
    <definedName name="MinRelease" localSheetId="19">'[6]Energy_INPUT&amp;OUTPUT'!$C$19</definedName>
    <definedName name="MinRelease" localSheetId="34">'[6]Energy_INPUT&amp;OUTPUT'!$C$19</definedName>
    <definedName name="MinRelease" localSheetId="69">'[6]Energy_INPUT&amp;OUTPUT'!$C$19</definedName>
    <definedName name="MinRelease" localSheetId="68">'[6]Energy_INPUT&amp;OUTPUT'!$C$19</definedName>
    <definedName name="MinRelease" localSheetId="38">'[6]Energy_INPUT&amp;OUTPUT'!$C$19</definedName>
    <definedName name="MinRelease" localSheetId="71">'[6]Energy_INPUT&amp;OUTPUT'!$C$19</definedName>
    <definedName name="MinRelease" localSheetId="65">'[6]Energy_INPUT&amp;OUTPUT'!$C$19</definedName>
    <definedName name="MinRelease" localSheetId="66">'[6]Energy_INPUT&amp;OUTPUT'!$C$19</definedName>
    <definedName name="MinRelease" localSheetId="67">'[6]Energy_INPUT&amp;OUTPUT'!$C$19</definedName>
    <definedName name="MinRelease" localSheetId="42">'[6]Energy_INPUT&amp;OUTPUT'!$C$19</definedName>
    <definedName name="MinRelease">'[7]Energy_INPUT&amp;OUTPUT'!$C$19</definedName>
    <definedName name="mixer" localSheetId="35">'[8]Basic Rates'!$D$131</definedName>
    <definedName name="mixer" localSheetId="37">'[8]Basic Rates'!$D$131</definedName>
    <definedName name="mixer" localSheetId="57">'[8]Basic Rates'!$D$131</definedName>
    <definedName name="mixer" localSheetId="23">'[8]Basic Rates'!$D$131</definedName>
    <definedName name="mixer" localSheetId="27">'[8]Basic Rates'!$D$131</definedName>
    <definedName name="mixer" localSheetId="17">'[8]Basic Rates'!$D$131</definedName>
    <definedName name="mixer" localSheetId="41">'[8]Basic Rates'!$D$131</definedName>
    <definedName name="mixer" localSheetId="39">'[8]Basic Rates'!$D$131</definedName>
    <definedName name="mixer" localSheetId="40">'[8]Basic Rates'!$D$131</definedName>
    <definedName name="mixer" localSheetId="36">'[8]Basic Rates'!$D$131</definedName>
    <definedName name="mixer" localSheetId="20">'[8]Basic Rates'!$D$131</definedName>
    <definedName name="mixer" localSheetId="21">'[8]Basic Rates'!$D$131</definedName>
    <definedName name="mixer" localSheetId="33">'[8]Basic Rates'!$D$131</definedName>
    <definedName name="mixer" localSheetId="18">'[8]Basic Rates'!$D$131</definedName>
    <definedName name="mixer" localSheetId="26">'[8]Basic Rates'!$D$131</definedName>
    <definedName name="mixer" localSheetId="13">'[8]Basic Rates'!$D$131</definedName>
    <definedName name="mixer" localSheetId="14">'[8]Basic Rates'!$D$131</definedName>
    <definedName name="mixer" localSheetId="19">'[8]Basic Rates'!$D$131</definedName>
    <definedName name="mixer" localSheetId="34">'[8]Basic Rates'!$D$131</definedName>
    <definedName name="mixer" localSheetId="69">'[8]Basic Rates'!$D$131</definedName>
    <definedName name="mixer" localSheetId="68">'[8]Basic Rates'!$D$131</definedName>
    <definedName name="mixer" localSheetId="51">#REF!</definedName>
    <definedName name="mixer" localSheetId="38">'[8]Basic Rates'!$D$131</definedName>
    <definedName name="mixer" localSheetId="71">'[8]Basic Rates'!$D$131</definedName>
    <definedName name="mixer" localSheetId="65">'[8]Basic Rates'!$D$131</definedName>
    <definedName name="mixer" localSheetId="66">'[8]Basic Rates'!$D$131</definedName>
    <definedName name="mixer" localSheetId="67">'[8]Basic Rates'!$D$131</definedName>
    <definedName name="mixer" localSheetId="42">'[8]Basic Rates'!$D$131</definedName>
    <definedName name="mixer">'[9]Basic Rates'!$D$131</definedName>
    <definedName name="Monsoon_HWL" localSheetId="35">'[6]Energy_INPUT&amp;OUTPUT'!$C$48</definedName>
    <definedName name="Monsoon_HWL" localSheetId="37">'[6]Energy_INPUT&amp;OUTPUT'!$C$48</definedName>
    <definedName name="Monsoon_HWL" localSheetId="57">'[6]Energy_INPUT&amp;OUTPUT'!$C$48</definedName>
    <definedName name="Monsoon_HWL" localSheetId="23">'[6]Energy_INPUT&amp;OUTPUT'!$C$48</definedName>
    <definedName name="Monsoon_HWL" localSheetId="27">'[6]Energy_INPUT&amp;OUTPUT'!$C$48</definedName>
    <definedName name="Monsoon_HWL" localSheetId="17">'[6]Energy_INPUT&amp;OUTPUT'!$C$48</definedName>
    <definedName name="Monsoon_HWL" localSheetId="41">'[6]Energy_INPUT&amp;OUTPUT'!$C$48</definedName>
    <definedName name="Monsoon_HWL" localSheetId="39">'[6]Energy_INPUT&amp;OUTPUT'!$C$48</definedName>
    <definedName name="Monsoon_HWL" localSheetId="40">'[6]Energy_INPUT&amp;OUTPUT'!$C$48</definedName>
    <definedName name="Monsoon_HWL" localSheetId="36">'[6]Energy_INPUT&amp;OUTPUT'!$C$48</definedName>
    <definedName name="Monsoon_HWL" localSheetId="20">'[6]Energy_INPUT&amp;OUTPUT'!$C$48</definedName>
    <definedName name="Monsoon_HWL" localSheetId="21">'[6]Energy_INPUT&amp;OUTPUT'!$C$48</definedName>
    <definedName name="Monsoon_HWL" localSheetId="33">'[6]Energy_INPUT&amp;OUTPUT'!$C$48</definedName>
    <definedName name="Monsoon_HWL" localSheetId="18">'[6]Energy_INPUT&amp;OUTPUT'!$C$48</definedName>
    <definedName name="Monsoon_HWL" localSheetId="26">'[6]Energy_INPUT&amp;OUTPUT'!$C$48</definedName>
    <definedName name="Monsoon_HWL" localSheetId="13">'[6]Energy_INPUT&amp;OUTPUT'!$C$48</definedName>
    <definedName name="Monsoon_HWL" localSheetId="14">'[6]Energy_INPUT&amp;OUTPUT'!$C$48</definedName>
    <definedName name="Monsoon_HWL" localSheetId="19">'[6]Energy_INPUT&amp;OUTPUT'!$C$48</definedName>
    <definedName name="Monsoon_HWL" localSheetId="34">'[6]Energy_INPUT&amp;OUTPUT'!$C$48</definedName>
    <definedName name="Monsoon_HWL" localSheetId="69">'[6]Energy_INPUT&amp;OUTPUT'!$C$48</definedName>
    <definedName name="Monsoon_HWL" localSheetId="68">'[6]Energy_INPUT&amp;OUTPUT'!$C$48</definedName>
    <definedName name="Monsoon_HWL" localSheetId="38">'[6]Energy_INPUT&amp;OUTPUT'!$C$48</definedName>
    <definedName name="Monsoon_HWL" localSheetId="71">'[6]Energy_INPUT&amp;OUTPUT'!$C$48</definedName>
    <definedName name="Monsoon_HWL" localSheetId="65">'[6]Energy_INPUT&amp;OUTPUT'!$C$48</definedName>
    <definedName name="Monsoon_HWL" localSheetId="66">'[6]Energy_INPUT&amp;OUTPUT'!$C$48</definedName>
    <definedName name="Monsoon_HWL" localSheetId="67">'[6]Energy_INPUT&amp;OUTPUT'!$C$48</definedName>
    <definedName name="Monsoon_HWL" localSheetId="42">'[6]Energy_INPUT&amp;OUTPUT'!$C$48</definedName>
    <definedName name="Monsoon_HWL">'[7]Energy_INPUT&amp;OUTPUT'!$C$48</definedName>
    <definedName name="Monsoon_Start" localSheetId="35">'[6]Energy_INPUT&amp;OUTPUT'!$C$49</definedName>
    <definedName name="Monsoon_Start" localSheetId="37">'[6]Energy_INPUT&amp;OUTPUT'!$C$49</definedName>
    <definedName name="Monsoon_Start" localSheetId="57">'[6]Energy_INPUT&amp;OUTPUT'!$C$49</definedName>
    <definedName name="Monsoon_Start" localSheetId="23">'[6]Energy_INPUT&amp;OUTPUT'!$C$49</definedName>
    <definedName name="Monsoon_Start" localSheetId="27">'[6]Energy_INPUT&amp;OUTPUT'!$C$49</definedName>
    <definedName name="Monsoon_Start" localSheetId="17">'[6]Energy_INPUT&amp;OUTPUT'!$C$49</definedName>
    <definedName name="Monsoon_Start" localSheetId="41">'[6]Energy_INPUT&amp;OUTPUT'!$C$49</definedName>
    <definedName name="Monsoon_Start" localSheetId="39">'[6]Energy_INPUT&amp;OUTPUT'!$C$49</definedName>
    <definedName name="Monsoon_Start" localSheetId="40">'[6]Energy_INPUT&amp;OUTPUT'!$C$49</definedName>
    <definedName name="Monsoon_Start" localSheetId="36">'[6]Energy_INPUT&amp;OUTPUT'!$C$49</definedName>
    <definedName name="Monsoon_Start" localSheetId="20">'[6]Energy_INPUT&amp;OUTPUT'!$C$49</definedName>
    <definedName name="Monsoon_Start" localSheetId="21">'[6]Energy_INPUT&amp;OUTPUT'!$C$49</definedName>
    <definedName name="Monsoon_Start" localSheetId="33">'[6]Energy_INPUT&amp;OUTPUT'!$C$49</definedName>
    <definedName name="Monsoon_Start" localSheetId="18">'[6]Energy_INPUT&amp;OUTPUT'!$C$49</definedName>
    <definedName name="Monsoon_Start" localSheetId="26">'[6]Energy_INPUT&amp;OUTPUT'!$C$49</definedName>
    <definedName name="Monsoon_Start" localSheetId="13">'[6]Energy_INPUT&amp;OUTPUT'!$C$49</definedName>
    <definedName name="Monsoon_Start" localSheetId="14">'[6]Energy_INPUT&amp;OUTPUT'!$C$49</definedName>
    <definedName name="Monsoon_Start" localSheetId="19">'[6]Energy_INPUT&amp;OUTPUT'!$C$49</definedName>
    <definedName name="Monsoon_Start" localSheetId="34">'[6]Energy_INPUT&amp;OUTPUT'!$C$49</definedName>
    <definedName name="Monsoon_Start" localSheetId="69">'[6]Energy_INPUT&amp;OUTPUT'!$C$49</definedName>
    <definedName name="Monsoon_Start" localSheetId="68">'[6]Energy_INPUT&amp;OUTPUT'!$C$49</definedName>
    <definedName name="Monsoon_Start" localSheetId="38">'[6]Energy_INPUT&amp;OUTPUT'!$C$49</definedName>
    <definedName name="Monsoon_Start" localSheetId="71">'[6]Energy_INPUT&amp;OUTPUT'!$C$49</definedName>
    <definedName name="Monsoon_Start" localSheetId="65">'[6]Energy_INPUT&amp;OUTPUT'!$C$49</definedName>
    <definedName name="Monsoon_Start" localSheetId="66">'[6]Energy_INPUT&amp;OUTPUT'!$C$49</definedName>
    <definedName name="Monsoon_Start" localSheetId="67">'[6]Energy_INPUT&amp;OUTPUT'!$C$49</definedName>
    <definedName name="Monsoon_Start" localSheetId="42">'[6]Energy_INPUT&amp;OUTPUT'!$C$49</definedName>
    <definedName name="Monsoon_Start">'[7]Energy_INPUT&amp;OUTPUT'!$C$49</definedName>
    <definedName name="ms_pipe" localSheetId="35">'[10]RATES INCLUDING TRANSPORATION'!$V$55</definedName>
    <definedName name="ms_pipe" localSheetId="37">'[10]RATES INCLUDING TRANSPORATION'!$V$55</definedName>
    <definedName name="ms_pipe" localSheetId="17">'[10]RATES INCLUDING TRANSPORATION'!$V$55</definedName>
    <definedName name="ms_pipe" localSheetId="47">#REF!</definedName>
    <definedName name="ms_pipe" localSheetId="41">'[10]RATES INCLUDING TRANSPORATION'!$V$55</definedName>
    <definedName name="ms_pipe" localSheetId="39">'[10]RATES INCLUDING TRANSPORATION'!$V$55</definedName>
    <definedName name="ms_pipe" localSheetId="40">'[10]RATES INCLUDING TRANSPORATION'!$V$55</definedName>
    <definedName name="ms_pipe" localSheetId="36">'[10]RATES INCLUDING TRANSPORATION'!$V$55</definedName>
    <definedName name="ms_pipe" localSheetId="20">'[10]RATES INCLUDING TRANSPORATION'!$V$55</definedName>
    <definedName name="ms_pipe" localSheetId="21">'[10]RATES INCLUDING TRANSPORATION'!$V$55</definedName>
    <definedName name="ms_pipe" localSheetId="33">'[10]RATES INCLUDING TRANSPORATION'!$V$55</definedName>
    <definedName name="ms_pipe" localSheetId="18">'[10]RATES INCLUDING TRANSPORATION'!$V$55</definedName>
    <definedName name="ms_pipe" localSheetId="19">'[10]RATES INCLUDING TRANSPORATION'!$V$55</definedName>
    <definedName name="ms_pipe" localSheetId="34">'[10]RATES INCLUDING TRANSPORATION'!$V$55</definedName>
    <definedName name="ms_pipe" localSheetId="69">'[10]RATES INCLUDING TRANSPORATION'!$V$55</definedName>
    <definedName name="ms_pipe" localSheetId="68">'[10]RATES INCLUDING TRANSPORATION'!$V$55</definedName>
    <definedName name="ms_pipe" localSheetId="38">'[10]RATES INCLUDING TRANSPORATION'!$V$55</definedName>
    <definedName name="ms_pipe" localSheetId="65">'[10]RATES INCLUDING TRANSPORATION'!$V$55</definedName>
    <definedName name="ms_pipe" localSheetId="66">'[10]RATES INCLUDING TRANSPORATION'!$V$55</definedName>
    <definedName name="ms_pipe" localSheetId="67">'[10]RATES INCLUDING TRANSPORATION'!$V$55</definedName>
    <definedName name="ms_pipe" localSheetId="42">'[10]RATES INCLUDING TRANSPORATION'!$V$55</definedName>
    <definedName name="ms_sheet" localSheetId="35">'[10]RATES INCLUDING TRANSPORATION'!$V$50</definedName>
    <definedName name="ms_sheet" localSheetId="37">'[10]RATES INCLUDING TRANSPORATION'!$V$50</definedName>
    <definedName name="ms_sheet" localSheetId="17">'[10]RATES INCLUDING TRANSPORATION'!$V$50</definedName>
    <definedName name="ms_sheet" localSheetId="47">#REF!</definedName>
    <definedName name="ms_sheet" localSheetId="41">'[10]RATES INCLUDING TRANSPORATION'!$V$50</definedName>
    <definedName name="ms_sheet" localSheetId="39">'[10]RATES INCLUDING TRANSPORATION'!$V$50</definedName>
    <definedName name="ms_sheet" localSheetId="40">'[10]RATES INCLUDING TRANSPORATION'!$V$50</definedName>
    <definedName name="ms_sheet" localSheetId="36">'[10]RATES INCLUDING TRANSPORATION'!$V$50</definedName>
    <definedName name="ms_sheet" localSheetId="20">'[10]RATES INCLUDING TRANSPORATION'!$V$50</definedName>
    <definedName name="ms_sheet" localSheetId="21">'[10]RATES INCLUDING TRANSPORATION'!$V$50</definedName>
    <definedName name="ms_sheet" localSheetId="33">'[10]RATES INCLUDING TRANSPORATION'!$V$50</definedName>
    <definedName name="ms_sheet" localSheetId="18">'[10]RATES INCLUDING TRANSPORATION'!$V$50</definedName>
    <definedName name="ms_sheet" localSheetId="19">'[10]RATES INCLUDING TRANSPORATION'!$V$50</definedName>
    <definedName name="ms_sheet" localSheetId="34">'[10]RATES INCLUDING TRANSPORATION'!$V$50</definedName>
    <definedName name="ms_sheet" localSheetId="69">'[10]RATES INCLUDING TRANSPORATION'!$V$50</definedName>
    <definedName name="ms_sheet" localSheetId="68">'[10]RATES INCLUDING TRANSPORATION'!$V$50</definedName>
    <definedName name="ms_sheet" localSheetId="38">'[10]RATES INCLUDING TRANSPORATION'!$V$50</definedName>
    <definedName name="ms_sheet" localSheetId="65">'[10]RATES INCLUDING TRANSPORATION'!$V$50</definedName>
    <definedName name="ms_sheet" localSheetId="66">'[10]RATES INCLUDING TRANSPORATION'!$V$50</definedName>
    <definedName name="ms_sheet" localSheetId="67">'[10]RATES INCLUDING TRANSPORATION'!$V$50</definedName>
    <definedName name="ms_sheet" localSheetId="42">'[10]RATES INCLUDING TRANSPORATION'!$V$50</definedName>
    <definedName name="n" localSheetId="35">'[25]Intake Canal'!$C$10</definedName>
    <definedName name="n" localSheetId="37">'[25]Intake Canal'!$C$10</definedName>
    <definedName name="n" localSheetId="57">'[25]Intake Canal'!$C$10</definedName>
    <definedName name="n" localSheetId="23">'[25]Intake Canal'!$C$10</definedName>
    <definedName name="n" localSheetId="27">'[25]Intake Canal'!$C$10</definedName>
    <definedName name="n" localSheetId="17">'[25]Intake Canal'!$C$10</definedName>
    <definedName name="n" localSheetId="41">'[25]Intake Canal'!$C$10</definedName>
    <definedName name="n" localSheetId="39">'[25]Intake Canal'!$C$10</definedName>
    <definedName name="n" localSheetId="40">'[25]Intake Canal'!$C$10</definedName>
    <definedName name="n" localSheetId="36">'[25]Intake Canal'!$C$10</definedName>
    <definedName name="n" localSheetId="20">'[25]Intake Canal'!$C$10</definedName>
    <definedName name="n" localSheetId="21">'[25]Intake Canal'!$C$10</definedName>
    <definedName name="n" localSheetId="33">'[25]Intake Canal'!$C$10</definedName>
    <definedName name="n" localSheetId="18">'[25]Intake Canal'!$C$10</definedName>
    <definedName name="n" localSheetId="26">'[25]Intake Canal'!$C$10</definedName>
    <definedName name="n" localSheetId="13">'[25]Intake Canal'!$C$10</definedName>
    <definedName name="n" localSheetId="14">'[25]Intake Canal'!$C$10</definedName>
    <definedName name="n" localSheetId="19">'[25]Intake Canal'!$C$10</definedName>
    <definedName name="n" localSheetId="34">'[25]Intake Canal'!$C$10</definedName>
    <definedName name="n" localSheetId="69">'[25]Intake Canal'!$C$10</definedName>
    <definedName name="n" localSheetId="68">'[25]Intake Canal'!$C$10</definedName>
    <definedName name="n" localSheetId="38">'[25]Intake Canal'!$C$10</definedName>
    <definedName name="n" localSheetId="71">'[25]Intake Canal'!$C$10</definedName>
    <definedName name="n" localSheetId="65">'[25]Intake Canal'!$C$10</definedName>
    <definedName name="n" localSheetId="66">'[25]Intake Canal'!$C$10</definedName>
    <definedName name="n" localSheetId="67">'[25]Intake Canal'!$C$10</definedName>
    <definedName name="n" localSheetId="42">'[25]Intake Canal'!$C$10</definedName>
    <definedName name="n">'[24]Intake Canal'!$C$10</definedName>
    <definedName name="nails" localSheetId="35">'[10]RATES INCLUDING TRANSPORATION'!$V$40</definedName>
    <definedName name="nails" localSheetId="37">'[10]RATES INCLUDING TRANSPORATION'!$V$40</definedName>
    <definedName name="nails" localSheetId="17">'[10]RATES INCLUDING TRANSPORATION'!$V$40</definedName>
    <definedName name="nails" localSheetId="47">#REF!</definedName>
    <definedName name="nails" localSheetId="41">'[10]RATES INCLUDING TRANSPORATION'!$V$40</definedName>
    <definedName name="nails" localSheetId="39">'[10]RATES INCLUDING TRANSPORATION'!$V$40</definedName>
    <definedName name="nails" localSheetId="40">'[10]RATES INCLUDING TRANSPORATION'!$V$40</definedName>
    <definedName name="nails" localSheetId="36">'[10]RATES INCLUDING TRANSPORATION'!$V$40</definedName>
    <definedName name="nails" localSheetId="20">'[10]RATES INCLUDING TRANSPORATION'!$V$40</definedName>
    <definedName name="nails" localSheetId="21">'[10]RATES INCLUDING TRANSPORATION'!$V$40</definedName>
    <definedName name="nails" localSheetId="33">'[10]RATES INCLUDING TRANSPORATION'!$V$40</definedName>
    <definedName name="nails" localSheetId="18">'[10]RATES INCLUDING TRANSPORATION'!$V$40</definedName>
    <definedName name="nails" localSheetId="19">'[10]RATES INCLUDING TRANSPORATION'!$V$40</definedName>
    <definedName name="nails" localSheetId="34">'[10]RATES INCLUDING TRANSPORATION'!$V$40</definedName>
    <definedName name="nails" localSheetId="69">'[10]RATES INCLUDING TRANSPORATION'!$V$40</definedName>
    <definedName name="nails" localSheetId="68">'[10]RATES INCLUDING TRANSPORATION'!$V$40</definedName>
    <definedName name="nails" localSheetId="38">'[10]RATES INCLUDING TRANSPORATION'!$V$40</definedName>
    <definedName name="nails" localSheetId="65">'[10]RATES INCLUDING TRANSPORATION'!$V$40</definedName>
    <definedName name="nails" localSheetId="66">'[10]RATES INCLUDING TRANSPORATION'!$V$40</definedName>
    <definedName name="nails" localSheetId="67">'[10]RATES INCLUDING TRANSPORATION'!$V$40</definedName>
    <definedName name="nails" localSheetId="42">'[10]RATES INCLUDING TRANSPORATION'!$V$40</definedName>
    <definedName name="natural_gravel" localSheetId="35">'[10]RATES INCLUDING TRANSPORATION'!$V$26</definedName>
    <definedName name="natural_gravel" localSheetId="37">'[10]RATES INCLUDING TRANSPORATION'!$V$26</definedName>
    <definedName name="natural_gravel" localSheetId="17">'[10]RATES INCLUDING TRANSPORATION'!$V$26</definedName>
    <definedName name="natural_gravel" localSheetId="47">#REF!</definedName>
    <definedName name="natural_gravel" localSheetId="41">'[10]RATES INCLUDING TRANSPORATION'!$V$26</definedName>
    <definedName name="natural_gravel" localSheetId="39">'[10]RATES INCLUDING TRANSPORATION'!$V$26</definedName>
    <definedName name="natural_gravel" localSheetId="40">'[10]RATES INCLUDING TRANSPORATION'!$V$26</definedName>
    <definedName name="natural_gravel" localSheetId="36">'[10]RATES INCLUDING TRANSPORATION'!$V$26</definedName>
    <definedName name="natural_gravel" localSheetId="20">'[10]RATES INCLUDING TRANSPORATION'!$V$26</definedName>
    <definedName name="natural_gravel" localSheetId="21">'[10]RATES INCLUDING TRANSPORATION'!$V$26</definedName>
    <definedName name="natural_gravel" localSheetId="33">'[10]RATES INCLUDING TRANSPORATION'!$V$26</definedName>
    <definedName name="natural_gravel" localSheetId="18">'[10]RATES INCLUDING TRANSPORATION'!$V$26</definedName>
    <definedName name="natural_gravel" localSheetId="19">'[10]RATES INCLUDING TRANSPORATION'!$V$26</definedName>
    <definedName name="natural_gravel" localSheetId="34">'[10]RATES INCLUDING TRANSPORATION'!$V$26</definedName>
    <definedName name="natural_gravel" localSheetId="69">'[10]RATES INCLUDING TRANSPORATION'!$V$26</definedName>
    <definedName name="natural_gravel" localSheetId="68">'[10]RATES INCLUDING TRANSPORATION'!$V$26</definedName>
    <definedName name="natural_gravel" localSheetId="38">'[10]RATES INCLUDING TRANSPORATION'!$V$26</definedName>
    <definedName name="natural_gravel" localSheetId="65">'[10]RATES INCLUDING TRANSPORATION'!$V$26</definedName>
    <definedName name="natural_gravel" localSheetId="66">'[10]RATES INCLUDING TRANSPORATION'!$V$26</definedName>
    <definedName name="natural_gravel" localSheetId="67">'[10]RATES INCLUDING TRANSPORATION'!$V$26</definedName>
    <definedName name="natural_gravel" localSheetId="42">'[10]RATES INCLUDING TRANSPORATION'!$V$26</definedName>
    <definedName name="nbij" localSheetId="4" hidden="1">[1]Solu!#REF!</definedName>
    <definedName name="nbij" localSheetId="78" hidden="1">[1]Solu!#REF!</definedName>
    <definedName name="nbij" localSheetId="7" hidden="1">[1]Solu!#REF!</definedName>
    <definedName name="nbij" localSheetId="8" hidden="1">[1]Solu!#REF!</definedName>
    <definedName name="nbij" localSheetId="1" hidden="1">[1]Solu!#REF!</definedName>
    <definedName name="nbij" localSheetId="24" hidden="1">[1]Solu!#REF!</definedName>
    <definedName name="nbij" localSheetId="35" hidden="1">[2]Solu!#REF!</definedName>
    <definedName name="nbij" localSheetId="37" hidden="1">[2]Solu!#REF!</definedName>
    <definedName name="nbij" localSheetId="57" hidden="1">[2]Solu!#REF!</definedName>
    <definedName name="nbij" localSheetId="5" hidden="1">[1]Solu!#REF!</definedName>
    <definedName name="nbij" localSheetId="23" hidden="1">[2]Solu!#REF!</definedName>
    <definedName name="nbij" localSheetId="27" hidden="1">[2]Solu!#REF!</definedName>
    <definedName name="nbij" localSheetId="17" hidden="1">[2]Solu!#REF!</definedName>
    <definedName name="nbij" localSheetId="47" hidden="1">[1]Solu!#REF!</definedName>
    <definedName name="nbij" localSheetId="41" hidden="1">[2]Solu!#REF!</definedName>
    <definedName name="nbij" localSheetId="39" hidden="1">[2]Solu!#REF!</definedName>
    <definedName name="nbij" localSheetId="40" hidden="1">[2]Solu!#REF!</definedName>
    <definedName name="nbij" localSheetId="32" hidden="1">[1]Solu!#REF!</definedName>
    <definedName name="nbij" localSheetId="43" hidden="1">[2]Solu!#REF!</definedName>
    <definedName name="nbij" localSheetId="44" hidden="1">[2]Solu!#REF!</definedName>
    <definedName name="nbij" localSheetId="45" hidden="1">[2]Solu!#REF!</definedName>
    <definedName name="nbij" localSheetId="46" hidden="1">[2]Solu!#REF!</definedName>
    <definedName name="nbij" localSheetId="36" hidden="1">[2]Solu!#REF!</definedName>
    <definedName name="nbij" localSheetId="20" hidden="1">[2]Solu!#REF!</definedName>
    <definedName name="nbij" localSheetId="21" hidden="1">[2]Solu!#REF!</definedName>
    <definedName name="nbij" localSheetId="33" hidden="1">[2]Solu!#REF!</definedName>
    <definedName name="nbij" localSheetId="18" hidden="1">[2]Solu!#REF!</definedName>
    <definedName name="nbij" localSheetId="29" hidden="1">[1]Solu!#REF!</definedName>
    <definedName name="nbij" localSheetId="26" hidden="1">[2]Solu!#REF!</definedName>
    <definedName name="nbij" localSheetId="25" hidden="1">[1]Solu!#REF!</definedName>
    <definedName name="nbij" localSheetId="13" hidden="1">[2]Solu!#REF!</definedName>
    <definedName name="nbij" localSheetId="14" hidden="1">[2]Solu!#REF!</definedName>
    <definedName name="nbij" localSheetId="12" hidden="1">[1]Solu!#REF!</definedName>
    <definedName name="nbij" localSheetId="19" hidden="1">[2]Solu!#REF!</definedName>
    <definedName name="nbij" localSheetId="34" hidden="1">[2]Solu!#REF!</definedName>
    <definedName name="nbij" localSheetId="58" hidden="1">[1]Solu!#REF!</definedName>
    <definedName name="nbij" localSheetId="69" hidden="1">[2]Solu!#REF!</definedName>
    <definedName name="nbij" localSheetId="68" hidden="1">[2]Solu!#REF!</definedName>
    <definedName name="nbij" localSheetId="0" hidden="1">[1]Solu!#REF!</definedName>
    <definedName name="nbij" localSheetId="52" hidden="1">[1]Solu!#REF!</definedName>
    <definedName name="nbij" localSheetId="73" hidden="1">[2]Solu!#REF!</definedName>
    <definedName name="nbij" localSheetId="61" hidden="1">[1]Solu!#REF!</definedName>
    <definedName name="nbij" localSheetId="38" hidden="1">[2]Solu!#REF!</definedName>
    <definedName name="nbij" localSheetId="71" hidden="1">[2]Solu!#REF!</definedName>
    <definedName name="nbij" localSheetId="22" hidden="1">[1]Solu!#REF!</definedName>
    <definedName name="nbij" localSheetId="28" hidden="1">[1]Solu!#REF!</definedName>
    <definedName name="nbij" localSheetId="65" hidden="1">[2]Solu!#REF!</definedName>
    <definedName name="nbij" localSheetId="66" hidden="1">[2]Solu!#REF!</definedName>
    <definedName name="nbij" localSheetId="67" hidden="1">[2]Solu!#REF!</definedName>
    <definedName name="nbij" localSheetId="42" hidden="1">[2]Solu!#REF!</definedName>
    <definedName name="nbij" hidden="1">[1]Solu!#REF!</definedName>
    <definedName name="ncanal" localSheetId="78">#REF!</definedName>
    <definedName name="ncanal" localSheetId="1">#REF!</definedName>
    <definedName name="ncanal" localSheetId="57">#REF!</definedName>
    <definedName name="ncanal" localSheetId="23">#REF!</definedName>
    <definedName name="ncanal" localSheetId="47">#REF!</definedName>
    <definedName name="ncanal" localSheetId="58">#REF!</definedName>
    <definedName name="ncanal" localSheetId="0">#REF!</definedName>
    <definedName name="ncanal" localSheetId="52">#REF!</definedName>
    <definedName name="ncanal" localSheetId="61">#REF!</definedName>
    <definedName name="NewMatrix3" localSheetId="78">#REF!</definedName>
    <definedName name="NewMatrix3" localSheetId="1">#REF!</definedName>
    <definedName name="NewMatrix3" localSheetId="57">#REF!</definedName>
    <definedName name="NewMatrix3" localSheetId="23">#REF!</definedName>
    <definedName name="NewMatrix3" localSheetId="47">#REF!</definedName>
    <definedName name="NewMatrix3" localSheetId="58">#REF!</definedName>
    <definedName name="NewMatrix3" localSheetId="0">#REF!</definedName>
    <definedName name="NewMatrix3" localSheetId="52">#REF!</definedName>
    <definedName name="NewMatrix3" localSheetId="61">#REF!</definedName>
    <definedName name="Nhead" localSheetId="78">#REF!</definedName>
    <definedName name="Nhead" localSheetId="1">#REF!</definedName>
    <definedName name="Nhead" localSheetId="57">#REF!</definedName>
    <definedName name="Nhead" localSheetId="23">#REF!</definedName>
    <definedName name="Nhead" localSheetId="47">#REF!</definedName>
    <definedName name="Nhead" localSheetId="58">#REF!</definedName>
    <definedName name="Nhead" localSheetId="0">#REF!</definedName>
    <definedName name="Nhead" localSheetId="52">#REF!</definedName>
    <definedName name="Nhead" localSheetId="61">#REF!</definedName>
    <definedName name="nipple" localSheetId="35">'[10]RATES INCLUDING TRANSPORATION'!$V$48</definedName>
    <definedName name="nipple" localSheetId="37">'[10]RATES INCLUDING TRANSPORATION'!$V$48</definedName>
    <definedName name="nipple" localSheetId="17">'[10]RATES INCLUDING TRANSPORATION'!$V$48</definedName>
    <definedName name="nipple" localSheetId="47">#REF!</definedName>
    <definedName name="nipple" localSheetId="41">'[10]RATES INCLUDING TRANSPORATION'!$V$48</definedName>
    <definedName name="nipple" localSheetId="39">'[10]RATES INCLUDING TRANSPORATION'!$V$48</definedName>
    <definedName name="nipple" localSheetId="40">'[10]RATES INCLUDING TRANSPORATION'!$V$48</definedName>
    <definedName name="nipple" localSheetId="36">'[10]RATES INCLUDING TRANSPORATION'!$V$48</definedName>
    <definedName name="nipple" localSheetId="20">'[10]RATES INCLUDING TRANSPORATION'!$V$48</definedName>
    <definedName name="nipple" localSheetId="21">'[10]RATES INCLUDING TRANSPORATION'!$V$48</definedName>
    <definedName name="nipple" localSheetId="33">'[10]RATES INCLUDING TRANSPORATION'!$V$48</definedName>
    <definedName name="nipple" localSheetId="18">'[10]RATES INCLUDING TRANSPORATION'!$V$48</definedName>
    <definedName name="nipple" localSheetId="19">'[10]RATES INCLUDING TRANSPORATION'!$V$48</definedName>
    <definedName name="nipple" localSheetId="34">'[10]RATES INCLUDING TRANSPORATION'!$V$48</definedName>
    <definedName name="nipple" localSheetId="69">'[10]RATES INCLUDING TRANSPORATION'!$V$48</definedName>
    <definedName name="nipple" localSheetId="68">'[10]RATES INCLUDING TRANSPORATION'!$V$48</definedName>
    <definedName name="nipple" localSheetId="38">'[10]RATES INCLUDING TRANSPORATION'!$V$48</definedName>
    <definedName name="nipple" localSheetId="65">'[10]RATES INCLUDING TRANSPORATION'!$V$48</definedName>
    <definedName name="nipple" localSheetId="66">'[10]RATES INCLUDING TRANSPORATION'!$V$48</definedName>
    <definedName name="nipple" localSheetId="67">'[10]RATES INCLUDING TRANSPORATION'!$V$48</definedName>
    <definedName name="nipple" localSheetId="42">'[10]RATES INCLUDING TRANSPORATION'!$V$48</definedName>
    <definedName name="NRs_USD" localSheetId="78">#REF!</definedName>
    <definedName name="NRs_USD" localSheetId="1">#REF!</definedName>
    <definedName name="NRs_USD" localSheetId="57">#REF!</definedName>
    <definedName name="NRs_USD" localSheetId="23">#REF!</definedName>
    <definedName name="NRs_USD" localSheetId="47">#REF!</definedName>
    <definedName name="NRs_USD" localSheetId="58">#REF!</definedName>
    <definedName name="NRs_USD" localSheetId="0">#REF!</definedName>
    <definedName name="NRs_USD" localSheetId="52">#REF!</definedName>
    <definedName name="NRs_USD" localSheetId="61">#REF!</definedName>
    <definedName name="Nut" localSheetId="35">'[10]RATES INCLUDING TRANSPORATION'!$V$72</definedName>
    <definedName name="Nut" localSheetId="37">'[10]RATES INCLUDING TRANSPORATION'!$V$72</definedName>
    <definedName name="Nut" localSheetId="17">'[10]RATES INCLUDING TRANSPORATION'!$V$72</definedName>
    <definedName name="Nut" localSheetId="47">#REF!</definedName>
    <definedName name="Nut" localSheetId="41">'[10]RATES INCLUDING TRANSPORATION'!$V$72</definedName>
    <definedName name="Nut" localSheetId="39">'[10]RATES INCLUDING TRANSPORATION'!$V$72</definedName>
    <definedName name="Nut" localSheetId="40">'[10]RATES INCLUDING TRANSPORATION'!$V$72</definedName>
    <definedName name="Nut" localSheetId="36">'[10]RATES INCLUDING TRANSPORATION'!$V$72</definedName>
    <definedName name="Nut" localSheetId="20">'[10]RATES INCLUDING TRANSPORATION'!$V$72</definedName>
    <definedName name="Nut" localSheetId="21">'[10]RATES INCLUDING TRANSPORATION'!$V$72</definedName>
    <definedName name="Nut" localSheetId="33">'[10]RATES INCLUDING TRANSPORATION'!$V$72</definedName>
    <definedName name="Nut" localSheetId="18">'[10]RATES INCLUDING TRANSPORATION'!$V$72</definedName>
    <definedName name="Nut" localSheetId="19">'[10]RATES INCLUDING TRANSPORATION'!$V$72</definedName>
    <definedName name="Nut" localSheetId="34">'[10]RATES INCLUDING TRANSPORATION'!$V$72</definedName>
    <definedName name="Nut" localSheetId="69">'[10]RATES INCLUDING TRANSPORATION'!$V$72</definedName>
    <definedName name="Nut" localSheetId="68">'[10]RATES INCLUDING TRANSPORATION'!$V$72</definedName>
    <definedName name="Nut" localSheetId="38">'[10]RATES INCLUDING TRANSPORATION'!$V$72</definedName>
    <definedName name="Nut" localSheetId="65">'[10]RATES INCLUDING TRANSPORATION'!$V$72</definedName>
    <definedName name="Nut" localSheetId="66">'[10]RATES INCLUDING TRANSPORATION'!$V$72</definedName>
    <definedName name="Nut" localSheetId="67">'[10]RATES INCLUDING TRANSPORATION'!$V$72</definedName>
    <definedName name="Nut" localSheetId="42">'[10]RATES INCLUDING TRANSPORATION'!$V$72</definedName>
    <definedName name="Nuts_Bolts" localSheetId="47">#REF!</definedName>
    <definedName name="NWL" localSheetId="78">'[28]Scour depth'!#REF!</definedName>
    <definedName name="NWL" localSheetId="1">'[28]Scour depth'!#REF!</definedName>
    <definedName name="NWL" localSheetId="57">'[29]Scour depth'!#REF!</definedName>
    <definedName name="NWL" localSheetId="23">'[29]Scour depth'!#REF!</definedName>
    <definedName name="NWL" localSheetId="47">'[28]Scour depth'!#REF!</definedName>
    <definedName name="NWL" localSheetId="58">'[28]Scour depth'!#REF!</definedName>
    <definedName name="NWL" localSheetId="0">'[28]Scour depth'!#REF!</definedName>
    <definedName name="NWL" localSheetId="52">'[28]Scour depth'!#REF!</definedName>
    <definedName name="NWL" localSheetId="61">'[28]Scour depth'!#REF!</definedName>
    <definedName name="optAheadcanal" localSheetId="35">'[25]Headrace Canal '!$H$20</definedName>
    <definedName name="optAheadcanal" localSheetId="37">'[25]Headrace Canal '!$H$20</definedName>
    <definedName name="optAheadcanal" localSheetId="57">'[25]Headrace Canal '!$H$20</definedName>
    <definedName name="optAheadcanal" localSheetId="23">'[25]Headrace Canal '!$H$20</definedName>
    <definedName name="optAheadcanal" localSheetId="27">'[25]Headrace Canal '!$H$20</definedName>
    <definedName name="optAheadcanal" localSheetId="17">'[25]Headrace Canal '!$H$20</definedName>
    <definedName name="optAheadcanal" localSheetId="41">'[25]Headrace Canal '!$H$20</definedName>
    <definedName name="optAheadcanal" localSheetId="39">'[25]Headrace Canal '!$H$20</definedName>
    <definedName name="optAheadcanal" localSheetId="40">'[25]Headrace Canal '!$H$20</definedName>
    <definedName name="optAheadcanal" localSheetId="36">'[25]Headrace Canal '!$H$20</definedName>
    <definedName name="optAheadcanal" localSheetId="20">'[25]Headrace Canal '!$H$20</definedName>
    <definedName name="optAheadcanal" localSheetId="21">'[25]Headrace Canal '!$H$20</definedName>
    <definedName name="optAheadcanal" localSheetId="33">'[25]Headrace Canal '!$H$20</definedName>
    <definedName name="optAheadcanal" localSheetId="18">'[25]Headrace Canal '!$H$20</definedName>
    <definedName name="optAheadcanal" localSheetId="26">'[25]Headrace Canal '!$H$20</definedName>
    <definedName name="optAheadcanal" localSheetId="13">'[25]Headrace Canal '!$H$20</definedName>
    <definedName name="optAheadcanal" localSheetId="14">'[25]Headrace Canal '!$H$20</definedName>
    <definedName name="optAheadcanal" localSheetId="19">'[25]Headrace Canal '!$H$20</definedName>
    <definedName name="optAheadcanal" localSheetId="34">'[25]Headrace Canal '!$H$20</definedName>
    <definedName name="optAheadcanal" localSheetId="69">'[25]Headrace Canal '!$H$20</definedName>
    <definedName name="optAheadcanal" localSheetId="68">'[25]Headrace Canal '!$H$20</definedName>
    <definedName name="optAheadcanal" localSheetId="38">'[25]Headrace Canal '!$H$20</definedName>
    <definedName name="optAheadcanal" localSheetId="71">'[25]Headrace Canal '!$H$20</definedName>
    <definedName name="optAheadcanal" localSheetId="65">'[25]Headrace Canal '!$H$20</definedName>
    <definedName name="optAheadcanal" localSheetId="66">'[25]Headrace Canal '!$H$20</definedName>
    <definedName name="optAheadcanal" localSheetId="67">'[25]Headrace Canal '!$H$20</definedName>
    <definedName name="optAheadcanal" localSheetId="42">'[25]Headrace Canal '!$H$20</definedName>
    <definedName name="optAheadcanal">'[24]Headrace Canal '!$H$20</definedName>
    <definedName name="optBheadcanal" localSheetId="78">#REF!</definedName>
    <definedName name="optBheadcanal" localSheetId="1">#REF!</definedName>
    <definedName name="optBheadcanal" localSheetId="57">#REF!</definedName>
    <definedName name="optBheadcanal" localSheetId="23">#REF!</definedName>
    <definedName name="optBheadcanal" localSheetId="47">#REF!</definedName>
    <definedName name="optBheadcanal" localSheetId="58">#REF!</definedName>
    <definedName name="optBheadcanal" localSheetId="0">#REF!</definedName>
    <definedName name="optBheadcanal" localSheetId="52">#REF!</definedName>
    <definedName name="optBheadcanal" localSheetId="61">#REF!</definedName>
    <definedName name="optHheadcanal" localSheetId="78">#REF!</definedName>
    <definedName name="optHheadcanal" localSheetId="1">#REF!</definedName>
    <definedName name="optHheadcanal" localSheetId="57">#REF!</definedName>
    <definedName name="optHheadcanal" localSheetId="23">#REF!</definedName>
    <definedName name="optHheadcanal" localSheetId="47">#REF!</definedName>
    <definedName name="optHheadcanal" localSheetId="58">#REF!</definedName>
    <definedName name="optHheadcanal" localSheetId="0">#REF!</definedName>
    <definedName name="optHheadcanal" localSheetId="52">#REF!</definedName>
    <definedName name="optHheadcanal" localSheetId="61">#REF!</definedName>
    <definedName name="optHLheadcanal" localSheetId="78">#REF!</definedName>
    <definedName name="optHLheadcanal" localSheetId="1">#REF!</definedName>
    <definedName name="optHLheadcanal" localSheetId="57">#REF!</definedName>
    <definedName name="optHLheadcanal" localSheetId="23">#REF!</definedName>
    <definedName name="optHLheadcanal" localSheetId="47">#REF!</definedName>
    <definedName name="optHLheadcanal" localSheetId="58">#REF!</definedName>
    <definedName name="optHLheadcanal" localSheetId="0">#REF!</definedName>
    <definedName name="optHLheadcanal" localSheetId="52">#REF!</definedName>
    <definedName name="optHLheadcanal" localSheetId="61">#REF!</definedName>
    <definedName name="optPheadcanal" localSheetId="78">#REF!</definedName>
    <definedName name="optPheadcanal" localSheetId="1">#REF!</definedName>
    <definedName name="optPheadcanal" localSheetId="57">#REF!</definedName>
    <definedName name="optPheadcanal" localSheetId="23">#REF!</definedName>
    <definedName name="optPheadcanal" localSheetId="47">#REF!</definedName>
    <definedName name="optPheadcanal" localSheetId="58">#REF!</definedName>
    <definedName name="optPheadcanal" localSheetId="0">#REF!</definedName>
    <definedName name="optPheadcanal" localSheetId="52">#REF!</definedName>
    <definedName name="optPheadcanal" localSheetId="61">#REF!</definedName>
    <definedName name="optRheadCanal" localSheetId="78">#REF!</definedName>
    <definedName name="optRheadCanal" localSheetId="1">#REF!</definedName>
    <definedName name="optRheadCanal" localSheetId="57">#REF!</definedName>
    <definedName name="optRheadCanal" localSheetId="23">#REF!</definedName>
    <definedName name="optRheadCanal" localSheetId="47">#REF!</definedName>
    <definedName name="optRheadCanal" localSheetId="58">#REF!</definedName>
    <definedName name="optRheadCanal" localSheetId="0">#REF!</definedName>
    <definedName name="optRheadCanal" localSheetId="52">#REF!</definedName>
    <definedName name="optRheadCanal" localSheetId="61">#REF!</definedName>
    <definedName name="optSlopeheadcanal" localSheetId="78">#REF!</definedName>
    <definedName name="optSlopeheadcanal" localSheetId="1">#REF!</definedName>
    <definedName name="optSlopeheadcanal" localSheetId="57">#REF!</definedName>
    <definedName name="optSlopeheadcanal" localSheetId="23">#REF!</definedName>
    <definedName name="optSlopeheadcanal" localSheetId="47">#REF!</definedName>
    <definedName name="optSlopeheadcanal" localSheetId="58">#REF!</definedName>
    <definedName name="optSlopeheadcanal" localSheetId="0">#REF!</definedName>
    <definedName name="optSlopeheadcanal" localSheetId="52">#REF!</definedName>
    <definedName name="optSlopeheadcanal" localSheetId="61">#REF!</definedName>
    <definedName name="or" localSheetId="35">'[8]Basic Rates'!$D$30</definedName>
    <definedName name="or" localSheetId="37">'[8]Basic Rates'!$D$30</definedName>
    <definedName name="or" localSheetId="57">'[8]Basic Rates'!$D$30</definedName>
    <definedName name="or" localSheetId="23">'[8]Basic Rates'!$D$30</definedName>
    <definedName name="or" localSheetId="27">'[8]Basic Rates'!$D$30</definedName>
    <definedName name="or" localSheetId="17">'[8]Basic Rates'!$D$30</definedName>
    <definedName name="or" localSheetId="41">'[8]Basic Rates'!$D$30</definedName>
    <definedName name="or" localSheetId="39">'[8]Basic Rates'!$D$30</definedName>
    <definedName name="or" localSheetId="40">'[8]Basic Rates'!$D$30</definedName>
    <definedName name="or" localSheetId="36">'[8]Basic Rates'!$D$30</definedName>
    <definedName name="or" localSheetId="20">'[8]Basic Rates'!$D$30</definedName>
    <definedName name="or" localSheetId="21">'[8]Basic Rates'!$D$30</definedName>
    <definedName name="or" localSheetId="33">'[8]Basic Rates'!$D$30</definedName>
    <definedName name="or" localSheetId="18">'[8]Basic Rates'!$D$30</definedName>
    <definedName name="or" localSheetId="26">'[8]Basic Rates'!$D$30</definedName>
    <definedName name="or" localSheetId="13">'[8]Basic Rates'!$D$30</definedName>
    <definedName name="or" localSheetId="14">'[8]Basic Rates'!$D$30</definedName>
    <definedName name="or" localSheetId="19">'[8]Basic Rates'!$D$30</definedName>
    <definedName name="or" localSheetId="34">'[8]Basic Rates'!$D$30</definedName>
    <definedName name="or" localSheetId="69">'[8]Basic Rates'!$D$30</definedName>
    <definedName name="or" localSheetId="68">'[8]Basic Rates'!$D$30</definedName>
    <definedName name="or" localSheetId="51">#REF!</definedName>
    <definedName name="or" localSheetId="38">'[8]Basic Rates'!$D$30</definedName>
    <definedName name="or" localSheetId="71">'[8]Basic Rates'!$D$30</definedName>
    <definedName name="or" localSheetId="65">'[8]Basic Rates'!$D$30</definedName>
    <definedName name="or" localSheetId="66">'[8]Basic Rates'!$D$30</definedName>
    <definedName name="or" localSheetId="67">'[8]Basic Rates'!$D$30</definedName>
    <definedName name="or" localSheetId="42">'[8]Basic Rates'!$D$30</definedName>
    <definedName name="or">'[9]Basic Rates'!$D$30</definedName>
    <definedName name="Outlet_Transition_End_Height">'[3]Forebay Design'!$D$66</definedName>
    <definedName name="outlet_transition_start_height">'[3]Forebay Design'!$D$65</definedName>
    <definedName name="P_ex_Invert" localSheetId="78">#REF!</definedName>
    <definedName name="P_ex_Invert" localSheetId="1">#REF!</definedName>
    <definedName name="P_ex_Invert" localSheetId="57">#REF!</definedName>
    <definedName name="P_ex_Invert" localSheetId="23">#REF!</definedName>
    <definedName name="P_ex_Invert" localSheetId="47">#REF!</definedName>
    <definedName name="P_ex_Invert" localSheetId="58">#REF!</definedName>
    <definedName name="P_ex_Invert" localSheetId="0">#REF!</definedName>
    <definedName name="P_ex_Invert" localSheetId="52">#REF!</definedName>
    <definedName name="P_ex_Invert" localSheetId="61">#REF!</definedName>
    <definedName name="P_inc_Invert" localSheetId="78">#REF!</definedName>
    <definedName name="P_inc_Invert" localSheetId="1">#REF!</definedName>
    <definedName name="P_inc_Invert" localSheetId="57">#REF!</definedName>
    <definedName name="P_inc_Invert" localSheetId="23">#REF!</definedName>
    <definedName name="P_inc_Invert" localSheetId="47">#REF!</definedName>
    <definedName name="P_inc_Invert" localSheetId="58">#REF!</definedName>
    <definedName name="P_inc_Invert" localSheetId="0">#REF!</definedName>
    <definedName name="P_inc_Invert" localSheetId="52">#REF!</definedName>
    <definedName name="P_inc_Invert" localSheetId="61">#REF!</definedName>
    <definedName name="PAGE1" localSheetId="78">#REF!</definedName>
    <definedName name="PAGE1" localSheetId="1">#REF!</definedName>
    <definedName name="PAGE1" localSheetId="57">#REF!</definedName>
    <definedName name="PAGE1" localSheetId="23">#REF!</definedName>
    <definedName name="PAGE1" localSheetId="47">#REF!</definedName>
    <definedName name="PAGE1" localSheetId="58">#REF!</definedName>
    <definedName name="PAGE1" localSheetId="0">#REF!</definedName>
    <definedName name="PAGE1" localSheetId="52">#REF!</definedName>
    <definedName name="PAGE1" localSheetId="61">#REF!</definedName>
    <definedName name="PAGE2" localSheetId="78">#REF!</definedName>
    <definedName name="PAGE2" localSheetId="1">#REF!</definedName>
    <definedName name="PAGE2" localSheetId="57">#REF!</definedName>
    <definedName name="PAGE2" localSheetId="23">#REF!</definedName>
    <definedName name="PAGE2" localSheetId="47">#REF!</definedName>
    <definedName name="PAGE2" localSheetId="58">#REF!</definedName>
    <definedName name="PAGE2" localSheetId="0">#REF!</definedName>
    <definedName name="PAGE2" localSheetId="52">#REF!</definedName>
    <definedName name="PAGE2" localSheetId="61">#REF!</definedName>
    <definedName name="PAGE3" localSheetId="78">#REF!</definedName>
    <definedName name="PAGE3" localSheetId="1">#REF!</definedName>
    <definedName name="PAGE3" localSheetId="57">#REF!</definedName>
    <definedName name="PAGE3" localSheetId="23">#REF!</definedName>
    <definedName name="PAGE3" localSheetId="47">#REF!</definedName>
    <definedName name="PAGE3" localSheetId="58">#REF!</definedName>
    <definedName name="PAGE3" localSheetId="0">#REF!</definedName>
    <definedName name="PAGE3" localSheetId="52">#REF!</definedName>
    <definedName name="PAGE3" localSheetId="61">#REF!</definedName>
    <definedName name="Pal_Workbook_GUID" hidden="1">"WMPHX8AI95GDBSGMRQ4DT2IM"</definedName>
    <definedName name="PeakHours" localSheetId="35">'[6]Energy_INPUT&amp;OUTPUT'!$C$42</definedName>
    <definedName name="PeakHours" localSheetId="37">'[6]Energy_INPUT&amp;OUTPUT'!$C$42</definedName>
    <definedName name="PeakHours" localSheetId="57">'[6]Energy_INPUT&amp;OUTPUT'!$C$42</definedName>
    <definedName name="PeakHours" localSheetId="23">'[6]Energy_INPUT&amp;OUTPUT'!$C$42</definedName>
    <definedName name="PeakHours" localSheetId="27">'[6]Energy_INPUT&amp;OUTPUT'!$C$42</definedName>
    <definedName name="PeakHours" localSheetId="17">'[6]Energy_INPUT&amp;OUTPUT'!$C$42</definedName>
    <definedName name="PeakHours" localSheetId="41">'[6]Energy_INPUT&amp;OUTPUT'!$C$42</definedName>
    <definedName name="PeakHours" localSheetId="39">'[6]Energy_INPUT&amp;OUTPUT'!$C$42</definedName>
    <definedName name="PeakHours" localSheetId="40">'[6]Energy_INPUT&amp;OUTPUT'!$C$42</definedName>
    <definedName name="PeakHours" localSheetId="36">'[6]Energy_INPUT&amp;OUTPUT'!$C$42</definedName>
    <definedName name="PeakHours" localSheetId="20">'[6]Energy_INPUT&amp;OUTPUT'!$C$42</definedName>
    <definedName name="PeakHours" localSheetId="21">'[6]Energy_INPUT&amp;OUTPUT'!$C$42</definedName>
    <definedName name="PeakHours" localSheetId="33">'[6]Energy_INPUT&amp;OUTPUT'!$C$42</definedName>
    <definedName name="PeakHours" localSheetId="18">'[6]Energy_INPUT&amp;OUTPUT'!$C$42</definedName>
    <definedName name="PeakHours" localSheetId="26">'[6]Energy_INPUT&amp;OUTPUT'!$C$42</definedName>
    <definedName name="PeakHours" localSheetId="13">'[6]Energy_INPUT&amp;OUTPUT'!$C$42</definedName>
    <definedName name="PeakHours" localSheetId="14">'[6]Energy_INPUT&amp;OUTPUT'!$C$42</definedName>
    <definedName name="PeakHours" localSheetId="19">'[6]Energy_INPUT&amp;OUTPUT'!$C$42</definedName>
    <definedName name="PeakHours" localSheetId="34">'[6]Energy_INPUT&amp;OUTPUT'!$C$42</definedName>
    <definedName name="PeakHours" localSheetId="69">'[6]Energy_INPUT&amp;OUTPUT'!$C$42</definedName>
    <definedName name="PeakHours" localSheetId="68">'[6]Energy_INPUT&amp;OUTPUT'!$C$42</definedName>
    <definedName name="PeakHours" localSheetId="38">'[6]Energy_INPUT&amp;OUTPUT'!$C$42</definedName>
    <definedName name="PeakHours" localSheetId="71">'[6]Energy_INPUT&amp;OUTPUT'!$C$42</definedName>
    <definedName name="PeakHours" localSheetId="65">'[6]Energy_INPUT&amp;OUTPUT'!$C$42</definedName>
    <definedName name="PeakHours" localSheetId="66">'[6]Energy_INPUT&amp;OUTPUT'!$C$42</definedName>
    <definedName name="PeakHours" localSheetId="67">'[6]Energy_INPUT&amp;OUTPUT'!$C$42</definedName>
    <definedName name="PeakHours" localSheetId="42">'[6]Energy_INPUT&amp;OUTPUT'!$C$42</definedName>
    <definedName name="PeakHours">'[7]Energy_INPUT&amp;OUTPUT'!$C$42</definedName>
    <definedName name="Penstock" localSheetId="24" hidden="1">{"Mahesh Maskey - Personal View",#N/A,FALSE,"HeadLossApril (2)";#N/A,#N/A,FALSE,"Hydraulic Gadient"}</definedName>
    <definedName name="Penstock" localSheetId="27" hidden="1">{"Mahesh Maskey - Personal View",#N/A,FALSE,"HeadLossApril (2)";#N/A,#N/A,FALSE,"Hydraulic Gadient"}</definedName>
    <definedName name="Penstock" localSheetId="17" hidden="1">{"Mahesh Maskey - Personal View",#N/A,FALSE,"HeadLossApril (2)";#N/A,#N/A,FALSE,"Hydraulic Gadient"}</definedName>
    <definedName name="Penstock" localSheetId="47" hidden="1">{"Mahesh Maskey - Personal View",#N/A,FALSE,"HeadLossApril (2)";#N/A,#N/A,FALSE,"Hydraulic Gadient"}</definedName>
    <definedName name="Penstock" localSheetId="32" hidden="1">{"Mahesh Maskey - Personal View",#N/A,FALSE,"HeadLossApril (2)";#N/A,#N/A,FALSE,"Hydraulic Gadient"}</definedName>
    <definedName name="Penstock" localSheetId="18" hidden="1">{"Mahesh Maskey - Personal View",#N/A,FALSE,"HeadLossApril (2)";#N/A,#N/A,FALSE,"Hydraulic Gadient"}</definedName>
    <definedName name="Penstock" localSheetId="29" hidden="1">{"Mahesh Maskey - Personal View",#N/A,FALSE,"HeadLossApril (2)";#N/A,#N/A,FALSE,"Hydraulic Gadient"}</definedName>
    <definedName name="Penstock" localSheetId="19" hidden="1">{"Mahesh Maskey - Personal View",#N/A,FALSE,"HeadLossApril (2)";#N/A,#N/A,FALSE,"Hydraulic Gadient"}</definedName>
    <definedName name="Penstock" localSheetId="22" hidden="1">{"Mahesh Maskey - Personal View",#N/A,FALSE,"HeadLossApril (2)";#N/A,#N/A,FALSE,"Hydraulic Gadient"}</definedName>
    <definedName name="Penstock" localSheetId="28" hidden="1">{"Mahesh Maskey - Personal View",#N/A,FALSE,"HeadLossApril (2)";#N/A,#N/A,FALSE,"Hydraulic Gadient"}</definedName>
    <definedName name="Penstock" hidden="1">{"Mahesh Maskey - Personal View",#N/A,FALSE,"HeadLossApril (2)";#N/A,#N/A,FALSE,"Hydraulic Gadient"}</definedName>
    <definedName name="Penstock_Velocity" localSheetId="35">'[6]Energy_INPUT&amp;OUTPUT'!$D$4</definedName>
    <definedName name="Penstock_Velocity" localSheetId="37">'[6]Energy_INPUT&amp;OUTPUT'!$D$4</definedName>
    <definedName name="Penstock_Velocity" localSheetId="57">'[6]Energy_INPUT&amp;OUTPUT'!$D$4</definedName>
    <definedName name="Penstock_Velocity" localSheetId="23">'[6]Energy_INPUT&amp;OUTPUT'!$D$4</definedName>
    <definedName name="Penstock_Velocity" localSheetId="27">'[6]Energy_INPUT&amp;OUTPUT'!$D$4</definedName>
    <definedName name="Penstock_Velocity" localSheetId="17">'[6]Energy_INPUT&amp;OUTPUT'!$D$4</definedName>
    <definedName name="Penstock_Velocity" localSheetId="41">'[6]Energy_INPUT&amp;OUTPUT'!$D$4</definedName>
    <definedName name="Penstock_Velocity" localSheetId="39">'[6]Energy_INPUT&amp;OUTPUT'!$D$4</definedName>
    <definedName name="Penstock_Velocity" localSheetId="40">'[6]Energy_INPUT&amp;OUTPUT'!$D$4</definedName>
    <definedName name="Penstock_Velocity" localSheetId="36">'[6]Energy_INPUT&amp;OUTPUT'!$D$4</definedName>
    <definedName name="Penstock_Velocity" localSheetId="20">'[6]Energy_INPUT&amp;OUTPUT'!$D$4</definedName>
    <definedName name="Penstock_Velocity" localSheetId="21">'[6]Energy_INPUT&amp;OUTPUT'!$D$4</definedName>
    <definedName name="Penstock_Velocity" localSheetId="33">'[6]Energy_INPUT&amp;OUTPUT'!$D$4</definedName>
    <definedName name="Penstock_Velocity" localSheetId="18">'[6]Energy_INPUT&amp;OUTPUT'!$D$4</definedName>
    <definedName name="Penstock_Velocity" localSheetId="26">'[6]Energy_INPUT&amp;OUTPUT'!$D$4</definedName>
    <definedName name="Penstock_Velocity" localSheetId="13">'[6]Energy_INPUT&amp;OUTPUT'!$D$4</definedName>
    <definedName name="Penstock_Velocity" localSheetId="14">'[6]Energy_INPUT&amp;OUTPUT'!$D$4</definedName>
    <definedName name="Penstock_Velocity" localSheetId="19">'[6]Energy_INPUT&amp;OUTPUT'!$D$4</definedName>
    <definedName name="Penstock_Velocity" localSheetId="34">'[6]Energy_INPUT&amp;OUTPUT'!$D$4</definedName>
    <definedName name="Penstock_Velocity" localSheetId="69">'[6]Energy_INPUT&amp;OUTPUT'!$D$4</definedName>
    <definedName name="Penstock_Velocity" localSheetId="68">'[6]Energy_INPUT&amp;OUTPUT'!$D$4</definedName>
    <definedName name="Penstock_Velocity" localSheetId="38">'[6]Energy_INPUT&amp;OUTPUT'!$D$4</definedName>
    <definedName name="Penstock_Velocity" localSheetId="71">'[6]Energy_INPUT&amp;OUTPUT'!$D$4</definedName>
    <definedName name="Penstock_Velocity" localSheetId="65">'[6]Energy_INPUT&amp;OUTPUT'!$D$4</definedName>
    <definedName name="Penstock_Velocity" localSheetId="66">'[6]Energy_INPUT&amp;OUTPUT'!$D$4</definedName>
    <definedName name="Penstock_Velocity" localSheetId="67">'[6]Energy_INPUT&amp;OUTPUT'!$D$4</definedName>
    <definedName name="Penstock_Velocity" localSheetId="42">'[6]Energy_INPUT&amp;OUTPUT'!$D$4</definedName>
    <definedName name="Penstock_Velocity">'[7]Energy_INPUT&amp;OUTPUT'!$D$4</definedName>
    <definedName name="PenstockLength" localSheetId="35">'[6]Energy_INPUT&amp;OUTPUT'!$C$23</definedName>
    <definedName name="PenstockLength" localSheetId="37">'[6]Energy_INPUT&amp;OUTPUT'!$C$23</definedName>
    <definedName name="PenstockLength" localSheetId="57">'[6]Energy_INPUT&amp;OUTPUT'!$C$23</definedName>
    <definedName name="PenstockLength" localSheetId="23">'[6]Energy_INPUT&amp;OUTPUT'!$C$23</definedName>
    <definedName name="PenstockLength" localSheetId="27">'[6]Energy_INPUT&amp;OUTPUT'!$C$23</definedName>
    <definedName name="PenstockLength" localSheetId="17">'[6]Energy_INPUT&amp;OUTPUT'!$C$23</definedName>
    <definedName name="PenstockLength" localSheetId="41">'[6]Energy_INPUT&amp;OUTPUT'!$C$23</definedName>
    <definedName name="PenstockLength" localSheetId="39">'[6]Energy_INPUT&amp;OUTPUT'!$C$23</definedName>
    <definedName name="PenstockLength" localSheetId="40">'[6]Energy_INPUT&amp;OUTPUT'!$C$23</definedName>
    <definedName name="PenstockLength" localSheetId="36">'[6]Energy_INPUT&amp;OUTPUT'!$C$23</definedName>
    <definedName name="PenstockLength" localSheetId="20">'[6]Energy_INPUT&amp;OUTPUT'!$C$23</definedName>
    <definedName name="PenstockLength" localSheetId="21">'[6]Energy_INPUT&amp;OUTPUT'!$C$23</definedName>
    <definedName name="PenstockLength" localSheetId="33">'[6]Energy_INPUT&amp;OUTPUT'!$C$23</definedName>
    <definedName name="PenstockLength" localSheetId="18">'[6]Energy_INPUT&amp;OUTPUT'!$C$23</definedName>
    <definedName name="PenstockLength" localSheetId="26">'[6]Energy_INPUT&amp;OUTPUT'!$C$23</definedName>
    <definedName name="PenstockLength" localSheetId="13">'[6]Energy_INPUT&amp;OUTPUT'!$C$23</definedName>
    <definedName name="PenstockLength" localSheetId="14">'[6]Energy_INPUT&amp;OUTPUT'!$C$23</definedName>
    <definedName name="PenstockLength" localSheetId="19">'[6]Energy_INPUT&amp;OUTPUT'!$C$23</definedName>
    <definedName name="PenstockLength" localSheetId="34">'[6]Energy_INPUT&amp;OUTPUT'!$C$23</definedName>
    <definedName name="PenstockLength" localSheetId="69">'[6]Energy_INPUT&amp;OUTPUT'!$C$23</definedName>
    <definedName name="PenstockLength" localSheetId="68">'[6]Energy_INPUT&amp;OUTPUT'!$C$23</definedName>
    <definedName name="PenstockLength" localSheetId="38">'[6]Energy_INPUT&amp;OUTPUT'!$C$23</definedName>
    <definedName name="PenstockLength" localSheetId="71">'[6]Energy_INPUT&amp;OUTPUT'!$C$23</definedName>
    <definedName name="PenstockLength" localSheetId="65">'[6]Energy_INPUT&amp;OUTPUT'!$C$23</definedName>
    <definedName name="PenstockLength" localSheetId="66">'[6]Energy_INPUT&amp;OUTPUT'!$C$23</definedName>
    <definedName name="PenstockLength" localSheetId="67">'[6]Energy_INPUT&amp;OUTPUT'!$C$23</definedName>
    <definedName name="PenstockLength" localSheetId="42">'[6]Energy_INPUT&amp;OUTPUT'!$C$23</definedName>
    <definedName name="PenstockLength">'[7]Energy_INPUT&amp;OUTPUT'!$C$23</definedName>
    <definedName name="PercentofLinedTunnel" localSheetId="35">'[6]Energy_INPUT&amp;OUTPUT'!$C$27</definedName>
    <definedName name="PercentofLinedTunnel" localSheetId="37">'[6]Energy_INPUT&amp;OUTPUT'!$C$27</definedName>
    <definedName name="PercentofLinedTunnel" localSheetId="57">'[6]Energy_INPUT&amp;OUTPUT'!$C$27</definedName>
    <definedName name="PercentofLinedTunnel" localSheetId="23">'[6]Energy_INPUT&amp;OUTPUT'!$C$27</definedName>
    <definedName name="PercentofLinedTunnel" localSheetId="27">'[6]Energy_INPUT&amp;OUTPUT'!$C$27</definedName>
    <definedName name="PercentofLinedTunnel" localSheetId="17">'[6]Energy_INPUT&amp;OUTPUT'!$C$27</definedName>
    <definedName name="PercentofLinedTunnel" localSheetId="41">'[6]Energy_INPUT&amp;OUTPUT'!$C$27</definedName>
    <definedName name="PercentofLinedTunnel" localSheetId="39">'[6]Energy_INPUT&amp;OUTPUT'!$C$27</definedName>
    <definedName name="PercentofLinedTunnel" localSheetId="40">'[6]Energy_INPUT&amp;OUTPUT'!$C$27</definedName>
    <definedName name="PercentofLinedTunnel" localSheetId="36">'[6]Energy_INPUT&amp;OUTPUT'!$C$27</definedName>
    <definedName name="PercentofLinedTunnel" localSheetId="20">'[6]Energy_INPUT&amp;OUTPUT'!$C$27</definedName>
    <definedName name="PercentofLinedTunnel" localSheetId="21">'[6]Energy_INPUT&amp;OUTPUT'!$C$27</definedName>
    <definedName name="PercentofLinedTunnel" localSheetId="33">'[6]Energy_INPUT&amp;OUTPUT'!$C$27</definedName>
    <definedName name="PercentofLinedTunnel" localSheetId="18">'[6]Energy_INPUT&amp;OUTPUT'!$C$27</definedName>
    <definedName name="PercentofLinedTunnel" localSheetId="26">'[6]Energy_INPUT&amp;OUTPUT'!$C$27</definedName>
    <definedName name="PercentofLinedTunnel" localSheetId="13">'[6]Energy_INPUT&amp;OUTPUT'!$C$27</definedName>
    <definedName name="PercentofLinedTunnel" localSheetId="14">'[6]Energy_INPUT&amp;OUTPUT'!$C$27</definedName>
    <definedName name="PercentofLinedTunnel" localSheetId="19">'[6]Energy_INPUT&amp;OUTPUT'!$C$27</definedName>
    <definedName name="PercentofLinedTunnel" localSheetId="34">'[6]Energy_INPUT&amp;OUTPUT'!$C$27</definedName>
    <definedName name="PercentofLinedTunnel" localSheetId="69">'[6]Energy_INPUT&amp;OUTPUT'!$C$27</definedName>
    <definedName name="PercentofLinedTunnel" localSheetId="68">'[6]Energy_INPUT&amp;OUTPUT'!$C$27</definedName>
    <definedName name="PercentofLinedTunnel" localSheetId="38">'[6]Energy_INPUT&amp;OUTPUT'!$C$27</definedName>
    <definedName name="PercentofLinedTunnel" localSheetId="71">'[6]Energy_INPUT&amp;OUTPUT'!$C$27</definedName>
    <definedName name="PercentofLinedTunnel" localSheetId="65">'[6]Energy_INPUT&amp;OUTPUT'!$C$27</definedName>
    <definedName name="PercentofLinedTunnel" localSheetId="66">'[6]Energy_INPUT&amp;OUTPUT'!$C$27</definedName>
    <definedName name="PercentofLinedTunnel" localSheetId="67">'[6]Energy_INPUT&amp;OUTPUT'!$C$27</definedName>
    <definedName name="PercentofLinedTunnel" localSheetId="42">'[6]Energy_INPUT&amp;OUTPUT'!$C$27</definedName>
    <definedName name="PercentofLinedTunnel">'[7]Energy_INPUT&amp;OUTPUT'!$C$27</definedName>
    <definedName name="petrol" localSheetId="35">'[10]RATES INCLUDING TRANSPORATION'!$V$62</definedName>
    <definedName name="petrol" localSheetId="37">'[10]RATES INCLUDING TRANSPORATION'!$V$62</definedName>
    <definedName name="petrol" localSheetId="17">'[10]RATES INCLUDING TRANSPORATION'!$V$62</definedName>
    <definedName name="petrol" localSheetId="47">#REF!</definedName>
    <definedName name="petrol" localSheetId="41">'[10]RATES INCLUDING TRANSPORATION'!$V$62</definedName>
    <definedName name="petrol" localSheetId="39">'[10]RATES INCLUDING TRANSPORATION'!$V$62</definedName>
    <definedName name="petrol" localSheetId="40">'[10]RATES INCLUDING TRANSPORATION'!$V$62</definedName>
    <definedName name="petrol" localSheetId="36">'[10]RATES INCLUDING TRANSPORATION'!$V$62</definedName>
    <definedName name="petrol" localSheetId="20">'[10]RATES INCLUDING TRANSPORATION'!$V$62</definedName>
    <definedName name="petrol" localSheetId="21">'[10]RATES INCLUDING TRANSPORATION'!$V$62</definedName>
    <definedName name="petrol" localSheetId="33">'[10]RATES INCLUDING TRANSPORATION'!$V$62</definedName>
    <definedName name="petrol" localSheetId="18">'[10]RATES INCLUDING TRANSPORATION'!$V$62</definedName>
    <definedName name="petrol" localSheetId="19">'[10]RATES INCLUDING TRANSPORATION'!$V$62</definedName>
    <definedName name="petrol" localSheetId="34">'[10]RATES INCLUDING TRANSPORATION'!$V$62</definedName>
    <definedName name="petrol" localSheetId="69">'[10]RATES INCLUDING TRANSPORATION'!$V$62</definedName>
    <definedName name="petrol" localSheetId="68">'[10]RATES INCLUDING TRANSPORATION'!$V$62</definedName>
    <definedName name="petrol" localSheetId="38">'[10]RATES INCLUDING TRANSPORATION'!$V$62</definedName>
    <definedName name="petrol" localSheetId="65">'[10]RATES INCLUDING TRANSPORATION'!$V$62</definedName>
    <definedName name="petrol" localSheetId="66">'[10]RATES INCLUDING TRANSPORATION'!$V$62</definedName>
    <definedName name="petrol" localSheetId="67">'[10]RATES INCLUDING TRANSPORATION'!$V$62</definedName>
    <definedName name="petrol" localSheetId="42">'[10]RATES INCLUDING TRANSPORATION'!$V$62</definedName>
    <definedName name="phi" localSheetId="78">#REF!</definedName>
    <definedName name="phi" localSheetId="1">#REF!</definedName>
    <definedName name="phi" localSheetId="57">#REF!</definedName>
    <definedName name="phi" localSheetId="23">#REF!</definedName>
    <definedName name="phi" localSheetId="47">#REF!</definedName>
    <definedName name="phi" localSheetId="58">#REF!</definedName>
    <definedName name="phi" localSheetId="0">#REF!</definedName>
    <definedName name="phi" localSheetId="52">#REF!</definedName>
    <definedName name="phi" localSheetId="61">#REF!</definedName>
    <definedName name="Pi" localSheetId="27">'[11]settling basin 240'!$D$8</definedName>
    <definedName name="Pi" localSheetId="32">'[11]settling basin 240'!$D$8</definedName>
    <definedName name="Pi" localSheetId="29">'[11]settling basin 240'!$D$8</definedName>
    <definedName name="Pi" localSheetId="22">'[11]settling basin 240'!$D$8</definedName>
    <definedName name="Pi" localSheetId="28">'[11]settling basin 240'!$D$8</definedName>
    <definedName name="Pi">'[11]settling basin 240'!$D$8</definedName>
    <definedName name="planks" localSheetId="35">'[10]RATES INCLUDING TRANSPORATION'!$V$38</definedName>
    <definedName name="planks" localSheetId="37">'[10]RATES INCLUDING TRANSPORATION'!$V$38</definedName>
    <definedName name="planks" localSheetId="17">'[10]RATES INCLUDING TRANSPORATION'!$V$38</definedName>
    <definedName name="planks" localSheetId="47">#REF!</definedName>
    <definedName name="planks" localSheetId="41">'[10]RATES INCLUDING TRANSPORATION'!$V$38</definedName>
    <definedName name="planks" localSheetId="39">'[10]RATES INCLUDING TRANSPORATION'!$V$38</definedName>
    <definedName name="planks" localSheetId="40">'[10]RATES INCLUDING TRANSPORATION'!$V$38</definedName>
    <definedName name="planks" localSheetId="36">'[10]RATES INCLUDING TRANSPORATION'!$V$38</definedName>
    <definedName name="planks" localSheetId="20">'[10]RATES INCLUDING TRANSPORATION'!$V$38</definedName>
    <definedName name="planks" localSheetId="21">'[10]RATES INCLUDING TRANSPORATION'!$V$38</definedName>
    <definedName name="planks" localSheetId="33">'[10]RATES INCLUDING TRANSPORATION'!$V$38</definedName>
    <definedName name="planks" localSheetId="18">'[10]RATES INCLUDING TRANSPORATION'!$V$38</definedName>
    <definedName name="planks" localSheetId="19">'[10]RATES INCLUDING TRANSPORATION'!$V$38</definedName>
    <definedName name="planks" localSheetId="34">'[10]RATES INCLUDING TRANSPORATION'!$V$38</definedName>
    <definedName name="planks" localSheetId="69">'[10]RATES INCLUDING TRANSPORATION'!$V$38</definedName>
    <definedName name="planks" localSheetId="68">'[10]RATES INCLUDING TRANSPORATION'!$V$38</definedName>
    <definedName name="planks" localSheetId="38">'[10]RATES INCLUDING TRANSPORATION'!$V$38</definedName>
    <definedName name="planks" localSheetId="65">'[10]RATES INCLUDING TRANSPORATION'!$V$38</definedName>
    <definedName name="planks" localSheetId="66">'[10]RATES INCLUDING TRANSPORATION'!$V$38</definedName>
    <definedName name="planks" localSheetId="67">'[10]RATES INCLUDING TRANSPORATION'!$V$38</definedName>
    <definedName name="planks" localSheetId="42">'[10]RATES INCLUDING TRANSPORATION'!$V$38</definedName>
    <definedName name="plasticizers" localSheetId="35">'[8]RATES INCLUDING TRANSPORATION'!$V$43</definedName>
    <definedName name="plasticizers" localSheetId="37">'[8]RATES INCLUDING TRANSPORATION'!$V$43</definedName>
    <definedName name="plasticizers" localSheetId="57">'[8]RATES INCLUDING TRANSPORATION'!$V$43</definedName>
    <definedName name="plasticizers" localSheetId="23">'[8]RATES INCLUDING TRANSPORATION'!$V$43</definedName>
    <definedName name="plasticizers" localSheetId="27">'[8]RATES INCLUDING TRANSPORATION'!$V$43</definedName>
    <definedName name="plasticizers" localSheetId="17">'[8]RATES INCLUDING TRANSPORATION'!$V$43</definedName>
    <definedName name="plasticizers" localSheetId="41">'[8]RATES INCLUDING TRANSPORATION'!$V$43</definedName>
    <definedName name="plasticizers" localSheetId="39">'[8]RATES INCLUDING TRANSPORATION'!$V$43</definedName>
    <definedName name="plasticizers" localSheetId="40">'[8]RATES INCLUDING TRANSPORATION'!$V$43</definedName>
    <definedName name="plasticizers" localSheetId="36">'[8]RATES INCLUDING TRANSPORATION'!$V$43</definedName>
    <definedName name="plasticizers" localSheetId="20">'[8]RATES INCLUDING TRANSPORATION'!$V$43</definedName>
    <definedName name="plasticizers" localSheetId="21">'[8]RATES INCLUDING TRANSPORATION'!$V$43</definedName>
    <definedName name="plasticizers" localSheetId="33">'[8]RATES INCLUDING TRANSPORATION'!$V$43</definedName>
    <definedName name="plasticizers" localSheetId="18">'[8]RATES INCLUDING TRANSPORATION'!$V$43</definedName>
    <definedName name="plasticizers" localSheetId="26">'[8]RATES INCLUDING TRANSPORATION'!$V$43</definedName>
    <definedName name="plasticizers" localSheetId="13">'[8]RATES INCLUDING TRANSPORATION'!$V$43</definedName>
    <definedName name="plasticizers" localSheetId="14">'[8]RATES INCLUDING TRANSPORATION'!$V$43</definedName>
    <definedName name="plasticizers" localSheetId="19">'[8]RATES INCLUDING TRANSPORATION'!$V$43</definedName>
    <definedName name="plasticizers" localSheetId="34">'[8]RATES INCLUDING TRANSPORATION'!$V$43</definedName>
    <definedName name="plasticizers" localSheetId="69">'[8]RATES INCLUDING TRANSPORATION'!$V$43</definedName>
    <definedName name="plasticizers" localSheetId="68">'[8]RATES INCLUDING TRANSPORATION'!$V$43</definedName>
    <definedName name="plasticizers" localSheetId="51">#REF!</definedName>
    <definedName name="plasticizers" localSheetId="38">'[8]RATES INCLUDING TRANSPORATION'!$V$43</definedName>
    <definedName name="plasticizers" localSheetId="71">'[8]RATES INCLUDING TRANSPORATION'!$V$43</definedName>
    <definedName name="plasticizers" localSheetId="65">'[8]RATES INCLUDING TRANSPORATION'!$V$43</definedName>
    <definedName name="plasticizers" localSheetId="66">'[8]RATES INCLUDING TRANSPORATION'!$V$43</definedName>
    <definedName name="plasticizers" localSheetId="67">'[8]RATES INCLUDING TRANSPORATION'!$V$43</definedName>
    <definedName name="plasticizers" localSheetId="42">'[8]RATES INCLUDING TRANSPORATION'!$V$43</definedName>
    <definedName name="plasticizers">'[9]RATES INCLUDING TRANSPORATION'!$V$43</definedName>
    <definedName name="plywood" localSheetId="35">'[10]RATES INCLUDING TRANSPORATION'!$V$39</definedName>
    <definedName name="plywood" localSheetId="37">'[10]RATES INCLUDING TRANSPORATION'!$V$39</definedName>
    <definedName name="plywood" localSheetId="17">'[10]RATES INCLUDING TRANSPORATION'!$V$39</definedName>
    <definedName name="plywood" localSheetId="47">#REF!</definedName>
    <definedName name="plywood" localSheetId="41">'[10]RATES INCLUDING TRANSPORATION'!$V$39</definedName>
    <definedName name="plywood" localSheetId="39">'[10]RATES INCLUDING TRANSPORATION'!$V$39</definedName>
    <definedName name="plywood" localSheetId="40">'[10]RATES INCLUDING TRANSPORATION'!$V$39</definedName>
    <definedName name="plywood" localSheetId="36">'[10]RATES INCLUDING TRANSPORATION'!$V$39</definedName>
    <definedName name="plywood" localSheetId="20">'[10]RATES INCLUDING TRANSPORATION'!$V$39</definedName>
    <definedName name="plywood" localSheetId="21">'[10]RATES INCLUDING TRANSPORATION'!$V$39</definedName>
    <definedName name="plywood" localSheetId="33">'[10]RATES INCLUDING TRANSPORATION'!$V$39</definedName>
    <definedName name="plywood" localSheetId="18">'[10]RATES INCLUDING TRANSPORATION'!$V$39</definedName>
    <definedName name="plywood" localSheetId="19">'[10]RATES INCLUDING TRANSPORATION'!$V$39</definedName>
    <definedName name="plywood" localSheetId="34">'[10]RATES INCLUDING TRANSPORATION'!$V$39</definedName>
    <definedName name="plywood" localSheetId="69">'[10]RATES INCLUDING TRANSPORATION'!$V$39</definedName>
    <definedName name="plywood" localSheetId="68">'[10]RATES INCLUDING TRANSPORATION'!$V$39</definedName>
    <definedName name="plywood" localSheetId="38">'[10]RATES INCLUDING TRANSPORATION'!$V$39</definedName>
    <definedName name="plywood" localSheetId="65">'[10]RATES INCLUDING TRANSPORATION'!$V$39</definedName>
    <definedName name="plywood" localSheetId="66">'[10]RATES INCLUDING TRANSPORATION'!$V$39</definedName>
    <definedName name="plywood" localSheetId="67">'[10]RATES INCLUDING TRANSPORATION'!$V$39</definedName>
    <definedName name="plywood" localSheetId="42">'[10]RATES INCLUDING TRANSPORATION'!$V$39</definedName>
    <definedName name="power_winch" localSheetId="35">'[10]Basic Rates'!$D$171</definedName>
    <definedName name="power_winch" localSheetId="37">'[10]Basic Rates'!$D$171</definedName>
    <definedName name="power_winch" localSheetId="17">'[10]Basic Rates'!$D$171</definedName>
    <definedName name="power_winch" localSheetId="47">#REF!</definedName>
    <definedName name="power_winch" localSheetId="41">'[10]Basic Rates'!$D$171</definedName>
    <definedName name="power_winch" localSheetId="39">'[10]Basic Rates'!$D$171</definedName>
    <definedName name="power_winch" localSheetId="40">'[10]Basic Rates'!$D$171</definedName>
    <definedName name="power_winch" localSheetId="36">'[10]Basic Rates'!$D$171</definedName>
    <definedName name="power_winch" localSheetId="20">'[10]Basic Rates'!$D$171</definedName>
    <definedName name="power_winch" localSheetId="21">'[10]Basic Rates'!$D$171</definedName>
    <definedName name="power_winch" localSheetId="33">'[10]Basic Rates'!$D$171</definedName>
    <definedName name="power_winch" localSheetId="18">'[10]Basic Rates'!$D$171</definedName>
    <definedName name="power_winch" localSheetId="19">'[10]Basic Rates'!$D$171</definedName>
    <definedName name="power_winch" localSheetId="34">'[10]Basic Rates'!$D$171</definedName>
    <definedName name="power_winch" localSheetId="69">'[10]Basic Rates'!$D$171</definedName>
    <definedName name="power_winch" localSheetId="68">'[10]Basic Rates'!$D$171</definedName>
    <definedName name="power_winch" localSheetId="38">'[10]Basic Rates'!$D$171</definedName>
    <definedName name="power_winch" localSheetId="65">'[10]Basic Rates'!$D$171</definedName>
    <definedName name="power_winch" localSheetId="66">'[10]Basic Rates'!$D$171</definedName>
    <definedName name="power_winch" localSheetId="67">'[10]Basic Rates'!$D$171</definedName>
    <definedName name="power_winch" localSheetId="42">'[10]Basic Rates'!$D$171</definedName>
    <definedName name="PressureTunnel" localSheetId="35">'[6]Energy_INPUT&amp;OUTPUT'!$C$21</definedName>
    <definedName name="PressureTunnel" localSheetId="37">'[6]Energy_INPUT&amp;OUTPUT'!$C$21</definedName>
    <definedName name="PressureTunnel" localSheetId="57">'[6]Energy_INPUT&amp;OUTPUT'!$C$21</definedName>
    <definedName name="PressureTunnel" localSheetId="23">'[6]Energy_INPUT&amp;OUTPUT'!$C$21</definedName>
    <definedName name="PressureTunnel" localSheetId="27">'[6]Energy_INPUT&amp;OUTPUT'!$C$21</definedName>
    <definedName name="PressureTunnel" localSheetId="17">'[6]Energy_INPUT&amp;OUTPUT'!$C$21</definedName>
    <definedName name="PressureTunnel" localSheetId="41">'[6]Energy_INPUT&amp;OUTPUT'!$C$21</definedName>
    <definedName name="PressureTunnel" localSheetId="39">'[6]Energy_INPUT&amp;OUTPUT'!$C$21</definedName>
    <definedName name="PressureTunnel" localSheetId="40">'[6]Energy_INPUT&amp;OUTPUT'!$C$21</definedName>
    <definedName name="PressureTunnel" localSheetId="36">'[6]Energy_INPUT&amp;OUTPUT'!$C$21</definedName>
    <definedName name="PressureTunnel" localSheetId="20">'[6]Energy_INPUT&amp;OUTPUT'!$C$21</definedName>
    <definedName name="PressureTunnel" localSheetId="21">'[6]Energy_INPUT&amp;OUTPUT'!$C$21</definedName>
    <definedName name="PressureTunnel" localSheetId="33">'[6]Energy_INPUT&amp;OUTPUT'!$C$21</definedName>
    <definedName name="PressureTunnel" localSheetId="18">'[6]Energy_INPUT&amp;OUTPUT'!$C$21</definedName>
    <definedName name="PressureTunnel" localSheetId="26">'[6]Energy_INPUT&amp;OUTPUT'!$C$21</definedName>
    <definedName name="PressureTunnel" localSheetId="13">'[6]Energy_INPUT&amp;OUTPUT'!$C$21</definedName>
    <definedName name="PressureTunnel" localSheetId="14">'[6]Energy_INPUT&amp;OUTPUT'!$C$21</definedName>
    <definedName name="PressureTunnel" localSheetId="19">'[6]Energy_INPUT&amp;OUTPUT'!$C$21</definedName>
    <definedName name="PressureTunnel" localSheetId="34">'[6]Energy_INPUT&amp;OUTPUT'!$C$21</definedName>
    <definedName name="PressureTunnel" localSheetId="69">'[6]Energy_INPUT&amp;OUTPUT'!$C$21</definedName>
    <definedName name="PressureTunnel" localSheetId="68">'[6]Energy_INPUT&amp;OUTPUT'!$C$21</definedName>
    <definedName name="PressureTunnel" localSheetId="38">'[6]Energy_INPUT&amp;OUTPUT'!$C$21</definedName>
    <definedName name="PressureTunnel" localSheetId="71">'[6]Energy_INPUT&amp;OUTPUT'!$C$21</definedName>
    <definedName name="PressureTunnel" localSheetId="65">'[6]Energy_INPUT&amp;OUTPUT'!$C$21</definedName>
    <definedName name="PressureTunnel" localSheetId="66">'[6]Energy_INPUT&amp;OUTPUT'!$C$21</definedName>
    <definedName name="PressureTunnel" localSheetId="67">'[6]Energy_INPUT&amp;OUTPUT'!$C$21</definedName>
    <definedName name="PressureTunnel" localSheetId="42">'[6]Energy_INPUT&amp;OUTPUT'!$C$21</definedName>
    <definedName name="PressureTunnel">'[7]Energy_INPUT&amp;OUTPUT'!$C$21</definedName>
    <definedName name="primer" localSheetId="35">'[10]RATES INCLUDING TRANSPORATION'!$V$69</definedName>
    <definedName name="primer" localSheetId="37">'[10]RATES INCLUDING TRANSPORATION'!$V$69</definedName>
    <definedName name="primer" localSheetId="17">'[10]RATES INCLUDING TRANSPORATION'!$V$69</definedName>
    <definedName name="primer" localSheetId="47">#REF!</definedName>
    <definedName name="primer" localSheetId="41">'[10]RATES INCLUDING TRANSPORATION'!$V$69</definedName>
    <definedName name="primer" localSheetId="39">'[10]RATES INCLUDING TRANSPORATION'!$V$69</definedName>
    <definedName name="primer" localSheetId="40">'[10]RATES INCLUDING TRANSPORATION'!$V$69</definedName>
    <definedName name="primer" localSheetId="36">'[10]RATES INCLUDING TRANSPORATION'!$V$69</definedName>
    <definedName name="primer" localSheetId="20">'[10]RATES INCLUDING TRANSPORATION'!$V$69</definedName>
    <definedName name="primer" localSheetId="21">'[10]RATES INCLUDING TRANSPORATION'!$V$69</definedName>
    <definedName name="primer" localSheetId="33">'[10]RATES INCLUDING TRANSPORATION'!$V$69</definedName>
    <definedName name="primer" localSheetId="18">'[10]RATES INCLUDING TRANSPORATION'!$V$69</definedName>
    <definedName name="primer" localSheetId="19">'[10]RATES INCLUDING TRANSPORATION'!$V$69</definedName>
    <definedName name="primer" localSheetId="34">'[10]RATES INCLUDING TRANSPORATION'!$V$69</definedName>
    <definedName name="primer" localSheetId="69">'[10]RATES INCLUDING TRANSPORATION'!$V$69</definedName>
    <definedName name="primer" localSheetId="68">'[10]RATES INCLUDING TRANSPORATION'!$V$69</definedName>
    <definedName name="primer" localSheetId="38">'[10]RATES INCLUDING TRANSPORATION'!$V$69</definedName>
    <definedName name="primer" localSheetId="65">'[10]RATES INCLUDING TRANSPORATION'!$V$69</definedName>
    <definedName name="primer" localSheetId="66">'[10]RATES INCLUDING TRANSPORATION'!$V$69</definedName>
    <definedName name="primer" localSheetId="67">'[10]RATES INCLUDING TRANSPORATION'!$V$69</definedName>
    <definedName name="primer" localSheetId="42">'[10]RATES INCLUDING TRANSPORATION'!$V$69</definedName>
    <definedName name="_xlnm.Print_Area" localSheetId="4">'1.BoQ Summary_  for Tender'!$B$2:$E$63</definedName>
    <definedName name="_xlnm.Print_Area" localSheetId="74">'12. Powerhouse &amp; Control Buildi'!$A$1:$K$245</definedName>
    <definedName name="_xlnm.Print_Area" localSheetId="78">#REF!</definedName>
    <definedName name="_xlnm.Print_Area" localSheetId="7">'2.BOQ with cost'!$A$8:$H$854</definedName>
    <definedName name="_xlnm.Print_Area" localSheetId="8">'2.BOQ_ for Tender'!$A$8:$H$841</definedName>
    <definedName name="_xlnm.Print_Area" localSheetId="1">#REF!</definedName>
    <definedName name="_xlnm.Print_Area" localSheetId="24">'Access Road'!$A$9:$M$33</definedName>
    <definedName name="_xlnm.Print_Area" localSheetId="35">'Adit Tunnel'!$A$9:$J$35</definedName>
    <definedName name="_xlnm.Print_Area" localSheetId="37">'Aeration tunnel (Alt.)'!$A$10:$J$43</definedName>
    <definedName name="_xlnm.Print_Area" localSheetId="56">'Approach Canal(opt. 2)'!$A$10:$K$100</definedName>
    <definedName name="_xlnm.Print_Area" localSheetId="57">'Audit tunnel Portal'!$A$1:$K$29</definedName>
    <definedName name="_xlnm.Print_Area" localSheetId="5">'BOQ description _Final'!$A$1:$H$829</definedName>
    <definedName name="_xlnm.Print_Area" localSheetId="10">'BoQ Summary_with cost '!$B$2:$E$58</definedName>
    <definedName name="_xlnm.Print_Area" localSheetId="23">'BoQ_formated for tender_2'!$A$1:$I$374</definedName>
    <definedName name="_xlnm.Print_Area" localSheetId="27">'Boulder Weir (Kunban Updated)'!$A$10:$K$90</definedName>
    <definedName name="_xlnm.Print_Area" localSheetId="48">'Connecting Canal'!$A$9:$K$75</definedName>
    <definedName name="_xlnm.Print_Area" localSheetId="17">'Connecting Tunnel'!$A$15:$L$42</definedName>
    <definedName name="_xlnm.Print_Area" localSheetId="53">'cost per unit length'!$A$1:$F$28</definedName>
    <definedName name="_xlnm.Print_Area" localSheetId="47">'Culvert (Connecting Tunnel Alt)'!$A$9:$M$48</definedName>
    <definedName name="_xlnm.Print_Area" localSheetId="50">'Daywork Schedule'!$B$1:$G$93</definedName>
    <definedName name="_xlnm.Print_Area" localSheetId="41">'DS 3'!$A$10:$K$32</definedName>
    <definedName name="_xlnm.Print_Area" localSheetId="39">'DS1'!$A$10:$K$32</definedName>
    <definedName name="_xlnm.Print_Area" localSheetId="40">'DS2'!$A$10:$K$32</definedName>
    <definedName name="_xlnm.Print_Area" localSheetId="6">'General Items'!$B$2:$J$32</definedName>
    <definedName name="_xlnm.Print_Area" localSheetId="32">'Headrace Pipe '!$A$10:$K$75</definedName>
    <definedName name="_xlnm.Print_Area" localSheetId="31">'HM_Pipe Cost'!$A$9:$H$10</definedName>
    <definedName name="_xlnm.Print_Area" localSheetId="43">'Horizontal Shaft Tunnel-I'!$A$10:$I$30</definedName>
    <definedName name="_xlnm.Print_Area" localSheetId="44">'Horizontal Shaft Tunnel-II'!$A$10:$I$30</definedName>
    <definedName name="_xlnm.Print_Area" localSheetId="45">'Horizontal Shaft Tunnel-III'!$A$10:$I$30</definedName>
    <definedName name="_xlnm.Print_Area" localSheetId="46">'Horizontal Shaft Tunnel-IV'!$A$10:$I$30</definedName>
    <definedName name="_xlnm.Print_Area" localSheetId="36">'HRT  (Alt.)'!$A$12:$J$50</definedName>
    <definedName name="_xlnm.Print_Area" localSheetId="20">'HRT Adit Portal 1'!$A$10:$K$32</definedName>
    <definedName name="_xlnm.Print_Area" localSheetId="21">'HRT Adit Portal 2'!$A$10:$K$32</definedName>
    <definedName name="_xlnm.Print_Area" localSheetId="33">'Inlet Portal'!$A$10:$K$34</definedName>
    <definedName name="_xlnm.Print_Area" localSheetId="18">'Inlet Portal Connecting Tunnel'!$A$10:$M$36</definedName>
    <definedName name="_xlnm.Print_Area" localSheetId="29">'Intake, Gravel Trap and C.  (Up'!$A$10:$K$72</definedName>
    <definedName name="_xlnm.Print_Area" localSheetId="26">'K.Headworks river protection'!$A$10:$K$41</definedName>
    <definedName name="_xlnm.Print_Area" localSheetId="25">'Kunaban Diversion'!$A$9:$J$60</definedName>
    <definedName name="_xlnm.Print_Area" localSheetId="13">'M. Headworks river protection'!$A$10:$K$32</definedName>
    <definedName name="_xlnm.Print_Area" localSheetId="16">'M. Intake Gtrap'!$A$10:$K$107</definedName>
    <definedName name="_xlnm.Print_Area" localSheetId="15">'M. Undersluice trashpassage'!$A$10:$K$87</definedName>
    <definedName name="_xlnm.Print_Area" localSheetId="14">'M. Weir &amp; Stillingbasin'!$A$10:$K$88</definedName>
    <definedName name="_xlnm.Print_Area" localSheetId="12">'Myagdi Diversion'!$A$9:$J$53</definedName>
    <definedName name="_xlnm.Print_Area" localSheetId="19">'Outlet Portal Connecting Tunnel'!$A$10:$M$37</definedName>
    <definedName name="_xlnm.Print_Area" localSheetId="34">'Outlet Portal Final'!$A$10:$K$31</definedName>
    <definedName name="_xlnm.Print_Area" localSheetId="58">#REF!</definedName>
    <definedName name="_xlnm.Print_Area" localSheetId="70">Powerhouse!$A$10:$K$57</definedName>
    <definedName name="_xlnm.Print_Area" localSheetId="69">'Powerhouse Adit Tunnel'!$A$9:$J$36</definedName>
    <definedName name="_xlnm.Print_Area" localSheetId="68">'Powrhouse Adit Portal'!$A$10:$K$32</definedName>
    <definedName name="_xlnm.Print_Area" localSheetId="55">'Project Cost NRS'!$A$1:$H$87</definedName>
    <definedName name="_xlnm.Print_Area" localSheetId="49">'Provisional Sum'!$B$2:$I$11</definedName>
    <definedName name="_xlnm.Print_Area" localSheetId="0">#REF!</definedName>
    <definedName name="_xlnm.Print_Area" localSheetId="52">Rate_Surface!$A$1:$L$92</definedName>
    <definedName name="_xlnm.Print_Area" localSheetId="73">'Rivertraining at Powerhouse'!$A$10:$K$51</definedName>
    <definedName name="_xlnm.Print_Area" localSheetId="30">'S.basin,HP&amp;Spillway'!$A$10:$K$126</definedName>
    <definedName name="_xlnm.Print_Area" localSheetId="61">#REF!</definedName>
    <definedName name="_xlnm.Print_Area" localSheetId="38">'Surge '!$A$10:$J$43</definedName>
    <definedName name="_xlnm.Print_Area" localSheetId="71">'Switchyard '!$A$10:$K$110</definedName>
    <definedName name="_xlnm.Print_Area" localSheetId="22">'Syphon and Culvert'!$A$10:$K$47</definedName>
    <definedName name="_xlnm.Print_Area" localSheetId="72">'Tailrace Culvert'!$A$10:$M$42</definedName>
    <definedName name="_xlnm.Print_Area" localSheetId="28">'Undersluice, T.passage,Fish (Up'!$A$10:$K$85</definedName>
    <definedName name="_xlnm.Print_Area" localSheetId="65">'Valve House'!$A$10:$I$37</definedName>
    <definedName name="_xlnm.Print_Area" localSheetId="66">'Valve House Access Portal'!$A$10:$K$32</definedName>
    <definedName name="_xlnm.Print_Area" localSheetId="67">'Valve house Access Tunnel'!$A$11:$J$35</definedName>
    <definedName name="_xlnm.Print_Area" localSheetId="42">'Vertical Shaft'!$A$10:$K$24</definedName>
    <definedName name="PRINT_AREA_MI" localSheetId="78">#REF!</definedName>
    <definedName name="PRINT_AREA_MI" localSheetId="1">#REF!</definedName>
    <definedName name="PRINT_AREA_MI" localSheetId="57">#REF!</definedName>
    <definedName name="PRINT_AREA_MI" localSheetId="23">#REF!</definedName>
    <definedName name="PRINT_AREA_MI" localSheetId="47">#REF!</definedName>
    <definedName name="PRINT_AREA_MI" localSheetId="58">#REF!</definedName>
    <definedName name="PRINT_AREA_MI" localSheetId="0">#REF!</definedName>
    <definedName name="PRINT_AREA_MI" localSheetId="52">#REF!</definedName>
    <definedName name="PRINT_AREA_MI" localSheetId="61">#REF!</definedName>
    <definedName name="_xlnm.Print_Titles" localSheetId="7">'2.BOQ with cost'!$8:$9</definedName>
    <definedName name="_xlnm.Print_Titles" localSheetId="8">'2.BOQ_ for Tender'!$8:$9</definedName>
    <definedName name="_xlnm.Print_Titles" localSheetId="9">'3.Dayworks schedule for Tender'!$4:$5</definedName>
    <definedName name="_xlnm.Print_Titles" localSheetId="24">'Access Road'!$1:$7</definedName>
    <definedName name="_xlnm.Print_Titles" localSheetId="35">'Adit Tunnel'!$1:$7</definedName>
    <definedName name="_xlnm.Print_Titles" localSheetId="37">'Aeration tunnel (Alt.)'!$1:$7</definedName>
    <definedName name="_xlnm.Print_Titles" localSheetId="56">'Approach Canal(opt. 2)'!$1:$7</definedName>
    <definedName name="_xlnm.Print_Titles" localSheetId="5">'BOQ description _Final'!$8:$9</definedName>
    <definedName name="_xlnm.Print_Titles" localSheetId="23">'BoQ_formated for tender_2'!$1:$4</definedName>
    <definedName name="_xlnm.Print_Titles" localSheetId="27">'Boulder Weir (Kunban Updated)'!$1:$7</definedName>
    <definedName name="_xlnm.Print_Titles" localSheetId="48">'Connecting Canal'!$1:$7</definedName>
    <definedName name="_xlnm.Print_Titles" localSheetId="17">'Connecting Tunnel'!$1:$7</definedName>
    <definedName name="_xlnm.Print_Titles" localSheetId="47">'Culvert (Connecting Tunnel Alt)'!$1:$7</definedName>
    <definedName name="_xlnm.Print_Titles" localSheetId="50">'Daywork Schedule'!$2:$3</definedName>
    <definedName name="_xlnm.Print_Titles" localSheetId="41">'DS 3'!$1:$7</definedName>
    <definedName name="_xlnm.Print_Titles" localSheetId="39">'DS1'!$1:$7</definedName>
    <definedName name="_xlnm.Print_Titles" localSheetId="40">'DS2'!$1:$7</definedName>
    <definedName name="_xlnm.Print_Titles" localSheetId="6">'General Items'!$4:$7</definedName>
    <definedName name="_xlnm.Print_Titles" localSheetId="32">'Headrace Pipe '!$1:$7</definedName>
    <definedName name="_xlnm.Print_Titles" localSheetId="31">'HM_Pipe Cost'!$1:$7</definedName>
    <definedName name="_xlnm.Print_Titles" localSheetId="43">'Horizontal Shaft Tunnel-I'!$1:$7</definedName>
    <definedName name="_xlnm.Print_Titles" localSheetId="44">'Horizontal Shaft Tunnel-II'!$1:$7</definedName>
    <definedName name="_xlnm.Print_Titles" localSheetId="45">'Horizontal Shaft Tunnel-III'!$1:$7</definedName>
    <definedName name="_xlnm.Print_Titles" localSheetId="46">'Horizontal Shaft Tunnel-IV'!$1:$7</definedName>
    <definedName name="_xlnm.Print_Titles" localSheetId="36">'HRT  (Alt.)'!$1:$7</definedName>
    <definedName name="_xlnm.Print_Titles" localSheetId="20">'HRT Adit Portal 1'!$1:$7</definedName>
    <definedName name="_xlnm.Print_Titles" localSheetId="21">'HRT Adit Portal 2'!$1:$7</definedName>
    <definedName name="_xlnm.Print_Titles" localSheetId="33">'Inlet Portal'!$1:$7</definedName>
    <definedName name="_xlnm.Print_Titles" localSheetId="18">'Inlet Portal Connecting Tunnel'!$1:$7</definedName>
    <definedName name="_xlnm.Print_Titles" localSheetId="29">'Intake, Gravel Trap and C.  (Up'!$1:$7</definedName>
    <definedName name="_xlnm.Print_Titles" localSheetId="26">'K.Headworks river protection'!$1:$7</definedName>
    <definedName name="_xlnm.Print_Titles" localSheetId="25">'Kunaban Diversion'!$1:$7</definedName>
    <definedName name="_xlnm.Print_Titles" localSheetId="13">'M. Headworks river protection'!$1:$7</definedName>
    <definedName name="_xlnm.Print_Titles" localSheetId="16">'M. Intake Gtrap'!$1:$7</definedName>
    <definedName name="_xlnm.Print_Titles" localSheetId="15">'M. Undersluice trashpassage'!$1:$7</definedName>
    <definedName name="_xlnm.Print_Titles" localSheetId="14">'M. Weir &amp; Stillingbasin'!$1:$7</definedName>
    <definedName name="_xlnm.Print_Titles" localSheetId="12">'Myagdi Diversion'!$1:$7</definedName>
    <definedName name="_xlnm.Print_Titles" localSheetId="19">'Outlet Portal Connecting Tunnel'!$1:$7</definedName>
    <definedName name="_xlnm.Print_Titles" localSheetId="34">'Outlet Portal Final'!$1:$7</definedName>
    <definedName name="_xlnm.Print_Titles" localSheetId="70">Powerhouse!$1:$7</definedName>
    <definedName name="_xlnm.Print_Titles" localSheetId="69">'Powerhouse Adit Tunnel'!$1:$7</definedName>
    <definedName name="_xlnm.Print_Titles" localSheetId="68">'Powrhouse Adit Portal'!$1:$7</definedName>
    <definedName name="_xlnm.Print_Titles" localSheetId="52">Rate_Surface!$8:$9</definedName>
    <definedName name="_xlnm.Print_Titles" localSheetId="73">'Rivertraining at Powerhouse'!$1:$7</definedName>
    <definedName name="_xlnm.Print_Titles" localSheetId="30">'S.basin,HP&amp;Spillway'!$1:$7</definedName>
    <definedName name="_xlnm.Print_Titles" localSheetId="51">Summary!$2:$4</definedName>
    <definedName name="_xlnm.Print_Titles" localSheetId="38">'Surge '!$1:$7</definedName>
    <definedName name="_xlnm.Print_Titles" localSheetId="71">'Switchyard '!$1:$7</definedName>
    <definedName name="_xlnm.Print_Titles" localSheetId="22">'Syphon and Culvert'!$1:$7</definedName>
    <definedName name="_xlnm.Print_Titles" localSheetId="72">'Tailrace Culvert'!$1:$7</definedName>
    <definedName name="_xlnm.Print_Titles" localSheetId="28">'Undersluice, T.passage,Fish (Up'!$1:$7</definedName>
    <definedName name="_xlnm.Print_Titles" localSheetId="65">'Valve House'!$1:$7</definedName>
    <definedName name="_xlnm.Print_Titles" localSheetId="66">'Valve House Access Portal'!$1:$7</definedName>
    <definedName name="_xlnm.Print_Titles" localSheetId="67">'Valve house Access Tunnel'!$1:$7</definedName>
    <definedName name="_xlnm.Print_Titles" localSheetId="42">'Vertical Shaft'!$1:$7</definedName>
    <definedName name="prj">"BHOTEKOSHI -5 HYDROELECTRIC PROJECT"</definedName>
    <definedName name="Project_Life" localSheetId="78">[18]Summary!#REF!</definedName>
    <definedName name="Project_Life" localSheetId="1">[18]Summary!#REF!</definedName>
    <definedName name="Project_Life" localSheetId="57">[18]Summary!#REF!</definedName>
    <definedName name="Project_Life" localSheetId="23">[18]Summary!#REF!</definedName>
    <definedName name="Project_Life" localSheetId="47">[18]Summary!#REF!</definedName>
    <definedName name="Project_Life" localSheetId="58">[18]Summary!#REF!</definedName>
    <definedName name="Project_Life" localSheetId="0">[18]Summary!#REF!</definedName>
    <definedName name="Project_Life" localSheetId="52">[18]Summary!#REF!</definedName>
    <definedName name="Project_Life" localSheetId="61">[18]Summary!#REF!</definedName>
    <definedName name="pw" localSheetId="47">#REF!</definedName>
    <definedName name="Q" localSheetId="35">'[4]Headloss calculation'!$D$10</definedName>
    <definedName name="Q" localSheetId="37">'[4]Headloss calculation'!$D$10</definedName>
    <definedName name="Q" localSheetId="57">'[4]Headloss calculation'!$D$10</definedName>
    <definedName name="Q" localSheetId="23">'[4]Headloss calculation'!$D$10</definedName>
    <definedName name="Q" localSheetId="27">'[4]Headloss calculation'!$D$10</definedName>
    <definedName name="Q" localSheetId="17">'[4]Headloss calculation'!$D$10</definedName>
    <definedName name="Q" localSheetId="41">'[4]Headloss calculation'!$D$10</definedName>
    <definedName name="Q" localSheetId="39">'[4]Headloss calculation'!$D$10</definedName>
    <definedName name="Q" localSheetId="40">'[4]Headloss calculation'!$D$10</definedName>
    <definedName name="Q" localSheetId="36">'[4]Headloss calculation'!$D$10</definedName>
    <definedName name="Q" localSheetId="20">'[4]Headloss calculation'!$D$10</definedName>
    <definedName name="Q" localSheetId="21">'[4]Headloss calculation'!$D$10</definedName>
    <definedName name="Q" localSheetId="33">'[4]Headloss calculation'!$D$10</definedName>
    <definedName name="Q" localSheetId="18">'[4]Headloss calculation'!$D$10</definedName>
    <definedName name="Q" localSheetId="26">'[4]Headloss calculation'!$D$10</definedName>
    <definedName name="Q" localSheetId="13">'[4]Headloss calculation'!$D$10</definedName>
    <definedName name="Q" localSheetId="14">'[4]Headloss calculation'!$D$10</definedName>
    <definedName name="Q" localSheetId="19">'[4]Headloss calculation'!$D$10</definedName>
    <definedName name="Q" localSheetId="34">'[4]Headloss calculation'!$D$10</definedName>
    <definedName name="Q" localSheetId="69">'[4]Headloss calculation'!$D$10</definedName>
    <definedName name="Q" localSheetId="68">'[4]Headloss calculation'!$D$10</definedName>
    <definedName name="Q" localSheetId="38">'[4]Headloss calculation'!$D$10</definedName>
    <definedName name="Q" localSheetId="71">'[4]Headloss calculation'!$D$10</definedName>
    <definedName name="Q" localSheetId="65">'[4]Headloss calculation'!$D$10</definedName>
    <definedName name="Q" localSheetId="66">'[4]Headloss calculation'!$D$10</definedName>
    <definedName name="Q" localSheetId="67">'[4]Headloss calculation'!$D$10</definedName>
    <definedName name="Q" localSheetId="42">'[4]Headloss calculation'!$D$10</definedName>
    <definedName name="Q">'[5]Headloss calculation'!$D$10</definedName>
    <definedName name="Q_100" localSheetId="78">'[24]Side Intake and Orifice'!#REF!</definedName>
    <definedName name="Q_100" localSheetId="1">'[24]Side Intake and Orifice'!#REF!</definedName>
    <definedName name="Q_100" localSheetId="57">'[25]Side Intake and Orifice'!#REF!</definedName>
    <definedName name="Q_100" localSheetId="23">'[25]Side Intake and Orifice'!#REF!</definedName>
    <definedName name="Q_100" localSheetId="47">'[24]Side Intake and Orifice'!#REF!</definedName>
    <definedName name="Q_100" localSheetId="58">'[24]Side Intake and Orifice'!#REF!</definedName>
    <definedName name="Q_100" localSheetId="0">'[24]Side Intake and Orifice'!#REF!</definedName>
    <definedName name="Q_100" localSheetId="52">'[24]Side Intake and Orifice'!#REF!</definedName>
    <definedName name="Q_100" localSheetId="61">'[24]Side Intake and Orifice'!#REF!</definedName>
    <definedName name="Q_20" localSheetId="78">'[24]Side Intake and Orifice'!#REF!</definedName>
    <definedName name="Q_20" localSheetId="1">'[24]Side Intake and Orifice'!#REF!</definedName>
    <definedName name="Q_20" localSheetId="57">'[25]Side Intake and Orifice'!#REF!</definedName>
    <definedName name="Q_20" localSheetId="23">'[25]Side Intake and Orifice'!#REF!</definedName>
    <definedName name="Q_20" localSheetId="47">'[24]Side Intake and Orifice'!#REF!</definedName>
    <definedName name="Q_20" localSheetId="58">'[24]Side Intake and Orifice'!#REF!</definedName>
    <definedName name="Q_20" localSheetId="0">'[24]Side Intake and Orifice'!#REF!</definedName>
    <definedName name="Q_20" localSheetId="52">'[24]Side Intake and Orifice'!#REF!</definedName>
    <definedName name="Q_20" localSheetId="61">'[24]Side Intake and Orifice'!#REF!</definedName>
    <definedName name="Q_des" localSheetId="35">'[31]fixing of water way crest '!$D$351</definedName>
    <definedName name="Q_des" localSheetId="37">'[31]fixing of water way crest '!$D$351</definedName>
    <definedName name="Q_des" localSheetId="17">'[31]fixing of water way crest '!$D$351</definedName>
    <definedName name="Q_des" localSheetId="41">'[31]fixing of water way crest '!$D$351</definedName>
    <definedName name="Q_des" localSheetId="39">'[31]fixing of water way crest '!$D$351</definedName>
    <definedName name="Q_des" localSheetId="40">'[31]fixing of water way crest '!$D$351</definedName>
    <definedName name="Q_des" localSheetId="36">'[31]fixing of water way crest '!$D$351</definedName>
    <definedName name="Q_des" localSheetId="20">'[31]fixing of water way crest '!$D$351</definedName>
    <definedName name="Q_des" localSheetId="21">'[31]fixing of water way crest '!$D$351</definedName>
    <definedName name="Q_des" localSheetId="33">'[31]fixing of water way crest '!$D$351</definedName>
    <definedName name="Q_des" localSheetId="18">'[31]fixing of water way crest '!$D$351</definedName>
    <definedName name="Q_des" localSheetId="19">'[31]fixing of water way crest '!$D$351</definedName>
    <definedName name="Q_des" localSheetId="34">'[31]fixing of water way crest '!$D$351</definedName>
    <definedName name="Q_des" localSheetId="69">'[31]fixing of water way crest '!$D$351</definedName>
    <definedName name="Q_des" localSheetId="68">'[31]fixing of water way crest '!$D$351</definedName>
    <definedName name="Q_des" localSheetId="38">'[31]fixing of water way crest '!$D$351</definedName>
    <definedName name="Q_des" localSheetId="71">'[31]fixing of water way crest '!$D$351</definedName>
    <definedName name="Q_des" localSheetId="65">'[31]fixing of water way crest '!$D$351</definedName>
    <definedName name="Q_des" localSheetId="66">'[31]fixing of water way crest '!$D$351</definedName>
    <definedName name="Q_des" localSheetId="67">'[31]fixing of water way crest '!$D$351</definedName>
    <definedName name="Q_des" localSheetId="42">'[31]fixing of water way crest '!$D$351</definedName>
    <definedName name="Q_des">'[31]fixing of water way crest '!$D$351</definedName>
    <definedName name="Q_idf" localSheetId="35">'[31]fixing of water way crest '!$D$1</definedName>
    <definedName name="Q_idf" localSheetId="37">'[31]fixing of water way crest '!$D$1</definedName>
    <definedName name="Q_idf" localSheetId="17">'[31]fixing of water way crest '!$D$1</definedName>
    <definedName name="Q_idf" localSheetId="41">'[31]fixing of water way crest '!$D$1</definedName>
    <definedName name="Q_idf" localSheetId="39">'[31]fixing of water way crest '!$D$1</definedName>
    <definedName name="Q_idf" localSheetId="40">'[31]fixing of water way crest '!$D$1</definedName>
    <definedName name="Q_idf" localSheetId="36">'[31]fixing of water way crest '!$D$1</definedName>
    <definedName name="Q_idf" localSheetId="20">'[31]fixing of water way crest '!$D$1</definedName>
    <definedName name="Q_idf" localSheetId="21">'[31]fixing of water way crest '!$D$1</definedName>
    <definedName name="Q_idf" localSheetId="33">'[31]fixing of water way crest '!$D$1</definedName>
    <definedName name="Q_idf" localSheetId="18">'[31]fixing of water way crest '!$D$1</definedName>
    <definedName name="Q_idf" localSheetId="19">'[31]fixing of water way crest '!$D$1</definedName>
    <definedName name="Q_idf" localSheetId="34">'[31]fixing of water way crest '!$D$1</definedName>
    <definedName name="Q_idf" localSheetId="69">'[31]fixing of water way crest '!$D$1</definedName>
    <definedName name="Q_idf" localSheetId="68">'[31]fixing of water way crest '!$D$1</definedName>
    <definedName name="Q_idf" localSheetId="38">'[31]fixing of water way crest '!$D$1</definedName>
    <definedName name="Q_idf" localSheetId="71">'[31]fixing of water way crest '!$D$1</definedName>
    <definedName name="Q_idf" localSheetId="65">'[31]fixing of water way crest '!$D$1</definedName>
    <definedName name="Q_idf" localSheetId="66">'[31]fixing of water way crest '!$D$1</definedName>
    <definedName name="Q_idf" localSheetId="67">'[31]fixing of water way crest '!$D$1</definedName>
    <definedName name="Q_idf" localSheetId="42">'[31]fixing of water way crest '!$D$1</definedName>
    <definedName name="Q_idf">'[31]fixing of water way crest '!$D$1</definedName>
    <definedName name="Q_o" localSheetId="35">'[31]fixing of water way crest '!$D$349</definedName>
    <definedName name="Q_o" localSheetId="37">'[31]fixing of water way crest '!$D$349</definedName>
    <definedName name="Q_o" localSheetId="17">'[31]fixing of water way crest '!$D$349</definedName>
    <definedName name="Q_o" localSheetId="41">'[31]fixing of water way crest '!$D$349</definedName>
    <definedName name="Q_o" localSheetId="39">'[31]fixing of water way crest '!$D$349</definedName>
    <definedName name="Q_o" localSheetId="40">'[31]fixing of water way crest '!$D$349</definedName>
    <definedName name="Q_o" localSheetId="36">'[31]fixing of water way crest '!$D$349</definedName>
    <definedName name="Q_o" localSheetId="20">'[31]fixing of water way crest '!$D$349</definedName>
    <definedName name="Q_o" localSheetId="21">'[31]fixing of water way crest '!$D$349</definedName>
    <definedName name="Q_o" localSheetId="33">'[31]fixing of water way crest '!$D$349</definedName>
    <definedName name="Q_o" localSheetId="18">'[31]fixing of water way crest '!$D$349</definedName>
    <definedName name="Q_o" localSheetId="19">'[31]fixing of water way crest '!$D$349</definedName>
    <definedName name="Q_o" localSheetId="34">'[31]fixing of water way crest '!$D$349</definedName>
    <definedName name="Q_o" localSheetId="69">'[31]fixing of water way crest '!$D$349</definedName>
    <definedName name="Q_o" localSheetId="68">'[31]fixing of water way crest '!$D$349</definedName>
    <definedName name="Q_o" localSheetId="38">'[31]fixing of water way crest '!$D$349</definedName>
    <definedName name="Q_o" localSheetId="71">'[31]fixing of water way crest '!$D$349</definedName>
    <definedName name="Q_o" localSheetId="65">'[31]fixing of water way crest '!$D$349</definedName>
    <definedName name="Q_o" localSheetId="66">'[31]fixing of water way crest '!$D$349</definedName>
    <definedName name="Q_o" localSheetId="67">'[31]fixing of water way crest '!$D$349</definedName>
    <definedName name="Q_o" localSheetId="42">'[31]fixing of water way crest '!$D$349</definedName>
    <definedName name="Q_o">'[31]fixing of water way crest '!$D$349</definedName>
    <definedName name="Q_p" localSheetId="35">'[31]fixing of water way crest '!$D$348</definedName>
    <definedName name="Q_p" localSheetId="37">'[31]fixing of water way crest '!$D$348</definedName>
    <definedName name="Q_p" localSheetId="17">'[31]fixing of water way crest '!$D$348</definedName>
    <definedName name="Q_p" localSheetId="41">'[31]fixing of water way crest '!$D$348</definedName>
    <definedName name="Q_p" localSheetId="39">'[31]fixing of water way crest '!$D$348</definedName>
    <definedName name="Q_p" localSheetId="40">'[31]fixing of water way crest '!$D$348</definedName>
    <definedName name="Q_p" localSheetId="36">'[31]fixing of water way crest '!$D$348</definedName>
    <definedName name="Q_p" localSheetId="20">'[31]fixing of water way crest '!$D$348</definedName>
    <definedName name="Q_p" localSheetId="21">'[31]fixing of water way crest '!$D$348</definedName>
    <definedName name="Q_p" localSheetId="33">'[31]fixing of water way crest '!$D$348</definedName>
    <definedName name="Q_p" localSheetId="18">'[31]fixing of water way crest '!$D$348</definedName>
    <definedName name="Q_p" localSheetId="19">'[31]fixing of water way crest '!$D$348</definedName>
    <definedName name="Q_p" localSheetId="34">'[31]fixing of water way crest '!$D$348</definedName>
    <definedName name="Q_p" localSheetId="69">'[31]fixing of water way crest '!$D$348</definedName>
    <definedName name="Q_p" localSheetId="68">'[31]fixing of water way crest '!$D$348</definedName>
    <definedName name="Q_p" localSheetId="38">'[31]fixing of water way crest '!$D$348</definedName>
    <definedName name="Q_p" localSheetId="71">'[31]fixing of water way crest '!$D$348</definedName>
    <definedName name="Q_p" localSheetId="65">'[31]fixing of water way crest '!$D$348</definedName>
    <definedName name="Q_p" localSheetId="66">'[31]fixing of water way crest '!$D$348</definedName>
    <definedName name="Q_p" localSheetId="67">'[31]fixing of water way crest '!$D$348</definedName>
    <definedName name="Q_p" localSheetId="42">'[31]fixing of water way crest '!$D$348</definedName>
    <definedName name="Q_p">'[31]fixing of water way crest '!$D$348</definedName>
    <definedName name="q_per" localSheetId="35">'[31]fixing of water way crest '!$D$397</definedName>
    <definedName name="q_per" localSheetId="37">'[31]fixing of water way crest '!$D$397</definedName>
    <definedName name="q_per" localSheetId="17">'[31]fixing of water way crest '!$D$397</definedName>
    <definedName name="q_per" localSheetId="41">'[31]fixing of water way crest '!$D$397</definedName>
    <definedName name="q_per" localSheetId="39">'[31]fixing of water way crest '!$D$397</definedName>
    <definedName name="q_per" localSheetId="40">'[31]fixing of water way crest '!$D$397</definedName>
    <definedName name="q_per" localSheetId="36">'[31]fixing of water way crest '!$D$397</definedName>
    <definedName name="q_per" localSheetId="20">'[31]fixing of water way crest '!$D$397</definedName>
    <definedName name="q_per" localSheetId="21">'[31]fixing of water way crest '!$D$397</definedName>
    <definedName name="q_per" localSheetId="33">'[31]fixing of water way crest '!$D$397</definedName>
    <definedName name="q_per" localSheetId="18">'[31]fixing of water way crest '!$D$397</definedName>
    <definedName name="q_per" localSheetId="19">'[31]fixing of water way crest '!$D$397</definedName>
    <definedName name="q_per" localSheetId="34">'[31]fixing of water way crest '!$D$397</definedName>
    <definedName name="q_per" localSheetId="69">'[31]fixing of water way crest '!$D$397</definedName>
    <definedName name="q_per" localSheetId="68">'[31]fixing of water way crest '!$D$397</definedName>
    <definedName name="q_per" localSheetId="38">'[31]fixing of water way crest '!$D$397</definedName>
    <definedName name="q_per" localSheetId="71">'[31]fixing of water way crest '!$D$397</definedName>
    <definedName name="q_per" localSheetId="65">'[31]fixing of water way crest '!$D$397</definedName>
    <definedName name="q_per" localSheetId="66">'[31]fixing of water way crest '!$D$397</definedName>
    <definedName name="q_per" localSheetId="67">'[31]fixing of water way crest '!$D$397</definedName>
    <definedName name="q_per" localSheetId="42">'[31]fixing of water way crest '!$D$397</definedName>
    <definedName name="q_per">'[31]fixing of water way crest '!$D$397</definedName>
    <definedName name="qd" localSheetId="35">'[25]General Data'!$B$7</definedName>
    <definedName name="qd" localSheetId="37">'[25]General Data'!$B$7</definedName>
    <definedName name="qd" localSheetId="57">'[25]General Data'!$B$7</definedName>
    <definedName name="qd" localSheetId="23">'[25]General Data'!$B$7</definedName>
    <definedName name="qd" localSheetId="27">'[25]General Data'!$B$7</definedName>
    <definedName name="qd" localSheetId="17">'[25]General Data'!$B$7</definedName>
    <definedName name="qd" localSheetId="41">'[25]General Data'!$B$7</definedName>
    <definedName name="qd" localSheetId="39">'[25]General Data'!$B$7</definedName>
    <definedName name="qd" localSheetId="40">'[25]General Data'!$B$7</definedName>
    <definedName name="qd" localSheetId="36">'[25]General Data'!$B$7</definedName>
    <definedName name="qd" localSheetId="20">'[25]General Data'!$B$7</definedName>
    <definedName name="qd" localSheetId="21">'[25]General Data'!$B$7</definedName>
    <definedName name="qd" localSheetId="33">'[25]General Data'!$B$7</definedName>
    <definedName name="qd" localSheetId="18">'[25]General Data'!$B$7</definedName>
    <definedName name="qd" localSheetId="26">'[25]General Data'!$B$7</definedName>
    <definedName name="qd" localSheetId="13">'[25]General Data'!$B$7</definedName>
    <definedName name="qd" localSheetId="14">'[25]General Data'!$B$7</definedName>
    <definedName name="qd" localSheetId="19">'[25]General Data'!$B$7</definedName>
    <definedName name="qd" localSheetId="34">'[25]General Data'!$B$7</definedName>
    <definedName name="qd" localSheetId="69">'[25]General Data'!$B$7</definedName>
    <definedName name="qd" localSheetId="68">'[25]General Data'!$B$7</definedName>
    <definedName name="qd" localSheetId="38">'[25]General Data'!$B$7</definedName>
    <definedName name="qd" localSheetId="71">'[25]General Data'!$B$7</definedName>
    <definedName name="qd" localSheetId="65">'[25]General Data'!$B$7</definedName>
    <definedName name="qd" localSheetId="66">'[25]General Data'!$B$7</definedName>
    <definedName name="qd" localSheetId="67">'[25]General Data'!$B$7</definedName>
    <definedName name="qd" localSheetId="42">'[25]General Data'!$B$7</definedName>
    <definedName name="qd">'[24]General Data'!$B$7</definedName>
    <definedName name="Qf" localSheetId="35">'[31]fixing of water way crest '!$D$2</definedName>
    <definedName name="Qf" localSheetId="37">'[31]fixing of water way crest '!$D$2</definedName>
    <definedName name="Qf" localSheetId="17">'[31]fixing of water way crest '!$D$2</definedName>
    <definedName name="Qf" localSheetId="41">'[31]fixing of water way crest '!$D$2</definedName>
    <definedName name="Qf" localSheetId="39">'[31]fixing of water way crest '!$D$2</definedName>
    <definedName name="Qf" localSheetId="40">'[31]fixing of water way crest '!$D$2</definedName>
    <definedName name="Qf" localSheetId="36">'[31]fixing of water way crest '!$D$2</definedName>
    <definedName name="Qf" localSheetId="20">'[31]fixing of water way crest '!$D$2</definedName>
    <definedName name="Qf" localSheetId="21">'[31]fixing of water way crest '!$D$2</definedName>
    <definedName name="Qf" localSheetId="33">'[31]fixing of water way crest '!$D$2</definedName>
    <definedName name="Qf" localSheetId="18">'[31]fixing of water way crest '!$D$2</definedName>
    <definedName name="Qf" localSheetId="19">'[31]fixing of water way crest '!$D$2</definedName>
    <definedName name="Qf" localSheetId="34">'[31]fixing of water way crest '!$D$2</definedName>
    <definedName name="Qf" localSheetId="69">'[31]fixing of water way crest '!$D$2</definedName>
    <definedName name="Qf" localSheetId="68">'[31]fixing of water way crest '!$D$2</definedName>
    <definedName name="Qf" localSheetId="38">'[31]fixing of water way crest '!$D$2</definedName>
    <definedName name="Qf" localSheetId="71">'[31]fixing of water way crest '!$D$2</definedName>
    <definedName name="Qf" localSheetId="65">'[31]fixing of water way crest '!$D$2</definedName>
    <definedName name="Qf" localSheetId="66">'[31]fixing of water way crest '!$D$2</definedName>
    <definedName name="Qf" localSheetId="67">'[31]fixing of water way crest '!$D$2</definedName>
    <definedName name="Qf" localSheetId="42">'[31]fixing of water way crest '!$D$2</definedName>
    <definedName name="Qf">'[31]fixing of water way crest '!$D$2</definedName>
    <definedName name="Qintake" localSheetId="78">'[24]Side Intake and Orifice'!#REF!</definedName>
    <definedName name="Qintake" localSheetId="1">'[24]Side Intake and Orifice'!#REF!</definedName>
    <definedName name="Qintake" localSheetId="57">'[25]Side Intake and Orifice'!#REF!</definedName>
    <definedName name="Qintake" localSheetId="23">'[25]Side Intake and Orifice'!#REF!</definedName>
    <definedName name="Qintake" localSheetId="47">'[24]Side Intake and Orifice'!#REF!</definedName>
    <definedName name="Qintake" localSheetId="58">'[24]Side Intake and Orifice'!#REF!</definedName>
    <definedName name="Qintake" localSheetId="0">'[24]Side Intake and Orifice'!#REF!</definedName>
    <definedName name="Qintake" localSheetId="52">'[24]Side Intake and Orifice'!#REF!</definedName>
    <definedName name="Qintake" localSheetId="61">'[24]Side Intake and Orifice'!#REF!</definedName>
    <definedName name="Qo" localSheetId="35">'[32]Side Intake and Orifice'!$H$22</definedName>
    <definedName name="Qo" localSheetId="37">'[32]Side Intake and Orifice'!$H$22</definedName>
    <definedName name="Qo" localSheetId="57">'[32]Side Intake and Orifice'!$H$22</definedName>
    <definedName name="Qo" localSheetId="23">'[32]Side Intake and Orifice'!$H$22</definedName>
    <definedName name="Qo" localSheetId="27">'[32]Side Intake and Orifice'!$H$22</definedName>
    <definedName name="Qo" localSheetId="17">'[32]Side Intake and Orifice'!$H$22</definedName>
    <definedName name="Qo" localSheetId="41">'[32]Side Intake and Orifice'!$H$22</definedName>
    <definedName name="Qo" localSheetId="39">'[32]Side Intake and Orifice'!$H$22</definedName>
    <definedName name="Qo" localSheetId="40">'[32]Side Intake and Orifice'!$H$22</definedName>
    <definedName name="Qo" localSheetId="36">'[32]Side Intake and Orifice'!$H$22</definedName>
    <definedName name="Qo" localSheetId="20">'[32]Side Intake and Orifice'!$H$22</definedName>
    <definedName name="Qo" localSheetId="21">'[32]Side Intake and Orifice'!$H$22</definedName>
    <definedName name="Qo" localSheetId="33">'[32]Side Intake and Orifice'!$H$22</definedName>
    <definedName name="Qo" localSheetId="18">'[32]Side Intake and Orifice'!$H$22</definedName>
    <definedName name="Qo" localSheetId="26">'[32]Side Intake and Orifice'!$H$22</definedName>
    <definedName name="Qo" localSheetId="13">'[32]Side Intake and Orifice'!$H$22</definedName>
    <definedName name="Qo" localSheetId="14">'[32]Side Intake and Orifice'!$H$22</definedName>
    <definedName name="Qo" localSheetId="19">'[32]Side Intake and Orifice'!$H$22</definedName>
    <definedName name="Qo" localSheetId="34">'[32]Side Intake and Orifice'!$H$22</definedName>
    <definedName name="Qo" localSheetId="69">'[32]Side Intake and Orifice'!$H$22</definedName>
    <definedName name="Qo" localSheetId="68">'[32]Side Intake and Orifice'!$H$22</definedName>
    <definedName name="Qo" localSheetId="38">'[32]Side Intake and Orifice'!$H$22</definedName>
    <definedName name="Qo" localSheetId="71">'[32]Side Intake and Orifice'!$H$22</definedName>
    <definedName name="Qo" localSheetId="65">'[32]Side Intake and Orifice'!$H$22</definedName>
    <definedName name="Qo" localSheetId="66">'[32]Side Intake and Orifice'!$H$22</definedName>
    <definedName name="Qo" localSheetId="67">'[32]Side Intake and Orifice'!$H$22</definedName>
    <definedName name="Qo" localSheetId="42">'[32]Side Intake and Orifice'!$H$22</definedName>
    <definedName name="Qo">'[33]Side Intake and Orifice'!$H$22</definedName>
    <definedName name="R_hyd" localSheetId="27">'[11]settling basin 240'!$D$9</definedName>
    <definedName name="R_hyd" localSheetId="32">'[11]settling basin 240'!$D$9</definedName>
    <definedName name="R_hyd" localSheetId="29">'[11]settling basin 240'!$D$9</definedName>
    <definedName name="R_hyd" localSheetId="22">'[11]settling basin 240'!$D$9</definedName>
    <definedName name="R_hyd" localSheetId="28">'[11]settling basin 240'!$D$9</definedName>
    <definedName name="R_hyd">'[11]settling basin 240'!$D$9</definedName>
    <definedName name="Radius" localSheetId="35">'[4]Headloss calculation'!$D$18</definedName>
    <definedName name="Radius" localSheetId="37">'[4]Headloss calculation'!$D$18</definedName>
    <definedName name="Radius" localSheetId="57">'[4]Headloss calculation'!$D$18</definedName>
    <definedName name="Radius" localSheetId="23">'[4]Headloss calculation'!$D$18</definedName>
    <definedName name="Radius" localSheetId="27">'[4]Headloss calculation'!$D$18</definedName>
    <definedName name="Radius" localSheetId="17">'[4]Headloss calculation'!$D$18</definedName>
    <definedName name="Radius" localSheetId="41">'[4]Headloss calculation'!$D$18</definedName>
    <definedName name="Radius" localSheetId="39">'[4]Headloss calculation'!$D$18</definedName>
    <definedName name="Radius" localSheetId="40">'[4]Headloss calculation'!$D$18</definedName>
    <definedName name="Radius" localSheetId="36">'[4]Headloss calculation'!$D$18</definedName>
    <definedName name="Radius" localSheetId="20">'[4]Headloss calculation'!$D$18</definedName>
    <definedName name="Radius" localSheetId="21">'[4]Headloss calculation'!$D$18</definedName>
    <definedName name="Radius" localSheetId="33">'[4]Headloss calculation'!$D$18</definedName>
    <definedName name="Radius" localSheetId="18">'[4]Headloss calculation'!$D$18</definedName>
    <definedName name="Radius" localSheetId="26">'[4]Headloss calculation'!$D$18</definedName>
    <definedName name="Radius" localSheetId="13">'[4]Headloss calculation'!$D$18</definedName>
    <definedName name="Radius" localSheetId="14">'[4]Headloss calculation'!$D$18</definedName>
    <definedName name="Radius" localSheetId="19">'[4]Headloss calculation'!$D$18</definedName>
    <definedName name="Radius" localSheetId="34">'[4]Headloss calculation'!$D$18</definedName>
    <definedName name="Radius" localSheetId="69">'[4]Headloss calculation'!$D$18</definedName>
    <definedName name="Radius" localSheetId="68">'[4]Headloss calculation'!$D$18</definedName>
    <definedName name="Radius" localSheetId="38">'[4]Headloss calculation'!$D$18</definedName>
    <definedName name="Radius" localSheetId="71">'[4]Headloss calculation'!$D$18</definedName>
    <definedName name="Radius" localSheetId="65">'[4]Headloss calculation'!$D$18</definedName>
    <definedName name="Radius" localSheetId="66">'[4]Headloss calculation'!$D$18</definedName>
    <definedName name="Radius" localSheetId="67">'[4]Headloss calculation'!$D$18</definedName>
    <definedName name="Radius" localSheetId="42">'[4]Headloss calculation'!$D$18</definedName>
    <definedName name="Radius">'[5]Headloss calculation'!$D$18</definedName>
    <definedName name="raiser_climber" localSheetId="35">'[8]Basic Rates'!$D$156</definedName>
    <definedName name="raiser_climber" localSheetId="37">'[8]Basic Rates'!$D$156</definedName>
    <definedName name="raiser_climber" localSheetId="57">'[8]Basic Rates'!$D$156</definedName>
    <definedName name="raiser_climber" localSheetId="23">'[8]Basic Rates'!$D$156</definedName>
    <definedName name="raiser_climber" localSheetId="27">'[8]Basic Rates'!$D$156</definedName>
    <definedName name="raiser_climber" localSheetId="17">'[8]Basic Rates'!$D$156</definedName>
    <definedName name="raiser_climber" localSheetId="41">'[8]Basic Rates'!$D$156</definedName>
    <definedName name="raiser_climber" localSheetId="39">'[8]Basic Rates'!$D$156</definedName>
    <definedName name="raiser_climber" localSheetId="40">'[8]Basic Rates'!$D$156</definedName>
    <definedName name="raiser_climber" localSheetId="36">'[8]Basic Rates'!$D$156</definedName>
    <definedName name="raiser_climber" localSheetId="20">'[8]Basic Rates'!$D$156</definedName>
    <definedName name="raiser_climber" localSheetId="21">'[8]Basic Rates'!$D$156</definedName>
    <definedName name="raiser_climber" localSheetId="33">'[8]Basic Rates'!$D$156</definedName>
    <definedName name="raiser_climber" localSheetId="18">'[8]Basic Rates'!$D$156</definedName>
    <definedName name="raiser_climber" localSheetId="26">'[8]Basic Rates'!$D$156</definedName>
    <definedName name="raiser_climber" localSheetId="13">'[8]Basic Rates'!$D$156</definedName>
    <definedName name="raiser_climber" localSheetId="14">'[8]Basic Rates'!$D$156</definedName>
    <definedName name="raiser_climber" localSheetId="19">'[8]Basic Rates'!$D$156</definedName>
    <definedName name="raiser_climber" localSheetId="34">'[8]Basic Rates'!$D$156</definedName>
    <definedName name="raiser_climber" localSheetId="69">'[8]Basic Rates'!$D$156</definedName>
    <definedName name="raiser_climber" localSheetId="68">'[8]Basic Rates'!$D$156</definedName>
    <definedName name="raiser_climber" localSheetId="51">#REF!</definedName>
    <definedName name="raiser_climber" localSheetId="38">'[8]Basic Rates'!$D$156</definedName>
    <definedName name="raiser_climber" localSheetId="71">'[8]Basic Rates'!$D$156</definedName>
    <definedName name="raiser_climber" localSheetId="65">'[8]Basic Rates'!$D$156</definedName>
    <definedName name="raiser_climber" localSheetId="66">'[8]Basic Rates'!$D$156</definedName>
    <definedName name="raiser_climber" localSheetId="67">'[8]Basic Rates'!$D$156</definedName>
    <definedName name="raiser_climber" localSheetId="42">'[8]Basic Rates'!$D$156</definedName>
    <definedName name="raiser_climber">'[9]Basic Rates'!$D$156</definedName>
    <definedName name="rcr" localSheetId="35">'[8]Basic Rates'!$D$37</definedName>
    <definedName name="rcr" localSheetId="37">'[8]Basic Rates'!$D$37</definedName>
    <definedName name="rcr" localSheetId="57">'[8]Basic Rates'!$D$37</definedName>
    <definedName name="rcr" localSheetId="23">'[8]Basic Rates'!$D$37</definedName>
    <definedName name="rcr" localSheetId="27">'[8]Basic Rates'!$D$37</definedName>
    <definedName name="rcr" localSheetId="17">'[8]Basic Rates'!$D$37</definedName>
    <definedName name="rcr" localSheetId="41">'[8]Basic Rates'!$D$37</definedName>
    <definedName name="rcr" localSheetId="39">'[8]Basic Rates'!$D$37</definedName>
    <definedName name="rcr" localSheetId="40">'[8]Basic Rates'!$D$37</definedName>
    <definedName name="rcr" localSheetId="36">'[8]Basic Rates'!$D$37</definedName>
    <definedName name="rcr" localSheetId="20">'[8]Basic Rates'!$D$37</definedName>
    <definedName name="rcr" localSheetId="21">'[8]Basic Rates'!$D$37</definedName>
    <definedName name="rcr" localSheetId="33">'[8]Basic Rates'!$D$37</definedName>
    <definedName name="rcr" localSheetId="18">'[8]Basic Rates'!$D$37</definedName>
    <definedName name="rcr" localSheetId="26">'[8]Basic Rates'!$D$37</definedName>
    <definedName name="rcr" localSheetId="13">'[8]Basic Rates'!$D$37</definedName>
    <definedName name="rcr" localSheetId="14">'[8]Basic Rates'!$D$37</definedName>
    <definedName name="rcr" localSheetId="19">'[8]Basic Rates'!$D$37</definedName>
    <definedName name="rcr" localSheetId="34">'[8]Basic Rates'!$D$37</definedName>
    <definedName name="rcr" localSheetId="69">'[8]Basic Rates'!$D$37</definedName>
    <definedName name="rcr" localSheetId="68">'[8]Basic Rates'!$D$37</definedName>
    <definedName name="rcr" localSheetId="51">#REF!</definedName>
    <definedName name="rcr" localSheetId="38">'[8]Basic Rates'!$D$37</definedName>
    <definedName name="rcr" localSheetId="71">'[8]Basic Rates'!$D$37</definedName>
    <definedName name="rcr" localSheetId="65">'[8]Basic Rates'!$D$37</definedName>
    <definedName name="rcr" localSheetId="66">'[8]Basic Rates'!$D$37</definedName>
    <definedName name="rcr" localSheetId="67">'[8]Basic Rates'!$D$37</definedName>
    <definedName name="rcr" localSheetId="42">'[8]Basic Rates'!$D$37</definedName>
    <definedName name="rcr">'[9]Basic Rates'!$D$37</definedName>
    <definedName name="rebars" localSheetId="35">'[10]RATES INCLUDING TRANSPORATION'!$V$30</definedName>
    <definedName name="rebars" localSheetId="37">'[10]RATES INCLUDING TRANSPORATION'!$V$30</definedName>
    <definedName name="rebars" localSheetId="17">'[10]RATES INCLUDING TRANSPORATION'!$V$30</definedName>
    <definedName name="rebars" localSheetId="47">#REF!</definedName>
    <definedName name="rebars" localSheetId="41">'[10]RATES INCLUDING TRANSPORATION'!$V$30</definedName>
    <definedName name="rebars" localSheetId="39">'[10]RATES INCLUDING TRANSPORATION'!$V$30</definedName>
    <definedName name="rebars" localSheetId="40">'[10]RATES INCLUDING TRANSPORATION'!$V$30</definedName>
    <definedName name="rebars" localSheetId="36">'[10]RATES INCLUDING TRANSPORATION'!$V$30</definedName>
    <definedName name="rebars" localSheetId="20">'[10]RATES INCLUDING TRANSPORATION'!$V$30</definedName>
    <definedName name="rebars" localSheetId="21">'[10]RATES INCLUDING TRANSPORATION'!$V$30</definedName>
    <definedName name="rebars" localSheetId="33">'[10]RATES INCLUDING TRANSPORATION'!$V$30</definedName>
    <definedName name="rebars" localSheetId="18">'[10]RATES INCLUDING TRANSPORATION'!$V$30</definedName>
    <definedName name="rebars" localSheetId="19">'[10]RATES INCLUDING TRANSPORATION'!$V$30</definedName>
    <definedName name="rebars" localSheetId="34">'[10]RATES INCLUDING TRANSPORATION'!$V$30</definedName>
    <definedName name="rebars" localSheetId="69">'[10]RATES INCLUDING TRANSPORATION'!$V$30</definedName>
    <definedName name="rebars" localSheetId="68">'[10]RATES INCLUDING TRANSPORATION'!$V$30</definedName>
    <definedName name="rebars" localSheetId="38">'[10]RATES INCLUDING TRANSPORATION'!$V$30</definedName>
    <definedName name="rebars" localSheetId="65">'[10]RATES INCLUDING TRANSPORATION'!$V$30</definedName>
    <definedName name="rebars" localSheetId="66">'[10]RATES INCLUDING TRANSPORATION'!$V$30</definedName>
    <definedName name="rebars" localSheetId="67">'[10]RATES INCLUDING TRANSPORATION'!$V$30</definedName>
    <definedName name="rebars" localSheetId="42">'[10]RATES INCLUDING TRANSPORATION'!$V$30</definedName>
    <definedName name="Rebound_F" localSheetId="78">#REF!</definedName>
    <definedName name="Rebound_F" localSheetId="1">#REF!</definedName>
    <definedName name="Rebound_F" localSheetId="57">#REF!</definedName>
    <definedName name="Rebound_F" localSheetId="23">#REF!</definedName>
    <definedName name="Rebound_F" localSheetId="47">#REF!</definedName>
    <definedName name="Rebound_F" localSheetId="58">#REF!</definedName>
    <definedName name="Rebound_F" localSheetId="0">#REF!</definedName>
    <definedName name="Rebound_F" localSheetId="52">#REF!</definedName>
    <definedName name="Rebound_F" localSheetId="61">#REF!</definedName>
    <definedName name="redoxide" localSheetId="35">'[10]RATES INCLUDING TRANSPORATION'!$V$70</definedName>
    <definedName name="redoxide" localSheetId="37">'[10]RATES INCLUDING TRANSPORATION'!$V$70</definedName>
    <definedName name="redoxide" localSheetId="17">'[10]RATES INCLUDING TRANSPORATION'!$V$70</definedName>
    <definedName name="redoxide" localSheetId="47">#REF!</definedName>
    <definedName name="redoxide" localSheetId="41">'[10]RATES INCLUDING TRANSPORATION'!$V$70</definedName>
    <definedName name="redoxide" localSheetId="39">'[10]RATES INCLUDING TRANSPORATION'!$V$70</definedName>
    <definedName name="redoxide" localSheetId="40">'[10]RATES INCLUDING TRANSPORATION'!$V$70</definedName>
    <definedName name="redoxide" localSheetId="36">'[10]RATES INCLUDING TRANSPORATION'!$V$70</definedName>
    <definedName name="redoxide" localSheetId="20">'[10]RATES INCLUDING TRANSPORATION'!$V$70</definedName>
    <definedName name="redoxide" localSheetId="21">'[10]RATES INCLUDING TRANSPORATION'!$V$70</definedName>
    <definedName name="redoxide" localSheetId="33">'[10]RATES INCLUDING TRANSPORATION'!$V$70</definedName>
    <definedName name="redoxide" localSheetId="18">'[10]RATES INCLUDING TRANSPORATION'!$V$70</definedName>
    <definedName name="redoxide" localSheetId="19">'[10]RATES INCLUDING TRANSPORATION'!$V$70</definedName>
    <definedName name="redoxide" localSheetId="34">'[10]RATES INCLUDING TRANSPORATION'!$V$70</definedName>
    <definedName name="redoxide" localSheetId="69">'[10]RATES INCLUDING TRANSPORATION'!$V$70</definedName>
    <definedName name="redoxide" localSheetId="68">'[10]RATES INCLUDING TRANSPORATION'!$V$70</definedName>
    <definedName name="redoxide" localSheetId="38">'[10]RATES INCLUDING TRANSPORATION'!$V$70</definedName>
    <definedName name="redoxide" localSheetId="65">'[10]RATES INCLUDING TRANSPORATION'!$V$70</definedName>
    <definedName name="redoxide" localSheetId="66">'[10]RATES INCLUDING TRANSPORATION'!$V$70</definedName>
    <definedName name="redoxide" localSheetId="67">'[10]RATES INCLUDING TRANSPORATION'!$V$70</definedName>
    <definedName name="redoxide" localSheetId="42">'[10]RATES INCLUDING TRANSPORATION'!$V$70</definedName>
    <definedName name="ren">[34]RATE!$J$42</definedName>
    <definedName name="Ressources" localSheetId="78">#REF!</definedName>
    <definedName name="Ressources" localSheetId="1">#REF!</definedName>
    <definedName name="Ressources" localSheetId="57">#REF!</definedName>
    <definedName name="Ressources" localSheetId="23">#REF!</definedName>
    <definedName name="Ressources" localSheetId="47">#REF!</definedName>
    <definedName name="Ressources" localSheetId="58">#REF!</definedName>
    <definedName name="Ressources" localSheetId="0">#REF!</definedName>
    <definedName name="Ressources" localSheetId="52">#REF!</definedName>
    <definedName name="Ressources" localSheetId="61">#REF!</definedName>
    <definedName name="Return100D" localSheetId="35">[23]Hydrology!$B$22</definedName>
    <definedName name="Return100D" localSheetId="37">[23]Hydrology!$B$22</definedName>
    <definedName name="Return100D" localSheetId="57">[23]Hydrology!$B$22</definedName>
    <definedName name="Return100D" localSheetId="23">[23]Hydrology!$B$22</definedName>
    <definedName name="Return100D" localSheetId="27">[23]Hydrology!$B$22</definedName>
    <definedName name="Return100D" localSheetId="17">[23]Hydrology!$B$22</definedName>
    <definedName name="Return100D" localSheetId="41">[23]Hydrology!$B$22</definedName>
    <definedName name="Return100D" localSheetId="39">[23]Hydrology!$B$22</definedName>
    <definedName name="Return100D" localSheetId="40">[23]Hydrology!$B$22</definedName>
    <definedName name="Return100D" localSheetId="36">[23]Hydrology!$B$22</definedName>
    <definedName name="Return100D" localSheetId="20">[23]Hydrology!$B$22</definedName>
    <definedName name="Return100D" localSheetId="21">[23]Hydrology!$B$22</definedName>
    <definedName name="Return100D" localSheetId="33">[23]Hydrology!$B$22</definedName>
    <definedName name="Return100D" localSheetId="18">[23]Hydrology!$B$22</definedName>
    <definedName name="Return100D" localSheetId="26">[23]Hydrology!$B$22</definedName>
    <definedName name="Return100D" localSheetId="13">[23]Hydrology!$B$22</definedName>
    <definedName name="Return100D" localSheetId="14">[23]Hydrology!$B$22</definedName>
    <definedName name="Return100D" localSheetId="19">[23]Hydrology!$B$22</definedName>
    <definedName name="Return100D" localSheetId="34">[23]Hydrology!$B$22</definedName>
    <definedName name="Return100D" localSheetId="69">[23]Hydrology!$B$22</definedName>
    <definedName name="Return100D" localSheetId="68">[23]Hydrology!$B$22</definedName>
    <definedName name="Return100D" localSheetId="38">[23]Hydrology!$B$22</definedName>
    <definedName name="Return100D" localSheetId="71">[23]Hydrology!$B$22</definedName>
    <definedName name="Return100D" localSheetId="65">[23]Hydrology!$B$22</definedName>
    <definedName name="Return100D" localSheetId="66">[23]Hydrology!$B$22</definedName>
    <definedName name="Return100D" localSheetId="67">[23]Hydrology!$B$22</definedName>
    <definedName name="Return100D" localSheetId="42">[23]Hydrology!$B$22</definedName>
    <definedName name="Return100D">[22]Hydrology!$B$22</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SwapState" hidden="1">FALSE</definedName>
    <definedName name="RiskUpdateDisplay" hidden="1">FALSE</definedName>
    <definedName name="RiskUseDifferentSeedForEachSim" hidden="1">FALSE</definedName>
    <definedName name="RiskUseFixedSeed" hidden="1">FALSE</definedName>
    <definedName name="RiskUseMultipleCPUs" hidden="1">TRUE</definedName>
    <definedName name="rockbolt_20" localSheetId="35">'[10]RATES INCLUDING TRANSPORATION'!$V$95</definedName>
    <definedName name="rockbolt_20" localSheetId="37">'[10]RATES INCLUDING TRANSPORATION'!$V$95</definedName>
    <definedName name="rockbolt_20" localSheetId="17">'[10]RATES INCLUDING TRANSPORATION'!$V$95</definedName>
    <definedName name="rockbolt_20" localSheetId="47">#REF!</definedName>
    <definedName name="rockbolt_20" localSheetId="41">'[10]RATES INCLUDING TRANSPORATION'!$V$95</definedName>
    <definedName name="rockbolt_20" localSheetId="39">'[10]RATES INCLUDING TRANSPORATION'!$V$95</definedName>
    <definedName name="rockbolt_20" localSheetId="40">'[10]RATES INCLUDING TRANSPORATION'!$V$95</definedName>
    <definedName name="rockbolt_20" localSheetId="36">'[10]RATES INCLUDING TRANSPORATION'!$V$95</definedName>
    <definedName name="rockbolt_20" localSheetId="20">'[10]RATES INCLUDING TRANSPORATION'!$V$95</definedName>
    <definedName name="rockbolt_20" localSheetId="21">'[10]RATES INCLUDING TRANSPORATION'!$V$95</definedName>
    <definedName name="rockbolt_20" localSheetId="33">'[10]RATES INCLUDING TRANSPORATION'!$V$95</definedName>
    <definedName name="rockbolt_20" localSheetId="18">'[10]RATES INCLUDING TRANSPORATION'!$V$95</definedName>
    <definedName name="rockbolt_20" localSheetId="19">'[10]RATES INCLUDING TRANSPORATION'!$V$95</definedName>
    <definedName name="rockbolt_20" localSheetId="34">'[10]RATES INCLUDING TRANSPORATION'!$V$95</definedName>
    <definedName name="rockbolt_20" localSheetId="69">'[10]RATES INCLUDING TRANSPORATION'!$V$95</definedName>
    <definedName name="rockbolt_20" localSheetId="68">'[10]RATES INCLUDING TRANSPORATION'!$V$95</definedName>
    <definedName name="rockbolt_20" localSheetId="38">'[10]RATES INCLUDING TRANSPORATION'!$V$95</definedName>
    <definedName name="rockbolt_20" localSheetId="65">'[10]RATES INCLUDING TRANSPORATION'!$V$95</definedName>
    <definedName name="rockbolt_20" localSheetId="66">'[10]RATES INCLUDING TRANSPORATION'!$V$95</definedName>
    <definedName name="rockbolt_20" localSheetId="67">'[10]RATES INCLUDING TRANSPORATION'!$V$95</definedName>
    <definedName name="rockbolt_20" localSheetId="42">'[10]RATES INCLUDING TRANSPORATION'!$V$95</definedName>
    <definedName name="rockbolt_25" localSheetId="35">'[10]RATES INCLUDING TRANSPORATION'!$V$96</definedName>
    <definedName name="rockbolt_25" localSheetId="37">'[10]RATES INCLUDING TRANSPORATION'!$V$96</definedName>
    <definedName name="rockbolt_25" localSheetId="17">'[10]RATES INCLUDING TRANSPORATION'!$V$96</definedName>
    <definedName name="rockbolt_25" localSheetId="47">#REF!</definedName>
    <definedName name="rockbolt_25" localSheetId="41">'[10]RATES INCLUDING TRANSPORATION'!$V$96</definedName>
    <definedName name="rockbolt_25" localSheetId="39">'[10]RATES INCLUDING TRANSPORATION'!$V$96</definedName>
    <definedName name="rockbolt_25" localSheetId="40">'[10]RATES INCLUDING TRANSPORATION'!$V$96</definedName>
    <definedName name="rockbolt_25" localSheetId="36">'[10]RATES INCLUDING TRANSPORATION'!$V$96</definedName>
    <definedName name="rockbolt_25" localSheetId="20">'[10]RATES INCLUDING TRANSPORATION'!$V$96</definedName>
    <definedName name="rockbolt_25" localSheetId="21">'[10]RATES INCLUDING TRANSPORATION'!$V$96</definedName>
    <definedName name="rockbolt_25" localSheetId="33">'[10]RATES INCLUDING TRANSPORATION'!$V$96</definedName>
    <definedName name="rockbolt_25" localSheetId="18">'[10]RATES INCLUDING TRANSPORATION'!$V$96</definedName>
    <definedName name="rockbolt_25" localSheetId="19">'[10]RATES INCLUDING TRANSPORATION'!$V$96</definedName>
    <definedName name="rockbolt_25" localSheetId="34">'[10]RATES INCLUDING TRANSPORATION'!$V$96</definedName>
    <definedName name="rockbolt_25" localSheetId="69">'[10]RATES INCLUDING TRANSPORATION'!$V$96</definedName>
    <definedName name="rockbolt_25" localSheetId="68">'[10]RATES INCLUDING TRANSPORATION'!$V$96</definedName>
    <definedName name="rockbolt_25" localSheetId="38">'[10]RATES INCLUDING TRANSPORATION'!$V$96</definedName>
    <definedName name="rockbolt_25" localSheetId="65">'[10]RATES INCLUDING TRANSPORATION'!$V$96</definedName>
    <definedName name="rockbolt_25" localSheetId="66">'[10]RATES INCLUDING TRANSPORATION'!$V$96</definedName>
    <definedName name="rockbolt_25" localSheetId="67">'[10]RATES INCLUDING TRANSPORATION'!$V$96</definedName>
    <definedName name="rockbolt_25" localSheetId="42">'[10]RATES INCLUDING TRANSPORATION'!$V$96</definedName>
    <definedName name="rockbolt_32" localSheetId="35">'[10]RATES INCLUDING TRANSPORATION'!$V$97</definedName>
    <definedName name="rockbolt_32" localSheetId="37">'[10]RATES INCLUDING TRANSPORATION'!$V$97</definedName>
    <definedName name="rockbolt_32" localSheetId="17">'[10]RATES INCLUDING TRANSPORATION'!$V$97</definedName>
    <definedName name="rockbolt_32" localSheetId="47">#REF!</definedName>
    <definedName name="rockbolt_32" localSheetId="41">'[10]RATES INCLUDING TRANSPORATION'!$V$97</definedName>
    <definedName name="rockbolt_32" localSheetId="39">'[10]RATES INCLUDING TRANSPORATION'!$V$97</definedName>
    <definedName name="rockbolt_32" localSheetId="40">'[10]RATES INCLUDING TRANSPORATION'!$V$97</definedName>
    <definedName name="rockbolt_32" localSheetId="36">'[10]RATES INCLUDING TRANSPORATION'!$V$97</definedName>
    <definedName name="rockbolt_32" localSheetId="20">'[10]RATES INCLUDING TRANSPORATION'!$V$97</definedName>
    <definedName name="rockbolt_32" localSheetId="21">'[10]RATES INCLUDING TRANSPORATION'!$V$97</definedName>
    <definedName name="rockbolt_32" localSheetId="33">'[10]RATES INCLUDING TRANSPORATION'!$V$97</definedName>
    <definedName name="rockbolt_32" localSheetId="18">'[10]RATES INCLUDING TRANSPORATION'!$V$97</definedName>
    <definedName name="rockbolt_32" localSheetId="19">'[10]RATES INCLUDING TRANSPORATION'!$V$97</definedName>
    <definedName name="rockbolt_32" localSheetId="34">'[10]RATES INCLUDING TRANSPORATION'!$V$97</definedName>
    <definedName name="rockbolt_32" localSheetId="69">'[10]RATES INCLUDING TRANSPORATION'!$V$97</definedName>
    <definedName name="rockbolt_32" localSheetId="68">'[10]RATES INCLUDING TRANSPORATION'!$V$97</definedName>
    <definedName name="rockbolt_32" localSheetId="38">'[10]RATES INCLUDING TRANSPORATION'!$V$97</definedName>
    <definedName name="rockbolt_32" localSheetId="65">'[10]RATES INCLUDING TRANSPORATION'!$V$97</definedName>
    <definedName name="rockbolt_32" localSheetId="66">'[10]RATES INCLUDING TRANSPORATION'!$V$97</definedName>
    <definedName name="rockbolt_32" localSheetId="67">'[10]RATES INCLUDING TRANSPORATION'!$V$97</definedName>
    <definedName name="rockbolt_32" localSheetId="42">'[10]RATES INCLUDING TRANSPORATION'!$V$97</definedName>
    <definedName name="rockdriller_pneumatic" localSheetId="35">'[10]Basic Rates'!$D$157</definedName>
    <definedName name="rockdriller_pneumatic" localSheetId="37">'[10]Basic Rates'!$D$157</definedName>
    <definedName name="rockdriller_pneumatic" localSheetId="17">'[10]Basic Rates'!$D$157</definedName>
    <definedName name="rockdriller_pneumatic" localSheetId="47">#REF!</definedName>
    <definedName name="rockdriller_pneumatic" localSheetId="41">'[10]Basic Rates'!$D$157</definedName>
    <definedName name="rockdriller_pneumatic" localSheetId="39">'[10]Basic Rates'!$D$157</definedName>
    <definedName name="rockdriller_pneumatic" localSheetId="40">'[10]Basic Rates'!$D$157</definedName>
    <definedName name="rockdriller_pneumatic" localSheetId="36">'[10]Basic Rates'!$D$157</definedName>
    <definedName name="rockdriller_pneumatic" localSheetId="20">'[10]Basic Rates'!$D$157</definedName>
    <definedName name="rockdriller_pneumatic" localSheetId="21">'[10]Basic Rates'!$D$157</definedName>
    <definedName name="rockdriller_pneumatic" localSheetId="33">'[10]Basic Rates'!$D$157</definedName>
    <definedName name="rockdriller_pneumatic" localSheetId="18">'[10]Basic Rates'!$D$157</definedName>
    <definedName name="rockdriller_pneumatic" localSheetId="19">'[10]Basic Rates'!$D$157</definedName>
    <definedName name="rockdriller_pneumatic" localSheetId="34">'[10]Basic Rates'!$D$157</definedName>
    <definedName name="rockdriller_pneumatic" localSheetId="69">'[10]Basic Rates'!$D$157</definedName>
    <definedName name="rockdriller_pneumatic" localSheetId="68">'[10]Basic Rates'!$D$157</definedName>
    <definedName name="rockdriller_pneumatic" localSheetId="38">'[10]Basic Rates'!$D$157</definedName>
    <definedName name="rockdriller_pneumatic" localSheetId="65">'[10]Basic Rates'!$D$157</definedName>
    <definedName name="rockdriller_pneumatic" localSheetId="66">'[10]Basic Rates'!$D$157</definedName>
    <definedName name="rockdriller_pneumatic" localSheetId="67">'[10]Basic Rates'!$D$157</definedName>
    <definedName name="rockdriller_pneumatic" localSheetId="42">'[10]Basic Rates'!$D$157</definedName>
    <definedName name="roctrap">'[35]basic-rates at project site'!$F$23</definedName>
    <definedName name="roller_steel" localSheetId="35">'[10]Basic Rates'!$D$154</definedName>
    <definedName name="roller_steel" localSheetId="37">'[10]Basic Rates'!$D$154</definedName>
    <definedName name="roller_steel" localSheetId="17">'[10]Basic Rates'!$D$154</definedName>
    <definedName name="roller_steel" localSheetId="47">#REF!</definedName>
    <definedName name="roller_steel" localSheetId="41">'[10]Basic Rates'!$D$154</definedName>
    <definedName name="roller_steel" localSheetId="39">'[10]Basic Rates'!$D$154</definedName>
    <definedName name="roller_steel" localSheetId="40">'[10]Basic Rates'!$D$154</definedName>
    <definedName name="roller_steel" localSheetId="36">'[10]Basic Rates'!$D$154</definedName>
    <definedName name="roller_steel" localSheetId="20">'[10]Basic Rates'!$D$154</definedName>
    <definedName name="roller_steel" localSheetId="21">'[10]Basic Rates'!$D$154</definedName>
    <definedName name="roller_steel" localSheetId="33">'[10]Basic Rates'!$D$154</definedName>
    <definedName name="roller_steel" localSheetId="18">'[10]Basic Rates'!$D$154</definedName>
    <definedName name="roller_steel" localSheetId="19">'[10]Basic Rates'!$D$154</definedName>
    <definedName name="roller_steel" localSheetId="34">'[10]Basic Rates'!$D$154</definedName>
    <definedName name="roller_steel" localSheetId="69">'[10]Basic Rates'!$D$154</definedName>
    <definedName name="roller_steel" localSheetId="68">'[10]Basic Rates'!$D$154</definedName>
    <definedName name="roller_steel" localSheetId="38">'[10]Basic Rates'!$D$154</definedName>
    <definedName name="roller_steel" localSheetId="65">'[10]Basic Rates'!$D$154</definedName>
    <definedName name="roller_steel" localSheetId="66">'[10]Basic Rates'!$D$154</definedName>
    <definedName name="roller_steel" localSheetId="67">'[10]Basic Rates'!$D$154</definedName>
    <definedName name="roller_steel" localSheetId="42">'[10]Basic Rates'!$D$154</definedName>
    <definedName name="s" localSheetId="78">#REF!</definedName>
    <definedName name="s" localSheetId="1">#REF!</definedName>
    <definedName name="s" localSheetId="57">#REF!</definedName>
    <definedName name="s" localSheetId="23">#REF!</definedName>
    <definedName name="s" localSheetId="47">#REF!</definedName>
    <definedName name="s" localSheetId="58">#REF!</definedName>
    <definedName name="s" localSheetId="0">#REF!</definedName>
    <definedName name="s" localSheetId="52">#REF!</definedName>
    <definedName name="s" localSheetId="61">#REF!</definedName>
    <definedName name="sand" localSheetId="35">'[8]RATES INCLUDING TRANSPORATION'!$V$19</definedName>
    <definedName name="sand" localSheetId="37">'[8]RATES INCLUDING TRANSPORATION'!$V$19</definedName>
    <definedName name="sand" localSheetId="57">'[8]RATES INCLUDING TRANSPORATION'!$V$19</definedName>
    <definedName name="sand" localSheetId="23">'[8]RATES INCLUDING TRANSPORATION'!$V$19</definedName>
    <definedName name="sand" localSheetId="27">'[8]RATES INCLUDING TRANSPORATION'!$V$19</definedName>
    <definedName name="sand" localSheetId="17">'[8]RATES INCLUDING TRANSPORATION'!$V$19</definedName>
    <definedName name="sand" localSheetId="41">'[8]RATES INCLUDING TRANSPORATION'!$V$19</definedName>
    <definedName name="sand" localSheetId="39">'[8]RATES INCLUDING TRANSPORATION'!$V$19</definedName>
    <definedName name="sand" localSheetId="40">'[8]RATES INCLUDING TRANSPORATION'!$V$19</definedName>
    <definedName name="sand" localSheetId="36">'[8]RATES INCLUDING TRANSPORATION'!$V$19</definedName>
    <definedName name="sand" localSheetId="20">'[8]RATES INCLUDING TRANSPORATION'!$V$19</definedName>
    <definedName name="sand" localSheetId="21">'[8]RATES INCLUDING TRANSPORATION'!$V$19</definedName>
    <definedName name="sand" localSheetId="33">'[8]RATES INCLUDING TRANSPORATION'!$V$19</definedName>
    <definedName name="sand" localSheetId="18">'[8]RATES INCLUDING TRANSPORATION'!$V$19</definedName>
    <definedName name="sand" localSheetId="26">'[8]RATES INCLUDING TRANSPORATION'!$V$19</definedName>
    <definedName name="sand" localSheetId="13">'[8]RATES INCLUDING TRANSPORATION'!$V$19</definedName>
    <definedName name="sand" localSheetId="14">'[8]RATES INCLUDING TRANSPORATION'!$V$19</definedName>
    <definedName name="sand" localSheetId="19">'[8]RATES INCLUDING TRANSPORATION'!$V$19</definedName>
    <definedName name="sand" localSheetId="34">'[8]RATES INCLUDING TRANSPORATION'!$V$19</definedName>
    <definedName name="sand" localSheetId="69">'[8]RATES INCLUDING TRANSPORATION'!$V$19</definedName>
    <definedName name="sand" localSheetId="68">'[8]RATES INCLUDING TRANSPORATION'!$V$19</definedName>
    <definedName name="sand" localSheetId="51">#REF!</definedName>
    <definedName name="sand" localSheetId="38">'[8]RATES INCLUDING TRANSPORATION'!$V$19</definedName>
    <definedName name="sand" localSheetId="71">'[8]RATES INCLUDING TRANSPORATION'!$V$19</definedName>
    <definedName name="sand" localSheetId="65">'[8]RATES INCLUDING TRANSPORATION'!$V$19</definedName>
    <definedName name="sand" localSheetId="66">'[8]RATES INCLUDING TRANSPORATION'!$V$19</definedName>
    <definedName name="sand" localSheetId="67">'[8]RATES INCLUDING TRANSPORATION'!$V$19</definedName>
    <definedName name="sand" localSheetId="42">'[8]RATES INCLUDING TRANSPORATION'!$V$19</definedName>
    <definedName name="sand">'[9]RATES INCLUDING TRANSPORATION'!$V$19</definedName>
    <definedName name="Sccheck">[36]Calculations!$S$27</definedName>
    <definedName name="screw" localSheetId="35">'[10]RATES INCLUDING TRANSPORATION'!$V$41</definedName>
    <definedName name="screw" localSheetId="37">'[10]RATES INCLUDING TRANSPORATION'!$V$41</definedName>
    <definedName name="screw" localSheetId="17">'[10]RATES INCLUDING TRANSPORATION'!$V$41</definedName>
    <definedName name="screw" localSheetId="47">#REF!</definedName>
    <definedName name="screw" localSheetId="41">'[10]RATES INCLUDING TRANSPORATION'!$V$41</definedName>
    <definedName name="screw" localSheetId="39">'[10]RATES INCLUDING TRANSPORATION'!$V$41</definedName>
    <definedName name="screw" localSheetId="40">'[10]RATES INCLUDING TRANSPORATION'!$V$41</definedName>
    <definedName name="screw" localSheetId="36">'[10]RATES INCLUDING TRANSPORATION'!$V$41</definedName>
    <definedName name="screw" localSheetId="20">'[10]RATES INCLUDING TRANSPORATION'!$V$41</definedName>
    <definedName name="screw" localSheetId="21">'[10]RATES INCLUDING TRANSPORATION'!$V$41</definedName>
    <definedName name="screw" localSheetId="33">'[10]RATES INCLUDING TRANSPORATION'!$V$41</definedName>
    <definedName name="screw" localSheetId="18">'[10]RATES INCLUDING TRANSPORATION'!$V$41</definedName>
    <definedName name="screw" localSheetId="19">'[10]RATES INCLUDING TRANSPORATION'!$V$41</definedName>
    <definedName name="screw" localSheetId="34">'[10]RATES INCLUDING TRANSPORATION'!$V$41</definedName>
    <definedName name="screw" localSheetId="69">'[10]RATES INCLUDING TRANSPORATION'!$V$41</definedName>
    <definedName name="screw" localSheetId="68">'[10]RATES INCLUDING TRANSPORATION'!$V$41</definedName>
    <definedName name="screw" localSheetId="38">'[10]RATES INCLUDING TRANSPORATION'!$V$41</definedName>
    <definedName name="screw" localSheetId="65">'[10]RATES INCLUDING TRANSPORATION'!$V$41</definedName>
    <definedName name="screw" localSheetId="66">'[10]RATES INCLUDING TRANSPORATION'!$V$41</definedName>
    <definedName name="screw" localSheetId="67">'[10]RATES INCLUDING TRANSPORATION'!$V$41</definedName>
    <definedName name="screw" localSheetId="42">'[10]RATES INCLUDING TRANSPORATION'!$V$41</definedName>
    <definedName name="sencount" hidden="1">1</definedName>
    <definedName name="Shotcrete_boomtruck" localSheetId="35">'[8]Basic Rates'!$D$154</definedName>
    <definedName name="Shotcrete_boomtruck" localSheetId="37">'[8]Basic Rates'!$D$154</definedName>
    <definedName name="Shotcrete_boomtruck" localSheetId="57">'[8]Basic Rates'!$D$154</definedName>
    <definedName name="Shotcrete_boomtruck" localSheetId="23">'[8]Basic Rates'!$D$154</definedName>
    <definedName name="Shotcrete_boomtruck" localSheetId="27">'[8]Basic Rates'!$D$154</definedName>
    <definedName name="Shotcrete_boomtruck" localSheetId="17">'[8]Basic Rates'!$D$154</definedName>
    <definedName name="Shotcrete_boomtruck" localSheetId="41">'[8]Basic Rates'!$D$154</definedName>
    <definedName name="Shotcrete_boomtruck" localSheetId="39">'[8]Basic Rates'!$D$154</definedName>
    <definedName name="Shotcrete_boomtruck" localSheetId="40">'[8]Basic Rates'!$D$154</definedName>
    <definedName name="Shotcrete_boomtruck" localSheetId="36">'[8]Basic Rates'!$D$154</definedName>
    <definedName name="Shotcrete_boomtruck" localSheetId="20">'[8]Basic Rates'!$D$154</definedName>
    <definedName name="Shotcrete_boomtruck" localSheetId="21">'[8]Basic Rates'!$D$154</definedName>
    <definedName name="Shotcrete_boomtruck" localSheetId="33">'[8]Basic Rates'!$D$154</definedName>
    <definedName name="Shotcrete_boomtruck" localSheetId="18">'[8]Basic Rates'!$D$154</definedName>
    <definedName name="Shotcrete_boomtruck" localSheetId="26">'[8]Basic Rates'!$D$154</definedName>
    <definedName name="Shotcrete_boomtruck" localSheetId="13">'[8]Basic Rates'!$D$154</definedName>
    <definedName name="Shotcrete_boomtruck" localSheetId="14">'[8]Basic Rates'!$D$154</definedName>
    <definedName name="Shotcrete_boomtruck" localSheetId="19">'[8]Basic Rates'!$D$154</definedName>
    <definedName name="Shotcrete_boomtruck" localSheetId="34">'[8]Basic Rates'!$D$154</definedName>
    <definedName name="Shotcrete_boomtruck" localSheetId="69">'[8]Basic Rates'!$D$154</definedName>
    <definedName name="Shotcrete_boomtruck" localSheetId="68">'[8]Basic Rates'!$D$154</definedName>
    <definedName name="Shotcrete_boomtruck" localSheetId="51">#REF!</definedName>
    <definedName name="Shotcrete_boomtruck" localSheetId="38">'[8]Basic Rates'!$D$154</definedName>
    <definedName name="Shotcrete_boomtruck" localSheetId="71">'[8]Basic Rates'!$D$154</definedName>
    <definedName name="Shotcrete_boomtruck" localSheetId="65">'[8]Basic Rates'!$D$154</definedName>
    <definedName name="Shotcrete_boomtruck" localSheetId="66">'[8]Basic Rates'!$D$154</definedName>
    <definedName name="Shotcrete_boomtruck" localSheetId="67">'[8]Basic Rates'!$D$154</definedName>
    <definedName name="Shotcrete_boomtruck" localSheetId="42">'[8]Basic Rates'!$D$154</definedName>
    <definedName name="Shotcrete_boomtruck">'[9]Basic Rates'!$D$154</definedName>
    <definedName name="side_slope">'[3]Forebay Design'!$D$58</definedName>
    <definedName name="silica_fumes" localSheetId="35">'[8]RATES INCLUDING TRANSPORATION'!$V$41</definedName>
    <definedName name="silica_fumes" localSheetId="37">'[8]RATES INCLUDING TRANSPORATION'!$V$41</definedName>
    <definedName name="silica_fumes" localSheetId="57">'[8]RATES INCLUDING TRANSPORATION'!$V$41</definedName>
    <definedName name="silica_fumes" localSheetId="23">'[8]RATES INCLUDING TRANSPORATION'!$V$41</definedName>
    <definedName name="silica_fumes" localSheetId="27">'[8]RATES INCLUDING TRANSPORATION'!$V$41</definedName>
    <definedName name="silica_fumes" localSheetId="17">'[8]RATES INCLUDING TRANSPORATION'!$V$41</definedName>
    <definedName name="silica_fumes" localSheetId="41">'[8]RATES INCLUDING TRANSPORATION'!$V$41</definedName>
    <definedName name="silica_fumes" localSheetId="39">'[8]RATES INCLUDING TRANSPORATION'!$V$41</definedName>
    <definedName name="silica_fumes" localSheetId="40">'[8]RATES INCLUDING TRANSPORATION'!$V$41</definedName>
    <definedName name="silica_fumes" localSheetId="36">'[8]RATES INCLUDING TRANSPORATION'!$V$41</definedName>
    <definedName name="silica_fumes" localSheetId="20">'[8]RATES INCLUDING TRANSPORATION'!$V$41</definedName>
    <definedName name="silica_fumes" localSheetId="21">'[8]RATES INCLUDING TRANSPORATION'!$V$41</definedName>
    <definedName name="silica_fumes" localSheetId="33">'[8]RATES INCLUDING TRANSPORATION'!$V$41</definedName>
    <definedName name="silica_fumes" localSheetId="18">'[8]RATES INCLUDING TRANSPORATION'!$V$41</definedName>
    <definedName name="silica_fumes" localSheetId="26">'[8]RATES INCLUDING TRANSPORATION'!$V$41</definedName>
    <definedName name="silica_fumes" localSheetId="13">'[8]RATES INCLUDING TRANSPORATION'!$V$41</definedName>
    <definedName name="silica_fumes" localSheetId="14">'[8]RATES INCLUDING TRANSPORATION'!$V$41</definedName>
    <definedName name="silica_fumes" localSheetId="19">'[8]RATES INCLUDING TRANSPORATION'!$V$41</definedName>
    <definedName name="silica_fumes" localSheetId="34">'[8]RATES INCLUDING TRANSPORATION'!$V$41</definedName>
    <definedName name="silica_fumes" localSheetId="69">'[8]RATES INCLUDING TRANSPORATION'!$V$41</definedName>
    <definedName name="silica_fumes" localSheetId="68">'[8]RATES INCLUDING TRANSPORATION'!$V$41</definedName>
    <definedName name="silica_fumes" localSheetId="51">#REF!</definedName>
    <definedName name="silica_fumes" localSheetId="38">'[8]RATES INCLUDING TRANSPORATION'!$V$41</definedName>
    <definedName name="silica_fumes" localSheetId="71">'[8]RATES INCLUDING TRANSPORATION'!$V$41</definedName>
    <definedName name="silica_fumes" localSheetId="65">'[8]RATES INCLUDING TRANSPORATION'!$V$41</definedName>
    <definedName name="silica_fumes" localSheetId="66">'[8]RATES INCLUDING TRANSPORATION'!$V$41</definedName>
    <definedName name="silica_fumes" localSheetId="67">'[8]RATES INCLUDING TRANSPORATION'!$V$41</definedName>
    <definedName name="silica_fumes" localSheetId="42">'[8]RATES INCLUDING TRANSPORATION'!$V$41</definedName>
    <definedName name="silica_fumes">'[9]RATES INCLUDING TRANSPORATION'!$V$41</definedName>
    <definedName name="Simulated_Discharge" localSheetId="35">'[6]Energy_INPUT&amp;OUTPUT'!$B$8</definedName>
    <definedName name="Simulated_Discharge" localSheetId="37">'[6]Energy_INPUT&amp;OUTPUT'!$B$8</definedName>
    <definedName name="Simulated_Discharge" localSheetId="57">'[6]Energy_INPUT&amp;OUTPUT'!$B$8</definedName>
    <definedName name="Simulated_Discharge" localSheetId="23">'[6]Energy_INPUT&amp;OUTPUT'!$B$8</definedName>
    <definedName name="Simulated_Discharge" localSheetId="27">'[6]Energy_INPUT&amp;OUTPUT'!$B$8</definedName>
    <definedName name="Simulated_Discharge" localSheetId="17">'[6]Energy_INPUT&amp;OUTPUT'!$B$8</definedName>
    <definedName name="Simulated_Discharge" localSheetId="41">'[6]Energy_INPUT&amp;OUTPUT'!$B$8</definedName>
    <definedName name="Simulated_Discharge" localSheetId="39">'[6]Energy_INPUT&amp;OUTPUT'!$B$8</definedName>
    <definedName name="Simulated_Discharge" localSheetId="40">'[6]Energy_INPUT&amp;OUTPUT'!$B$8</definedName>
    <definedName name="Simulated_Discharge" localSheetId="36">'[6]Energy_INPUT&amp;OUTPUT'!$B$8</definedName>
    <definedName name="Simulated_Discharge" localSheetId="20">'[6]Energy_INPUT&amp;OUTPUT'!$B$8</definedName>
    <definedName name="Simulated_Discharge" localSheetId="21">'[6]Energy_INPUT&amp;OUTPUT'!$B$8</definedName>
    <definedName name="Simulated_Discharge" localSheetId="33">'[6]Energy_INPUT&amp;OUTPUT'!$B$8</definedName>
    <definedName name="Simulated_Discharge" localSheetId="18">'[6]Energy_INPUT&amp;OUTPUT'!$B$8</definedName>
    <definedName name="Simulated_Discharge" localSheetId="26">'[6]Energy_INPUT&amp;OUTPUT'!$B$8</definedName>
    <definedName name="Simulated_Discharge" localSheetId="13">'[6]Energy_INPUT&amp;OUTPUT'!$B$8</definedName>
    <definedName name="Simulated_Discharge" localSheetId="14">'[6]Energy_INPUT&amp;OUTPUT'!$B$8</definedName>
    <definedName name="Simulated_Discharge" localSheetId="19">'[6]Energy_INPUT&amp;OUTPUT'!$B$8</definedName>
    <definedName name="Simulated_Discharge" localSheetId="34">'[6]Energy_INPUT&amp;OUTPUT'!$B$8</definedName>
    <definedName name="Simulated_Discharge" localSheetId="69">'[6]Energy_INPUT&amp;OUTPUT'!$B$8</definedName>
    <definedName name="Simulated_Discharge" localSheetId="68">'[6]Energy_INPUT&amp;OUTPUT'!$B$8</definedName>
    <definedName name="Simulated_Discharge" localSheetId="38">'[6]Energy_INPUT&amp;OUTPUT'!$B$8</definedName>
    <definedName name="Simulated_Discharge" localSheetId="71">'[6]Energy_INPUT&amp;OUTPUT'!$B$8</definedName>
    <definedName name="Simulated_Discharge" localSheetId="65">'[6]Energy_INPUT&amp;OUTPUT'!$B$8</definedName>
    <definedName name="Simulated_Discharge" localSheetId="66">'[6]Energy_INPUT&amp;OUTPUT'!$B$8</definedName>
    <definedName name="Simulated_Discharge" localSheetId="67">'[6]Energy_INPUT&amp;OUTPUT'!$B$8</definedName>
    <definedName name="Simulated_Discharge" localSheetId="42">'[6]Energy_INPUT&amp;OUTPUT'!$B$8</definedName>
    <definedName name="Simulated_Discharge">'[7]Energy_INPUT&amp;OUTPUT'!$B$8</definedName>
    <definedName name="SlopeCanal" localSheetId="78">#REF!</definedName>
    <definedName name="SlopeCanal" localSheetId="1">#REF!</definedName>
    <definedName name="SlopeCanal" localSheetId="57">#REF!</definedName>
    <definedName name="SlopeCanal" localSheetId="23">#REF!</definedName>
    <definedName name="SlopeCanal" localSheetId="47">#REF!</definedName>
    <definedName name="SlopeCanal" localSheetId="58">#REF!</definedName>
    <definedName name="SlopeCanal" localSheetId="0">#REF!</definedName>
    <definedName name="SlopeCanal" localSheetId="52">#REF!</definedName>
    <definedName name="SlopeCanal" localSheetId="61">#REF!</definedName>
    <definedName name="snowcem" localSheetId="35">'[10]RATES INCLUDING TRANSPORATION'!$V$67</definedName>
    <definedName name="snowcem" localSheetId="37">'[10]RATES INCLUDING TRANSPORATION'!$V$67</definedName>
    <definedName name="snowcem" localSheetId="17">'[10]RATES INCLUDING TRANSPORATION'!$V$67</definedName>
    <definedName name="snowcem" localSheetId="47">#REF!</definedName>
    <definedName name="snowcem" localSheetId="41">'[10]RATES INCLUDING TRANSPORATION'!$V$67</definedName>
    <definedName name="snowcem" localSheetId="39">'[10]RATES INCLUDING TRANSPORATION'!$V$67</definedName>
    <definedName name="snowcem" localSheetId="40">'[10]RATES INCLUDING TRANSPORATION'!$V$67</definedName>
    <definedName name="snowcem" localSheetId="36">'[10]RATES INCLUDING TRANSPORATION'!$V$67</definedName>
    <definedName name="snowcem" localSheetId="20">'[10]RATES INCLUDING TRANSPORATION'!$V$67</definedName>
    <definedName name="snowcem" localSheetId="21">'[10]RATES INCLUDING TRANSPORATION'!$V$67</definedName>
    <definedName name="snowcem" localSheetId="33">'[10]RATES INCLUDING TRANSPORATION'!$V$67</definedName>
    <definedName name="snowcem" localSheetId="18">'[10]RATES INCLUDING TRANSPORATION'!$V$67</definedName>
    <definedName name="snowcem" localSheetId="19">'[10]RATES INCLUDING TRANSPORATION'!$V$67</definedName>
    <definedName name="snowcem" localSheetId="34">'[10]RATES INCLUDING TRANSPORATION'!$V$67</definedName>
    <definedName name="snowcem" localSheetId="69">'[10]RATES INCLUDING TRANSPORATION'!$V$67</definedName>
    <definedName name="snowcem" localSheetId="68">'[10]RATES INCLUDING TRANSPORATION'!$V$67</definedName>
    <definedName name="snowcem" localSheetId="38">'[10]RATES INCLUDING TRANSPORATION'!$V$67</definedName>
    <definedName name="snowcem" localSheetId="65">'[10]RATES INCLUDING TRANSPORATION'!$V$67</definedName>
    <definedName name="snowcem" localSheetId="66">'[10]RATES INCLUDING TRANSPORATION'!$V$67</definedName>
    <definedName name="snowcem" localSheetId="67">'[10]RATES INCLUDING TRANSPORATION'!$V$67</definedName>
    <definedName name="snowcem" localSheetId="42">'[10]RATES INCLUDING TRANSPORATION'!$V$67</definedName>
    <definedName name="soil_bearing" localSheetId="78">#REF!</definedName>
    <definedName name="soil_bearing" localSheetId="1">#REF!</definedName>
    <definedName name="soil_bearing" localSheetId="57">#REF!</definedName>
    <definedName name="soil_bearing" localSheetId="23">#REF!</definedName>
    <definedName name="soil_bearing" localSheetId="47">#REF!</definedName>
    <definedName name="soil_bearing" localSheetId="58">#REF!</definedName>
    <definedName name="soil_bearing" localSheetId="0">#REF!</definedName>
    <definedName name="soil_bearing" localSheetId="52">#REF!</definedName>
    <definedName name="soil_bearing" localSheetId="61">#REF!</definedName>
    <definedName name="solver_adj" localSheetId="26" hidden="1">'[37]subs weir(100)'!$G$97</definedName>
    <definedName name="solver_adj" localSheetId="13" hidden="1">'[37]subs weir(100)'!$G$97</definedName>
    <definedName name="solver_adj" localSheetId="71" hidden="1">'[38]subs weir(100)'!$G$97</definedName>
    <definedName name="solver_adj" hidden="1">'[37]subs weir(100)'!$G$97</definedName>
    <definedName name="solver_cvg" hidden="1">0.0001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26" hidden="1">'[37]subs weir(100)'!$G$98</definedName>
    <definedName name="solver_opt" localSheetId="13" hidden="1">'[37]subs weir(100)'!$G$98</definedName>
    <definedName name="solver_opt" localSheetId="71" hidden="1">'[38]subs weir(100)'!$G$98</definedName>
    <definedName name="solver_opt" hidden="1">'[37]subs weir(100)'!$G$98</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pan" localSheetId="78">#REF!</definedName>
    <definedName name="Span" localSheetId="1">#REF!</definedName>
    <definedName name="Span" localSheetId="57">#REF!</definedName>
    <definedName name="Span" localSheetId="23">#REF!</definedName>
    <definedName name="Span" localSheetId="47">#REF!</definedName>
    <definedName name="Span" localSheetId="58">#REF!</definedName>
    <definedName name="Span" localSheetId="0">#REF!</definedName>
    <definedName name="Span" localSheetId="52">#REF!</definedName>
    <definedName name="Span" localSheetId="61">#REF!</definedName>
    <definedName name="sqft">[39]Transportation!$AA$7</definedName>
    <definedName name="sr" localSheetId="35">'[19]Basic Rates'!$D$24</definedName>
    <definedName name="sr" localSheetId="37">'[19]Basic Rates'!$D$24</definedName>
    <definedName name="sr" localSheetId="57">'[19]Basic Rates'!$D$24</definedName>
    <definedName name="sr" localSheetId="23">'[19]Basic Rates'!$D$24</definedName>
    <definedName name="sr" localSheetId="27">'[19]Basic Rates'!$D$24</definedName>
    <definedName name="sr" localSheetId="17">'[19]Basic Rates'!$D$24</definedName>
    <definedName name="sr" localSheetId="41">'[19]Basic Rates'!$D$24</definedName>
    <definedName name="sr" localSheetId="39">'[19]Basic Rates'!$D$24</definedName>
    <definedName name="sr" localSheetId="40">'[19]Basic Rates'!$D$24</definedName>
    <definedName name="sr" localSheetId="36">'[19]Basic Rates'!$D$24</definedName>
    <definedName name="sr" localSheetId="20">'[19]Basic Rates'!$D$24</definedName>
    <definedName name="sr" localSheetId="21">'[19]Basic Rates'!$D$24</definedName>
    <definedName name="sr" localSheetId="33">'[19]Basic Rates'!$D$24</definedName>
    <definedName name="sr" localSheetId="18">'[19]Basic Rates'!$D$24</definedName>
    <definedName name="sr" localSheetId="26">'[19]Basic Rates'!$D$24</definedName>
    <definedName name="sr" localSheetId="13">'[19]Basic Rates'!$D$24</definedName>
    <definedName name="sr" localSheetId="14">'[19]Basic Rates'!$D$24</definedName>
    <definedName name="sr" localSheetId="19">'[19]Basic Rates'!$D$24</definedName>
    <definedName name="sr" localSheetId="34">'[19]Basic Rates'!$D$24</definedName>
    <definedName name="sr" localSheetId="69">'[19]Basic Rates'!$D$24</definedName>
    <definedName name="sr" localSheetId="68">'[19]Basic Rates'!$D$24</definedName>
    <definedName name="sr" localSheetId="51">#REF!</definedName>
    <definedName name="sr" localSheetId="38">'[19]Basic Rates'!$D$24</definedName>
    <definedName name="sr" localSheetId="71">'[19]Basic Rates'!$D$24</definedName>
    <definedName name="sr" localSheetId="65">'[19]Basic Rates'!$D$24</definedName>
    <definedName name="sr" localSheetId="66">'[19]Basic Rates'!$D$24</definedName>
    <definedName name="sr" localSheetId="67">'[19]Basic Rates'!$D$24</definedName>
    <definedName name="sr" localSheetId="42">'[19]Basic Rates'!$D$24</definedName>
    <definedName name="sr">'[20]Basic Rates'!$D$24</definedName>
    <definedName name="stone" localSheetId="35">'[10]RATES INCLUDING TRANSPORATION'!$V$20</definedName>
    <definedName name="stone" localSheetId="37">'[10]RATES INCLUDING TRANSPORATION'!$V$20</definedName>
    <definedName name="stone" localSheetId="17">'[10]RATES INCLUDING TRANSPORATION'!$V$20</definedName>
    <definedName name="stone" localSheetId="47">#REF!</definedName>
    <definedName name="stone" localSheetId="41">'[10]RATES INCLUDING TRANSPORATION'!$V$20</definedName>
    <definedName name="stone" localSheetId="39">'[10]RATES INCLUDING TRANSPORATION'!$V$20</definedName>
    <definedName name="stone" localSheetId="40">'[10]RATES INCLUDING TRANSPORATION'!$V$20</definedName>
    <definedName name="stone" localSheetId="36">'[10]RATES INCLUDING TRANSPORATION'!$V$20</definedName>
    <definedName name="stone" localSheetId="20">'[10]RATES INCLUDING TRANSPORATION'!$V$20</definedName>
    <definedName name="stone" localSheetId="21">'[10]RATES INCLUDING TRANSPORATION'!$V$20</definedName>
    <definedName name="stone" localSheetId="33">'[10]RATES INCLUDING TRANSPORATION'!$V$20</definedName>
    <definedName name="stone" localSheetId="18">'[10]RATES INCLUDING TRANSPORATION'!$V$20</definedName>
    <definedName name="stone" localSheetId="19">'[10]RATES INCLUDING TRANSPORATION'!$V$20</definedName>
    <definedName name="stone" localSheetId="34">'[10]RATES INCLUDING TRANSPORATION'!$V$20</definedName>
    <definedName name="stone" localSheetId="69">'[10]RATES INCLUDING TRANSPORATION'!$V$20</definedName>
    <definedName name="stone" localSheetId="68">'[10]RATES INCLUDING TRANSPORATION'!$V$20</definedName>
    <definedName name="stone" localSheetId="38">'[10]RATES INCLUDING TRANSPORATION'!$V$20</definedName>
    <definedName name="stone" localSheetId="65">'[10]RATES INCLUDING TRANSPORATION'!$V$20</definedName>
    <definedName name="stone" localSheetId="66">'[10]RATES INCLUDING TRANSPORATION'!$V$20</definedName>
    <definedName name="stone" localSheetId="67">'[10]RATES INCLUDING TRANSPORATION'!$V$20</definedName>
    <definedName name="stone" localSheetId="42">'[10]RATES INCLUDING TRANSPORATION'!$V$20</definedName>
    <definedName name="structural_steel" localSheetId="35">'[10]RATES INCLUDING TRANSPORATION'!$V$32</definedName>
    <definedName name="structural_steel" localSheetId="37">'[10]RATES INCLUDING TRANSPORATION'!$V$32</definedName>
    <definedName name="structural_steel" localSheetId="17">'[10]RATES INCLUDING TRANSPORATION'!$V$32</definedName>
    <definedName name="structural_steel" localSheetId="47">#REF!</definedName>
    <definedName name="structural_steel" localSheetId="41">'[10]RATES INCLUDING TRANSPORATION'!$V$32</definedName>
    <definedName name="structural_steel" localSheetId="39">'[10]RATES INCLUDING TRANSPORATION'!$V$32</definedName>
    <definedName name="structural_steel" localSheetId="40">'[10]RATES INCLUDING TRANSPORATION'!$V$32</definedName>
    <definedName name="structural_steel" localSheetId="36">'[10]RATES INCLUDING TRANSPORATION'!$V$32</definedName>
    <definedName name="structural_steel" localSheetId="20">'[10]RATES INCLUDING TRANSPORATION'!$V$32</definedName>
    <definedName name="structural_steel" localSheetId="21">'[10]RATES INCLUDING TRANSPORATION'!$V$32</definedName>
    <definedName name="structural_steel" localSheetId="33">'[10]RATES INCLUDING TRANSPORATION'!$V$32</definedName>
    <definedName name="structural_steel" localSheetId="18">'[10]RATES INCLUDING TRANSPORATION'!$V$32</definedName>
    <definedName name="structural_steel" localSheetId="19">'[10]RATES INCLUDING TRANSPORATION'!$V$32</definedName>
    <definedName name="structural_steel" localSheetId="34">'[10]RATES INCLUDING TRANSPORATION'!$V$32</definedName>
    <definedName name="structural_steel" localSheetId="69">'[10]RATES INCLUDING TRANSPORATION'!$V$32</definedName>
    <definedName name="structural_steel" localSheetId="68">'[10]RATES INCLUDING TRANSPORATION'!$V$32</definedName>
    <definedName name="structural_steel" localSheetId="38">'[10]RATES INCLUDING TRANSPORATION'!$V$32</definedName>
    <definedName name="structural_steel" localSheetId="65">'[10]RATES INCLUDING TRANSPORATION'!$V$32</definedName>
    <definedName name="structural_steel" localSheetId="66">'[10]RATES INCLUDING TRANSPORATION'!$V$32</definedName>
    <definedName name="structural_steel" localSheetId="67">'[10]RATES INCLUDING TRANSPORATION'!$V$32</definedName>
    <definedName name="structural_steel" localSheetId="42">'[10]RATES INCLUDING TRANSPORATION'!$V$32</definedName>
    <definedName name="sup" localSheetId="35">'[8]Basic Rates'!$D$28</definedName>
    <definedName name="sup" localSheetId="37">'[8]Basic Rates'!$D$28</definedName>
    <definedName name="sup" localSheetId="57">'[8]Basic Rates'!$D$28</definedName>
    <definedName name="sup" localSheetId="23">'[8]Basic Rates'!$D$28</definedName>
    <definedName name="sup" localSheetId="27">'[8]Basic Rates'!$D$28</definedName>
    <definedName name="sup" localSheetId="17">'[8]Basic Rates'!$D$28</definedName>
    <definedName name="sup" localSheetId="41">'[8]Basic Rates'!$D$28</definedName>
    <definedName name="sup" localSheetId="39">'[8]Basic Rates'!$D$28</definedName>
    <definedName name="sup" localSheetId="40">'[8]Basic Rates'!$D$28</definedName>
    <definedName name="sup" localSheetId="36">'[8]Basic Rates'!$D$28</definedName>
    <definedName name="sup" localSheetId="20">'[8]Basic Rates'!$D$28</definedName>
    <definedName name="sup" localSheetId="21">'[8]Basic Rates'!$D$28</definedName>
    <definedName name="sup" localSheetId="33">'[8]Basic Rates'!$D$28</definedName>
    <definedName name="sup" localSheetId="18">'[8]Basic Rates'!$D$28</definedName>
    <definedName name="sup" localSheetId="26">'[8]Basic Rates'!$D$28</definedName>
    <definedName name="sup" localSheetId="13">'[8]Basic Rates'!$D$28</definedName>
    <definedName name="sup" localSheetId="14">'[8]Basic Rates'!$D$28</definedName>
    <definedName name="sup" localSheetId="19">'[8]Basic Rates'!$D$28</definedName>
    <definedName name="sup" localSheetId="34">'[8]Basic Rates'!$D$28</definedName>
    <definedName name="sup" localSheetId="69">'[8]Basic Rates'!$D$28</definedName>
    <definedName name="sup" localSheetId="68">'[8]Basic Rates'!$D$28</definedName>
    <definedName name="sup" localSheetId="51">#REF!</definedName>
    <definedName name="sup" localSheetId="38">'[8]Basic Rates'!$D$28</definedName>
    <definedName name="sup" localSheetId="71">'[8]Basic Rates'!$D$28</definedName>
    <definedName name="sup" localSheetId="65">'[8]Basic Rates'!$D$28</definedName>
    <definedName name="sup" localSheetId="66">'[8]Basic Rates'!$D$28</definedName>
    <definedName name="sup" localSheetId="67">'[8]Basic Rates'!$D$28</definedName>
    <definedName name="sup" localSheetId="42">'[8]Basic Rates'!$D$28</definedName>
    <definedName name="sup">'[9]Basic Rates'!$D$28</definedName>
    <definedName name="survey_equipments" localSheetId="35">'[8]Basic Rates'!$D$150</definedName>
    <definedName name="survey_equipments" localSheetId="37">'[8]Basic Rates'!$D$150</definedName>
    <definedName name="survey_equipments" localSheetId="57">'[8]Basic Rates'!$D$150</definedName>
    <definedName name="survey_equipments" localSheetId="23">'[8]Basic Rates'!$D$150</definedName>
    <definedName name="survey_equipments" localSheetId="27">'[8]Basic Rates'!$D$150</definedName>
    <definedName name="survey_equipments" localSheetId="17">'[8]Basic Rates'!$D$150</definedName>
    <definedName name="survey_equipments" localSheetId="41">'[8]Basic Rates'!$D$150</definedName>
    <definedName name="survey_equipments" localSheetId="39">'[8]Basic Rates'!$D$150</definedName>
    <definedName name="survey_equipments" localSheetId="40">'[8]Basic Rates'!$D$150</definedName>
    <definedName name="survey_equipments" localSheetId="36">'[8]Basic Rates'!$D$150</definedName>
    <definedName name="survey_equipments" localSheetId="20">'[8]Basic Rates'!$D$150</definedName>
    <definedName name="survey_equipments" localSheetId="21">'[8]Basic Rates'!$D$150</definedName>
    <definedName name="survey_equipments" localSheetId="33">'[8]Basic Rates'!$D$150</definedName>
    <definedName name="survey_equipments" localSheetId="18">'[8]Basic Rates'!$D$150</definedName>
    <definedName name="survey_equipments" localSheetId="26">'[8]Basic Rates'!$D$150</definedName>
    <definedName name="survey_equipments" localSheetId="13">'[8]Basic Rates'!$D$150</definedName>
    <definedName name="survey_equipments" localSheetId="14">'[8]Basic Rates'!$D$150</definedName>
    <definedName name="survey_equipments" localSheetId="19">'[8]Basic Rates'!$D$150</definedName>
    <definedName name="survey_equipments" localSheetId="34">'[8]Basic Rates'!$D$150</definedName>
    <definedName name="survey_equipments" localSheetId="69">'[8]Basic Rates'!$D$150</definedName>
    <definedName name="survey_equipments" localSheetId="68">'[8]Basic Rates'!$D$150</definedName>
    <definedName name="survey_equipments" localSheetId="51">#REF!</definedName>
    <definedName name="survey_equipments" localSheetId="38">'[8]Basic Rates'!$D$150</definedName>
    <definedName name="survey_equipments" localSheetId="71">'[8]Basic Rates'!$D$150</definedName>
    <definedName name="survey_equipments" localSheetId="65">'[8]Basic Rates'!$D$150</definedName>
    <definedName name="survey_equipments" localSheetId="66">'[8]Basic Rates'!$D$150</definedName>
    <definedName name="survey_equipments" localSheetId="67">'[8]Basic Rates'!$D$150</definedName>
    <definedName name="survey_equipments" localSheetId="42">'[8]Basic Rates'!$D$150</definedName>
    <definedName name="survey_equipments">'[9]Basic Rates'!$D$150</definedName>
    <definedName name="TailraceTunnelLength" localSheetId="35">'[6]Energy_INPUT&amp;OUTPUT'!$C$25</definedName>
    <definedName name="TailraceTunnelLength" localSheetId="37">'[6]Energy_INPUT&amp;OUTPUT'!$C$25</definedName>
    <definedName name="TailraceTunnelLength" localSheetId="57">'[6]Energy_INPUT&amp;OUTPUT'!$C$25</definedName>
    <definedName name="TailraceTunnelLength" localSheetId="23">'[6]Energy_INPUT&amp;OUTPUT'!$C$25</definedName>
    <definedName name="TailraceTunnelLength" localSheetId="27">'[6]Energy_INPUT&amp;OUTPUT'!$C$25</definedName>
    <definedName name="TailraceTunnelLength" localSheetId="17">'[6]Energy_INPUT&amp;OUTPUT'!$C$25</definedName>
    <definedName name="TailraceTunnelLength" localSheetId="41">'[6]Energy_INPUT&amp;OUTPUT'!$C$25</definedName>
    <definedName name="TailraceTunnelLength" localSheetId="39">'[6]Energy_INPUT&amp;OUTPUT'!$C$25</definedName>
    <definedName name="TailraceTunnelLength" localSheetId="40">'[6]Energy_INPUT&amp;OUTPUT'!$C$25</definedName>
    <definedName name="TailraceTunnelLength" localSheetId="36">'[6]Energy_INPUT&amp;OUTPUT'!$C$25</definedName>
    <definedName name="TailraceTunnelLength" localSheetId="20">'[6]Energy_INPUT&amp;OUTPUT'!$C$25</definedName>
    <definedName name="TailraceTunnelLength" localSheetId="21">'[6]Energy_INPUT&amp;OUTPUT'!$C$25</definedName>
    <definedName name="TailraceTunnelLength" localSheetId="33">'[6]Energy_INPUT&amp;OUTPUT'!$C$25</definedName>
    <definedName name="TailraceTunnelLength" localSheetId="18">'[6]Energy_INPUT&amp;OUTPUT'!$C$25</definedName>
    <definedName name="TailraceTunnelLength" localSheetId="26">'[6]Energy_INPUT&amp;OUTPUT'!$C$25</definedName>
    <definedName name="TailraceTunnelLength" localSheetId="13">'[6]Energy_INPUT&amp;OUTPUT'!$C$25</definedName>
    <definedName name="TailraceTunnelLength" localSheetId="14">'[6]Energy_INPUT&amp;OUTPUT'!$C$25</definedName>
    <definedName name="TailraceTunnelLength" localSheetId="19">'[6]Energy_INPUT&amp;OUTPUT'!$C$25</definedName>
    <definedName name="TailraceTunnelLength" localSheetId="34">'[6]Energy_INPUT&amp;OUTPUT'!$C$25</definedName>
    <definedName name="TailraceTunnelLength" localSheetId="69">'[6]Energy_INPUT&amp;OUTPUT'!$C$25</definedName>
    <definedName name="TailraceTunnelLength" localSheetId="68">'[6]Energy_INPUT&amp;OUTPUT'!$C$25</definedName>
    <definedName name="TailraceTunnelLength" localSheetId="38">'[6]Energy_INPUT&amp;OUTPUT'!$C$25</definedName>
    <definedName name="TailraceTunnelLength" localSheetId="71">'[6]Energy_INPUT&amp;OUTPUT'!$C$25</definedName>
    <definedName name="TailraceTunnelLength" localSheetId="65">'[6]Energy_INPUT&amp;OUTPUT'!$C$25</definedName>
    <definedName name="TailraceTunnelLength" localSheetId="66">'[6]Energy_INPUT&amp;OUTPUT'!$C$25</definedName>
    <definedName name="TailraceTunnelLength" localSheetId="67">'[6]Energy_INPUT&amp;OUTPUT'!$C$25</definedName>
    <definedName name="TailraceTunnelLength" localSheetId="42">'[6]Energy_INPUT&amp;OUTPUT'!$C$25</definedName>
    <definedName name="TailraceTunnelLength">'[7]Energy_INPUT&amp;OUTPUT'!$C$25</definedName>
    <definedName name="tech" localSheetId="35">'[10]Basic Rates'!$D$44</definedName>
    <definedName name="tech" localSheetId="37">'[10]Basic Rates'!$D$44</definedName>
    <definedName name="tech" localSheetId="17">'[10]Basic Rates'!$D$44</definedName>
    <definedName name="tech" localSheetId="47">#REF!</definedName>
    <definedName name="tech" localSheetId="41">'[10]Basic Rates'!$D$44</definedName>
    <definedName name="tech" localSheetId="39">'[10]Basic Rates'!$D$44</definedName>
    <definedName name="tech" localSheetId="40">'[10]Basic Rates'!$D$44</definedName>
    <definedName name="tech" localSheetId="36">'[10]Basic Rates'!$D$44</definedName>
    <definedName name="tech" localSheetId="20">'[10]Basic Rates'!$D$44</definedName>
    <definedName name="tech" localSheetId="21">'[10]Basic Rates'!$D$44</definedName>
    <definedName name="tech" localSheetId="33">'[10]Basic Rates'!$D$44</definedName>
    <definedName name="tech" localSheetId="18">'[10]Basic Rates'!$D$44</definedName>
    <definedName name="tech" localSheetId="19">'[10]Basic Rates'!$D$44</definedName>
    <definedName name="tech" localSheetId="34">'[10]Basic Rates'!$D$44</definedName>
    <definedName name="tech" localSheetId="69">'[10]Basic Rates'!$D$44</definedName>
    <definedName name="tech" localSheetId="68">'[10]Basic Rates'!$D$44</definedName>
    <definedName name="tech" localSheetId="38">'[10]Basic Rates'!$D$44</definedName>
    <definedName name="tech" localSheetId="65">'[10]Basic Rates'!$D$44</definedName>
    <definedName name="tech" localSheetId="66">'[10]Basic Rates'!$D$44</definedName>
    <definedName name="tech" localSheetId="67">'[10]Basic Rates'!$D$44</definedName>
    <definedName name="tech" localSheetId="42">'[10]Basic Rates'!$D$44</definedName>
    <definedName name="TempName" hidden="1">"WLGWHMJTRAQRQD9VCYQKS1EC"</definedName>
    <definedName name="th_pen" localSheetId="78">#REF!</definedName>
    <definedName name="th_pen" localSheetId="1">#REF!</definedName>
    <definedName name="th_pen" localSheetId="57">#REF!</definedName>
    <definedName name="th_pen" localSheetId="23">#REF!</definedName>
    <definedName name="th_pen" localSheetId="47">#REF!</definedName>
    <definedName name="th_pen" localSheetId="58">#REF!</definedName>
    <definedName name="th_pen" localSheetId="0">#REF!</definedName>
    <definedName name="th_pen" localSheetId="52">#REF!</definedName>
    <definedName name="th_pen" localSheetId="61">#REF!</definedName>
    <definedName name="timber" localSheetId="35">'[10]RATES INCLUDING TRANSPORATION'!$V$37</definedName>
    <definedName name="timber" localSheetId="37">'[10]RATES INCLUDING TRANSPORATION'!$V$37</definedName>
    <definedName name="timber" localSheetId="17">'[10]RATES INCLUDING TRANSPORATION'!$V$37</definedName>
    <definedName name="timber" localSheetId="47">#REF!</definedName>
    <definedName name="timber" localSheetId="41">'[10]RATES INCLUDING TRANSPORATION'!$V$37</definedName>
    <definedName name="timber" localSheetId="39">'[10]RATES INCLUDING TRANSPORATION'!$V$37</definedName>
    <definedName name="timber" localSheetId="40">'[10]RATES INCLUDING TRANSPORATION'!$V$37</definedName>
    <definedName name="timber" localSheetId="36">'[10]RATES INCLUDING TRANSPORATION'!$V$37</definedName>
    <definedName name="timber" localSheetId="20">'[10]RATES INCLUDING TRANSPORATION'!$V$37</definedName>
    <definedName name="timber" localSheetId="21">'[10]RATES INCLUDING TRANSPORATION'!$V$37</definedName>
    <definedName name="timber" localSheetId="33">'[10]RATES INCLUDING TRANSPORATION'!$V$37</definedName>
    <definedName name="timber" localSheetId="18">'[10]RATES INCLUDING TRANSPORATION'!$V$37</definedName>
    <definedName name="timber" localSheetId="19">'[10]RATES INCLUDING TRANSPORATION'!$V$37</definedName>
    <definedName name="timber" localSheetId="34">'[10]RATES INCLUDING TRANSPORATION'!$V$37</definedName>
    <definedName name="timber" localSheetId="69">'[10]RATES INCLUDING TRANSPORATION'!$V$37</definedName>
    <definedName name="timber" localSheetId="68">'[10]RATES INCLUDING TRANSPORATION'!$V$37</definedName>
    <definedName name="timber" localSheetId="38">'[10]RATES INCLUDING TRANSPORATION'!$V$37</definedName>
    <definedName name="timber" localSheetId="65">'[10]RATES INCLUDING TRANSPORATION'!$V$37</definedName>
    <definedName name="timber" localSheetId="66">'[10]RATES INCLUDING TRANSPORATION'!$V$37</definedName>
    <definedName name="timber" localSheetId="67">'[10]RATES INCLUDING TRANSPORATION'!$V$37</definedName>
    <definedName name="timber" localSheetId="42">'[10]RATES INCLUDING TRANSPORATION'!$V$37</definedName>
    <definedName name="TopRankDefaultDistForRange" hidden="1">1</definedName>
    <definedName name="TopRankDefaultMaxChange" hidden="1">"0,15"</definedName>
    <definedName name="TopRankDefaultMinChange" hidden="1">-0.1</definedName>
    <definedName name="TopRankDefaultMultiGroupSize" hidden="1">2</definedName>
    <definedName name="TopRankDefaultMultiStepsPerInput" hidden="1">2</definedName>
    <definedName name="TopRankDefaultRangeType" hidden="1">0</definedName>
    <definedName name="TopRankDefaultStepsPerInput" hidden="1">5</definedName>
    <definedName name="TopRankDetailByInputReport" hidden="1">FALSE</definedName>
    <definedName name="TopRankMaxInputsPerGraph" hidden="1">20</definedName>
    <definedName name="TopRankMultiWayReport" hidden="1">FALSE</definedName>
    <definedName name="TopRankNumberOfRuns" hidden="1">1</definedName>
    <definedName name="TopRankOnlyInputsOverThreshold" hidden="1">FALSE</definedName>
    <definedName name="TopRankOnlyTopRanking" hidden="1">TRUE</definedName>
    <definedName name="TopRankOutputDetailReport" hidden="1">FALSE</definedName>
    <definedName name="TopRankOutputsAsPercentChange" hidden="1">FALSE</definedName>
    <definedName name="TopRankOverwriteExisting" hidden="1">FALSE</definedName>
    <definedName name="TopRankPauseOnError" hidden="1">FALSE</definedName>
    <definedName name="TopRankPerformPrecedentScanAddOutput" hidden="1">FALSE</definedName>
    <definedName name="TopRankPerformPrecedentScanAtStart" hidden="1">TRUE</definedName>
    <definedName name="TopRankPrecedentScanType" hidden="1">1</definedName>
    <definedName name="TopRankReportAllOutputCells" hidden="1">TRUE</definedName>
    <definedName name="TopRankReportsInExistingWorkbook" hidden="1">FALSE</definedName>
    <definedName name="TopRankReportsInExistingWorkbookName" hidden="1">"Active Workbook"</definedName>
    <definedName name="TopRankReportsInNewWorkbook" hidden="1">TRUE</definedName>
    <definedName name="TopRankSensitivityGraphs" hidden="1">FALSE</definedName>
    <definedName name="TopRankSingleWorkbookAllResults" hidden="1">FALSE</definedName>
    <definedName name="TopRankSpiderGraphs" hidden="1">TRUE</definedName>
    <definedName name="TopRankTornadoGraphs" hidden="1">TRUE</definedName>
    <definedName name="TopRankUpdateDisplay" hidden="1">FALSE</definedName>
    <definedName name="TopWHeadCanal" localSheetId="78">#REF!</definedName>
    <definedName name="TopWHeadCanal" localSheetId="1">#REF!</definedName>
    <definedName name="TopWHeadCanal" localSheetId="57">#REF!</definedName>
    <definedName name="TopWHeadCanal" localSheetId="23">#REF!</definedName>
    <definedName name="TopWHeadCanal" localSheetId="47">#REF!</definedName>
    <definedName name="TopWHeadCanal" localSheetId="58">#REF!</definedName>
    <definedName name="TopWHeadCanal" localSheetId="0">#REF!</definedName>
    <definedName name="TopWHeadCanal" localSheetId="52">#REF!</definedName>
    <definedName name="TopWHeadCanal" localSheetId="61">#REF!</definedName>
    <definedName name="TRL" localSheetId="35">'[6]Energy_INPUT&amp;OUTPUT'!$C$12</definedName>
    <definedName name="TRL" localSheetId="37">'[6]Energy_INPUT&amp;OUTPUT'!$C$12</definedName>
    <definedName name="TRL" localSheetId="57">'[6]Energy_INPUT&amp;OUTPUT'!$C$12</definedName>
    <definedName name="TRL" localSheetId="23">'[6]Energy_INPUT&amp;OUTPUT'!$C$12</definedName>
    <definedName name="TRL" localSheetId="27">'[6]Energy_INPUT&amp;OUTPUT'!$C$12</definedName>
    <definedName name="TRL" localSheetId="17">'[6]Energy_INPUT&amp;OUTPUT'!$C$12</definedName>
    <definedName name="TRL" localSheetId="41">'[6]Energy_INPUT&amp;OUTPUT'!$C$12</definedName>
    <definedName name="TRL" localSheetId="39">'[6]Energy_INPUT&amp;OUTPUT'!$C$12</definedName>
    <definedName name="TRL" localSheetId="40">'[6]Energy_INPUT&amp;OUTPUT'!$C$12</definedName>
    <definedName name="TRL" localSheetId="36">'[6]Energy_INPUT&amp;OUTPUT'!$C$12</definedName>
    <definedName name="TRL" localSheetId="20">'[6]Energy_INPUT&amp;OUTPUT'!$C$12</definedName>
    <definedName name="TRL" localSheetId="21">'[6]Energy_INPUT&amp;OUTPUT'!$C$12</definedName>
    <definedName name="TRL" localSheetId="33">'[6]Energy_INPUT&amp;OUTPUT'!$C$12</definedName>
    <definedName name="TRL" localSheetId="18">'[6]Energy_INPUT&amp;OUTPUT'!$C$12</definedName>
    <definedName name="TRL" localSheetId="26">'[6]Energy_INPUT&amp;OUTPUT'!$C$12</definedName>
    <definedName name="TRL" localSheetId="13">'[6]Energy_INPUT&amp;OUTPUT'!$C$12</definedName>
    <definedName name="TRL" localSheetId="14">'[6]Energy_INPUT&amp;OUTPUT'!$C$12</definedName>
    <definedName name="TRL" localSheetId="19">'[6]Energy_INPUT&amp;OUTPUT'!$C$12</definedName>
    <definedName name="TRL" localSheetId="34">'[6]Energy_INPUT&amp;OUTPUT'!$C$12</definedName>
    <definedName name="TRL" localSheetId="69">'[6]Energy_INPUT&amp;OUTPUT'!$C$12</definedName>
    <definedName name="TRL" localSheetId="68">'[6]Energy_INPUT&amp;OUTPUT'!$C$12</definedName>
    <definedName name="TRL" localSheetId="38">'[6]Energy_INPUT&amp;OUTPUT'!$C$12</definedName>
    <definedName name="TRL" localSheetId="71">'[6]Energy_INPUT&amp;OUTPUT'!$C$12</definedName>
    <definedName name="TRL" localSheetId="65">'[6]Energy_INPUT&amp;OUTPUT'!$C$12</definedName>
    <definedName name="TRL" localSheetId="66">'[6]Energy_INPUT&amp;OUTPUT'!$C$12</definedName>
    <definedName name="TRL" localSheetId="67">'[6]Energy_INPUT&amp;OUTPUT'!$C$12</definedName>
    <definedName name="TRL" localSheetId="42">'[6]Energy_INPUT&amp;OUTPUT'!$C$12</definedName>
    <definedName name="TRL">'[7]Energy_INPUT&amp;OUTPUT'!$C$12</definedName>
    <definedName name="truck" localSheetId="35">'[19]Basic Rates'!$D$127</definedName>
    <definedName name="truck" localSheetId="37">'[19]Basic Rates'!$D$127</definedName>
    <definedName name="truck" localSheetId="57">'[19]Basic Rates'!$D$127</definedName>
    <definedName name="truck" localSheetId="23">'[19]Basic Rates'!$D$127</definedName>
    <definedName name="truck" localSheetId="27">'[19]Basic Rates'!$D$127</definedName>
    <definedName name="truck" localSheetId="17">'[19]Basic Rates'!$D$127</definedName>
    <definedName name="truck" localSheetId="41">'[19]Basic Rates'!$D$127</definedName>
    <definedName name="truck" localSheetId="39">'[19]Basic Rates'!$D$127</definedName>
    <definedName name="truck" localSheetId="40">'[19]Basic Rates'!$D$127</definedName>
    <definedName name="truck" localSheetId="36">'[19]Basic Rates'!$D$127</definedName>
    <definedName name="truck" localSheetId="20">'[19]Basic Rates'!$D$127</definedName>
    <definedName name="truck" localSheetId="21">'[19]Basic Rates'!$D$127</definedName>
    <definedName name="truck" localSheetId="33">'[19]Basic Rates'!$D$127</definedName>
    <definedName name="truck" localSheetId="18">'[19]Basic Rates'!$D$127</definedName>
    <definedName name="truck" localSheetId="26">'[19]Basic Rates'!$D$127</definedName>
    <definedName name="truck" localSheetId="13">'[19]Basic Rates'!$D$127</definedName>
    <definedName name="truck" localSheetId="14">'[19]Basic Rates'!$D$127</definedName>
    <definedName name="truck" localSheetId="19">'[19]Basic Rates'!$D$127</definedName>
    <definedName name="truck" localSheetId="34">'[19]Basic Rates'!$D$127</definedName>
    <definedName name="truck" localSheetId="69">'[19]Basic Rates'!$D$127</definedName>
    <definedName name="truck" localSheetId="68">'[19]Basic Rates'!$D$127</definedName>
    <definedName name="truck" localSheetId="51">#REF!</definedName>
    <definedName name="truck" localSheetId="38">'[19]Basic Rates'!$D$127</definedName>
    <definedName name="truck" localSheetId="71">'[19]Basic Rates'!$D$127</definedName>
    <definedName name="truck" localSheetId="65">'[19]Basic Rates'!$D$127</definedName>
    <definedName name="truck" localSheetId="66">'[19]Basic Rates'!$D$127</definedName>
    <definedName name="truck" localSheetId="67">'[19]Basic Rates'!$D$127</definedName>
    <definedName name="truck" localSheetId="42">'[19]Basic Rates'!$D$127</definedName>
    <definedName name="truck">'[20]Basic Rates'!$D$127</definedName>
    <definedName name="TRWL" localSheetId="35">'[6]Energy_INPUT&amp;OUTPUT'!$C$12</definedName>
    <definedName name="TRWL" localSheetId="37">'[6]Energy_INPUT&amp;OUTPUT'!$C$12</definedName>
    <definedName name="TRWL" localSheetId="57">'[6]Energy_INPUT&amp;OUTPUT'!$C$12</definedName>
    <definedName name="TRWL" localSheetId="23">'[6]Energy_INPUT&amp;OUTPUT'!$C$12</definedName>
    <definedName name="TRWL" localSheetId="27">'[6]Energy_INPUT&amp;OUTPUT'!$C$12</definedName>
    <definedName name="TRWL" localSheetId="17">'[6]Energy_INPUT&amp;OUTPUT'!$C$12</definedName>
    <definedName name="TRWL" localSheetId="41">'[6]Energy_INPUT&amp;OUTPUT'!$C$12</definedName>
    <definedName name="TRWL" localSheetId="39">'[6]Energy_INPUT&amp;OUTPUT'!$C$12</definedName>
    <definedName name="TRWL" localSheetId="40">'[6]Energy_INPUT&amp;OUTPUT'!$C$12</definedName>
    <definedName name="TRWL" localSheetId="36">'[6]Energy_INPUT&amp;OUTPUT'!$C$12</definedName>
    <definedName name="TRWL" localSheetId="20">'[6]Energy_INPUT&amp;OUTPUT'!$C$12</definedName>
    <definedName name="TRWL" localSheetId="21">'[6]Energy_INPUT&amp;OUTPUT'!$C$12</definedName>
    <definedName name="TRWL" localSheetId="33">'[6]Energy_INPUT&amp;OUTPUT'!$C$12</definedName>
    <definedName name="TRWL" localSheetId="18">'[6]Energy_INPUT&amp;OUTPUT'!$C$12</definedName>
    <definedName name="TRWL" localSheetId="26">'[6]Energy_INPUT&amp;OUTPUT'!$C$12</definedName>
    <definedName name="TRWL" localSheetId="13">'[6]Energy_INPUT&amp;OUTPUT'!$C$12</definedName>
    <definedName name="TRWL" localSheetId="14">'[6]Energy_INPUT&amp;OUTPUT'!$C$12</definedName>
    <definedName name="TRWL" localSheetId="19">'[6]Energy_INPUT&amp;OUTPUT'!$C$12</definedName>
    <definedName name="TRWL" localSheetId="34">'[6]Energy_INPUT&amp;OUTPUT'!$C$12</definedName>
    <definedName name="TRWL" localSheetId="69">'[6]Energy_INPUT&amp;OUTPUT'!$C$12</definedName>
    <definedName name="TRWL" localSheetId="68">'[6]Energy_INPUT&amp;OUTPUT'!$C$12</definedName>
    <definedName name="TRWL" localSheetId="38">'[6]Energy_INPUT&amp;OUTPUT'!$C$12</definedName>
    <definedName name="TRWL" localSheetId="71">'[6]Energy_INPUT&amp;OUTPUT'!$C$12</definedName>
    <definedName name="TRWL" localSheetId="65">'[6]Energy_INPUT&amp;OUTPUT'!$C$12</definedName>
    <definedName name="TRWL" localSheetId="66">'[6]Energy_INPUT&amp;OUTPUT'!$C$12</definedName>
    <definedName name="TRWL" localSheetId="67">'[6]Energy_INPUT&amp;OUTPUT'!$C$12</definedName>
    <definedName name="TRWL" localSheetId="42">'[6]Energy_INPUT&amp;OUTPUT'!$C$12</definedName>
    <definedName name="TRWL">'[7]Energy_INPUT&amp;OUTPUT'!$C$12</definedName>
    <definedName name="TunnelSpan" localSheetId="35">'[6]Energy_INPUT&amp;OUTPUT'!$C$26</definedName>
    <definedName name="TunnelSpan" localSheetId="37">'[6]Energy_INPUT&amp;OUTPUT'!$C$26</definedName>
    <definedName name="TunnelSpan" localSheetId="57">'[6]Energy_INPUT&amp;OUTPUT'!$C$26</definedName>
    <definedName name="TunnelSpan" localSheetId="23">'[6]Energy_INPUT&amp;OUTPUT'!$C$26</definedName>
    <definedName name="TunnelSpan" localSheetId="27">'[6]Energy_INPUT&amp;OUTPUT'!$C$26</definedName>
    <definedName name="TunnelSpan" localSheetId="17">'[6]Energy_INPUT&amp;OUTPUT'!$C$26</definedName>
    <definedName name="TunnelSpan" localSheetId="41">'[6]Energy_INPUT&amp;OUTPUT'!$C$26</definedName>
    <definedName name="TunnelSpan" localSheetId="39">'[6]Energy_INPUT&amp;OUTPUT'!$C$26</definedName>
    <definedName name="TunnelSpan" localSheetId="40">'[6]Energy_INPUT&amp;OUTPUT'!$C$26</definedName>
    <definedName name="TunnelSpan" localSheetId="36">'[6]Energy_INPUT&amp;OUTPUT'!$C$26</definedName>
    <definedName name="TunnelSpan" localSheetId="20">'[6]Energy_INPUT&amp;OUTPUT'!$C$26</definedName>
    <definedName name="TunnelSpan" localSheetId="21">'[6]Energy_INPUT&amp;OUTPUT'!$C$26</definedName>
    <definedName name="TunnelSpan" localSheetId="33">'[6]Energy_INPUT&amp;OUTPUT'!$C$26</definedName>
    <definedName name="TunnelSpan" localSheetId="18">'[6]Energy_INPUT&amp;OUTPUT'!$C$26</definedName>
    <definedName name="TunnelSpan" localSheetId="26">'[6]Energy_INPUT&amp;OUTPUT'!$C$26</definedName>
    <definedName name="TunnelSpan" localSheetId="13">'[6]Energy_INPUT&amp;OUTPUT'!$C$26</definedName>
    <definedName name="TunnelSpan" localSheetId="14">'[6]Energy_INPUT&amp;OUTPUT'!$C$26</definedName>
    <definedName name="TunnelSpan" localSheetId="19">'[6]Energy_INPUT&amp;OUTPUT'!$C$26</definedName>
    <definedName name="TunnelSpan" localSheetId="34">'[6]Energy_INPUT&amp;OUTPUT'!$C$26</definedName>
    <definedName name="TunnelSpan" localSheetId="69">'[6]Energy_INPUT&amp;OUTPUT'!$C$26</definedName>
    <definedName name="TunnelSpan" localSheetId="68">'[6]Energy_INPUT&amp;OUTPUT'!$C$26</definedName>
    <definedName name="TunnelSpan" localSheetId="38">'[6]Energy_INPUT&amp;OUTPUT'!$C$26</definedName>
    <definedName name="TunnelSpan" localSheetId="71">'[6]Energy_INPUT&amp;OUTPUT'!$C$26</definedName>
    <definedName name="TunnelSpan" localSheetId="65">'[6]Energy_INPUT&amp;OUTPUT'!$C$26</definedName>
    <definedName name="TunnelSpan" localSheetId="66">'[6]Energy_INPUT&amp;OUTPUT'!$C$26</definedName>
    <definedName name="TunnelSpan" localSheetId="67">'[6]Energy_INPUT&amp;OUTPUT'!$C$26</definedName>
    <definedName name="TunnelSpan" localSheetId="42">'[6]Energy_INPUT&amp;OUTPUT'!$C$26</definedName>
    <definedName name="TunnelSpan">'[7]Energy_INPUT&amp;OUTPUT'!$C$26</definedName>
    <definedName name="TunnelSpan_Lined" localSheetId="35">'[6]Energy_INPUT&amp;OUTPUT'!$C$28</definedName>
    <definedName name="TunnelSpan_Lined" localSheetId="37">'[6]Energy_INPUT&amp;OUTPUT'!$C$28</definedName>
    <definedName name="TunnelSpan_Lined" localSheetId="57">'[6]Energy_INPUT&amp;OUTPUT'!$C$28</definedName>
    <definedName name="TunnelSpan_Lined" localSheetId="23">'[6]Energy_INPUT&amp;OUTPUT'!$C$28</definedName>
    <definedName name="TunnelSpan_Lined" localSheetId="27">'[6]Energy_INPUT&amp;OUTPUT'!$C$28</definedName>
    <definedName name="TunnelSpan_Lined" localSheetId="17">'[6]Energy_INPUT&amp;OUTPUT'!$C$28</definedName>
    <definedName name="TunnelSpan_Lined" localSheetId="41">'[6]Energy_INPUT&amp;OUTPUT'!$C$28</definedName>
    <definedName name="TunnelSpan_Lined" localSheetId="39">'[6]Energy_INPUT&amp;OUTPUT'!$C$28</definedName>
    <definedName name="TunnelSpan_Lined" localSheetId="40">'[6]Energy_INPUT&amp;OUTPUT'!$C$28</definedName>
    <definedName name="TunnelSpan_Lined" localSheetId="36">'[6]Energy_INPUT&amp;OUTPUT'!$C$28</definedName>
    <definedName name="TunnelSpan_Lined" localSheetId="20">'[6]Energy_INPUT&amp;OUTPUT'!$C$28</definedName>
    <definedName name="TunnelSpan_Lined" localSheetId="21">'[6]Energy_INPUT&amp;OUTPUT'!$C$28</definedName>
    <definedName name="TunnelSpan_Lined" localSheetId="33">'[6]Energy_INPUT&amp;OUTPUT'!$C$28</definedName>
    <definedName name="TunnelSpan_Lined" localSheetId="18">'[6]Energy_INPUT&amp;OUTPUT'!$C$28</definedName>
    <definedName name="TunnelSpan_Lined" localSheetId="26">'[6]Energy_INPUT&amp;OUTPUT'!$C$28</definedName>
    <definedName name="TunnelSpan_Lined" localSheetId="13">'[6]Energy_INPUT&amp;OUTPUT'!$C$28</definedName>
    <definedName name="TunnelSpan_Lined" localSheetId="14">'[6]Energy_INPUT&amp;OUTPUT'!$C$28</definedName>
    <definedName name="TunnelSpan_Lined" localSheetId="19">'[6]Energy_INPUT&amp;OUTPUT'!$C$28</definedName>
    <definedName name="TunnelSpan_Lined" localSheetId="34">'[6]Energy_INPUT&amp;OUTPUT'!$C$28</definedName>
    <definedName name="TunnelSpan_Lined" localSheetId="69">'[6]Energy_INPUT&amp;OUTPUT'!$C$28</definedName>
    <definedName name="TunnelSpan_Lined" localSheetId="68">'[6]Energy_INPUT&amp;OUTPUT'!$C$28</definedName>
    <definedName name="TunnelSpan_Lined" localSheetId="38">'[6]Energy_INPUT&amp;OUTPUT'!$C$28</definedName>
    <definedName name="TunnelSpan_Lined" localSheetId="71">'[6]Energy_INPUT&amp;OUTPUT'!$C$28</definedName>
    <definedName name="TunnelSpan_Lined" localSheetId="65">'[6]Energy_INPUT&amp;OUTPUT'!$C$28</definedName>
    <definedName name="TunnelSpan_Lined" localSheetId="66">'[6]Energy_INPUT&amp;OUTPUT'!$C$28</definedName>
    <definedName name="TunnelSpan_Lined" localSheetId="67">'[6]Energy_INPUT&amp;OUTPUT'!$C$28</definedName>
    <definedName name="TunnelSpan_Lined" localSheetId="42">'[6]Energy_INPUT&amp;OUTPUT'!$C$28</definedName>
    <definedName name="TunnelSpan_Lined">'[7]Energy_INPUT&amp;OUTPUT'!$C$28</definedName>
    <definedName name="Turbine_No." localSheetId="35">'[6]Energy_INPUT&amp;OUTPUT'!$C$15</definedName>
    <definedName name="Turbine_No." localSheetId="37">'[6]Energy_INPUT&amp;OUTPUT'!$C$15</definedName>
    <definedName name="Turbine_No." localSheetId="57">'[6]Energy_INPUT&amp;OUTPUT'!$C$15</definedName>
    <definedName name="Turbine_No." localSheetId="23">'[6]Energy_INPUT&amp;OUTPUT'!$C$15</definedName>
    <definedName name="Turbine_No." localSheetId="27">'[6]Energy_INPUT&amp;OUTPUT'!$C$15</definedName>
    <definedName name="Turbine_No." localSheetId="17">'[6]Energy_INPUT&amp;OUTPUT'!$C$15</definedName>
    <definedName name="Turbine_No." localSheetId="41">'[6]Energy_INPUT&amp;OUTPUT'!$C$15</definedName>
    <definedName name="Turbine_No." localSheetId="39">'[6]Energy_INPUT&amp;OUTPUT'!$C$15</definedName>
    <definedName name="Turbine_No." localSheetId="40">'[6]Energy_INPUT&amp;OUTPUT'!$C$15</definedName>
    <definedName name="Turbine_No." localSheetId="36">'[6]Energy_INPUT&amp;OUTPUT'!$C$15</definedName>
    <definedName name="Turbine_No." localSheetId="20">'[6]Energy_INPUT&amp;OUTPUT'!$C$15</definedName>
    <definedName name="Turbine_No." localSheetId="21">'[6]Energy_INPUT&amp;OUTPUT'!$C$15</definedName>
    <definedName name="Turbine_No." localSheetId="33">'[6]Energy_INPUT&amp;OUTPUT'!$C$15</definedName>
    <definedName name="Turbine_No." localSheetId="18">'[6]Energy_INPUT&amp;OUTPUT'!$C$15</definedName>
    <definedName name="Turbine_No." localSheetId="26">'[6]Energy_INPUT&amp;OUTPUT'!$C$15</definedName>
    <definedName name="Turbine_No." localSheetId="13">'[6]Energy_INPUT&amp;OUTPUT'!$C$15</definedName>
    <definedName name="Turbine_No." localSheetId="14">'[6]Energy_INPUT&amp;OUTPUT'!$C$15</definedName>
    <definedName name="Turbine_No." localSheetId="19">'[6]Energy_INPUT&amp;OUTPUT'!$C$15</definedName>
    <definedName name="Turbine_No." localSheetId="34">'[6]Energy_INPUT&amp;OUTPUT'!$C$15</definedName>
    <definedName name="Turbine_No." localSheetId="69">'[6]Energy_INPUT&amp;OUTPUT'!$C$15</definedName>
    <definedName name="Turbine_No." localSheetId="68">'[6]Energy_INPUT&amp;OUTPUT'!$C$15</definedName>
    <definedName name="Turbine_No." localSheetId="38">'[6]Energy_INPUT&amp;OUTPUT'!$C$15</definedName>
    <definedName name="Turbine_No." localSheetId="71">'[6]Energy_INPUT&amp;OUTPUT'!$C$15</definedName>
    <definedName name="Turbine_No." localSheetId="65">'[6]Energy_INPUT&amp;OUTPUT'!$C$15</definedName>
    <definedName name="Turbine_No." localSheetId="66">'[6]Energy_INPUT&amp;OUTPUT'!$C$15</definedName>
    <definedName name="Turbine_No." localSheetId="67">'[6]Energy_INPUT&amp;OUTPUT'!$C$15</definedName>
    <definedName name="Turbine_No." localSheetId="42">'[6]Energy_INPUT&amp;OUTPUT'!$C$15</definedName>
    <definedName name="Turbine_No.">'[7]Energy_INPUT&amp;OUTPUT'!$C$15</definedName>
    <definedName name="uinh" localSheetId="4" hidden="1">[1]Solu!#REF!</definedName>
    <definedName name="uinh" localSheetId="78" hidden="1">[1]Solu!#REF!</definedName>
    <definedName name="uinh" localSheetId="7" hidden="1">[1]Solu!#REF!</definedName>
    <definedName name="uinh" localSheetId="8" hidden="1">[1]Solu!#REF!</definedName>
    <definedName name="uinh" localSheetId="1" hidden="1">[1]Solu!#REF!</definedName>
    <definedName name="uinh" localSheetId="24" hidden="1">[1]Solu!#REF!</definedName>
    <definedName name="uinh" localSheetId="35" hidden="1">[2]Solu!#REF!</definedName>
    <definedName name="uinh" localSheetId="37" hidden="1">[2]Solu!#REF!</definedName>
    <definedName name="uinh" localSheetId="57" hidden="1">[2]Solu!#REF!</definedName>
    <definedName name="uinh" localSheetId="5" hidden="1">[1]Solu!#REF!</definedName>
    <definedName name="uinh" localSheetId="23" hidden="1">[2]Solu!#REF!</definedName>
    <definedName name="uinh" localSheetId="27" hidden="1">[2]Solu!#REF!</definedName>
    <definedName name="uinh" localSheetId="17" hidden="1">[2]Solu!#REF!</definedName>
    <definedName name="uinh" localSheetId="47" hidden="1">[1]Solu!#REF!</definedName>
    <definedName name="uinh" localSheetId="41" hidden="1">[2]Solu!#REF!</definedName>
    <definedName name="uinh" localSheetId="39" hidden="1">[2]Solu!#REF!</definedName>
    <definedName name="uinh" localSheetId="40" hidden="1">[2]Solu!#REF!</definedName>
    <definedName name="uinh" localSheetId="32" hidden="1">[1]Solu!#REF!</definedName>
    <definedName name="uinh" localSheetId="43" hidden="1">[2]Solu!#REF!</definedName>
    <definedName name="uinh" localSheetId="44" hidden="1">[2]Solu!#REF!</definedName>
    <definedName name="uinh" localSheetId="45" hidden="1">[2]Solu!#REF!</definedName>
    <definedName name="uinh" localSheetId="46" hidden="1">[2]Solu!#REF!</definedName>
    <definedName name="uinh" localSheetId="36" hidden="1">[2]Solu!#REF!</definedName>
    <definedName name="uinh" localSheetId="20" hidden="1">[2]Solu!#REF!</definedName>
    <definedName name="uinh" localSheetId="21" hidden="1">[2]Solu!#REF!</definedName>
    <definedName name="uinh" localSheetId="33" hidden="1">[2]Solu!#REF!</definedName>
    <definedName name="uinh" localSheetId="18" hidden="1">[2]Solu!#REF!</definedName>
    <definedName name="uinh" localSheetId="29" hidden="1">[1]Solu!#REF!</definedName>
    <definedName name="uinh" localSheetId="26" hidden="1">[2]Solu!#REF!</definedName>
    <definedName name="uinh" localSheetId="25" hidden="1">[1]Solu!#REF!</definedName>
    <definedName name="uinh" localSheetId="13" hidden="1">[2]Solu!#REF!</definedName>
    <definedName name="uinh" localSheetId="14" hidden="1">[2]Solu!#REF!</definedName>
    <definedName name="uinh" localSheetId="12" hidden="1">[1]Solu!#REF!</definedName>
    <definedName name="uinh" localSheetId="19" hidden="1">[2]Solu!#REF!</definedName>
    <definedName name="uinh" localSheetId="34" hidden="1">[2]Solu!#REF!</definedName>
    <definedName name="uinh" localSheetId="58" hidden="1">[1]Solu!#REF!</definedName>
    <definedName name="uinh" localSheetId="69" hidden="1">[2]Solu!#REF!</definedName>
    <definedName name="uinh" localSheetId="68" hidden="1">[2]Solu!#REF!</definedName>
    <definedName name="uinh" localSheetId="0" hidden="1">[1]Solu!#REF!</definedName>
    <definedName name="uinh" localSheetId="52" hidden="1">[1]Solu!#REF!</definedName>
    <definedName name="uinh" localSheetId="73" hidden="1">[2]Solu!#REF!</definedName>
    <definedName name="uinh" localSheetId="61" hidden="1">[1]Solu!#REF!</definedName>
    <definedName name="uinh" localSheetId="38" hidden="1">[2]Solu!#REF!</definedName>
    <definedName name="uinh" localSheetId="71" hidden="1">[2]Solu!#REF!</definedName>
    <definedName name="uinh" localSheetId="22" hidden="1">[1]Solu!#REF!</definedName>
    <definedName name="uinh" localSheetId="28" hidden="1">[1]Solu!#REF!</definedName>
    <definedName name="uinh" localSheetId="65" hidden="1">[2]Solu!#REF!</definedName>
    <definedName name="uinh" localSheetId="66" hidden="1">[2]Solu!#REF!</definedName>
    <definedName name="uinh" localSheetId="67" hidden="1">[2]Solu!#REF!</definedName>
    <definedName name="uinh" localSheetId="42" hidden="1">[2]Solu!#REF!</definedName>
    <definedName name="uinh" hidden="1">[1]Solu!#REF!</definedName>
    <definedName name="ur" localSheetId="35">'[19]Basic Rates'!$D$26</definedName>
    <definedName name="ur" localSheetId="37">'[19]Basic Rates'!$D$26</definedName>
    <definedName name="ur" localSheetId="57">'[19]Basic Rates'!$D$26</definedName>
    <definedName name="ur" localSheetId="23">'[19]Basic Rates'!$D$26</definedName>
    <definedName name="ur" localSheetId="27">'[19]Basic Rates'!$D$26</definedName>
    <definedName name="ur" localSheetId="17">'[19]Basic Rates'!$D$26</definedName>
    <definedName name="ur" localSheetId="41">'[19]Basic Rates'!$D$26</definedName>
    <definedName name="ur" localSheetId="39">'[19]Basic Rates'!$D$26</definedName>
    <definedName name="ur" localSheetId="40">'[19]Basic Rates'!$D$26</definedName>
    <definedName name="ur" localSheetId="36">'[19]Basic Rates'!$D$26</definedName>
    <definedName name="ur" localSheetId="20">'[19]Basic Rates'!$D$26</definedName>
    <definedName name="ur" localSheetId="21">'[19]Basic Rates'!$D$26</definedName>
    <definedName name="ur" localSheetId="33">'[19]Basic Rates'!$D$26</definedName>
    <definedName name="ur" localSheetId="18">'[19]Basic Rates'!$D$26</definedName>
    <definedName name="ur" localSheetId="26">'[19]Basic Rates'!$D$26</definedName>
    <definedName name="ur" localSheetId="13">'[19]Basic Rates'!$D$26</definedName>
    <definedName name="ur" localSheetId="14">'[19]Basic Rates'!$D$26</definedName>
    <definedName name="ur" localSheetId="19">'[19]Basic Rates'!$D$26</definedName>
    <definedName name="ur" localSheetId="34">'[19]Basic Rates'!$D$26</definedName>
    <definedName name="ur" localSheetId="69">'[19]Basic Rates'!$D$26</definedName>
    <definedName name="ur" localSheetId="68">'[19]Basic Rates'!$D$26</definedName>
    <definedName name="ur" localSheetId="51">#REF!</definedName>
    <definedName name="ur" localSheetId="38">'[19]Basic Rates'!$D$26</definedName>
    <definedName name="ur" localSheetId="71">'[19]Basic Rates'!$D$26</definedName>
    <definedName name="ur" localSheetId="65">'[19]Basic Rates'!$D$26</definedName>
    <definedName name="ur" localSheetId="66">'[19]Basic Rates'!$D$26</definedName>
    <definedName name="ur" localSheetId="67">'[19]Basic Rates'!$D$26</definedName>
    <definedName name="ur" localSheetId="42">'[19]Basic Rates'!$D$26</definedName>
    <definedName name="ur">'[20]Basic Rates'!$D$26</definedName>
    <definedName name="USD" localSheetId="35">'[40]BoQ-draft'!$I$6</definedName>
    <definedName name="USD" localSheetId="37">'[40]BoQ-draft'!$I$6</definedName>
    <definedName name="USD" localSheetId="57">'[40]BoQ-draft'!$I$6</definedName>
    <definedName name="USD" localSheetId="23">'[40]BoQ-draft'!$I$6</definedName>
    <definedName name="USD" localSheetId="27">'[40]BoQ-draft'!$I$6</definedName>
    <definedName name="USD" localSheetId="17">'[40]BoQ-draft'!$I$6</definedName>
    <definedName name="USD" localSheetId="41">'[40]BoQ-draft'!$I$6</definedName>
    <definedName name="USD" localSheetId="39">'[40]BoQ-draft'!$I$6</definedName>
    <definedName name="USD" localSheetId="40">'[40]BoQ-draft'!$I$6</definedName>
    <definedName name="USD" localSheetId="36">'[40]BoQ-draft'!$I$6</definedName>
    <definedName name="USD" localSheetId="20">'[40]BoQ-draft'!$I$6</definedName>
    <definedName name="USD" localSheetId="21">'[40]BoQ-draft'!$I$6</definedName>
    <definedName name="USD" localSheetId="33">'[40]BoQ-draft'!$I$6</definedName>
    <definedName name="USD" localSheetId="18">'[40]BoQ-draft'!$I$6</definedName>
    <definedName name="USD" localSheetId="26">'[40]BoQ-draft'!$I$6</definedName>
    <definedName name="USD" localSheetId="13">'[40]BoQ-draft'!$I$6</definedName>
    <definedName name="USD" localSheetId="14">'[40]BoQ-draft'!$I$6</definedName>
    <definedName name="USD" localSheetId="19">'[40]BoQ-draft'!$I$6</definedName>
    <definedName name="USD" localSheetId="34">'[40]BoQ-draft'!$I$6</definedName>
    <definedName name="USD" localSheetId="69">'[40]BoQ-draft'!$I$6</definedName>
    <definedName name="USD" localSheetId="68">'[40]BoQ-draft'!$I$6</definedName>
    <definedName name="USD" localSheetId="38">'[40]BoQ-draft'!$I$6</definedName>
    <definedName name="USD" localSheetId="71">'[40]BoQ-draft'!$I$6</definedName>
    <definedName name="USD" localSheetId="65">'[40]BoQ-draft'!$I$6</definedName>
    <definedName name="USD" localSheetId="66">'[40]BoQ-draft'!$I$6</definedName>
    <definedName name="USD" localSheetId="67">'[40]BoQ-draft'!$I$6</definedName>
    <definedName name="USD" localSheetId="42">'[40]BoQ-draft'!$I$6</definedName>
    <definedName name="USD">'[41]BoQ-draft'!$I$6</definedName>
    <definedName name="uvgft" localSheetId="4" hidden="1">[1]Solu!#REF!</definedName>
    <definedName name="uvgft" localSheetId="78" hidden="1">[1]Solu!#REF!</definedName>
    <definedName name="uvgft" localSheetId="7" hidden="1">[1]Solu!#REF!</definedName>
    <definedName name="uvgft" localSheetId="8" hidden="1">[1]Solu!#REF!</definedName>
    <definedName name="uvgft" localSheetId="1" hidden="1">[1]Solu!#REF!</definedName>
    <definedName name="uvgft" localSheetId="24" hidden="1">[1]Solu!#REF!</definedName>
    <definedName name="uvgft" localSheetId="35" hidden="1">[2]Solu!#REF!</definedName>
    <definedName name="uvgft" localSheetId="37" hidden="1">[2]Solu!#REF!</definedName>
    <definedName name="uvgft" localSheetId="57" hidden="1">[2]Solu!#REF!</definedName>
    <definedName name="uvgft" localSheetId="5" hidden="1">[1]Solu!#REF!</definedName>
    <definedName name="uvgft" localSheetId="23" hidden="1">[2]Solu!#REF!</definedName>
    <definedName name="uvgft" localSheetId="27" hidden="1">[2]Solu!#REF!</definedName>
    <definedName name="uvgft" localSheetId="17" hidden="1">[2]Solu!#REF!</definedName>
    <definedName name="uvgft" localSheetId="47" hidden="1">[1]Solu!#REF!</definedName>
    <definedName name="uvgft" localSheetId="41" hidden="1">[2]Solu!#REF!</definedName>
    <definedName name="uvgft" localSheetId="39" hidden="1">[2]Solu!#REF!</definedName>
    <definedName name="uvgft" localSheetId="40" hidden="1">[2]Solu!#REF!</definedName>
    <definedName name="uvgft" localSheetId="32" hidden="1">[1]Solu!#REF!</definedName>
    <definedName name="uvgft" localSheetId="43" hidden="1">[2]Solu!#REF!</definedName>
    <definedName name="uvgft" localSheetId="44" hidden="1">[2]Solu!#REF!</definedName>
    <definedName name="uvgft" localSheetId="45" hidden="1">[2]Solu!#REF!</definedName>
    <definedName name="uvgft" localSheetId="46" hidden="1">[2]Solu!#REF!</definedName>
    <definedName name="uvgft" localSheetId="36" hidden="1">[2]Solu!#REF!</definedName>
    <definedName name="uvgft" localSheetId="20" hidden="1">[2]Solu!#REF!</definedName>
    <definedName name="uvgft" localSheetId="21" hidden="1">[2]Solu!#REF!</definedName>
    <definedName name="uvgft" localSheetId="33" hidden="1">[2]Solu!#REF!</definedName>
    <definedName name="uvgft" localSheetId="18" hidden="1">[2]Solu!#REF!</definedName>
    <definedName name="uvgft" localSheetId="29" hidden="1">[1]Solu!#REF!</definedName>
    <definedName name="uvgft" localSheetId="26" hidden="1">[2]Solu!#REF!</definedName>
    <definedName name="uvgft" localSheetId="25" hidden="1">[1]Solu!#REF!</definedName>
    <definedName name="uvgft" localSheetId="13" hidden="1">[2]Solu!#REF!</definedName>
    <definedName name="uvgft" localSheetId="14" hidden="1">[2]Solu!#REF!</definedName>
    <definedName name="uvgft" localSheetId="12" hidden="1">[1]Solu!#REF!</definedName>
    <definedName name="uvgft" localSheetId="19" hidden="1">[2]Solu!#REF!</definedName>
    <definedName name="uvgft" localSheetId="34" hidden="1">[2]Solu!#REF!</definedName>
    <definedName name="uvgft" localSheetId="58" hidden="1">[1]Solu!#REF!</definedName>
    <definedName name="uvgft" localSheetId="69" hidden="1">[2]Solu!#REF!</definedName>
    <definedName name="uvgft" localSheetId="68" hidden="1">[2]Solu!#REF!</definedName>
    <definedName name="uvgft" localSheetId="0" hidden="1">[1]Solu!#REF!</definedName>
    <definedName name="uvgft" localSheetId="52" hidden="1">[1]Solu!#REF!</definedName>
    <definedName name="uvgft" localSheetId="73" hidden="1">[2]Solu!#REF!</definedName>
    <definedName name="uvgft" localSheetId="61" hidden="1">[1]Solu!#REF!</definedName>
    <definedName name="uvgft" localSheetId="38" hidden="1">[2]Solu!#REF!</definedName>
    <definedName name="uvgft" localSheetId="71" hidden="1">[2]Solu!#REF!</definedName>
    <definedName name="uvgft" localSheetId="22" hidden="1">[1]Solu!#REF!</definedName>
    <definedName name="uvgft" localSheetId="28" hidden="1">[1]Solu!#REF!</definedName>
    <definedName name="uvgft" localSheetId="65" hidden="1">[2]Solu!#REF!</definedName>
    <definedName name="uvgft" localSheetId="66" hidden="1">[2]Solu!#REF!</definedName>
    <definedName name="uvgft" localSheetId="67" hidden="1">[2]Solu!#REF!</definedName>
    <definedName name="uvgft" localSheetId="42" hidden="1">[2]Solu!#REF!</definedName>
    <definedName name="uvgft" hidden="1">[1]Solu!#REF!</definedName>
    <definedName name="Ventilation_duct" localSheetId="35">'[8]RATES INCLUDING TRANSPORATION'!$V$81</definedName>
    <definedName name="Ventilation_duct" localSheetId="37">'[8]RATES INCLUDING TRANSPORATION'!$V$81</definedName>
    <definedName name="Ventilation_duct" localSheetId="57">'[8]RATES INCLUDING TRANSPORATION'!$V$81</definedName>
    <definedName name="Ventilation_duct" localSheetId="23">'[8]RATES INCLUDING TRANSPORATION'!$V$81</definedName>
    <definedName name="Ventilation_duct" localSheetId="27">'[8]RATES INCLUDING TRANSPORATION'!$V$81</definedName>
    <definedName name="Ventilation_duct" localSheetId="17">'[8]RATES INCLUDING TRANSPORATION'!$V$81</definedName>
    <definedName name="Ventilation_duct" localSheetId="41">'[8]RATES INCLUDING TRANSPORATION'!$V$81</definedName>
    <definedName name="Ventilation_duct" localSheetId="39">'[8]RATES INCLUDING TRANSPORATION'!$V$81</definedName>
    <definedName name="Ventilation_duct" localSheetId="40">'[8]RATES INCLUDING TRANSPORATION'!$V$81</definedName>
    <definedName name="Ventilation_duct" localSheetId="36">'[8]RATES INCLUDING TRANSPORATION'!$V$81</definedName>
    <definedName name="Ventilation_duct" localSheetId="20">'[8]RATES INCLUDING TRANSPORATION'!$V$81</definedName>
    <definedName name="Ventilation_duct" localSheetId="21">'[8]RATES INCLUDING TRANSPORATION'!$V$81</definedName>
    <definedName name="Ventilation_duct" localSheetId="33">'[8]RATES INCLUDING TRANSPORATION'!$V$81</definedName>
    <definedName name="Ventilation_duct" localSheetId="18">'[8]RATES INCLUDING TRANSPORATION'!$V$81</definedName>
    <definedName name="Ventilation_duct" localSheetId="26">'[8]RATES INCLUDING TRANSPORATION'!$V$81</definedName>
    <definedName name="Ventilation_duct" localSheetId="13">'[8]RATES INCLUDING TRANSPORATION'!$V$81</definedName>
    <definedName name="Ventilation_duct" localSheetId="14">'[8]RATES INCLUDING TRANSPORATION'!$V$81</definedName>
    <definedName name="Ventilation_duct" localSheetId="19">'[8]RATES INCLUDING TRANSPORATION'!$V$81</definedName>
    <definedName name="Ventilation_duct" localSheetId="34">'[8]RATES INCLUDING TRANSPORATION'!$V$81</definedName>
    <definedName name="Ventilation_duct" localSheetId="69">'[8]RATES INCLUDING TRANSPORATION'!$V$81</definedName>
    <definedName name="Ventilation_duct" localSheetId="68">'[8]RATES INCLUDING TRANSPORATION'!$V$81</definedName>
    <definedName name="Ventilation_duct" localSheetId="51">#REF!</definedName>
    <definedName name="Ventilation_duct" localSheetId="38">'[8]RATES INCLUDING TRANSPORATION'!$V$81</definedName>
    <definedName name="Ventilation_duct" localSheetId="71">'[8]RATES INCLUDING TRANSPORATION'!$V$81</definedName>
    <definedName name="Ventilation_duct" localSheetId="65">'[8]RATES INCLUDING TRANSPORATION'!$V$81</definedName>
    <definedName name="Ventilation_duct" localSheetId="66">'[8]RATES INCLUDING TRANSPORATION'!$V$81</definedName>
    <definedName name="Ventilation_duct" localSheetId="67">'[8]RATES INCLUDING TRANSPORATION'!$V$81</definedName>
    <definedName name="Ventilation_duct" localSheetId="42">'[8]RATES INCLUDING TRANSPORATION'!$V$81</definedName>
    <definedName name="Ventilation_duct">'[9]RATES INCLUDING TRANSPORATION'!$V$81</definedName>
    <definedName name="vgf" localSheetId="4" hidden="1">[1]Solu!#REF!</definedName>
    <definedName name="vgf" localSheetId="78" hidden="1">[1]Solu!#REF!</definedName>
    <definedName name="vgf" localSheetId="7" hidden="1">[1]Solu!#REF!</definedName>
    <definedName name="vgf" localSheetId="8" hidden="1">[1]Solu!#REF!</definedName>
    <definedName name="vgf" localSheetId="1" hidden="1">[1]Solu!#REF!</definedName>
    <definedName name="vgf" localSheetId="24" hidden="1">[1]Solu!#REF!</definedName>
    <definedName name="vgf" localSheetId="35" hidden="1">[2]Solu!#REF!</definedName>
    <definedName name="vgf" localSheetId="37" hidden="1">[2]Solu!#REF!</definedName>
    <definedName name="vgf" localSheetId="57" hidden="1">[2]Solu!#REF!</definedName>
    <definedName name="vgf" localSheetId="5" hidden="1">[1]Solu!#REF!</definedName>
    <definedName name="vgf" localSheetId="23" hidden="1">[2]Solu!#REF!</definedName>
    <definedName name="vgf" localSheetId="27" hidden="1">[2]Solu!#REF!</definedName>
    <definedName name="vgf" localSheetId="17" hidden="1">[2]Solu!#REF!</definedName>
    <definedName name="vgf" localSheetId="47" hidden="1">[1]Solu!#REF!</definedName>
    <definedName name="vgf" localSheetId="41" hidden="1">[2]Solu!#REF!</definedName>
    <definedName name="vgf" localSheetId="39" hidden="1">[2]Solu!#REF!</definedName>
    <definedName name="vgf" localSheetId="40" hidden="1">[2]Solu!#REF!</definedName>
    <definedName name="vgf" localSheetId="32" hidden="1">[1]Solu!#REF!</definedName>
    <definedName name="vgf" localSheetId="43" hidden="1">[2]Solu!#REF!</definedName>
    <definedName name="vgf" localSheetId="44" hidden="1">[2]Solu!#REF!</definedName>
    <definedName name="vgf" localSheetId="45" hidden="1">[2]Solu!#REF!</definedName>
    <definedName name="vgf" localSheetId="46" hidden="1">[2]Solu!#REF!</definedName>
    <definedName name="vgf" localSheetId="36" hidden="1">[2]Solu!#REF!</definedName>
    <definedName name="vgf" localSheetId="20" hidden="1">[2]Solu!#REF!</definedName>
    <definedName name="vgf" localSheetId="21" hidden="1">[2]Solu!#REF!</definedName>
    <definedName name="vgf" localSheetId="33" hidden="1">[2]Solu!#REF!</definedName>
    <definedName name="vgf" localSheetId="18" hidden="1">[2]Solu!#REF!</definedName>
    <definedName name="vgf" localSheetId="29" hidden="1">[1]Solu!#REF!</definedName>
    <definedName name="vgf" localSheetId="26" hidden="1">[2]Solu!#REF!</definedName>
    <definedName name="vgf" localSheetId="25" hidden="1">[1]Solu!#REF!</definedName>
    <definedName name="vgf" localSheetId="13" hidden="1">[2]Solu!#REF!</definedName>
    <definedName name="vgf" localSheetId="14" hidden="1">[2]Solu!#REF!</definedName>
    <definedName name="vgf" localSheetId="12" hidden="1">[1]Solu!#REF!</definedName>
    <definedName name="vgf" localSheetId="19" hidden="1">[2]Solu!#REF!</definedName>
    <definedName name="vgf" localSheetId="34" hidden="1">[2]Solu!#REF!</definedName>
    <definedName name="vgf" localSheetId="58" hidden="1">[1]Solu!#REF!</definedName>
    <definedName name="vgf" localSheetId="69" hidden="1">[2]Solu!#REF!</definedName>
    <definedName name="vgf" localSheetId="68" hidden="1">[2]Solu!#REF!</definedName>
    <definedName name="vgf" localSheetId="0" hidden="1">[1]Solu!#REF!</definedName>
    <definedName name="vgf" localSheetId="52" hidden="1">[1]Solu!#REF!</definedName>
    <definedName name="vgf" localSheetId="73" hidden="1">[2]Solu!#REF!</definedName>
    <definedName name="vgf" localSheetId="61" hidden="1">[1]Solu!#REF!</definedName>
    <definedName name="vgf" localSheetId="38" hidden="1">[2]Solu!#REF!</definedName>
    <definedName name="vgf" localSheetId="71" hidden="1">[2]Solu!#REF!</definedName>
    <definedName name="vgf" localSheetId="22" hidden="1">[1]Solu!#REF!</definedName>
    <definedName name="vgf" localSheetId="28" hidden="1">[1]Solu!#REF!</definedName>
    <definedName name="vgf" localSheetId="65" hidden="1">[2]Solu!#REF!</definedName>
    <definedName name="vgf" localSheetId="66" hidden="1">[2]Solu!#REF!</definedName>
    <definedName name="vgf" localSheetId="67" hidden="1">[2]Solu!#REF!</definedName>
    <definedName name="vgf" localSheetId="42" hidden="1">[2]Solu!#REF!</definedName>
    <definedName name="vgf" hidden="1">[1]Solu!#REF!</definedName>
    <definedName name="VheadCanal" localSheetId="78">#REF!</definedName>
    <definedName name="VheadCanal" localSheetId="1">#REF!</definedName>
    <definedName name="VheadCanal" localSheetId="57">#REF!</definedName>
    <definedName name="VheadCanal" localSheetId="23">#REF!</definedName>
    <definedName name="VheadCanal" localSheetId="47">#REF!</definedName>
    <definedName name="VheadCanal" localSheetId="58">#REF!</definedName>
    <definedName name="VheadCanal" localSheetId="0">#REF!</definedName>
    <definedName name="VheadCanal" localSheetId="52">#REF!</definedName>
    <definedName name="VheadCanal" localSheetId="61">#REF!</definedName>
    <definedName name="vibrator_concrete" localSheetId="35">'[10]Basic Rates'!$D$144</definedName>
    <definedName name="vibrator_concrete" localSheetId="37">'[10]Basic Rates'!$D$144</definedName>
    <definedName name="vibrator_concrete" localSheetId="17">'[10]Basic Rates'!$D$144</definedName>
    <definedName name="vibrator_concrete" localSheetId="47">#REF!</definedName>
    <definedName name="vibrator_concrete" localSheetId="41">'[10]Basic Rates'!$D$144</definedName>
    <definedName name="vibrator_concrete" localSheetId="39">'[10]Basic Rates'!$D$144</definedName>
    <definedName name="vibrator_concrete" localSheetId="40">'[10]Basic Rates'!$D$144</definedName>
    <definedName name="vibrator_concrete" localSheetId="36">'[10]Basic Rates'!$D$144</definedName>
    <definedName name="vibrator_concrete" localSheetId="20">'[10]Basic Rates'!$D$144</definedName>
    <definedName name="vibrator_concrete" localSheetId="21">'[10]Basic Rates'!$D$144</definedName>
    <definedName name="vibrator_concrete" localSheetId="33">'[10]Basic Rates'!$D$144</definedName>
    <definedName name="vibrator_concrete" localSheetId="18">'[10]Basic Rates'!$D$144</definedName>
    <definedName name="vibrator_concrete" localSheetId="19">'[10]Basic Rates'!$D$144</definedName>
    <definedName name="vibrator_concrete" localSheetId="34">'[10]Basic Rates'!$D$144</definedName>
    <definedName name="vibrator_concrete" localSheetId="69">'[10]Basic Rates'!$D$144</definedName>
    <definedName name="vibrator_concrete" localSheetId="68">'[10]Basic Rates'!$D$144</definedName>
    <definedName name="vibrator_concrete" localSheetId="38">'[10]Basic Rates'!$D$144</definedName>
    <definedName name="vibrator_concrete" localSheetId="65">'[10]Basic Rates'!$D$144</definedName>
    <definedName name="vibrator_concrete" localSheetId="66">'[10]Basic Rates'!$D$144</definedName>
    <definedName name="vibrator_concrete" localSheetId="67">'[10]Basic Rates'!$D$144</definedName>
    <definedName name="vibrator_concrete" localSheetId="42">'[10]Basic Rates'!$D$144</definedName>
    <definedName name="w" localSheetId="78">#REF!</definedName>
    <definedName name="w" localSheetId="1">#REF!</definedName>
    <definedName name="w" localSheetId="57">#REF!</definedName>
    <definedName name="w" localSheetId="23">#REF!</definedName>
    <definedName name="w" localSheetId="47">#REF!</definedName>
    <definedName name="w" localSheetId="58">#REF!</definedName>
    <definedName name="w" localSheetId="0">#REF!</definedName>
    <definedName name="w" localSheetId="52">#REF!</definedName>
    <definedName name="w" localSheetId="61">#REF!</definedName>
    <definedName name="w_b" localSheetId="78">#REF!</definedName>
    <definedName name="w_b" localSheetId="1">#REF!</definedName>
    <definedName name="w_b" localSheetId="57">#REF!</definedName>
    <definedName name="w_b" localSheetId="23">#REF!</definedName>
    <definedName name="w_b" localSheetId="47">#REF!</definedName>
    <definedName name="w_b" localSheetId="58">#REF!</definedName>
    <definedName name="w_b" localSheetId="0">#REF!</definedName>
    <definedName name="w_b" localSheetId="52">#REF!</definedName>
    <definedName name="w_b" localSheetId="61">#REF!</definedName>
    <definedName name="w_p" localSheetId="78">#REF!</definedName>
    <definedName name="w_p" localSheetId="1">#REF!</definedName>
    <definedName name="w_p" localSheetId="57">#REF!</definedName>
    <definedName name="w_p" localSheetId="23">#REF!</definedName>
    <definedName name="w_p" localSheetId="47">#REF!</definedName>
    <definedName name="w_p" localSheetId="58">#REF!</definedName>
    <definedName name="w_p" localSheetId="0">#REF!</definedName>
    <definedName name="w_p" localSheetId="52">#REF!</definedName>
    <definedName name="w_p" localSheetId="61">#REF!</definedName>
    <definedName name="w_w" localSheetId="78">#REF!</definedName>
    <definedName name="w_w" localSheetId="1">#REF!</definedName>
    <definedName name="w_w" localSheetId="57">#REF!</definedName>
    <definedName name="w_w" localSheetId="23">#REF!</definedName>
    <definedName name="w_w" localSheetId="47">#REF!</definedName>
    <definedName name="w_w" localSheetId="58">#REF!</definedName>
    <definedName name="w_w" localSheetId="0">#REF!</definedName>
    <definedName name="w_w" localSheetId="52">#REF!</definedName>
    <definedName name="w_w" localSheetId="61">#REF!</definedName>
    <definedName name="washer" localSheetId="35">'[10]RATES INCLUDING TRANSPORATION'!$V$74</definedName>
    <definedName name="washer" localSheetId="37">'[10]RATES INCLUDING TRANSPORATION'!$V$74</definedName>
    <definedName name="washer" localSheetId="17">'[10]RATES INCLUDING TRANSPORATION'!$V$74</definedName>
    <definedName name="washer" localSheetId="47">#REF!</definedName>
    <definedName name="washer" localSheetId="41">'[10]RATES INCLUDING TRANSPORATION'!$V$74</definedName>
    <definedName name="washer" localSheetId="39">'[10]RATES INCLUDING TRANSPORATION'!$V$74</definedName>
    <definedName name="washer" localSheetId="40">'[10]RATES INCLUDING TRANSPORATION'!$V$74</definedName>
    <definedName name="washer" localSheetId="36">'[10]RATES INCLUDING TRANSPORATION'!$V$74</definedName>
    <definedName name="washer" localSheetId="20">'[10]RATES INCLUDING TRANSPORATION'!$V$74</definedName>
    <definedName name="washer" localSheetId="21">'[10]RATES INCLUDING TRANSPORATION'!$V$74</definedName>
    <definedName name="washer" localSheetId="33">'[10]RATES INCLUDING TRANSPORATION'!$V$74</definedName>
    <definedName name="washer" localSheetId="18">'[10]RATES INCLUDING TRANSPORATION'!$V$74</definedName>
    <definedName name="washer" localSheetId="19">'[10]RATES INCLUDING TRANSPORATION'!$V$74</definedName>
    <definedName name="washer" localSheetId="34">'[10]RATES INCLUDING TRANSPORATION'!$V$74</definedName>
    <definedName name="washer" localSheetId="69">'[10]RATES INCLUDING TRANSPORATION'!$V$74</definedName>
    <definedName name="washer" localSheetId="68">'[10]RATES INCLUDING TRANSPORATION'!$V$74</definedName>
    <definedName name="washer" localSheetId="38">'[10]RATES INCLUDING TRANSPORATION'!$V$74</definedName>
    <definedName name="washer" localSheetId="65">'[10]RATES INCLUDING TRANSPORATION'!$V$74</definedName>
    <definedName name="washer" localSheetId="66">'[10]RATES INCLUDING TRANSPORATION'!$V$74</definedName>
    <definedName name="washer" localSheetId="67">'[10]RATES INCLUDING TRANSPORATION'!$V$74</definedName>
    <definedName name="washer" localSheetId="42">'[10]RATES INCLUDING TRANSPORATION'!$V$74</definedName>
    <definedName name="water_stop" localSheetId="35">'[10]RATES INCLUDING TRANSPORATION'!$V$53</definedName>
    <definedName name="water_stop" localSheetId="37">'[10]RATES INCLUDING TRANSPORATION'!$V$53</definedName>
    <definedName name="water_stop" localSheetId="17">'[10]RATES INCLUDING TRANSPORATION'!$V$53</definedName>
    <definedName name="water_stop" localSheetId="47">#REF!</definedName>
    <definedName name="water_stop" localSheetId="41">'[10]RATES INCLUDING TRANSPORATION'!$V$53</definedName>
    <definedName name="water_stop" localSheetId="39">'[10]RATES INCLUDING TRANSPORATION'!$V$53</definedName>
    <definedName name="water_stop" localSheetId="40">'[10]RATES INCLUDING TRANSPORATION'!$V$53</definedName>
    <definedName name="water_stop" localSheetId="36">'[10]RATES INCLUDING TRANSPORATION'!$V$53</definedName>
    <definedName name="water_stop" localSheetId="20">'[10]RATES INCLUDING TRANSPORATION'!$V$53</definedName>
    <definedName name="water_stop" localSheetId="21">'[10]RATES INCLUDING TRANSPORATION'!$V$53</definedName>
    <definedName name="water_stop" localSheetId="33">'[10]RATES INCLUDING TRANSPORATION'!$V$53</definedName>
    <definedName name="water_stop" localSheetId="18">'[10]RATES INCLUDING TRANSPORATION'!$V$53</definedName>
    <definedName name="water_stop" localSheetId="19">'[10]RATES INCLUDING TRANSPORATION'!$V$53</definedName>
    <definedName name="water_stop" localSheetId="34">'[10]RATES INCLUDING TRANSPORATION'!$V$53</definedName>
    <definedName name="water_stop" localSheetId="69">'[10]RATES INCLUDING TRANSPORATION'!$V$53</definedName>
    <definedName name="water_stop" localSheetId="68">'[10]RATES INCLUDING TRANSPORATION'!$V$53</definedName>
    <definedName name="water_stop" localSheetId="38">'[10]RATES INCLUDING TRANSPORATION'!$V$53</definedName>
    <definedName name="water_stop" localSheetId="65">'[10]RATES INCLUDING TRANSPORATION'!$V$53</definedName>
    <definedName name="water_stop" localSheetId="66">'[10]RATES INCLUDING TRANSPORATION'!$V$53</definedName>
    <definedName name="water_stop" localSheetId="67">'[10]RATES INCLUDING TRANSPORATION'!$V$53</definedName>
    <definedName name="water_stop" localSheetId="42">'[10]RATES INCLUDING TRANSPORATION'!$V$53</definedName>
    <definedName name="Wbasin" localSheetId="35">'[32]Settling Basin'!$C$20</definedName>
    <definedName name="Wbasin" localSheetId="37">'[32]Settling Basin'!$C$20</definedName>
    <definedName name="Wbasin" localSheetId="57">'[32]Settling Basin'!$C$20</definedName>
    <definedName name="Wbasin" localSheetId="23">'[32]Settling Basin'!$C$20</definedName>
    <definedName name="Wbasin" localSheetId="27">'[32]Settling Basin'!$C$20</definedName>
    <definedName name="Wbasin" localSheetId="17">'[32]Settling Basin'!$C$20</definedName>
    <definedName name="Wbasin" localSheetId="41">'[32]Settling Basin'!$C$20</definedName>
    <definedName name="Wbasin" localSheetId="39">'[32]Settling Basin'!$C$20</definedName>
    <definedName name="Wbasin" localSheetId="40">'[32]Settling Basin'!$C$20</definedName>
    <definedName name="Wbasin" localSheetId="36">'[32]Settling Basin'!$C$20</definedName>
    <definedName name="Wbasin" localSheetId="20">'[32]Settling Basin'!$C$20</definedName>
    <definedName name="Wbasin" localSheetId="21">'[32]Settling Basin'!$C$20</definedName>
    <definedName name="Wbasin" localSheetId="33">'[32]Settling Basin'!$C$20</definedName>
    <definedName name="Wbasin" localSheetId="18">'[32]Settling Basin'!$C$20</definedName>
    <definedName name="Wbasin" localSheetId="26">'[32]Settling Basin'!$C$20</definedName>
    <definedName name="Wbasin" localSheetId="13">'[32]Settling Basin'!$C$20</definedName>
    <definedName name="Wbasin" localSheetId="14">'[32]Settling Basin'!$C$20</definedName>
    <definedName name="Wbasin" localSheetId="19">'[32]Settling Basin'!$C$20</definedName>
    <definedName name="Wbasin" localSheetId="34">'[32]Settling Basin'!$C$20</definedName>
    <definedName name="Wbasin" localSheetId="69">'[32]Settling Basin'!$C$20</definedName>
    <definedName name="Wbasin" localSheetId="68">'[32]Settling Basin'!$C$20</definedName>
    <definedName name="Wbasin" localSheetId="38">'[32]Settling Basin'!$C$20</definedName>
    <definedName name="Wbasin" localSheetId="71">'[32]Settling Basin'!$C$20</definedName>
    <definedName name="Wbasin" localSheetId="65">'[32]Settling Basin'!$C$20</definedName>
    <definedName name="Wbasin" localSheetId="66">'[32]Settling Basin'!$C$20</definedName>
    <definedName name="Wbasin" localSheetId="67">'[32]Settling Basin'!$C$20</definedName>
    <definedName name="Wbasin" localSheetId="42">'[32]Settling Basin'!$C$20</definedName>
    <definedName name="Wbasin">'[33]Settling Basin'!$C$20</definedName>
    <definedName name="Wcrest" localSheetId="78">'[28]Scour depth'!#REF!</definedName>
    <definedName name="Wcrest" localSheetId="1">'[28]Scour depth'!#REF!</definedName>
    <definedName name="Wcrest" localSheetId="57">'[29]Scour depth'!#REF!</definedName>
    <definedName name="Wcrest" localSheetId="23">'[29]Scour depth'!#REF!</definedName>
    <definedName name="Wcrest" localSheetId="47">'[28]Scour depth'!#REF!</definedName>
    <definedName name="Wcrest" localSheetId="58">'[28]Scour depth'!#REF!</definedName>
    <definedName name="Wcrest" localSheetId="0">'[28]Scour depth'!#REF!</definedName>
    <definedName name="Wcrest" localSheetId="52">'[28]Scour depth'!#REF!</definedName>
    <definedName name="Wcrest" localSheetId="61">'[28]Scour depth'!#REF!</definedName>
    <definedName name="WE" localSheetId="24" hidden="1">{#N/A,#N/A,TRUE,"Flat Before Crest";#N/A,#N/A,TRUE,"1-4 Before Crest";#N/A,#N/A,TRUE,"Crest";#N/A,#N/A,TRUE,"after crest";#N/A,#N/A,TRUE,"Data"}</definedName>
    <definedName name="WE" localSheetId="35" hidden="1">{#N/A,#N/A,TRUE,"Flat Before Crest";#N/A,#N/A,TRUE,"1-4 Before Crest";#N/A,#N/A,TRUE,"Crest";#N/A,#N/A,TRUE,"after crest";#N/A,#N/A,TRUE,"Data"}</definedName>
    <definedName name="WE" localSheetId="37" hidden="1">{#N/A,#N/A,TRUE,"Flat Before Crest";#N/A,#N/A,TRUE,"1-4 Before Crest";#N/A,#N/A,TRUE,"Crest";#N/A,#N/A,TRUE,"after crest";#N/A,#N/A,TRUE,"Data"}</definedName>
    <definedName name="WE" localSheetId="57" hidden="1">{#N/A,#N/A,TRUE,"Flat Before Crest";#N/A,#N/A,TRUE,"1-4 Before Crest";#N/A,#N/A,TRUE,"Crest";#N/A,#N/A,TRUE,"after crest";#N/A,#N/A,TRUE,"Data"}</definedName>
    <definedName name="WE" localSheetId="23" hidden="1">{#N/A,#N/A,TRUE,"Flat Before Crest";#N/A,#N/A,TRUE,"1-4 Before Crest";#N/A,#N/A,TRUE,"Crest";#N/A,#N/A,TRUE,"after crest";#N/A,#N/A,TRUE,"Data"}</definedName>
    <definedName name="WE" localSheetId="27" hidden="1">{#N/A,#N/A,TRUE,"Flat Before Crest";#N/A,#N/A,TRUE,"1-4 Before Crest";#N/A,#N/A,TRUE,"Crest";#N/A,#N/A,TRUE,"after crest";#N/A,#N/A,TRUE,"Data"}</definedName>
    <definedName name="WE" localSheetId="17" hidden="1">{#N/A,#N/A,TRUE,"Flat Before Crest";#N/A,#N/A,TRUE,"1-4 Before Crest";#N/A,#N/A,TRUE,"Crest";#N/A,#N/A,TRUE,"after crest";#N/A,#N/A,TRUE,"Data"}</definedName>
    <definedName name="WE" localSheetId="47" hidden="1">{#N/A,#N/A,TRUE,"Flat Before Crest";#N/A,#N/A,TRUE,"1-4 Before Crest";#N/A,#N/A,TRUE,"Crest";#N/A,#N/A,TRUE,"after crest";#N/A,#N/A,TRUE,"Data"}</definedName>
    <definedName name="WE" localSheetId="41" hidden="1">{#N/A,#N/A,TRUE,"Flat Before Crest";#N/A,#N/A,TRUE,"1-4 Before Crest";#N/A,#N/A,TRUE,"Crest";#N/A,#N/A,TRUE,"after crest";#N/A,#N/A,TRUE,"Data"}</definedName>
    <definedName name="WE" localSheetId="39" hidden="1">{#N/A,#N/A,TRUE,"Flat Before Crest";#N/A,#N/A,TRUE,"1-4 Before Crest";#N/A,#N/A,TRUE,"Crest";#N/A,#N/A,TRUE,"after crest";#N/A,#N/A,TRUE,"Data"}</definedName>
    <definedName name="WE" localSheetId="40" hidden="1">{#N/A,#N/A,TRUE,"Flat Before Crest";#N/A,#N/A,TRUE,"1-4 Before Crest";#N/A,#N/A,TRUE,"Crest";#N/A,#N/A,TRUE,"after crest";#N/A,#N/A,TRUE,"Data"}</definedName>
    <definedName name="WE" localSheetId="32" hidden="1">{#N/A,#N/A,TRUE,"Flat Before Crest";#N/A,#N/A,TRUE,"1-4 Before Crest";#N/A,#N/A,TRUE,"Crest";#N/A,#N/A,TRUE,"after crest";#N/A,#N/A,TRUE,"Data"}</definedName>
    <definedName name="WE" localSheetId="43" hidden="1">{#N/A,#N/A,TRUE,"Flat Before Crest";#N/A,#N/A,TRUE,"1-4 Before Crest";#N/A,#N/A,TRUE,"Crest";#N/A,#N/A,TRUE,"after crest";#N/A,#N/A,TRUE,"Data"}</definedName>
    <definedName name="WE" localSheetId="44" hidden="1">{#N/A,#N/A,TRUE,"Flat Before Crest";#N/A,#N/A,TRUE,"1-4 Before Crest";#N/A,#N/A,TRUE,"Crest";#N/A,#N/A,TRUE,"after crest";#N/A,#N/A,TRUE,"Data"}</definedName>
    <definedName name="WE" localSheetId="45" hidden="1">{#N/A,#N/A,TRUE,"Flat Before Crest";#N/A,#N/A,TRUE,"1-4 Before Crest";#N/A,#N/A,TRUE,"Crest";#N/A,#N/A,TRUE,"after crest";#N/A,#N/A,TRUE,"Data"}</definedName>
    <definedName name="WE" localSheetId="46" hidden="1">{#N/A,#N/A,TRUE,"Flat Before Crest";#N/A,#N/A,TRUE,"1-4 Before Crest";#N/A,#N/A,TRUE,"Crest";#N/A,#N/A,TRUE,"after crest";#N/A,#N/A,TRUE,"Data"}</definedName>
    <definedName name="WE" localSheetId="36" hidden="1">{#N/A,#N/A,TRUE,"Flat Before Crest";#N/A,#N/A,TRUE,"1-4 Before Crest";#N/A,#N/A,TRUE,"Crest";#N/A,#N/A,TRUE,"after crest";#N/A,#N/A,TRUE,"Data"}</definedName>
    <definedName name="WE" localSheetId="20" hidden="1">{#N/A,#N/A,TRUE,"Flat Before Crest";#N/A,#N/A,TRUE,"1-4 Before Crest";#N/A,#N/A,TRUE,"Crest";#N/A,#N/A,TRUE,"after crest";#N/A,#N/A,TRUE,"Data"}</definedName>
    <definedName name="WE" localSheetId="21" hidden="1">{#N/A,#N/A,TRUE,"Flat Before Crest";#N/A,#N/A,TRUE,"1-4 Before Crest";#N/A,#N/A,TRUE,"Crest";#N/A,#N/A,TRUE,"after crest";#N/A,#N/A,TRUE,"Data"}</definedName>
    <definedName name="WE" localSheetId="33" hidden="1">{#N/A,#N/A,TRUE,"Flat Before Crest";#N/A,#N/A,TRUE,"1-4 Before Crest";#N/A,#N/A,TRUE,"Crest";#N/A,#N/A,TRUE,"after crest";#N/A,#N/A,TRUE,"Data"}</definedName>
    <definedName name="WE" localSheetId="18" hidden="1">{#N/A,#N/A,TRUE,"Flat Before Crest";#N/A,#N/A,TRUE,"1-4 Before Crest";#N/A,#N/A,TRUE,"Crest";#N/A,#N/A,TRUE,"after crest";#N/A,#N/A,TRUE,"Data"}</definedName>
    <definedName name="WE" localSheetId="29" hidden="1">{#N/A,#N/A,TRUE,"Flat Before Crest";#N/A,#N/A,TRUE,"1-4 Before Crest";#N/A,#N/A,TRUE,"Crest";#N/A,#N/A,TRUE,"after crest";#N/A,#N/A,TRUE,"Data"}</definedName>
    <definedName name="WE" localSheetId="26" hidden="1">{#N/A,#N/A,TRUE,"Flat Before Crest";#N/A,#N/A,TRUE,"1-4 Before Crest";#N/A,#N/A,TRUE,"Crest";#N/A,#N/A,TRUE,"after crest";#N/A,#N/A,TRUE,"Data"}</definedName>
    <definedName name="WE" localSheetId="13" hidden="1">{#N/A,#N/A,TRUE,"Flat Before Crest";#N/A,#N/A,TRUE,"1-4 Before Crest";#N/A,#N/A,TRUE,"Crest";#N/A,#N/A,TRUE,"after crest";#N/A,#N/A,TRUE,"Data"}</definedName>
    <definedName name="WE" localSheetId="14" hidden="1">{#N/A,#N/A,TRUE,"Flat Before Crest";#N/A,#N/A,TRUE,"1-4 Before Crest";#N/A,#N/A,TRUE,"Crest";#N/A,#N/A,TRUE,"after crest";#N/A,#N/A,TRUE,"Data"}</definedName>
    <definedName name="WE" localSheetId="19" hidden="1">{#N/A,#N/A,TRUE,"Flat Before Crest";#N/A,#N/A,TRUE,"1-4 Before Crest";#N/A,#N/A,TRUE,"Crest";#N/A,#N/A,TRUE,"after crest";#N/A,#N/A,TRUE,"Data"}</definedName>
    <definedName name="WE" localSheetId="34" hidden="1">{#N/A,#N/A,TRUE,"Flat Before Crest";#N/A,#N/A,TRUE,"1-4 Before Crest";#N/A,#N/A,TRUE,"Crest";#N/A,#N/A,TRUE,"after crest";#N/A,#N/A,TRUE,"Data"}</definedName>
    <definedName name="WE" localSheetId="69" hidden="1">{#N/A,#N/A,TRUE,"Flat Before Crest";#N/A,#N/A,TRUE,"1-4 Before Crest";#N/A,#N/A,TRUE,"Crest";#N/A,#N/A,TRUE,"after crest";#N/A,#N/A,TRUE,"Data"}</definedName>
    <definedName name="WE" localSheetId="68" hidden="1">{#N/A,#N/A,TRUE,"Flat Before Crest";#N/A,#N/A,TRUE,"1-4 Before Crest";#N/A,#N/A,TRUE,"Crest";#N/A,#N/A,TRUE,"after crest";#N/A,#N/A,TRUE,"Data"}</definedName>
    <definedName name="WE" localSheetId="52" hidden="1">{#N/A,#N/A,TRUE,"Flat Before Crest";#N/A,#N/A,TRUE,"1-4 Before Crest";#N/A,#N/A,TRUE,"Crest";#N/A,#N/A,TRUE,"after crest";#N/A,#N/A,TRUE,"Data"}</definedName>
    <definedName name="WE" localSheetId="73" hidden="1">{#N/A,#N/A,TRUE,"Flat Before Crest";#N/A,#N/A,TRUE,"1-4 Before Crest";#N/A,#N/A,TRUE,"Crest";#N/A,#N/A,TRUE,"after crest";#N/A,#N/A,TRUE,"Data"}</definedName>
    <definedName name="WE" localSheetId="38" hidden="1">{#N/A,#N/A,TRUE,"Flat Before Crest";#N/A,#N/A,TRUE,"1-4 Before Crest";#N/A,#N/A,TRUE,"Crest";#N/A,#N/A,TRUE,"after crest";#N/A,#N/A,TRUE,"Data"}</definedName>
    <definedName name="WE" localSheetId="71" hidden="1">{#N/A,#N/A,TRUE,"Flat Before Crest";#N/A,#N/A,TRUE,"1-4 Before Crest";#N/A,#N/A,TRUE,"Crest";#N/A,#N/A,TRUE,"after crest";#N/A,#N/A,TRUE,"Data"}</definedName>
    <definedName name="WE" localSheetId="22" hidden="1">{#N/A,#N/A,TRUE,"Flat Before Crest";#N/A,#N/A,TRUE,"1-4 Before Crest";#N/A,#N/A,TRUE,"Crest";#N/A,#N/A,TRUE,"after crest";#N/A,#N/A,TRUE,"Data"}</definedName>
    <definedName name="WE" localSheetId="72" hidden="1">{#N/A,#N/A,TRUE,"Flat Before Crest";#N/A,#N/A,TRUE,"1-4 Before Crest";#N/A,#N/A,TRUE,"Crest";#N/A,#N/A,TRUE,"after crest";#N/A,#N/A,TRUE,"Data"}</definedName>
    <definedName name="WE" localSheetId="28" hidden="1">{#N/A,#N/A,TRUE,"Flat Before Crest";#N/A,#N/A,TRUE,"1-4 Before Crest";#N/A,#N/A,TRUE,"Crest";#N/A,#N/A,TRUE,"after crest";#N/A,#N/A,TRUE,"Data"}</definedName>
    <definedName name="WE" localSheetId="65" hidden="1">{#N/A,#N/A,TRUE,"Flat Before Crest";#N/A,#N/A,TRUE,"1-4 Before Crest";#N/A,#N/A,TRUE,"Crest";#N/A,#N/A,TRUE,"after crest";#N/A,#N/A,TRUE,"Data"}</definedName>
    <definedName name="WE" localSheetId="66" hidden="1">{#N/A,#N/A,TRUE,"Flat Before Crest";#N/A,#N/A,TRUE,"1-4 Before Crest";#N/A,#N/A,TRUE,"Crest";#N/A,#N/A,TRUE,"after crest";#N/A,#N/A,TRUE,"Data"}</definedName>
    <definedName name="WE" localSheetId="67" hidden="1">{#N/A,#N/A,TRUE,"Flat Before Crest";#N/A,#N/A,TRUE,"1-4 Before Crest";#N/A,#N/A,TRUE,"Crest";#N/A,#N/A,TRUE,"after crest";#N/A,#N/A,TRUE,"Data"}</definedName>
    <definedName name="WE" localSheetId="42" hidden="1">{#N/A,#N/A,TRUE,"Flat Before Crest";#N/A,#N/A,TRUE,"1-4 Before Crest";#N/A,#N/A,TRUE,"Crest";#N/A,#N/A,TRUE,"after crest";#N/A,#N/A,TRUE,"Data"}</definedName>
    <definedName name="WE" hidden="1">{#N/A,#N/A,TRUE,"Flat Before Crest";#N/A,#N/A,TRUE,"1-4 Before Crest";#N/A,#N/A,TRUE,"Crest";#N/A,#N/A,TRUE,"after crest";#N/A,#N/A,TRUE,"Data"}</definedName>
    <definedName name="welder" localSheetId="35">'[10]Basic Rates'!$D$39</definedName>
    <definedName name="welder" localSheetId="37">'[10]Basic Rates'!$D$39</definedName>
    <definedName name="welder" localSheetId="17">'[10]Basic Rates'!$D$39</definedName>
    <definedName name="welder" localSheetId="47">#REF!</definedName>
    <definedName name="welder" localSheetId="41">'[10]Basic Rates'!$D$39</definedName>
    <definedName name="welder" localSheetId="39">'[10]Basic Rates'!$D$39</definedName>
    <definedName name="welder" localSheetId="40">'[10]Basic Rates'!$D$39</definedName>
    <definedName name="welder" localSheetId="36">'[10]Basic Rates'!$D$39</definedName>
    <definedName name="welder" localSheetId="20">'[10]Basic Rates'!$D$39</definedName>
    <definedName name="welder" localSheetId="21">'[10]Basic Rates'!$D$39</definedName>
    <definedName name="welder" localSheetId="33">'[10]Basic Rates'!$D$39</definedName>
    <definedName name="welder" localSheetId="18">'[10]Basic Rates'!$D$39</definedName>
    <definedName name="welder" localSheetId="19">'[10]Basic Rates'!$D$39</definedName>
    <definedName name="welder" localSheetId="34">'[10]Basic Rates'!$D$39</definedName>
    <definedName name="welder" localSheetId="69">'[10]Basic Rates'!$D$39</definedName>
    <definedName name="welder" localSheetId="68">'[10]Basic Rates'!$D$39</definedName>
    <definedName name="welder" localSheetId="38">'[10]Basic Rates'!$D$39</definedName>
    <definedName name="welder" localSheetId="65">'[10]Basic Rates'!$D$39</definedName>
    <definedName name="welder" localSheetId="66">'[10]Basic Rates'!$D$39</definedName>
    <definedName name="welder" localSheetId="67">'[10]Basic Rates'!$D$39</definedName>
    <definedName name="welder" localSheetId="42">'[10]Basic Rates'!$D$39</definedName>
    <definedName name="welding_gas" localSheetId="47">#REF!</definedName>
    <definedName name="welding_machine" localSheetId="47">#REF!</definedName>
    <definedName name="welding_rod" localSheetId="35">'[10]RATES INCLUDING TRANSPORATION'!$V$89</definedName>
    <definedName name="welding_rod" localSheetId="37">'[10]RATES INCLUDING TRANSPORATION'!$V$89</definedName>
    <definedName name="welding_rod" localSheetId="17">'[10]RATES INCLUDING TRANSPORATION'!$V$89</definedName>
    <definedName name="welding_rod" localSheetId="47">#REF!</definedName>
    <definedName name="welding_rod" localSheetId="41">'[10]RATES INCLUDING TRANSPORATION'!$V$89</definedName>
    <definedName name="welding_rod" localSheetId="39">'[10]RATES INCLUDING TRANSPORATION'!$V$89</definedName>
    <definedName name="welding_rod" localSheetId="40">'[10]RATES INCLUDING TRANSPORATION'!$V$89</definedName>
    <definedName name="welding_rod" localSheetId="36">'[10]RATES INCLUDING TRANSPORATION'!$V$89</definedName>
    <definedName name="welding_rod" localSheetId="20">'[10]RATES INCLUDING TRANSPORATION'!$V$89</definedName>
    <definedName name="welding_rod" localSheetId="21">'[10]RATES INCLUDING TRANSPORATION'!$V$89</definedName>
    <definedName name="welding_rod" localSheetId="33">'[10]RATES INCLUDING TRANSPORATION'!$V$89</definedName>
    <definedName name="welding_rod" localSheetId="18">'[10]RATES INCLUDING TRANSPORATION'!$V$89</definedName>
    <definedName name="welding_rod" localSheetId="19">'[10]RATES INCLUDING TRANSPORATION'!$V$89</definedName>
    <definedName name="welding_rod" localSheetId="34">'[10]RATES INCLUDING TRANSPORATION'!$V$89</definedName>
    <definedName name="welding_rod" localSheetId="69">'[10]RATES INCLUDING TRANSPORATION'!$V$89</definedName>
    <definedName name="welding_rod" localSheetId="68">'[10]RATES INCLUDING TRANSPORATION'!$V$89</definedName>
    <definedName name="welding_rod" localSheetId="38">'[10]RATES INCLUDING TRANSPORATION'!$V$89</definedName>
    <definedName name="welding_rod" localSheetId="65">'[10]RATES INCLUDING TRANSPORATION'!$V$89</definedName>
    <definedName name="welding_rod" localSheetId="66">'[10]RATES INCLUDING TRANSPORATION'!$V$89</definedName>
    <definedName name="welding_rod" localSheetId="67">'[10]RATES INCLUDING TRANSPORATION'!$V$89</definedName>
    <definedName name="welding_rod" localSheetId="42">'[10]RATES INCLUDING TRANSPORATION'!$V$89</definedName>
    <definedName name="wheel_barrow" localSheetId="35">'[10]Basic Rates'!$D$174</definedName>
    <definedName name="wheel_barrow" localSheetId="37">'[10]Basic Rates'!$D$174</definedName>
    <definedName name="wheel_barrow" localSheetId="17">'[10]Basic Rates'!$D$174</definedName>
    <definedName name="wheel_barrow" localSheetId="47">#REF!</definedName>
    <definedName name="wheel_barrow" localSheetId="41">'[10]Basic Rates'!$D$174</definedName>
    <definedName name="wheel_barrow" localSheetId="39">'[10]Basic Rates'!$D$174</definedName>
    <definedName name="wheel_barrow" localSheetId="40">'[10]Basic Rates'!$D$174</definedName>
    <definedName name="wheel_barrow" localSheetId="36">'[10]Basic Rates'!$D$174</definedName>
    <definedName name="wheel_barrow" localSheetId="20">'[10]Basic Rates'!$D$174</definedName>
    <definedName name="wheel_barrow" localSheetId="21">'[10]Basic Rates'!$D$174</definedName>
    <definedName name="wheel_barrow" localSheetId="33">'[10]Basic Rates'!$D$174</definedName>
    <definedName name="wheel_barrow" localSheetId="18">'[10]Basic Rates'!$D$174</definedName>
    <definedName name="wheel_barrow" localSheetId="19">'[10]Basic Rates'!$D$174</definedName>
    <definedName name="wheel_barrow" localSheetId="34">'[10]Basic Rates'!$D$174</definedName>
    <definedName name="wheel_barrow" localSheetId="69">'[10]Basic Rates'!$D$174</definedName>
    <definedName name="wheel_barrow" localSheetId="68">'[10]Basic Rates'!$D$174</definedName>
    <definedName name="wheel_barrow" localSheetId="38">'[10]Basic Rates'!$D$174</definedName>
    <definedName name="wheel_barrow" localSheetId="65">'[10]Basic Rates'!$D$174</definedName>
    <definedName name="wheel_barrow" localSheetId="66">'[10]Basic Rates'!$D$174</definedName>
    <definedName name="wheel_barrow" localSheetId="67">'[10]Basic Rates'!$D$174</definedName>
    <definedName name="wheel_barrow" localSheetId="42">'[10]Basic Rates'!$D$174</definedName>
    <definedName name="wheel_loader" localSheetId="35">'[8]Basic Rates'!$D$129</definedName>
    <definedName name="wheel_loader" localSheetId="37">'[8]Basic Rates'!$D$129</definedName>
    <definedName name="wheel_loader" localSheetId="57">'[8]Basic Rates'!$D$129</definedName>
    <definedName name="wheel_loader" localSheetId="23">'[8]Basic Rates'!$D$129</definedName>
    <definedName name="wheel_loader" localSheetId="27">'[8]Basic Rates'!$D$129</definedName>
    <definedName name="wheel_loader" localSheetId="17">'[8]Basic Rates'!$D$129</definedName>
    <definedName name="wheel_loader" localSheetId="41">'[8]Basic Rates'!$D$129</definedName>
    <definedName name="wheel_loader" localSheetId="39">'[8]Basic Rates'!$D$129</definedName>
    <definedName name="wheel_loader" localSheetId="40">'[8]Basic Rates'!$D$129</definedName>
    <definedName name="wheel_loader" localSheetId="36">'[8]Basic Rates'!$D$129</definedName>
    <definedName name="wheel_loader" localSheetId="20">'[8]Basic Rates'!$D$129</definedName>
    <definedName name="wheel_loader" localSheetId="21">'[8]Basic Rates'!$D$129</definedName>
    <definedName name="wheel_loader" localSheetId="33">'[8]Basic Rates'!$D$129</definedName>
    <definedName name="wheel_loader" localSheetId="18">'[8]Basic Rates'!$D$129</definedName>
    <definedName name="wheel_loader" localSheetId="26">'[8]Basic Rates'!$D$129</definedName>
    <definedName name="wheel_loader" localSheetId="13">'[8]Basic Rates'!$D$129</definedName>
    <definedName name="wheel_loader" localSheetId="14">'[8]Basic Rates'!$D$129</definedName>
    <definedName name="wheel_loader" localSheetId="19">'[8]Basic Rates'!$D$129</definedName>
    <definedName name="wheel_loader" localSheetId="34">'[8]Basic Rates'!$D$129</definedName>
    <definedName name="wheel_loader" localSheetId="69">'[8]Basic Rates'!$D$129</definedName>
    <definedName name="wheel_loader" localSheetId="68">'[8]Basic Rates'!$D$129</definedName>
    <definedName name="wheel_loader" localSheetId="51">#REF!</definedName>
    <definedName name="wheel_loader" localSheetId="38">'[8]Basic Rates'!$D$129</definedName>
    <definedName name="wheel_loader" localSheetId="71">'[8]Basic Rates'!$D$129</definedName>
    <definedName name="wheel_loader" localSheetId="65">'[8]Basic Rates'!$D$129</definedName>
    <definedName name="wheel_loader" localSheetId="66">'[8]Basic Rates'!$D$129</definedName>
    <definedName name="wheel_loader" localSheetId="67">'[8]Basic Rates'!$D$129</definedName>
    <definedName name="wheel_loader" localSheetId="42">'[8]Basic Rates'!$D$129</definedName>
    <definedName name="wheel_loader">'[9]Basic Rates'!$D$129</definedName>
    <definedName name="white_cement" localSheetId="35">'[10]RATES INCLUDING TRANSPORATION'!$V$66</definedName>
    <definedName name="white_cement" localSheetId="37">'[10]RATES INCLUDING TRANSPORATION'!$V$66</definedName>
    <definedName name="white_cement" localSheetId="17">'[10]RATES INCLUDING TRANSPORATION'!$V$66</definedName>
    <definedName name="white_cement" localSheetId="47">#REF!</definedName>
    <definedName name="white_cement" localSheetId="41">'[10]RATES INCLUDING TRANSPORATION'!$V$66</definedName>
    <definedName name="white_cement" localSheetId="39">'[10]RATES INCLUDING TRANSPORATION'!$V$66</definedName>
    <definedName name="white_cement" localSheetId="40">'[10]RATES INCLUDING TRANSPORATION'!$V$66</definedName>
    <definedName name="white_cement" localSheetId="36">'[10]RATES INCLUDING TRANSPORATION'!$V$66</definedName>
    <definedName name="white_cement" localSheetId="20">'[10]RATES INCLUDING TRANSPORATION'!$V$66</definedName>
    <definedName name="white_cement" localSheetId="21">'[10]RATES INCLUDING TRANSPORATION'!$V$66</definedName>
    <definedName name="white_cement" localSheetId="33">'[10]RATES INCLUDING TRANSPORATION'!$V$66</definedName>
    <definedName name="white_cement" localSheetId="18">'[10]RATES INCLUDING TRANSPORATION'!$V$66</definedName>
    <definedName name="white_cement" localSheetId="19">'[10]RATES INCLUDING TRANSPORATION'!$V$66</definedName>
    <definedName name="white_cement" localSheetId="34">'[10]RATES INCLUDING TRANSPORATION'!$V$66</definedName>
    <definedName name="white_cement" localSheetId="69">'[10]RATES INCLUDING TRANSPORATION'!$V$66</definedName>
    <definedName name="white_cement" localSheetId="68">'[10]RATES INCLUDING TRANSPORATION'!$V$66</definedName>
    <definedName name="white_cement" localSheetId="38">'[10]RATES INCLUDING TRANSPORATION'!$V$66</definedName>
    <definedName name="white_cement" localSheetId="65">'[10]RATES INCLUDING TRANSPORATION'!$V$66</definedName>
    <definedName name="white_cement" localSheetId="66">'[10]RATES INCLUDING TRANSPORATION'!$V$66</definedName>
    <definedName name="white_cement" localSheetId="67">'[10]RATES INCLUDING TRANSPORATION'!$V$66</definedName>
    <definedName name="white_cement" localSheetId="42">'[10]RATES INCLUDING TRANSPORATION'!$V$66</definedName>
    <definedName name="wiremesh" localSheetId="35">'[8]RATES INCLUDING TRANSPORATION'!$V$48</definedName>
    <definedName name="wiremesh" localSheetId="37">'[8]RATES INCLUDING TRANSPORATION'!$V$48</definedName>
    <definedName name="wiremesh" localSheetId="57">'[8]RATES INCLUDING TRANSPORATION'!$V$48</definedName>
    <definedName name="wiremesh" localSheetId="23">'[8]RATES INCLUDING TRANSPORATION'!$V$48</definedName>
    <definedName name="wiremesh" localSheetId="27">'[8]RATES INCLUDING TRANSPORATION'!$V$48</definedName>
    <definedName name="wiremesh" localSheetId="17">'[8]RATES INCLUDING TRANSPORATION'!$V$48</definedName>
    <definedName name="wiremesh" localSheetId="41">'[8]RATES INCLUDING TRANSPORATION'!$V$48</definedName>
    <definedName name="wiremesh" localSheetId="39">'[8]RATES INCLUDING TRANSPORATION'!$V$48</definedName>
    <definedName name="wiremesh" localSheetId="40">'[8]RATES INCLUDING TRANSPORATION'!$V$48</definedName>
    <definedName name="wiremesh" localSheetId="36">'[8]RATES INCLUDING TRANSPORATION'!$V$48</definedName>
    <definedName name="wiremesh" localSheetId="20">'[8]RATES INCLUDING TRANSPORATION'!$V$48</definedName>
    <definedName name="wiremesh" localSheetId="21">'[8]RATES INCLUDING TRANSPORATION'!$V$48</definedName>
    <definedName name="wiremesh" localSheetId="33">'[8]RATES INCLUDING TRANSPORATION'!$V$48</definedName>
    <definedName name="wiremesh" localSheetId="18">'[8]RATES INCLUDING TRANSPORATION'!$V$48</definedName>
    <definedName name="wiremesh" localSheetId="26">'[8]RATES INCLUDING TRANSPORATION'!$V$48</definedName>
    <definedName name="wiremesh" localSheetId="13">'[8]RATES INCLUDING TRANSPORATION'!$V$48</definedName>
    <definedName name="wiremesh" localSheetId="14">'[8]RATES INCLUDING TRANSPORATION'!$V$48</definedName>
    <definedName name="wiremesh" localSheetId="19">'[8]RATES INCLUDING TRANSPORATION'!$V$48</definedName>
    <definedName name="wiremesh" localSheetId="34">'[8]RATES INCLUDING TRANSPORATION'!$V$48</definedName>
    <definedName name="wiremesh" localSheetId="69">'[8]RATES INCLUDING TRANSPORATION'!$V$48</definedName>
    <definedName name="wiremesh" localSheetId="68">'[8]RATES INCLUDING TRANSPORATION'!$V$48</definedName>
    <definedName name="wiremesh" localSheetId="51">#REF!</definedName>
    <definedName name="wiremesh" localSheetId="38">'[8]RATES INCLUDING TRANSPORATION'!$V$48</definedName>
    <definedName name="wiremesh" localSheetId="71">'[8]RATES INCLUDING TRANSPORATION'!$V$48</definedName>
    <definedName name="wiremesh" localSheetId="65">'[8]RATES INCLUDING TRANSPORATION'!$V$48</definedName>
    <definedName name="wiremesh" localSheetId="66">'[8]RATES INCLUDING TRANSPORATION'!$V$48</definedName>
    <definedName name="wiremesh" localSheetId="67">'[8]RATES INCLUDING TRANSPORATION'!$V$48</definedName>
    <definedName name="wiremesh" localSheetId="42">'[8]RATES INCLUDING TRANSPORATION'!$V$48</definedName>
    <definedName name="wiremesh">'[9]RATES INCLUDING TRANSPORATION'!$V$48</definedName>
    <definedName name="WLHeadCanal" localSheetId="78">#REF!</definedName>
    <definedName name="WLHeadCanal" localSheetId="1">#REF!</definedName>
    <definedName name="WLHeadCanal" localSheetId="57">#REF!</definedName>
    <definedName name="WLHeadCanal" localSheetId="23">#REF!</definedName>
    <definedName name="WLHeadCanal" localSheetId="47">#REF!</definedName>
    <definedName name="WLHeadCanal" localSheetId="58">#REF!</definedName>
    <definedName name="WLHeadCanal" localSheetId="0">#REF!</definedName>
    <definedName name="WLHeadCanal" localSheetId="52">#REF!</definedName>
    <definedName name="WLHeadCanal" localSheetId="61">#REF!</definedName>
    <definedName name="WLsetling" localSheetId="78">'[22]Settling Basin'!#REF!</definedName>
    <definedName name="WLsetling" localSheetId="1">'[22]Settling Basin'!#REF!</definedName>
    <definedName name="WLsetling" localSheetId="57">'[23]Settling Basin'!#REF!</definedName>
    <definedName name="WLsetling" localSheetId="23">'[23]Settling Basin'!#REF!</definedName>
    <definedName name="WLsetling" localSheetId="47">'[22]Settling Basin'!#REF!</definedName>
    <definedName name="WLsetling" localSheetId="58">'[22]Settling Basin'!#REF!</definedName>
    <definedName name="WLsetling" localSheetId="0">'[22]Settling Basin'!#REF!</definedName>
    <definedName name="WLsetling" localSheetId="52">'[22]Settling Basin'!#REF!</definedName>
    <definedName name="WLsetling" localSheetId="61">'[22]Settling Basin'!#REF!</definedName>
    <definedName name="wo" localSheetId="47">#REF!</definedName>
    <definedName name="wrn.5." localSheetId="24" hidden="1">{"Mahesh Maskey - Personal View",#N/A,FALSE,"HeadLossApril (2)";#N/A,#N/A,FALSE,"Hydraulic Gadient"}</definedName>
    <definedName name="wrn.5." localSheetId="35" hidden="1">{"Mahesh Maskey - Personal View",#N/A,FALSE,"HeadLossApril (2)";#N/A,#N/A,FALSE,"Hydraulic Gadient"}</definedName>
    <definedName name="wrn.5." localSheetId="37" hidden="1">{"Mahesh Maskey - Personal View",#N/A,FALSE,"HeadLossApril (2)";#N/A,#N/A,FALSE,"Hydraulic Gadient"}</definedName>
    <definedName name="wrn.5." localSheetId="57" hidden="1">{"Mahesh Maskey - Personal View",#N/A,FALSE,"HeadLossApril (2)";#N/A,#N/A,FALSE,"Hydraulic Gadient"}</definedName>
    <definedName name="wrn.5." localSheetId="23" hidden="1">{"Mahesh Maskey - Personal View",#N/A,FALSE,"HeadLossApril (2)";#N/A,#N/A,FALSE,"Hydraulic Gadient"}</definedName>
    <definedName name="wrn.5." localSheetId="27" hidden="1">{"Mahesh Maskey - Personal View",#N/A,FALSE,"HeadLossApril (2)";#N/A,#N/A,FALSE,"Hydraulic Gadient"}</definedName>
    <definedName name="wrn.5." localSheetId="17" hidden="1">{"Mahesh Maskey - Personal View",#N/A,FALSE,"HeadLossApril (2)";#N/A,#N/A,FALSE,"Hydraulic Gadient"}</definedName>
    <definedName name="wrn.5." localSheetId="47" hidden="1">{"Mahesh Maskey - Personal View",#N/A,FALSE,"HeadLossApril (2)";#N/A,#N/A,FALSE,"Hydraulic Gadient"}</definedName>
    <definedName name="wrn.5." localSheetId="41" hidden="1">{"Mahesh Maskey - Personal View",#N/A,FALSE,"HeadLossApril (2)";#N/A,#N/A,FALSE,"Hydraulic Gadient"}</definedName>
    <definedName name="wrn.5." localSheetId="39" hidden="1">{"Mahesh Maskey - Personal View",#N/A,FALSE,"HeadLossApril (2)";#N/A,#N/A,FALSE,"Hydraulic Gadient"}</definedName>
    <definedName name="wrn.5." localSheetId="40" hidden="1">{"Mahesh Maskey - Personal View",#N/A,FALSE,"HeadLossApril (2)";#N/A,#N/A,FALSE,"Hydraulic Gadient"}</definedName>
    <definedName name="wrn.5." localSheetId="32" hidden="1">{"Mahesh Maskey - Personal View",#N/A,FALSE,"HeadLossApril (2)";#N/A,#N/A,FALSE,"Hydraulic Gadient"}</definedName>
    <definedName name="wrn.5." localSheetId="43" hidden="1">{"Mahesh Maskey - Personal View",#N/A,FALSE,"HeadLossApril (2)";#N/A,#N/A,FALSE,"Hydraulic Gadient"}</definedName>
    <definedName name="wrn.5." localSheetId="44" hidden="1">{"Mahesh Maskey - Personal View",#N/A,FALSE,"HeadLossApril (2)";#N/A,#N/A,FALSE,"Hydraulic Gadient"}</definedName>
    <definedName name="wrn.5." localSheetId="45" hidden="1">{"Mahesh Maskey - Personal View",#N/A,FALSE,"HeadLossApril (2)";#N/A,#N/A,FALSE,"Hydraulic Gadient"}</definedName>
    <definedName name="wrn.5." localSheetId="46" hidden="1">{"Mahesh Maskey - Personal View",#N/A,FALSE,"HeadLossApril (2)";#N/A,#N/A,FALSE,"Hydraulic Gadient"}</definedName>
    <definedName name="wrn.5." localSheetId="36" hidden="1">{"Mahesh Maskey - Personal View",#N/A,FALSE,"HeadLossApril (2)";#N/A,#N/A,FALSE,"Hydraulic Gadient"}</definedName>
    <definedName name="wrn.5." localSheetId="20" hidden="1">{"Mahesh Maskey - Personal View",#N/A,FALSE,"HeadLossApril (2)";#N/A,#N/A,FALSE,"Hydraulic Gadient"}</definedName>
    <definedName name="wrn.5." localSheetId="21" hidden="1">{"Mahesh Maskey - Personal View",#N/A,FALSE,"HeadLossApril (2)";#N/A,#N/A,FALSE,"Hydraulic Gadient"}</definedName>
    <definedName name="wrn.5." localSheetId="33" hidden="1">{"Mahesh Maskey - Personal View",#N/A,FALSE,"HeadLossApril (2)";#N/A,#N/A,FALSE,"Hydraulic Gadient"}</definedName>
    <definedName name="wrn.5." localSheetId="18" hidden="1">{"Mahesh Maskey - Personal View",#N/A,FALSE,"HeadLossApril (2)";#N/A,#N/A,FALSE,"Hydraulic Gadient"}</definedName>
    <definedName name="wrn.5." localSheetId="29" hidden="1">{"Mahesh Maskey - Personal View",#N/A,FALSE,"HeadLossApril (2)";#N/A,#N/A,FALSE,"Hydraulic Gadient"}</definedName>
    <definedName name="wrn.5." localSheetId="26" hidden="1">{"Mahesh Maskey - Personal View",#N/A,FALSE,"HeadLossApril (2)";#N/A,#N/A,FALSE,"Hydraulic Gadient"}</definedName>
    <definedName name="wrn.5." localSheetId="13" hidden="1">{"Mahesh Maskey - Personal View",#N/A,FALSE,"HeadLossApril (2)";#N/A,#N/A,FALSE,"Hydraulic Gadient"}</definedName>
    <definedName name="wrn.5." localSheetId="14" hidden="1">{"Mahesh Maskey - Personal View",#N/A,FALSE,"HeadLossApril (2)";#N/A,#N/A,FALSE,"Hydraulic Gadient"}</definedName>
    <definedName name="wrn.5." localSheetId="19" hidden="1">{"Mahesh Maskey - Personal View",#N/A,FALSE,"HeadLossApril (2)";#N/A,#N/A,FALSE,"Hydraulic Gadient"}</definedName>
    <definedName name="wrn.5." localSheetId="34" hidden="1">{"Mahesh Maskey - Personal View",#N/A,FALSE,"HeadLossApril (2)";#N/A,#N/A,FALSE,"Hydraulic Gadient"}</definedName>
    <definedName name="wrn.5." localSheetId="69" hidden="1">{"Mahesh Maskey - Personal View",#N/A,FALSE,"HeadLossApril (2)";#N/A,#N/A,FALSE,"Hydraulic Gadient"}</definedName>
    <definedName name="wrn.5." localSheetId="68" hidden="1">{"Mahesh Maskey - Personal View",#N/A,FALSE,"HeadLossApril (2)";#N/A,#N/A,FALSE,"Hydraulic Gadient"}</definedName>
    <definedName name="wrn.5." localSheetId="55" hidden="1">{"Mahesh Maskey - Personal View",#N/A,FALSE,"HeadLossApril (2)";#N/A,#N/A,FALSE,"Hydraulic Gadient"}</definedName>
    <definedName name="wrn.5." localSheetId="52" hidden="1">{"Mahesh Maskey - Personal View",#N/A,FALSE,"HeadLossApril (2)";#N/A,#N/A,FALSE,"Hydraulic Gadient"}</definedName>
    <definedName name="wrn.5." localSheetId="73" hidden="1">{"Mahesh Maskey - Personal View",#N/A,FALSE,"HeadLossApril (2)";#N/A,#N/A,FALSE,"Hydraulic Gadient"}</definedName>
    <definedName name="wrn.5." localSheetId="38" hidden="1">{"Mahesh Maskey - Personal View",#N/A,FALSE,"HeadLossApril (2)";#N/A,#N/A,FALSE,"Hydraulic Gadient"}</definedName>
    <definedName name="wrn.5." localSheetId="71" hidden="1">{"Mahesh Maskey - Personal View",#N/A,FALSE,"HeadLossApril (2)";#N/A,#N/A,FALSE,"Hydraulic Gadient"}</definedName>
    <definedName name="wrn.5." localSheetId="22" hidden="1">{"Mahesh Maskey - Personal View",#N/A,FALSE,"HeadLossApril (2)";#N/A,#N/A,FALSE,"Hydraulic Gadient"}</definedName>
    <definedName name="wrn.5." localSheetId="72" hidden="1">{"Mahesh Maskey - Personal View",#N/A,FALSE,"HeadLossApril (2)";#N/A,#N/A,FALSE,"Hydraulic Gadient"}</definedName>
    <definedName name="wrn.5." localSheetId="28" hidden="1">{"Mahesh Maskey - Personal View",#N/A,FALSE,"HeadLossApril (2)";#N/A,#N/A,FALSE,"Hydraulic Gadient"}</definedName>
    <definedName name="wrn.5." localSheetId="65" hidden="1">{"Mahesh Maskey - Personal View",#N/A,FALSE,"HeadLossApril (2)";#N/A,#N/A,FALSE,"Hydraulic Gadient"}</definedName>
    <definedName name="wrn.5." localSheetId="66" hidden="1">{"Mahesh Maskey - Personal View",#N/A,FALSE,"HeadLossApril (2)";#N/A,#N/A,FALSE,"Hydraulic Gadient"}</definedName>
    <definedName name="wrn.5." localSheetId="67" hidden="1">{"Mahesh Maskey - Personal View",#N/A,FALSE,"HeadLossApril (2)";#N/A,#N/A,FALSE,"Hydraulic Gadient"}</definedName>
    <definedName name="wrn.5." localSheetId="42" hidden="1">{"Mahesh Maskey - Personal View",#N/A,FALSE,"HeadLossApril (2)";#N/A,#N/A,FALSE,"Hydraulic Gadient"}</definedName>
    <definedName name="wrn.5." hidden="1">{"Mahesh Maskey - Personal View",#N/A,FALSE,"HeadLossApril (2)";#N/A,#N/A,FALSE,"Hydraulic Gadient"}</definedName>
    <definedName name="wrn.Print." localSheetId="24" hidden="1">{#N/A,#N/A,TRUE,"Flat Before Crest";#N/A,#N/A,TRUE,"1-4 Before Crest";#N/A,#N/A,TRUE,"Crest";#N/A,#N/A,TRUE,"after crest";#N/A,#N/A,TRUE,"Data"}</definedName>
    <definedName name="wrn.Print." localSheetId="35" hidden="1">{#N/A,#N/A,TRUE,"Flat Before Crest";#N/A,#N/A,TRUE,"1-4 Before Crest";#N/A,#N/A,TRUE,"Crest";#N/A,#N/A,TRUE,"after crest";#N/A,#N/A,TRUE,"Data"}</definedName>
    <definedName name="wrn.Print." localSheetId="37" hidden="1">{#N/A,#N/A,TRUE,"Flat Before Crest";#N/A,#N/A,TRUE,"1-4 Before Crest";#N/A,#N/A,TRUE,"Crest";#N/A,#N/A,TRUE,"after crest";#N/A,#N/A,TRUE,"Data"}</definedName>
    <definedName name="wrn.Print." localSheetId="57" hidden="1">{#N/A,#N/A,TRUE,"Flat Before Crest";#N/A,#N/A,TRUE,"1-4 Before Crest";#N/A,#N/A,TRUE,"Crest";#N/A,#N/A,TRUE,"after crest";#N/A,#N/A,TRUE,"Data"}</definedName>
    <definedName name="wrn.Print." localSheetId="23" hidden="1">{#N/A,#N/A,TRUE,"Flat Before Crest";#N/A,#N/A,TRUE,"1-4 Before Crest";#N/A,#N/A,TRUE,"Crest";#N/A,#N/A,TRUE,"after crest";#N/A,#N/A,TRUE,"Data"}</definedName>
    <definedName name="wrn.Print." localSheetId="27" hidden="1">{#N/A,#N/A,TRUE,"Flat Before Crest";#N/A,#N/A,TRUE,"1-4 Before Crest";#N/A,#N/A,TRUE,"Crest";#N/A,#N/A,TRUE,"after crest";#N/A,#N/A,TRUE,"Data"}</definedName>
    <definedName name="wrn.Print." localSheetId="17" hidden="1">{#N/A,#N/A,TRUE,"Flat Before Crest";#N/A,#N/A,TRUE,"1-4 Before Crest";#N/A,#N/A,TRUE,"Crest";#N/A,#N/A,TRUE,"after crest";#N/A,#N/A,TRUE,"Data"}</definedName>
    <definedName name="wrn.Print." localSheetId="47" hidden="1">{#N/A,#N/A,TRUE,"Flat Before Crest";#N/A,#N/A,TRUE,"1-4 Before Crest";#N/A,#N/A,TRUE,"Crest";#N/A,#N/A,TRUE,"after crest";#N/A,#N/A,TRUE,"Data"}</definedName>
    <definedName name="wrn.Print." localSheetId="41" hidden="1">{#N/A,#N/A,TRUE,"Flat Before Crest";#N/A,#N/A,TRUE,"1-4 Before Crest";#N/A,#N/A,TRUE,"Crest";#N/A,#N/A,TRUE,"after crest";#N/A,#N/A,TRUE,"Data"}</definedName>
    <definedName name="wrn.Print." localSheetId="39" hidden="1">{#N/A,#N/A,TRUE,"Flat Before Crest";#N/A,#N/A,TRUE,"1-4 Before Crest";#N/A,#N/A,TRUE,"Crest";#N/A,#N/A,TRUE,"after crest";#N/A,#N/A,TRUE,"Data"}</definedName>
    <definedName name="wrn.Print." localSheetId="40" hidden="1">{#N/A,#N/A,TRUE,"Flat Before Crest";#N/A,#N/A,TRUE,"1-4 Before Crest";#N/A,#N/A,TRUE,"Crest";#N/A,#N/A,TRUE,"after crest";#N/A,#N/A,TRUE,"Data"}</definedName>
    <definedName name="wrn.Print." localSheetId="32" hidden="1">{#N/A,#N/A,TRUE,"Flat Before Crest";#N/A,#N/A,TRUE,"1-4 Before Crest";#N/A,#N/A,TRUE,"Crest";#N/A,#N/A,TRUE,"after crest";#N/A,#N/A,TRUE,"Data"}</definedName>
    <definedName name="wrn.Print." localSheetId="43" hidden="1">{#N/A,#N/A,TRUE,"Flat Before Crest";#N/A,#N/A,TRUE,"1-4 Before Crest";#N/A,#N/A,TRUE,"Crest";#N/A,#N/A,TRUE,"after crest";#N/A,#N/A,TRUE,"Data"}</definedName>
    <definedName name="wrn.Print." localSheetId="44" hidden="1">{#N/A,#N/A,TRUE,"Flat Before Crest";#N/A,#N/A,TRUE,"1-4 Before Crest";#N/A,#N/A,TRUE,"Crest";#N/A,#N/A,TRUE,"after crest";#N/A,#N/A,TRUE,"Data"}</definedName>
    <definedName name="wrn.Print." localSheetId="45" hidden="1">{#N/A,#N/A,TRUE,"Flat Before Crest";#N/A,#N/A,TRUE,"1-4 Before Crest";#N/A,#N/A,TRUE,"Crest";#N/A,#N/A,TRUE,"after crest";#N/A,#N/A,TRUE,"Data"}</definedName>
    <definedName name="wrn.Print." localSheetId="46" hidden="1">{#N/A,#N/A,TRUE,"Flat Before Crest";#N/A,#N/A,TRUE,"1-4 Before Crest";#N/A,#N/A,TRUE,"Crest";#N/A,#N/A,TRUE,"after crest";#N/A,#N/A,TRUE,"Data"}</definedName>
    <definedName name="wrn.Print." localSheetId="36" hidden="1">{#N/A,#N/A,TRUE,"Flat Before Crest";#N/A,#N/A,TRUE,"1-4 Before Crest";#N/A,#N/A,TRUE,"Crest";#N/A,#N/A,TRUE,"after crest";#N/A,#N/A,TRUE,"Data"}</definedName>
    <definedName name="wrn.Print." localSheetId="20" hidden="1">{#N/A,#N/A,TRUE,"Flat Before Crest";#N/A,#N/A,TRUE,"1-4 Before Crest";#N/A,#N/A,TRUE,"Crest";#N/A,#N/A,TRUE,"after crest";#N/A,#N/A,TRUE,"Data"}</definedName>
    <definedName name="wrn.Print." localSheetId="21" hidden="1">{#N/A,#N/A,TRUE,"Flat Before Crest";#N/A,#N/A,TRUE,"1-4 Before Crest";#N/A,#N/A,TRUE,"Crest";#N/A,#N/A,TRUE,"after crest";#N/A,#N/A,TRUE,"Data"}</definedName>
    <definedName name="wrn.Print." localSheetId="33" hidden="1">{#N/A,#N/A,TRUE,"Flat Before Crest";#N/A,#N/A,TRUE,"1-4 Before Crest";#N/A,#N/A,TRUE,"Crest";#N/A,#N/A,TRUE,"after crest";#N/A,#N/A,TRUE,"Data"}</definedName>
    <definedName name="wrn.Print." localSheetId="18" hidden="1">{#N/A,#N/A,TRUE,"Flat Before Crest";#N/A,#N/A,TRUE,"1-4 Before Crest";#N/A,#N/A,TRUE,"Crest";#N/A,#N/A,TRUE,"after crest";#N/A,#N/A,TRUE,"Data"}</definedName>
    <definedName name="wrn.Print." localSheetId="29" hidden="1">{#N/A,#N/A,TRUE,"Flat Before Crest";#N/A,#N/A,TRUE,"1-4 Before Crest";#N/A,#N/A,TRUE,"Crest";#N/A,#N/A,TRUE,"after crest";#N/A,#N/A,TRUE,"Data"}</definedName>
    <definedName name="wrn.Print." localSheetId="26" hidden="1">{#N/A,#N/A,TRUE,"Flat Before Crest";#N/A,#N/A,TRUE,"1-4 Before Crest";#N/A,#N/A,TRUE,"Crest";#N/A,#N/A,TRUE,"after crest";#N/A,#N/A,TRUE,"Data"}</definedName>
    <definedName name="wrn.Print." localSheetId="13" hidden="1">{#N/A,#N/A,TRUE,"Flat Before Crest";#N/A,#N/A,TRUE,"1-4 Before Crest";#N/A,#N/A,TRUE,"Crest";#N/A,#N/A,TRUE,"after crest";#N/A,#N/A,TRUE,"Data"}</definedName>
    <definedName name="wrn.Print." localSheetId="14" hidden="1">{#N/A,#N/A,TRUE,"Flat Before Crest";#N/A,#N/A,TRUE,"1-4 Before Crest";#N/A,#N/A,TRUE,"Crest";#N/A,#N/A,TRUE,"after crest";#N/A,#N/A,TRUE,"Data"}</definedName>
    <definedName name="wrn.Print." localSheetId="19" hidden="1">{#N/A,#N/A,TRUE,"Flat Before Crest";#N/A,#N/A,TRUE,"1-4 Before Crest";#N/A,#N/A,TRUE,"Crest";#N/A,#N/A,TRUE,"after crest";#N/A,#N/A,TRUE,"Data"}</definedName>
    <definedName name="wrn.Print." localSheetId="34" hidden="1">{#N/A,#N/A,TRUE,"Flat Before Crest";#N/A,#N/A,TRUE,"1-4 Before Crest";#N/A,#N/A,TRUE,"Crest";#N/A,#N/A,TRUE,"after crest";#N/A,#N/A,TRUE,"Data"}</definedName>
    <definedName name="wrn.Print." localSheetId="69" hidden="1">{#N/A,#N/A,TRUE,"Flat Before Crest";#N/A,#N/A,TRUE,"1-4 Before Crest";#N/A,#N/A,TRUE,"Crest";#N/A,#N/A,TRUE,"after crest";#N/A,#N/A,TRUE,"Data"}</definedName>
    <definedName name="wrn.Print." localSheetId="68" hidden="1">{#N/A,#N/A,TRUE,"Flat Before Crest";#N/A,#N/A,TRUE,"1-4 Before Crest";#N/A,#N/A,TRUE,"Crest";#N/A,#N/A,TRUE,"after crest";#N/A,#N/A,TRUE,"Data"}</definedName>
    <definedName name="wrn.PRINT." localSheetId="55" hidden="1">{#N/A,#N/A,FALSE,"Proj summary";#N/A,#N/A,FALSE,"C1- MAINCIVIL";#N/A,#N/A,FALSE,"C2-E&amp;M";#N/A,#N/A,FALSE,"C3-penstock-Hydromech";#N/A,#N/A,FALSE,"C4-TL(6.6 kV)updated (2)"}</definedName>
    <definedName name="wrn.Print." localSheetId="52" hidden="1">{#N/A,#N/A,TRUE,"Flat Before Crest";#N/A,#N/A,TRUE,"1-4 Before Crest";#N/A,#N/A,TRUE,"Crest";#N/A,#N/A,TRUE,"after crest";#N/A,#N/A,TRUE,"Data"}</definedName>
    <definedName name="wrn.Print." localSheetId="73" hidden="1">{#N/A,#N/A,TRUE,"Flat Before Crest";#N/A,#N/A,TRUE,"1-4 Before Crest";#N/A,#N/A,TRUE,"Crest";#N/A,#N/A,TRUE,"after crest";#N/A,#N/A,TRUE,"Data"}</definedName>
    <definedName name="wrn.Print." localSheetId="38" hidden="1">{#N/A,#N/A,TRUE,"Flat Before Crest";#N/A,#N/A,TRUE,"1-4 Before Crest";#N/A,#N/A,TRUE,"Crest";#N/A,#N/A,TRUE,"after crest";#N/A,#N/A,TRUE,"Data"}</definedName>
    <definedName name="wrn.Print." localSheetId="71" hidden="1">{#N/A,#N/A,TRUE,"Flat Before Crest";#N/A,#N/A,TRUE,"1-4 Before Crest";#N/A,#N/A,TRUE,"Crest";#N/A,#N/A,TRUE,"after crest";#N/A,#N/A,TRUE,"Data"}</definedName>
    <definedName name="wrn.Print." localSheetId="22" hidden="1">{#N/A,#N/A,TRUE,"Flat Before Crest";#N/A,#N/A,TRUE,"1-4 Before Crest";#N/A,#N/A,TRUE,"Crest";#N/A,#N/A,TRUE,"after crest";#N/A,#N/A,TRUE,"Data"}</definedName>
    <definedName name="wrn.Print." localSheetId="72" hidden="1">{#N/A,#N/A,TRUE,"Flat Before Crest";#N/A,#N/A,TRUE,"1-4 Before Crest";#N/A,#N/A,TRUE,"Crest";#N/A,#N/A,TRUE,"after crest";#N/A,#N/A,TRUE,"Data"}</definedName>
    <definedName name="wrn.Print." localSheetId="28" hidden="1">{#N/A,#N/A,TRUE,"Flat Before Crest";#N/A,#N/A,TRUE,"1-4 Before Crest";#N/A,#N/A,TRUE,"Crest";#N/A,#N/A,TRUE,"after crest";#N/A,#N/A,TRUE,"Data"}</definedName>
    <definedName name="wrn.Print." localSheetId="65" hidden="1">{#N/A,#N/A,TRUE,"Flat Before Crest";#N/A,#N/A,TRUE,"1-4 Before Crest";#N/A,#N/A,TRUE,"Crest";#N/A,#N/A,TRUE,"after crest";#N/A,#N/A,TRUE,"Data"}</definedName>
    <definedName name="wrn.Print." localSheetId="66" hidden="1">{#N/A,#N/A,TRUE,"Flat Before Crest";#N/A,#N/A,TRUE,"1-4 Before Crest";#N/A,#N/A,TRUE,"Crest";#N/A,#N/A,TRUE,"after crest";#N/A,#N/A,TRUE,"Data"}</definedName>
    <definedName name="wrn.Print." localSheetId="67" hidden="1">{#N/A,#N/A,TRUE,"Flat Before Crest";#N/A,#N/A,TRUE,"1-4 Before Crest";#N/A,#N/A,TRUE,"Crest";#N/A,#N/A,TRUE,"after crest";#N/A,#N/A,TRUE,"Data"}</definedName>
    <definedName name="wrn.Print." localSheetId="42" hidden="1">{#N/A,#N/A,TRUE,"Flat Before Crest";#N/A,#N/A,TRUE,"1-4 Before Crest";#N/A,#N/A,TRUE,"Crest";#N/A,#N/A,TRUE,"after crest";#N/A,#N/A,TRUE,"Data"}</definedName>
    <definedName name="wrn.Print." hidden="1">{#N/A,#N/A,TRUE,"Flat Before Crest";#N/A,#N/A,TRUE,"1-4 Before Crest";#N/A,#N/A,TRUE,"Crest";#N/A,#N/A,TRUE,"after crest";#N/A,#N/A,TRUE,"Data"}</definedName>
    <definedName name="x" localSheetId="35">'[42]Input Data'!$I$16</definedName>
    <definedName name="x" localSheetId="37">'[42]Input Data'!$I$16</definedName>
    <definedName name="x" localSheetId="57">'[42]Input Data'!$I$16</definedName>
    <definedName name="x" localSheetId="23">'[42]Input Data'!$I$16</definedName>
    <definedName name="x" localSheetId="27">'[42]Input Data'!$I$16</definedName>
    <definedName name="x" localSheetId="17">'[42]Input Data'!$I$16</definedName>
    <definedName name="x" localSheetId="41">'[42]Input Data'!$I$16</definedName>
    <definedName name="x" localSheetId="39">'[42]Input Data'!$I$16</definedName>
    <definedName name="x" localSheetId="40">'[42]Input Data'!$I$16</definedName>
    <definedName name="x" localSheetId="36">'[42]Input Data'!$I$16</definedName>
    <definedName name="x" localSheetId="20">'[42]Input Data'!$I$16</definedName>
    <definedName name="x" localSheetId="21">'[42]Input Data'!$I$16</definedName>
    <definedName name="x" localSheetId="33">'[42]Input Data'!$I$16</definedName>
    <definedName name="x" localSheetId="18">'[42]Input Data'!$I$16</definedName>
    <definedName name="x" localSheetId="26">'[42]Input Data'!$I$16</definedName>
    <definedName name="x" localSheetId="13">'[42]Input Data'!$I$16</definedName>
    <definedName name="x" localSheetId="14">'[42]Input Data'!$I$16</definedName>
    <definedName name="x" localSheetId="19">'[42]Input Data'!$I$16</definedName>
    <definedName name="x" localSheetId="34">'[42]Input Data'!$I$16</definedName>
    <definedName name="x" localSheetId="69">'[42]Input Data'!$I$16</definedName>
    <definedName name="x" localSheetId="68">'[42]Input Data'!$I$16</definedName>
    <definedName name="x" localSheetId="38">'[42]Input Data'!$I$16</definedName>
    <definedName name="x" localSheetId="71">'[42]Input Data'!$I$16</definedName>
    <definedName name="x" localSheetId="65">'[42]Input Data'!$I$16</definedName>
    <definedName name="x" localSheetId="66">'[42]Input Data'!$I$16</definedName>
    <definedName name="x" localSheetId="67">'[42]Input Data'!$I$16</definedName>
    <definedName name="x" localSheetId="42">'[42]Input Data'!$I$16</definedName>
    <definedName name="x">'[43]Input Data'!$I$16</definedName>
    <definedName name="Xbar" localSheetId="35">'[42]Input Data'!$N$19</definedName>
    <definedName name="Xbar" localSheetId="37">'[42]Input Data'!$N$19</definedName>
    <definedName name="Xbar" localSheetId="57">'[42]Input Data'!$N$19</definedName>
    <definedName name="Xbar" localSheetId="23">'[42]Input Data'!$N$19</definedName>
    <definedName name="Xbar" localSheetId="27">'[42]Input Data'!$N$19</definedName>
    <definedName name="Xbar" localSheetId="17">'[42]Input Data'!$N$19</definedName>
    <definedName name="Xbar" localSheetId="41">'[42]Input Data'!$N$19</definedName>
    <definedName name="Xbar" localSheetId="39">'[42]Input Data'!$N$19</definedName>
    <definedName name="Xbar" localSheetId="40">'[42]Input Data'!$N$19</definedName>
    <definedName name="Xbar" localSheetId="36">'[42]Input Data'!$N$19</definedName>
    <definedName name="Xbar" localSheetId="20">'[42]Input Data'!$N$19</definedName>
    <definedName name="Xbar" localSheetId="21">'[42]Input Data'!$N$19</definedName>
    <definedName name="Xbar" localSheetId="33">'[42]Input Data'!$N$19</definedName>
    <definedName name="Xbar" localSheetId="18">'[42]Input Data'!$N$19</definedName>
    <definedName name="Xbar" localSheetId="26">'[42]Input Data'!$N$19</definedName>
    <definedName name="Xbar" localSheetId="13">'[42]Input Data'!$N$19</definedName>
    <definedName name="Xbar" localSheetId="14">'[42]Input Data'!$N$19</definedName>
    <definedName name="Xbar" localSheetId="19">'[42]Input Data'!$N$19</definedName>
    <definedName name="Xbar" localSheetId="34">'[42]Input Data'!$N$19</definedName>
    <definedName name="Xbar" localSheetId="69">'[42]Input Data'!$N$19</definedName>
    <definedName name="Xbar" localSheetId="68">'[42]Input Data'!$N$19</definedName>
    <definedName name="Xbar" localSheetId="38">'[42]Input Data'!$N$19</definedName>
    <definedName name="Xbar" localSheetId="71">'[42]Input Data'!$N$19</definedName>
    <definedName name="Xbar" localSheetId="65">'[42]Input Data'!$N$19</definedName>
    <definedName name="Xbar" localSheetId="66">'[42]Input Data'!$N$19</definedName>
    <definedName name="Xbar" localSheetId="67">'[42]Input Data'!$N$19</definedName>
    <definedName name="Xbar" localSheetId="42">'[42]Input Data'!$N$19</definedName>
    <definedName name="Xbar">'[43]Input Data'!$N$19</definedName>
    <definedName name="Y" localSheetId="35">'[42]Input Data'!$I$17</definedName>
    <definedName name="Y" localSheetId="37">'[42]Input Data'!$I$17</definedName>
    <definedName name="Y" localSheetId="57">'[42]Input Data'!$I$17</definedName>
    <definedName name="Y" localSheetId="23">'[42]Input Data'!$I$17</definedName>
    <definedName name="Y" localSheetId="27">'[42]Input Data'!$I$17</definedName>
    <definedName name="Y" localSheetId="17">'[42]Input Data'!$I$17</definedName>
    <definedName name="Y" localSheetId="41">'[42]Input Data'!$I$17</definedName>
    <definedName name="Y" localSheetId="39">'[42]Input Data'!$I$17</definedName>
    <definedName name="Y" localSheetId="40">'[42]Input Data'!$I$17</definedName>
    <definedName name="Y" localSheetId="36">'[42]Input Data'!$I$17</definedName>
    <definedName name="Y" localSheetId="20">'[42]Input Data'!$I$17</definedName>
    <definedName name="Y" localSheetId="21">'[42]Input Data'!$I$17</definedName>
    <definedName name="Y" localSheetId="33">'[42]Input Data'!$I$17</definedName>
    <definedName name="Y" localSheetId="18">'[42]Input Data'!$I$17</definedName>
    <definedName name="Y" localSheetId="26">'[42]Input Data'!$I$17</definedName>
    <definedName name="Y" localSheetId="13">'[42]Input Data'!$I$17</definedName>
    <definedName name="Y" localSheetId="14">'[42]Input Data'!$I$17</definedName>
    <definedName name="Y" localSheetId="19">'[42]Input Data'!$I$17</definedName>
    <definedName name="Y" localSheetId="34">'[42]Input Data'!$I$17</definedName>
    <definedName name="Y" localSheetId="69">'[42]Input Data'!$I$17</definedName>
    <definedName name="Y" localSheetId="68">'[42]Input Data'!$I$17</definedName>
    <definedName name="Y" localSheetId="38">'[42]Input Data'!$I$17</definedName>
    <definedName name="Y" localSheetId="71">'[42]Input Data'!$I$17</definedName>
    <definedName name="Y" localSheetId="65">'[42]Input Data'!$I$17</definedName>
    <definedName name="Y" localSheetId="66">'[42]Input Data'!$I$17</definedName>
    <definedName name="Y" localSheetId="67">'[42]Input Data'!$I$17</definedName>
    <definedName name="Y" localSheetId="42">'[42]Input Data'!$I$17</definedName>
    <definedName name="Y">'[43]Input Data'!$I$17</definedName>
    <definedName name="Ybar" localSheetId="35">'[42]Input Data'!$N$20</definedName>
    <definedName name="Ybar" localSheetId="37">'[42]Input Data'!$N$20</definedName>
    <definedName name="Ybar" localSheetId="57">'[42]Input Data'!$N$20</definedName>
    <definedName name="Ybar" localSheetId="23">'[42]Input Data'!$N$20</definedName>
    <definedName name="Ybar" localSheetId="27">'[42]Input Data'!$N$20</definedName>
    <definedName name="Ybar" localSheetId="17">'[42]Input Data'!$N$20</definedName>
    <definedName name="Ybar" localSheetId="41">'[42]Input Data'!$N$20</definedName>
    <definedName name="Ybar" localSheetId="39">'[42]Input Data'!$N$20</definedName>
    <definedName name="Ybar" localSheetId="40">'[42]Input Data'!$N$20</definedName>
    <definedName name="Ybar" localSheetId="36">'[42]Input Data'!$N$20</definedName>
    <definedName name="Ybar" localSheetId="20">'[42]Input Data'!$N$20</definedName>
    <definedName name="Ybar" localSheetId="21">'[42]Input Data'!$N$20</definedName>
    <definedName name="Ybar" localSheetId="33">'[42]Input Data'!$N$20</definedName>
    <definedName name="Ybar" localSheetId="18">'[42]Input Data'!$N$20</definedName>
    <definedName name="Ybar" localSheetId="26">'[42]Input Data'!$N$20</definedName>
    <definedName name="Ybar" localSheetId="13">'[42]Input Data'!$N$20</definedName>
    <definedName name="Ybar" localSheetId="14">'[42]Input Data'!$N$20</definedName>
    <definedName name="Ybar" localSheetId="19">'[42]Input Data'!$N$20</definedName>
    <definedName name="Ybar" localSheetId="34">'[42]Input Data'!$N$20</definedName>
    <definedName name="Ybar" localSheetId="69">'[42]Input Data'!$N$20</definedName>
    <definedName name="Ybar" localSheetId="68">'[42]Input Data'!$N$20</definedName>
    <definedName name="Ybar" localSheetId="38">'[42]Input Data'!$N$20</definedName>
    <definedName name="Ybar" localSheetId="71">'[42]Input Data'!$N$20</definedName>
    <definedName name="Ybar" localSheetId="65">'[42]Input Data'!$N$20</definedName>
    <definedName name="Ybar" localSheetId="66">'[42]Input Data'!$N$20</definedName>
    <definedName name="Ybar" localSheetId="67">'[42]Input Data'!$N$20</definedName>
    <definedName name="Ybar" localSheetId="42">'[42]Input Data'!$N$20</definedName>
    <definedName name="Ybar">'[43]Input Data'!$N$20</definedName>
    <definedName name="YesNo" comment="YES/NO">'[44]Input Sheet'!$C$230:$C$231</definedName>
    <definedName name="Z_053A90AC_CAE6_11D4_AD28_00A00C41CF21_.wvu.PrintArea" localSheetId="55" hidden="1">'Project Cost NRS'!$B$4:$F$53</definedName>
    <definedName name="Z_0A92A740_CB5C_11D4_81B2_444553540000_.wvu.PrintArea" localSheetId="55" hidden="1">'Project Cost NRS'!$B$4:$F$53</definedName>
    <definedName name="Z_20F22732_7AA9_11D5_BE1D_00C0DF032E68_.wvu.PrintArea" localSheetId="55" hidden="1">'Project Cost NRS'!$B$4:$F$53</definedName>
    <definedName name="Z_26CAC460_CC5B_11D4_AA8C_0000F4907129_.wvu.PrintArea" localSheetId="55" hidden="1">'Project Cost NRS'!$B$4:$F$53</definedName>
    <definedName name="Z_321A6FDA_3A23_11D9_9603_0060672280A1_.wvu.PrintArea" localSheetId="55" hidden="1">'Project Cost NRS'!$B$4:$F$53</definedName>
    <definedName name="Z_45B90F40_DFCE_11D4_B6B1_00C0DFECEFE6_.wvu.PrintArea" localSheetId="55" hidden="1">'Project Cost NRS'!$B$4:$F$53</definedName>
    <definedName name="Z_6FB62100_902E_11D5_8FF1_00E04C001E88_.wvu.PrintArea" localSheetId="55" hidden="1">'Project Cost NRS'!$B$4:$F$53</definedName>
    <definedName name="Z_93DAD8A0_DFFD_11D4_95C8_004095AA2BF5_.wvu.PrintArea" localSheetId="55" hidden="1">'Project Cost NRS'!$B$4:$F$53</definedName>
    <definedName name="Z_B13CD612_7779_11D5_B7A5_004095AA0CA7_.wvu.PrintArea" localSheetId="55" hidden="1">'Project Cost NRS'!$B$4:$F$53</definedName>
    <definedName name="Z_BE0055A0_CE9C_11D4_A43E_0060672241EC_.wvu.PrintArea" localSheetId="55" hidden="1">'Project Cost NRS'!$B$4:$F$53</definedName>
  </definedNames>
  <calcPr calcId="181029"/>
</workbook>
</file>

<file path=xl/calcChain.xml><?xml version="1.0" encoding="utf-8"?>
<calcChain xmlns="http://schemas.openxmlformats.org/spreadsheetml/2006/main">
  <c r="G458" i="180" l="1"/>
  <c r="I47" i="123"/>
  <c r="I48" i="123" s="1"/>
  <c r="G34" i="123"/>
  <c r="G47" i="123" s="1"/>
  <c r="G48" i="123" s="1"/>
  <c r="F34" i="123"/>
  <c r="I34" i="123"/>
  <c r="I46" i="123" s="1"/>
  <c r="H34" i="123"/>
  <c r="G46" i="123" l="1"/>
  <c r="D61" i="177"/>
  <c r="G144" i="180"/>
  <c r="G145" i="180"/>
  <c r="G120" i="180"/>
  <c r="G119" i="180"/>
  <c r="G94" i="180"/>
  <c r="G95" i="180"/>
  <c r="G41" i="180" l="1"/>
  <c r="F73" i="153" l="1"/>
  <c r="J74" i="156"/>
  <c r="G395" i="180" l="1"/>
  <c r="J12" i="120"/>
  <c r="G316" i="180" l="1"/>
  <c r="G799" i="180"/>
  <c r="G733" i="180" l="1"/>
  <c r="G457" i="180"/>
  <c r="G603" i="180"/>
  <c r="G454" i="180"/>
  <c r="G452" i="180"/>
  <c r="G453" i="180"/>
  <c r="G459" i="180"/>
  <c r="G460" i="180"/>
  <c r="G839" i="180" l="1"/>
  <c r="G841" i="180"/>
  <c r="G843" i="180"/>
  <c r="G845" i="180"/>
  <c r="G846" i="180"/>
  <c r="G847" i="180"/>
  <c r="G849" i="180"/>
  <c r="G851" i="180"/>
  <c r="G809" i="180"/>
  <c r="G727" i="180"/>
  <c r="G652" i="180"/>
  <c r="G659" i="180"/>
  <c r="G662" i="180"/>
  <c r="G664" i="180"/>
  <c r="G666" i="180"/>
  <c r="G670" i="180"/>
  <c r="G673" i="180"/>
  <c r="G631" i="180"/>
  <c r="G634" i="180"/>
  <c r="G636" i="180"/>
  <c r="G638" i="180"/>
  <c r="G640" i="180"/>
  <c r="G643" i="180"/>
  <c r="G646" i="180"/>
  <c r="G580" i="180"/>
  <c r="G584" i="180"/>
  <c r="G587" i="180"/>
  <c r="G589" i="180"/>
  <c r="G591" i="180"/>
  <c r="G595" i="180"/>
  <c r="G598" i="180"/>
  <c r="G601" i="180"/>
  <c r="G556" i="180"/>
  <c r="G558" i="180"/>
  <c r="G561" i="180"/>
  <c r="G546" i="180"/>
  <c r="G496" i="180"/>
  <c r="G424" i="180"/>
  <c r="G431" i="180"/>
  <c r="G432" i="180"/>
  <c r="G441" i="180"/>
  <c r="G442" i="180"/>
  <c r="G22" i="180"/>
  <c r="G24" i="180"/>
  <c r="G26" i="180"/>
  <c r="G27" i="180"/>
  <c r="G28" i="180"/>
  <c r="G29" i="180"/>
  <c r="G30" i="180"/>
  <c r="G31" i="180"/>
  <c r="G33" i="180"/>
  <c r="G34" i="180"/>
  <c r="G35" i="180"/>
  <c r="G625" i="180" l="1"/>
  <c r="G627" i="180"/>
  <c r="G644" i="180"/>
  <c r="G608" i="180"/>
  <c r="G610" i="180"/>
  <c r="G612" i="180"/>
  <c r="G613" i="180"/>
  <c r="G618" i="180"/>
  <c r="G581" i="180"/>
  <c r="G582" i="180"/>
  <c r="G585" i="180"/>
  <c r="G593" i="180"/>
  <c r="G470" i="180"/>
  <c r="G475" i="180"/>
  <c r="G476" i="180"/>
  <c r="G482" i="180"/>
  <c r="G492" i="180"/>
  <c r="G497" i="180"/>
  <c r="G503" i="180"/>
  <c r="G506" i="180"/>
  <c r="G509" i="180"/>
  <c r="G532" i="180"/>
  <c r="G544" i="180"/>
  <c r="G547" i="180"/>
  <c r="G684" i="180"/>
  <c r="G689" i="180"/>
  <c r="G653" i="180"/>
  <c r="G655" i="180"/>
  <c r="G656" i="180"/>
  <c r="G661" i="180"/>
  <c r="G699" i="180"/>
  <c r="G712" i="180"/>
  <c r="G761" i="180"/>
  <c r="G762" i="180"/>
  <c r="G758" i="180"/>
  <c r="G438" i="180"/>
  <c r="G439" i="180"/>
  <c r="G440" i="180"/>
  <c r="G437" i="180"/>
  <c r="G427" i="180"/>
  <c r="G409" i="180"/>
  <c r="G418" i="180"/>
  <c r="G420" i="180"/>
  <c r="G289" i="180"/>
  <c r="G290" i="180"/>
  <c r="G291" i="180"/>
  <c r="G292" i="180"/>
  <c r="G207" i="180"/>
  <c r="G150" i="180"/>
  <c r="G151" i="180"/>
  <c r="G152" i="180"/>
  <c r="G174" i="180"/>
  <c r="G186" i="180"/>
  <c r="G191" i="180"/>
  <c r="G93" i="180"/>
  <c r="G92" i="180"/>
  <c r="G91" i="180"/>
  <c r="G90" i="180"/>
  <c r="G88" i="180"/>
  <c r="G133" i="180"/>
  <c r="G19" i="180"/>
  <c r="G18" i="180"/>
  <c r="G17" i="180"/>
  <c r="G14" i="180"/>
  <c r="G61" i="180"/>
  <c r="G57" i="180"/>
  <c r="B822" i="180"/>
  <c r="B821" i="180"/>
  <c r="B820" i="180"/>
  <c r="B818" i="180"/>
  <c r="B813" i="180"/>
  <c r="G797" i="180"/>
  <c r="B797" i="180"/>
  <c r="G796" i="180"/>
  <c r="B796" i="180"/>
  <c r="G795" i="180"/>
  <c r="B795" i="180"/>
  <c r="B777" i="180"/>
  <c r="G766" i="180"/>
  <c r="G764" i="180"/>
  <c r="G757" i="180"/>
  <c r="G751" i="180"/>
  <c r="G750" i="180"/>
  <c r="B748" i="180"/>
  <c r="B747" i="180"/>
  <c r="G746" i="180"/>
  <c r="G745" i="180"/>
  <c r="G742" i="180"/>
  <c r="B742" i="180"/>
  <c r="G741" i="180"/>
  <c r="B741" i="180"/>
  <c r="G740" i="180"/>
  <c r="G732" i="180"/>
  <c r="B732" i="180"/>
  <c r="G731" i="180"/>
  <c r="B731" i="180"/>
  <c r="B728" i="180"/>
  <c r="G602" i="180"/>
  <c r="G576" i="180"/>
  <c r="G545" i="180"/>
  <c r="G538" i="180"/>
  <c r="B368" i="180"/>
  <c r="B367" i="180"/>
  <c r="B287" i="180"/>
  <c r="G241" i="180"/>
  <c r="C226" i="180"/>
  <c r="C222" i="180"/>
  <c r="C172" i="180"/>
  <c r="C170" i="180"/>
  <c r="C169" i="180"/>
  <c r="C165" i="180"/>
  <c r="C162" i="180"/>
  <c r="H6" i="180"/>
  <c r="G542" i="180" l="1"/>
  <c r="G728" i="180"/>
  <c r="G737" i="180"/>
  <c r="G753" i="180"/>
  <c r="G548" i="180"/>
  <c r="G747" i="180"/>
  <c r="G744" i="180"/>
  <c r="G55" i="180"/>
  <c r="G383" i="180"/>
  <c r="G729" i="180"/>
  <c r="G739" i="180"/>
  <c r="G749" i="180"/>
  <c r="G755" i="180"/>
  <c r="G829" i="180"/>
  <c r="G830" i="180"/>
  <c r="G835" i="180"/>
  <c r="G60" i="180"/>
  <c r="G832" i="180"/>
  <c r="G827" i="180"/>
  <c r="G834" i="180"/>
  <c r="G837" i="180"/>
  <c r="O26" i="128"/>
  <c r="O25" i="128"/>
  <c r="O27" i="128" s="1"/>
  <c r="G852" i="180" l="1"/>
  <c r="D55" i="177" s="1"/>
  <c r="D756" i="176"/>
  <c r="E30" i="179" l="1"/>
  <c r="O29" i="179"/>
  <c r="O23" i="179"/>
  <c r="D23" i="179"/>
  <c r="H19" i="179"/>
  <c r="H31" i="179" s="1"/>
  <c r="J31" i="179" s="1"/>
  <c r="J32" i="179" s="1"/>
  <c r="E19" i="179"/>
  <c r="J15" i="179"/>
  <c r="J16" i="179" s="1"/>
  <c r="P14" i="179"/>
  <c r="A14" i="179"/>
  <c r="J12" i="179"/>
  <c r="J13" i="179" s="1"/>
  <c r="K7" i="179"/>
  <c r="H23" i="179" l="1"/>
  <c r="J23" i="179" s="1"/>
  <c r="J24" i="179" s="1"/>
  <c r="J19" i="179"/>
  <c r="J20" i="179" s="1"/>
  <c r="D566" i="176"/>
  <c r="I22" i="127"/>
  <c r="J22" i="127" s="1"/>
  <c r="O10" i="127"/>
  <c r="I12" i="127"/>
  <c r="J24" i="127" l="1"/>
  <c r="G574" i="180" s="1"/>
  <c r="G569" i="180"/>
  <c r="H27" i="179"/>
  <c r="J27" i="179" s="1"/>
  <c r="J28" i="179" s="1"/>
  <c r="E47" i="123"/>
  <c r="D47" i="123"/>
  <c r="H7" i="123"/>
  <c r="E46" i="123"/>
  <c r="D46" i="123"/>
  <c r="I7" i="123" l="1"/>
  <c r="I8" i="123"/>
  <c r="D592" i="176"/>
  <c r="D754" i="176"/>
  <c r="G29" i="123" l="1"/>
  <c r="I35" i="123" s="1"/>
  <c r="G27" i="123"/>
  <c r="G35" i="123" s="1"/>
  <c r="H29" i="123"/>
  <c r="H27" i="123"/>
  <c r="F57" i="177"/>
  <c r="F56" i="177"/>
  <c r="F55" i="177"/>
  <c r="F44" i="177"/>
  <c r="F43" i="177"/>
  <c r="F42" i="177"/>
  <c r="F40" i="177"/>
  <c r="F39" i="177"/>
  <c r="F37" i="177"/>
  <c r="F36" i="177"/>
  <c r="F35" i="177"/>
  <c r="F34" i="177"/>
  <c r="F20" i="177"/>
  <c r="F19" i="177"/>
  <c r="F18" i="177"/>
  <c r="F17" i="177"/>
  <c r="B12" i="177"/>
  <c r="B11" i="177"/>
  <c r="B10" i="177"/>
  <c r="B9" i="177"/>
  <c r="B12" i="96"/>
  <c r="B11" i="96"/>
  <c r="B10" i="96"/>
  <c r="B9" i="96"/>
  <c r="B810" i="176"/>
  <c r="B809" i="176"/>
  <c r="B808" i="176"/>
  <c r="B806" i="176"/>
  <c r="B801" i="176"/>
  <c r="D787" i="176"/>
  <c r="B787" i="176"/>
  <c r="D786" i="176"/>
  <c r="B786" i="176"/>
  <c r="D785" i="176"/>
  <c r="B785" i="176"/>
  <c r="B767" i="176"/>
  <c r="D747" i="176"/>
  <c r="D745" i="176"/>
  <c r="D743" i="176"/>
  <c r="D741" i="176"/>
  <c r="D740" i="176"/>
  <c r="D739" i="176"/>
  <c r="B738" i="176"/>
  <c r="D737" i="176"/>
  <c r="B737" i="176"/>
  <c r="D736" i="176"/>
  <c r="D735" i="176"/>
  <c r="D734" i="176"/>
  <c r="D732" i="176"/>
  <c r="B732" i="176"/>
  <c r="D731" i="176"/>
  <c r="B731" i="176"/>
  <c r="D730" i="176"/>
  <c r="D729" i="176"/>
  <c r="D727" i="176"/>
  <c r="D722" i="176"/>
  <c r="B722" i="176"/>
  <c r="D721" i="176"/>
  <c r="B721" i="176"/>
  <c r="D719" i="176"/>
  <c r="D718" i="176"/>
  <c r="B718" i="176"/>
  <c r="D374" i="176"/>
  <c r="B360" i="176"/>
  <c r="B359" i="176"/>
  <c r="B281" i="176"/>
  <c r="D235" i="176"/>
  <c r="C220" i="176"/>
  <c r="C216" i="176"/>
  <c r="C166" i="176"/>
  <c r="C164" i="176"/>
  <c r="C163" i="176"/>
  <c r="C159" i="176"/>
  <c r="C156" i="176"/>
  <c r="D55" i="176"/>
  <c r="H6" i="176"/>
  <c r="C6" i="96"/>
  <c r="B823" i="172"/>
  <c r="B822" i="172"/>
  <c r="B821" i="172"/>
  <c r="I819" i="172"/>
  <c r="B819" i="172"/>
  <c r="B814" i="172"/>
  <c r="D800" i="172"/>
  <c r="B800" i="172"/>
  <c r="D799" i="172"/>
  <c r="B799" i="172"/>
  <c r="D798" i="172"/>
  <c r="B798" i="172"/>
  <c r="B780" i="172"/>
  <c r="D764" i="172"/>
  <c r="D762" i="172"/>
  <c r="I760" i="172"/>
  <c r="D760" i="172"/>
  <c r="D758" i="172"/>
  <c r="J758" i="172" s="1"/>
  <c r="D757" i="172"/>
  <c r="J757" i="172" s="1"/>
  <c r="D756" i="172"/>
  <c r="J756" i="172" s="1"/>
  <c r="J755" i="172"/>
  <c r="B755" i="172"/>
  <c r="D754" i="172"/>
  <c r="J754" i="172" s="1"/>
  <c r="B754" i="172"/>
  <c r="D753" i="172"/>
  <c r="J753" i="172" s="1"/>
  <c r="D752" i="172"/>
  <c r="J752" i="172" s="1"/>
  <c r="D751" i="172"/>
  <c r="J751" i="172" s="1"/>
  <c r="D749" i="172"/>
  <c r="J749" i="172" s="1"/>
  <c r="B749" i="172"/>
  <c r="D748" i="172"/>
  <c r="J748" i="172" s="1"/>
  <c r="B748" i="172"/>
  <c r="D747" i="172"/>
  <c r="J747" i="172" s="1"/>
  <c r="D746" i="172"/>
  <c r="J746" i="172" s="1"/>
  <c r="J745" i="172"/>
  <c r="D744" i="172"/>
  <c r="I740" i="172"/>
  <c r="D740" i="172"/>
  <c r="B740" i="172"/>
  <c r="I739" i="172"/>
  <c r="D739" i="172"/>
  <c r="B739" i="172"/>
  <c r="I738" i="172"/>
  <c r="I737" i="172"/>
  <c r="D737" i="172"/>
  <c r="D736" i="172"/>
  <c r="J736" i="172" s="1"/>
  <c r="B736" i="172"/>
  <c r="I714" i="172"/>
  <c r="I695" i="172"/>
  <c r="I605" i="172"/>
  <c r="I599" i="172"/>
  <c r="D575" i="172"/>
  <c r="I569" i="172"/>
  <c r="I567" i="172"/>
  <c r="I561" i="172"/>
  <c r="I545" i="172"/>
  <c r="I539" i="172"/>
  <c r="I537" i="172"/>
  <c r="I533" i="172"/>
  <c r="I511" i="172"/>
  <c r="I624" i="172" s="1"/>
  <c r="I493" i="172"/>
  <c r="I462" i="172"/>
  <c r="J462" i="172" s="1"/>
  <c r="J443" i="172"/>
  <c r="I441" i="172"/>
  <c r="J440" i="172"/>
  <c r="D410" i="172"/>
  <c r="J410" i="172" s="1"/>
  <c r="J398" i="172"/>
  <c r="B396" i="172"/>
  <c r="B395" i="172"/>
  <c r="I389" i="172"/>
  <c r="I385" i="172"/>
  <c r="I322" i="172"/>
  <c r="I769" i="172" s="1"/>
  <c r="J769" i="172" s="1"/>
  <c r="I317" i="172"/>
  <c r="I800" i="172" s="1"/>
  <c r="B317" i="172"/>
  <c r="I316" i="172"/>
  <c r="I799" i="172" s="1"/>
  <c r="I315" i="172"/>
  <c r="I798" i="172" s="1"/>
  <c r="I309" i="172"/>
  <c r="I271" i="172"/>
  <c r="I387" i="172" s="1"/>
  <c r="D255" i="172"/>
  <c r="I244" i="172"/>
  <c r="I243" i="172"/>
  <c r="I242" i="172"/>
  <c r="C240" i="172"/>
  <c r="I236" i="172"/>
  <c r="I391" i="172" s="1"/>
  <c r="C236" i="172"/>
  <c r="I206" i="172"/>
  <c r="I222" i="172" s="1"/>
  <c r="I393" i="172" s="1"/>
  <c r="I198" i="172"/>
  <c r="I215" i="172" s="1"/>
  <c r="I430" i="172" s="1"/>
  <c r="I189" i="172"/>
  <c r="I204" i="172" s="1"/>
  <c r="I186" i="172"/>
  <c r="I473" i="172" s="1"/>
  <c r="C186" i="172"/>
  <c r="I184" i="172"/>
  <c r="C184" i="172"/>
  <c r="I183" i="172"/>
  <c r="C183" i="172"/>
  <c r="I181" i="172"/>
  <c r="I179" i="172"/>
  <c r="C179" i="172"/>
  <c r="I178" i="172"/>
  <c r="I176" i="172"/>
  <c r="C176" i="172"/>
  <c r="I174" i="172"/>
  <c r="I172" i="172"/>
  <c r="I171" i="172"/>
  <c r="I169" i="172"/>
  <c r="I168" i="172"/>
  <c r="I167" i="172"/>
  <c r="I166" i="172"/>
  <c r="J166" i="172" s="1"/>
  <c r="I165" i="172"/>
  <c r="J165" i="172" s="1"/>
  <c r="I164" i="172"/>
  <c r="I200" i="172" s="1"/>
  <c r="J200" i="172" s="1"/>
  <c r="I162" i="172"/>
  <c r="I159" i="172"/>
  <c r="I367" i="172" s="1"/>
  <c r="I158" i="172"/>
  <c r="I366" i="172" s="1"/>
  <c r="I157" i="172"/>
  <c r="I365" i="172" s="1"/>
  <c r="I155" i="172"/>
  <c r="I363" i="172" s="1"/>
  <c r="I136" i="172"/>
  <c r="I344" i="172" s="1"/>
  <c r="I135" i="172"/>
  <c r="I343" i="172" s="1"/>
  <c r="I134" i="172"/>
  <c r="I342" i="172" s="1"/>
  <c r="I132" i="172"/>
  <c r="I340" i="172" s="1"/>
  <c r="J113" i="172"/>
  <c r="I110" i="172"/>
  <c r="I111" i="172" s="1"/>
  <c r="I108" i="172"/>
  <c r="I252" i="172" s="1"/>
  <c r="I103" i="172"/>
  <c r="I240" i="172" s="1"/>
  <c r="I101" i="172"/>
  <c r="I97" i="172"/>
  <c r="I126" i="172" s="1"/>
  <c r="I96" i="172"/>
  <c r="I148" i="172" s="1"/>
  <c r="I95" i="172"/>
  <c r="I149" i="172" s="1"/>
  <c r="I357" i="172" s="1"/>
  <c r="J81" i="172"/>
  <c r="I80" i="172"/>
  <c r="I285" i="172" s="1"/>
  <c r="I78" i="172"/>
  <c r="J78" i="172" s="1"/>
  <c r="I76" i="172"/>
  <c r="D76" i="172"/>
  <c r="I74" i="172"/>
  <c r="I283" i="172" s="1"/>
  <c r="I72" i="172"/>
  <c r="I281" i="172" s="1"/>
  <c r="I71" i="172"/>
  <c r="I280" i="172" s="1"/>
  <c r="I69" i="172"/>
  <c r="I278" i="172" s="1"/>
  <c r="I65" i="172"/>
  <c r="I274" i="172" s="1"/>
  <c r="I63" i="172"/>
  <c r="I272" i="172" s="1"/>
  <c r="I62" i="172"/>
  <c r="I415" i="172" s="1"/>
  <c r="I60" i="172"/>
  <c r="I58" i="172"/>
  <c r="I57" i="172"/>
  <c r="I92" i="172" s="1"/>
  <c r="I299" i="172" s="1"/>
  <c r="I55" i="172"/>
  <c r="I119" i="172" s="1"/>
  <c r="I328" i="172" s="1"/>
  <c r="I53" i="172"/>
  <c r="I117" i="172" s="1"/>
  <c r="I326" i="172" s="1"/>
  <c r="J45" i="172"/>
  <c r="J44" i="172"/>
  <c r="J42" i="172"/>
  <c r="J38" i="172"/>
  <c r="J36" i="172"/>
  <c r="J35" i="172"/>
  <c r="J34" i="172"/>
  <c r="J32" i="172"/>
  <c r="J31" i="172"/>
  <c r="J30" i="172"/>
  <c r="J29" i="172"/>
  <c r="J28" i="172"/>
  <c r="J27" i="172"/>
  <c r="J25" i="172"/>
  <c r="J23" i="172"/>
  <c r="J22" i="172"/>
  <c r="I20" i="172"/>
  <c r="J20" i="172" s="1"/>
  <c r="I19" i="172"/>
  <c r="J19" i="172" s="1"/>
  <c r="I18" i="172"/>
  <c r="J18" i="172" s="1"/>
  <c r="I16" i="172"/>
  <c r="J16" i="172" s="1"/>
  <c r="I15" i="172"/>
  <c r="J15" i="172" s="1"/>
  <c r="J14" i="172"/>
  <c r="H6" i="172"/>
  <c r="G36" i="123" l="1"/>
  <c r="G42" i="123"/>
  <c r="G49" i="123"/>
  <c r="I42" i="123"/>
  <c r="I37" i="123"/>
  <c r="I49" i="123"/>
  <c r="G13" i="180"/>
  <c r="G15" i="180"/>
  <c r="J798" i="172"/>
  <c r="J800" i="172"/>
  <c r="F64" i="177"/>
  <c r="J76" i="172"/>
  <c r="F65" i="177"/>
  <c r="J799" i="172"/>
  <c r="J737" i="172"/>
  <c r="J740" i="172"/>
  <c r="J110" i="172"/>
  <c r="I112" i="172"/>
  <c r="I321" i="172" s="1"/>
  <c r="J321" i="172" s="1"/>
  <c r="I87" i="172"/>
  <c r="I294" i="172" s="1"/>
  <c r="I804" i="172" s="1"/>
  <c r="I253" i="172"/>
  <c r="J739" i="172"/>
  <c r="I130" i="172"/>
  <c r="I338" i="172" s="1"/>
  <c r="J164" i="172"/>
  <c r="I122" i="172"/>
  <c r="I331" i="172" s="1"/>
  <c r="I202" i="172"/>
  <c r="I218" i="172" s="1"/>
  <c r="I433" i="172" s="1"/>
  <c r="I510" i="172" s="1"/>
  <c r="J760" i="172"/>
  <c r="I153" i="172"/>
  <c r="I361" i="172" s="1"/>
  <c r="I442" i="172"/>
  <c r="I476" i="172" s="1"/>
  <c r="I379" i="172"/>
  <c r="I356" i="172"/>
  <c r="I234" i="172"/>
  <c r="I690" i="172"/>
  <c r="I556" i="172"/>
  <c r="I506" i="172"/>
  <c r="I220" i="172"/>
  <c r="I436" i="172" s="1"/>
  <c r="J46" i="172"/>
  <c r="I809" i="172"/>
  <c r="I789" i="172"/>
  <c r="I778" i="172"/>
  <c r="I90" i="172"/>
  <c r="J108" i="172"/>
  <c r="I128" i="172"/>
  <c r="I151" i="172"/>
  <c r="I716" i="172"/>
  <c r="I582" i="172"/>
  <c r="I465" i="172"/>
  <c r="I680" i="172"/>
  <c r="I641" i="172"/>
  <c r="I495" i="172"/>
  <c r="I320" i="172"/>
  <c r="J320" i="172" s="1"/>
  <c r="I460" i="172"/>
  <c r="J460" i="172" s="1"/>
  <c r="I83" i="172"/>
  <c r="I94" i="172"/>
  <c r="I313" i="172"/>
  <c r="I288" i="172"/>
  <c r="I419" i="172"/>
  <c r="I742" i="172"/>
  <c r="I823" i="172"/>
  <c r="I662" i="172"/>
  <c r="J662" i="172" s="1"/>
  <c r="I445" i="172"/>
  <c r="I319" i="172"/>
  <c r="I459" i="172"/>
  <c r="J459" i="172" s="1"/>
  <c r="I120" i="172"/>
  <c r="I821" i="172"/>
  <c r="I663" i="172"/>
  <c r="J663" i="172" s="1"/>
  <c r="I446" i="172"/>
  <c r="I457" i="172"/>
  <c r="I649" i="172"/>
  <c r="I601" i="172"/>
  <c r="I673" i="172"/>
  <c r="I650" i="172"/>
  <c r="I676" i="172"/>
  <c r="I125" i="172"/>
  <c r="I483" i="172"/>
  <c r="I594" i="172"/>
  <c r="I449" i="172"/>
  <c r="I666" i="172"/>
  <c r="I255" i="172"/>
  <c r="J255" i="172" s="1"/>
  <c r="I488" i="172"/>
  <c r="I454" i="172"/>
  <c r="I710" i="172" s="1"/>
  <c r="I485" i="172"/>
  <c r="I721" i="172"/>
  <c r="I597" i="172"/>
  <c r="I653" i="172"/>
  <c r="I451" i="172"/>
  <c r="I668" i="172"/>
  <c r="I383" i="172"/>
  <c r="I659" i="172"/>
  <c r="I479" i="172"/>
  <c r="I543" i="172"/>
  <c r="I585" i="172"/>
  <c r="I643" i="172"/>
  <c r="I469" i="172"/>
  <c r="I201" i="172"/>
  <c r="I304" i="172"/>
  <c r="I286" i="172"/>
  <c r="I744" i="172"/>
  <c r="J744" i="172" s="1"/>
  <c r="I417" i="172"/>
  <c r="I301" i="172"/>
  <c r="J111" i="172"/>
  <c r="I822" i="172"/>
  <c r="I481" i="172"/>
  <c r="I592" i="172"/>
  <c r="J592" i="172" s="1"/>
  <c r="I664" i="172"/>
  <c r="I447" i="172"/>
  <c r="I238" i="172"/>
  <c r="I145" i="172"/>
  <c r="I661" i="172"/>
  <c r="J661" i="172" s="1"/>
  <c r="I444" i="172"/>
  <c r="I640" i="172"/>
  <c r="I464" i="172"/>
  <c r="I655" i="172"/>
  <c r="I603" i="172"/>
  <c r="I675" i="172"/>
  <c r="I471" i="172"/>
  <c r="I723" i="172"/>
  <c r="I491" i="172"/>
  <c r="J491" i="172" s="1"/>
  <c r="I611" i="172"/>
  <c r="I498" i="172"/>
  <c r="J498" i="172" s="1"/>
  <c r="I677" i="172"/>
  <c r="J473" i="172"/>
  <c r="I534" i="172"/>
  <c r="I235" i="172"/>
  <c r="I89" i="172"/>
  <c r="I489" i="172"/>
  <c r="I455" i="172"/>
  <c r="I647" i="172"/>
  <c r="I671" i="172"/>
  <c r="J149" i="172"/>
  <c r="I267" i="172"/>
  <c r="I311" i="172"/>
  <c r="I593" i="172"/>
  <c r="J593" i="172" s="1"/>
  <c r="I448" i="172"/>
  <c r="I665" i="172"/>
  <c r="I482" i="172"/>
  <c r="I587" i="172"/>
  <c r="I645" i="172"/>
  <c r="I682" i="172"/>
  <c r="I497" i="172"/>
  <c r="I718" i="172"/>
  <c r="I467" i="172"/>
  <c r="I188" i="172"/>
  <c r="I421" i="172"/>
  <c r="J322" i="172"/>
  <c r="I517" i="172"/>
  <c r="I575" i="172"/>
  <c r="J575" i="172" s="1"/>
  <c r="I702" i="172"/>
  <c r="G39" i="180" l="1"/>
  <c r="D8" i="177" s="1"/>
  <c r="J112" i="172"/>
  <c r="F66" i="177"/>
  <c r="I768" i="172"/>
  <c r="J768" i="172" s="1"/>
  <c r="I248" i="172"/>
  <c r="I773" i="172"/>
  <c r="I461" i="172"/>
  <c r="J461" i="172" s="1"/>
  <c r="I193" i="172"/>
  <c r="I210" i="172" s="1"/>
  <c r="I425" i="172" s="1"/>
  <c r="I140" i="172"/>
  <c r="I729" i="172" s="1"/>
  <c r="I558" i="172"/>
  <c r="I608" i="172"/>
  <c r="I619" i="172"/>
  <c r="I704" i="172"/>
  <c r="I547" i="172"/>
  <c r="I336" i="172"/>
  <c r="J319" i="172"/>
  <c r="I767" i="172"/>
  <c r="I413" i="172"/>
  <c r="I785" i="172"/>
  <c r="I791" i="172"/>
  <c r="I811" i="172"/>
  <c r="I530" i="172"/>
  <c r="I713" i="172"/>
  <c r="I708" i="172"/>
  <c r="J708" i="172" s="1"/>
  <c r="J445" i="172"/>
  <c r="I520" i="172"/>
  <c r="I634" i="172" s="1"/>
  <c r="J634" i="172" s="1"/>
  <c r="I693" i="172"/>
  <c r="J693" i="172" s="1"/>
  <c r="I217" i="172"/>
  <c r="J201" i="172"/>
  <c r="I452" i="172"/>
  <c r="I669" i="172"/>
  <c r="J669" i="172" s="1"/>
  <c r="I720" i="172"/>
  <c r="J720" i="172" s="1"/>
  <c r="I596" i="172"/>
  <c r="J596" i="172" s="1"/>
  <c r="I652" i="172"/>
  <c r="J652" i="172" s="1"/>
  <c r="I486" i="172"/>
  <c r="J486" i="172" s="1"/>
  <c r="I205" i="172"/>
  <c r="J188" i="172"/>
  <c r="I610" i="172"/>
  <c r="I548" i="172"/>
  <c r="I706" i="172"/>
  <c r="I541" i="172"/>
  <c r="I560" i="172"/>
  <c r="J560" i="172" s="1"/>
  <c r="I707" i="172"/>
  <c r="J707" i="172" s="1"/>
  <c r="J444" i="172"/>
  <c r="I519" i="172"/>
  <c r="I633" i="172" s="1"/>
  <c r="J633" i="172" s="1"/>
  <c r="I692" i="172"/>
  <c r="J692" i="172" s="1"/>
  <c r="I508" i="172"/>
  <c r="I359" i="172"/>
  <c r="I381" i="172"/>
  <c r="I532" i="172"/>
  <c r="I472" i="172"/>
  <c r="I694" i="172"/>
  <c r="J446" i="172"/>
  <c r="I796" i="172"/>
  <c r="I816" i="172"/>
  <c r="I783" i="172"/>
  <c r="I333" i="172"/>
  <c r="I698" i="172"/>
  <c r="I564" i="172"/>
  <c r="I514" i="172"/>
  <c r="I764" i="172"/>
  <c r="J764" i="172" s="1"/>
  <c r="I269" i="172"/>
  <c r="I303" i="172"/>
  <c r="I147" i="172"/>
  <c r="I124" i="172"/>
  <c r="I679" i="172"/>
  <c r="I574" i="172"/>
  <c r="J574" i="172" s="1"/>
  <c r="I623" i="172"/>
  <c r="I734" i="172"/>
  <c r="I409" i="172"/>
  <c r="I376" i="172"/>
  <c r="I353" i="172"/>
  <c r="I266" i="172"/>
  <c r="I231" i="172"/>
  <c r="I705" i="172"/>
  <c r="I306" i="172"/>
  <c r="I290" i="172"/>
  <c r="I794" i="172"/>
  <c r="I814" i="172"/>
  <c r="I781" i="172"/>
  <c r="I607" i="172"/>
  <c r="I583" i="172"/>
  <c r="I297" i="172"/>
  <c r="I196" i="172"/>
  <c r="I251" i="172"/>
  <c r="I143" i="172"/>
  <c r="I526" i="172"/>
  <c r="I296" i="172"/>
  <c r="I142" i="172"/>
  <c r="I195" i="172"/>
  <c r="I250" i="172"/>
  <c r="I329" i="172"/>
  <c r="I711" i="172"/>
  <c r="I528" i="172"/>
  <c r="I631" i="172"/>
  <c r="I523" i="172"/>
  <c r="I522" i="172"/>
  <c r="I521" i="172"/>
  <c r="I762" i="172"/>
  <c r="J762" i="172" s="1"/>
  <c r="I404" i="172" l="1"/>
  <c r="I226" i="172"/>
  <c r="I348" i="172"/>
  <c r="I262" i="172"/>
  <c r="I371" i="172"/>
  <c r="I776" i="172"/>
  <c r="I807" i="172"/>
  <c r="I577" i="172"/>
  <c r="J452" i="172"/>
  <c r="I525" i="172"/>
  <c r="I636" i="172"/>
  <c r="I635" i="172"/>
  <c r="I264" i="172"/>
  <c r="I373" i="172"/>
  <c r="I350" i="172"/>
  <c r="I731" i="172"/>
  <c r="I228" i="172"/>
  <c r="I335" i="172"/>
  <c r="I627" i="172"/>
  <c r="I221" i="172"/>
  <c r="I435" i="172" s="1"/>
  <c r="J205" i="172"/>
  <c r="I432" i="172"/>
  <c r="J217" i="172"/>
  <c r="I307" i="172"/>
  <c r="I378" i="172"/>
  <c r="I355" i="172"/>
  <c r="I412" i="172"/>
  <c r="I233" i="172"/>
  <c r="J548" i="172"/>
  <c r="I573" i="172"/>
  <c r="I637" i="172"/>
  <c r="J522" i="172"/>
  <c r="I775" i="172"/>
  <c r="I806" i="172"/>
  <c r="I579" i="172"/>
  <c r="I638" i="172"/>
  <c r="I813" i="172"/>
  <c r="I780" i="172"/>
  <c r="I793" i="172"/>
  <c r="I374" i="172"/>
  <c r="I351" i="172"/>
  <c r="I732" i="172"/>
  <c r="I229" i="172"/>
  <c r="I621" i="172"/>
  <c r="J621" i="172" s="1"/>
  <c r="J508" i="172"/>
  <c r="I686" i="172"/>
  <c r="I552" i="172"/>
  <c r="I502" i="172"/>
  <c r="I213" i="172"/>
  <c r="I492" i="172"/>
  <c r="I604" i="172"/>
  <c r="J472" i="172"/>
  <c r="I571" i="172"/>
  <c r="I212" i="172"/>
  <c r="C36" i="96"/>
  <c r="B36" i="96"/>
  <c r="E30" i="171"/>
  <c r="O29" i="171"/>
  <c r="O23" i="171"/>
  <c r="D23" i="171"/>
  <c r="H19" i="171"/>
  <c r="H31" i="171" s="1"/>
  <c r="J31" i="171" s="1"/>
  <c r="J32" i="171" s="1"/>
  <c r="E19" i="171"/>
  <c r="F15" i="171"/>
  <c r="J15" i="171" s="1"/>
  <c r="J16" i="171" s="1"/>
  <c r="P14" i="171"/>
  <c r="A14" i="171"/>
  <c r="J12" i="171"/>
  <c r="J13" i="171" s="1"/>
  <c r="K7" i="171"/>
  <c r="E30" i="170"/>
  <c r="O29" i="170"/>
  <c r="O23" i="170"/>
  <c r="D23" i="170"/>
  <c r="H19" i="170"/>
  <c r="H31" i="170" s="1"/>
  <c r="J31" i="170" s="1"/>
  <c r="J32" i="170" s="1"/>
  <c r="G495" i="180" s="1"/>
  <c r="E19" i="170"/>
  <c r="F15" i="170"/>
  <c r="J15" i="170" s="1"/>
  <c r="J16" i="170" s="1"/>
  <c r="P14" i="170"/>
  <c r="A14" i="170"/>
  <c r="J12" i="170"/>
  <c r="J13" i="170" s="1"/>
  <c r="K7" i="170"/>
  <c r="G486" i="180" l="1"/>
  <c r="G488" i="180"/>
  <c r="D476" i="176"/>
  <c r="D502" i="172"/>
  <c r="J502" i="172" s="1"/>
  <c r="D478" i="176"/>
  <c r="D504" i="172"/>
  <c r="J19" i="170"/>
  <c r="J20" i="170" s="1"/>
  <c r="D511" i="172"/>
  <c r="J511" i="172" s="1"/>
  <c r="D485" i="176"/>
  <c r="I428" i="172"/>
  <c r="I407" i="172"/>
  <c r="I818" i="172"/>
  <c r="I572" i="172"/>
  <c r="J571" i="172"/>
  <c r="I615" i="172"/>
  <c r="I559" i="172"/>
  <c r="J559" i="172" s="1"/>
  <c r="I509" i="172"/>
  <c r="J432" i="172"/>
  <c r="I765" i="172"/>
  <c r="J765" i="172" s="1"/>
  <c r="J435" i="172"/>
  <c r="I697" i="172"/>
  <c r="J697" i="172" s="1"/>
  <c r="I563" i="172"/>
  <c r="J563" i="172" s="1"/>
  <c r="I513" i="172"/>
  <c r="I427" i="172"/>
  <c r="I406" i="172"/>
  <c r="J525" i="172"/>
  <c r="I580" i="172"/>
  <c r="H23" i="170"/>
  <c r="J19" i="171"/>
  <c r="J20" i="171" s="1"/>
  <c r="H23" i="171"/>
  <c r="D480" i="176" l="1"/>
  <c r="D506" i="172"/>
  <c r="J506" i="172" s="1"/>
  <c r="I622" i="172"/>
  <c r="J622" i="172" s="1"/>
  <c r="J509" i="172"/>
  <c r="I688" i="172"/>
  <c r="I554" i="172"/>
  <c r="I504" i="172"/>
  <c r="I626" i="172"/>
  <c r="J626" i="172" s="1"/>
  <c r="J513" i="172"/>
  <c r="J23" i="171"/>
  <c r="J24" i="171" s="1"/>
  <c r="H27" i="171"/>
  <c r="J27" i="171" s="1"/>
  <c r="J28" i="171" s="1"/>
  <c r="H27" i="170"/>
  <c r="J27" i="170" s="1"/>
  <c r="J28" i="170" s="1"/>
  <c r="J23" i="170"/>
  <c r="J24" i="170" s="1"/>
  <c r="G498" i="180" l="1"/>
  <c r="G494" i="180"/>
  <c r="D514" i="172"/>
  <c r="J514" i="172" s="1"/>
  <c r="D488" i="176"/>
  <c r="D484" i="176"/>
  <c r="D510" i="172"/>
  <c r="J510" i="172" s="1"/>
  <c r="I617" i="172"/>
  <c r="J504" i="172"/>
  <c r="J515" i="172" l="1"/>
  <c r="J34" i="96"/>
  <c r="G654" i="180" l="1"/>
  <c r="G490" i="180"/>
  <c r="G540" i="180"/>
  <c r="G419" i="180"/>
  <c r="G187" i="180" l="1"/>
  <c r="G700" i="180"/>
  <c r="G685" i="180"/>
  <c r="G626" i="180" l="1"/>
  <c r="G504" i="180"/>
  <c r="G203" i="180"/>
  <c r="G406" i="180" l="1"/>
  <c r="G543" i="180"/>
  <c r="G493" i="180" l="1"/>
  <c r="G499" i="180" s="1"/>
  <c r="D37" i="177" s="1"/>
  <c r="G614" i="180"/>
  <c r="G61" i="159" l="1"/>
  <c r="F61" i="159"/>
  <c r="E61" i="159"/>
  <c r="E60" i="159"/>
  <c r="D60" i="159"/>
  <c r="I60" i="159" s="1"/>
  <c r="D61" i="159"/>
  <c r="I61" i="159" s="1"/>
  <c r="J61" i="159" s="1"/>
  <c r="J60" i="159" l="1"/>
  <c r="J62" i="159" s="1"/>
  <c r="G108" i="180" s="1"/>
  <c r="K24" i="96"/>
  <c r="K31" i="96"/>
  <c r="K47" i="96"/>
  <c r="K52" i="96"/>
  <c r="K53" i="96"/>
  <c r="K54" i="96"/>
  <c r="J55" i="96"/>
  <c r="D106" i="176" l="1"/>
  <c r="D126" i="172"/>
  <c r="J126" i="172" s="1"/>
  <c r="C51" i="96"/>
  <c r="B51" i="96"/>
  <c r="B52" i="96" s="1"/>
  <c r="C50" i="96"/>
  <c r="B50" i="96"/>
  <c r="C49" i="96"/>
  <c r="B49" i="96"/>
  <c r="C47" i="96"/>
  <c r="C48" i="96"/>
  <c r="B48" i="96"/>
  <c r="C46" i="96"/>
  <c r="B46" i="96"/>
  <c r="C45" i="96"/>
  <c r="B45" i="96"/>
  <c r="C44" i="96"/>
  <c r="B44" i="96"/>
  <c r="C43" i="96"/>
  <c r="B43" i="96"/>
  <c r="C42" i="96"/>
  <c r="B42" i="96"/>
  <c r="C41" i="96"/>
  <c r="B41" i="96"/>
  <c r="C40" i="96"/>
  <c r="B40" i="96"/>
  <c r="C39" i="96"/>
  <c r="B39" i="96"/>
  <c r="C38" i="96"/>
  <c r="B38" i="96"/>
  <c r="C37" i="96"/>
  <c r="B37" i="96"/>
  <c r="C35" i="96"/>
  <c r="B35" i="96"/>
  <c r="C34" i="96"/>
  <c r="B34" i="96"/>
  <c r="C33" i="96"/>
  <c r="B33" i="96"/>
  <c r="B54" i="96" l="1"/>
  <c r="B53" i="96"/>
  <c r="C32" i="96"/>
  <c r="B32" i="96"/>
  <c r="C31" i="96"/>
  <c r="C30" i="96"/>
  <c r="B30" i="96"/>
  <c r="C29" i="96"/>
  <c r="B29" i="96"/>
  <c r="C28" i="96"/>
  <c r="B28" i="96"/>
  <c r="C27" i="96"/>
  <c r="B27" i="96"/>
  <c r="C26" i="96"/>
  <c r="B26" i="96"/>
  <c r="C24" i="96"/>
  <c r="C23" i="96"/>
  <c r="B23" i="96"/>
  <c r="C22" i="96"/>
  <c r="B22" i="96"/>
  <c r="C21" i="96"/>
  <c r="B21" i="96"/>
  <c r="C20" i="96"/>
  <c r="B20" i="96"/>
  <c r="C19" i="96"/>
  <c r="B19" i="96"/>
  <c r="C18" i="96"/>
  <c r="B18" i="96"/>
  <c r="C17" i="96"/>
  <c r="B17" i="96"/>
  <c r="C16" i="96"/>
  <c r="B16" i="96"/>
  <c r="C15" i="96"/>
  <c r="B15" i="96"/>
  <c r="C13" i="96"/>
  <c r="C56" i="96" l="1"/>
  <c r="I12" i="96" l="1"/>
  <c r="G43" i="180"/>
  <c r="D12" i="177" s="1"/>
  <c r="E30" i="142"/>
  <c r="E29" i="142"/>
  <c r="E15" i="142" l="1"/>
  <c r="E14" i="142"/>
  <c r="E24" i="141"/>
  <c r="J24" i="141" s="1"/>
  <c r="E23" i="141"/>
  <c r="J23" i="141" s="1"/>
  <c r="E22" i="141"/>
  <c r="J22" i="141" s="1"/>
  <c r="E26" i="141"/>
  <c r="E32" i="141" s="1"/>
  <c r="E25" i="141"/>
  <c r="E31" i="141" s="1"/>
  <c r="E21" i="141"/>
  <c r="E30" i="141" s="1"/>
  <c r="E39" i="141"/>
  <c r="E38" i="141"/>
  <c r="E37" i="141"/>
  <c r="D25" i="165"/>
  <c r="D25" i="164"/>
  <c r="D25" i="163"/>
  <c r="D25" i="162"/>
  <c r="G665" i="180" l="1"/>
  <c r="D655" i="176"/>
  <c r="D673" i="172"/>
  <c r="J673" i="172" s="1"/>
  <c r="I8" i="96"/>
  <c r="I56" i="96"/>
  <c r="K56" i="96" s="1"/>
  <c r="E24" i="147" l="1"/>
  <c r="J17" i="147"/>
  <c r="J18" i="147"/>
  <c r="H16" i="147"/>
  <c r="J16" i="147" s="1"/>
  <c r="H15" i="147"/>
  <c r="J15" i="147" s="1"/>
  <c r="H14" i="147"/>
  <c r="H13" i="147"/>
  <c r="E33" i="169" l="1"/>
  <c r="E34" i="169" s="1"/>
  <c r="J34" i="169" s="1"/>
  <c r="H32" i="169"/>
  <c r="J32" i="169" s="1"/>
  <c r="H26" i="169"/>
  <c r="E26" i="169"/>
  <c r="E15" i="169"/>
  <c r="J12" i="169"/>
  <c r="J13" i="169" s="1"/>
  <c r="G212" i="180" s="1"/>
  <c r="J46" i="169"/>
  <c r="J47" i="169" s="1"/>
  <c r="G230" i="180" s="1"/>
  <c r="J43" i="169"/>
  <c r="J44" i="169" s="1"/>
  <c r="G229" i="180" s="1"/>
  <c r="J40" i="169"/>
  <c r="J41" i="169" s="1"/>
  <c r="G228" i="180" s="1"/>
  <c r="H23" i="169"/>
  <c r="J23" i="169" s="1"/>
  <c r="K7" i="169"/>
  <c r="J15" i="136"/>
  <c r="D243" i="172" l="1"/>
  <c r="J243" i="172" s="1"/>
  <c r="D223" i="176"/>
  <c r="D206" i="176"/>
  <c r="D226" i="172"/>
  <c r="J226" i="172" s="1"/>
  <c r="D224" i="176"/>
  <c r="D244" i="172"/>
  <c r="J244" i="172" s="1"/>
  <c r="D222" i="176"/>
  <c r="D242" i="172"/>
  <c r="J242" i="172" s="1"/>
  <c r="M13" i="169"/>
  <c r="M47" i="169"/>
  <c r="J15" i="169"/>
  <c r="J16" i="169" s="1"/>
  <c r="J18" i="169" s="1"/>
  <c r="G215" i="180" s="1"/>
  <c r="E28" i="169"/>
  <c r="J28" i="169" s="1"/>
  <c r="J29" i="169" s="1"/>
  <c r="G222" i="180" s="1"/>
  <c r="M44" i="169"/>
  <c r="M41" i="169"/>
  <c r="H33" i="169"/>
  <c r="J33" i="169" s="1"/>
  <c r="H34" i="169"/>
  <c r="J26" i="169"/>
  <c r="J27" i="169" s="1"/>
  <c r="G220" i="180" s="1"/>
  <c r="E20" i="169"/>
  <c r="J20" i="169" s="1"/>
  <c r="G217" i="180" s="1"/>
  <c r="J35" i="169"/>
  <c r="G224" i="180" s="1"/>
  <c r="J24" i="169"/>
  <c r="G219" i="180" s="1"/>
  <c r="J14" i="124"/>
  <c r="J15" i="124"/>
  <c r="J16" i="124"/>
  <c r="J17" i="124"/>
  <c r="J13" i="124"/>
  <c r="I33" i="137"/>
  <c r="J14" i="137"/>
  <c r="J15" i="137"/>
  <c r="J16" i="137"/>
  <c r="J17" i="137"/>
  <c r="J13" i="137"/>
  <c r="D211" i="176" l="1"/>
  <c r="D231" i="172"/>
  <c r="J231" i="172" s="1"/>
  <c r="D216" i="176"/>
  <c r="D236" i="172"/>
  <c r="J236" i="172" s="1"/>
  <c r="D234" i="172"/>
  <c r="J234" i="172" s="1"/>
  <c r="D214" i="176"/>
  <c r="D229" i="172"/>
  <c r="J229" i="172" s="1"/>
  <c r="D209" i="176"/>
  <c r="D238" i="172"/>
  <c r="J238" i="172" s="1"/>
  <c r="D218" i="176"/>
  <c r="D213" i="176"/>
  <c r="D233" i="172"/>
  <c r="J233" i="172" s="1"/>
  <c r="M35" i="169"/>
  <c r="J21" i="169"/>
  <c r="M21" i="169" s="1"/>
  <c r="J37" i="169"/>
  <c r="J38" i="169" s="1"/>
  <c r="G226" i="180" s="1"/>
  <c r="J17" i="169"/>
  <c r="G214" i="180" s="1"/>
  <c r="M24" i="169"/>
  <c r="M27" i="169"/>
  <c r="E22" i="138"/>
  <c r="E24" i="138"/>
  <c r="D228" i="172" l="1"/>
  <c r="J228" i="172" s="1"/>
  <c r="D208" i="176"/>
  <c r="D220" i="176"/>
  <c r="D240" i="172"/>
  <c r="J240" i="172" s="1"/>
  <c r="M38" i="169"/>
  <c r="M48" i="169" s="1"/>
  <c r="H19" i="166" l="1"/>
  <c r="H23" i="166" s="1"/>
  <c r="J23" i="166" s="1"/>
  <c r="J24" i="166" s="1"/>
  <c r="H19" i="136"/>
  <c r="H19" i="167"/>
  <c r="E29" i="167"/>
  <c r="O28" i="167"/>
  <c r="O23" i="167"/>
  <c r="H23" i="167"/>
  <c r="H26" i="167" s="1"/>
  <c r="J26" i="167" s="1"/>
  <c r="J27" i="167" s="1"/>
  <c r="D23" i="167"/>
  <c r="E19" i="167"/>
  <c r="J15" i="167"/>
  <c r="J16" i="167" s="1"/>
  <c r="P14" i="167"/>
  <c r="A14" i="167"/>
  <c r="J12" i="167"/>
  <c r="J13" i="167" s="1"/>
  <c r="K7" i="167"/>
  <c r="E30" i="166"/>
  <c r="O29" i="166"/>
  <c r="O23" i="166"/>
  <c r="D23" i="166"/>
  <c r="E19" i="166"/>
  <c r="J15" i="166"/>
  <c r="J16" i="166" s="1"/>
  <c r="P14" i="166"/>
  <c r="A14" i="166"/>
  <c r="J12" i="166"/>
  <c r="J13" i="166" s="1"/>
  <c r="K7" i="166"/>
  <c r="H18" i="127"/>
  <c r="I13" i="127"/>
  <c r="K10" i="127"/>
  <c r="G12" i="127" s="1"/>
  <c r="I23" i="127"/>
  <c r="J23" i="127" s="1"/>
  <c r="G572" i="180" s="1"/>
  <c r="J44" i="153"/>
  <c r="I43" i="153"/>
  <c r="J43" i="153" s="1"/>
  <c r="J41" i="153"/>
  <c r="I40" i="153"/>
  <c r="J40" i="153" s="1"/>
  <c r="J38" i="153"/>
  <c r="I37" i="153"/>
  <c r="J37" i="153" s="1"/>
  <c r="I35" i="153"/>
  <c r="I30" i="153"/>
  <c r="J30" i="153" s="1"/>
  <c r="D27" i="162"/>
  <c r="D27" i="163"/>
  <c r="D27" i="164"/>
  <c r="D27" i="165"/>
  <c r="G672" i="180" l="1"/>
  <c r="D680" i="172"/>
  <c r="J680" i="172" s="1"/>
  <c r="D662" i="176"/>
  <c r="D585" i="172"/>
  <c r="J585" i="172" s="1"/>
  <c r="D562" i="176"/>
  <c r="G13" i="127"/>
  <c r="H31" i="166"/>
  <c r="J31" i="166" s="1"/>
  <c r="J32" i="166" s="1"/>
  <c r="J19" i="167"/>
  <c r="J20" i="167" s="1"/>
  <c r="J13" i="127"/>
  <c r="H30" i="167"/>
  <c r="J30" i="167" s="1"/>
  <c r="J31" i="167" s="1"/>
  <c r="J19" i="166"/>
  <c r="J20" i="166" s="1"/>
  <c r="J23" i="167"/>
  <c r="J24" i="167" s="1"/>
  <c r="H27" i="166"/>
  <c r="J27" i="166" s="1"/>
  <c r="J28" i="166" s="1"/>
  <c r="D28" i="165"/>
  <c r="A22" i="165"/>
  <c r="A23" i="165" s="1"/>
  <c r="A24" i="165" s="1"/>
  <c r="A25" i="165" s="1"/>
  <c r="A26" i="165" s="1"/>
  <c r="C20" i="165"/>
  <c r="D19" i="165"/>
  <c r="G14" i="165"/>
  <c r="D22" i="165" s="1"/>
  <c r="F14" i="165"/>
  <c r="G13" i="165"/>
  <c r="D23" i="165" s="1"/>
  <c r="F13" i="165"/>
  <c r="D30" i="165" s="1"/>
  <c r="H7" i="165"/>
  <c r="D28" i="164"/>
  <c r="A22" i="164"/>
  <c r="A23" i="164" s="1"/>
  <c r="A24" i="164" s="1"/>
  <c r="A25" i="164" s="1"/>
  <c r="A26" i="164" s="1"/>
  <c r="C20" i="164"/>
  <c r="D19" i="164"/>
  <c r="D26" i="164" s="1"/>
  <c r="G14" i="164"/>
  <c r="D29" i="164" s="1"/>
  <c r="F14" i="164"/>
  <c r="G13" i="164"/>
  <c r="D23" i="164" s="1"/>
  <c r="F13" i="164"/>
  <c r="H7" i="164"/>
  <c r="D28" i="163"/>
  <c r="A22" i="163"/>
  <c r="A23" i="163" s="1"/>
  <c r="A24" i="163" s="1"/>
  <c r="A25" i="163" s="1"/>
  <c r="A26" i="163" s="1"/>
  <c r="C20" i="163"/>
  <c r="D19" i="163"/>
  <c r="G14" i="163"/>
  <c r="D29" i="163" s="1"/>
  <c r="F14" i="163"/>
  <c r="G13" i="163"/>
  <c r="F13" i="163"/>
  <c r="D30" i="163" s="1"/>
  <c r="H7" i="163"/>
  <c r="G18" i="127" l="1"/>
  <c r="G14" i="127"/>
  <c r="G15" i="127" s="1"/>
  <c r="D29" i="165"/>
  <c r="D16" i="127"/>
  <c r="G555" i="180" s="1"/>
  <c r="D22" i="163"/>
  <c r="D20" i="165"/>
  <c r="D26" i="165"/>
  <c r="D20" i="164"/>
  <c r="D20" i="163"/>
  <c r="D21" i="165"/>
  <c r="G657" i="180" s="1"/>
  <c r="D24" i="163"/>
  <c r="D23" i="163"/>
  <c r="D26" i="163"/>
  <c r="D24" i="165"/>
  <c r="D21" i="164"/>
  <c r="D24" i="164"/>
  <c r="D30" i="164"/>
  <c r="D22" i="164"/>
  <c r="D21" i="163"/>
  <c r="G14" i="162"/>
  <c r="D29" i="162" s="1"/>
  <c r="F14" i="162"/>
  <c r="G669" i="180" l="1"/>
  <c r="G667" i="180"/>
  <c r="J18" i="127"/>
  <c r="G560" i="180" s="1"/>
  <c r="G20" i="127"/>
  <c r="D657" i="176"/>
  <c r="D659" i="176" s="1"/>
  <c r="D675" i="172"/>
  <c r="D647" i="176"/>
  <c r="D665" i="172"/>
  <c r="J665" i="172" s="1"/>
  <c r="D569" i="172"/>
  <c r="J569" i="172" s="1"/>
  <c r="D545" i="176"/>
  <c r="E31" i="125"/>
  <c r="D28" i="162"/>
  <c r="G674" i="180" s="1"/>
  <c r="A22" i="162"/>
  <c r="A23" i="162" s="1"/>
  <c r="A24" i="162" s="1"/>
  <c r="A25" i="162" s="1"/>
  <c r="A26" i="162" s="1"/>
  <c r="C20" i="162"/>
  <c r="D19" i="162"/>
  <c r="G13" i="162"/>
  <c r="F13" i="162"/>
  <c r="H7" i="162"/>
  <c r="H19" i="140"/>
  <c r="D573" i="172" l="1"/>
  <c r="J573" i="172" s="1"/>
  <c r="D550" i="176"/>
  <c r="D677" i="172"/>
  <c r="J677" i="172" s="1"/>
  <c r="J675" i="172"/>
  <c r="D664" i="176"/>
  <c r="D682" i="172"/>
  <c r="J682" i="172" s="1"/>
  <c r="D559" i="176"/>
  <c r="D582" i="172"/>
  <c r="J582" i="172" s="1"/>
  <c r="D20" i="162"/>
  <c r="G651" i="180" s="1"/>
  <c r="D21" i="162"/>
  <c r="D22" i="162"/>
  <c r="G658" i="180" s="1"/>
  <c r="D26" i="162"/>
  <c r="G668" i="180" s="1"/>
  <c r="D23" i="162"/>
  <c r="G660" i="180" s="1"/>
  <c r="D24" i="162"/>
  <c r="G663" i="180" s="1"/>
  <c r="D30" i="162"/>
  <c r="G671" i="180" s="1"/>
  <c r="E125" i="161"/>
  <c r="J125" i="161" s="1"/>
  <c r="J126" i="161" s="1"/>
  <c r="G369" i="180" s="1"/>
  <c r="A124" i="161"/>
  <c r="J122" i="161"/>
  <c r="J123" i="161" s="1"/>
  <c r="G368" i="180" s="1"/>
  <c r="A121" i="161"/>
  <c r="J118" i="161"/>
  <c r="J119" i="161" s="1"/>
  <c r="G367" i="180" s="1"/>
  <c r="A117" i="161"/>
  <c r="E108" i="161"/>
  <c r="D108" i="161"/>
  <c r="J105" i="161"/>
  <c r="J104" i="161"/>
  <c r="E99" i="161"/>
  <c r="E100" i="161" s="1"/>
  <c r="J100" i="161" s="1"/>
  <c r="E98" i="161"/>
  <c r="J98" i="161" s="1"/>
  <c r="E97" i="161"/>
  <c r="H90" i="161"/>
  <c r="J90" i="161" s="1"/>
  <c r="J89" i="161"/>
  <c r="J88" i="161"/>
  <c r="J87" i="161"/>
  <c r="J86" i="161"/>
  <c r="J85" i="161"/>
  <c r="J83" i="161"/>
  <c r="J82" i="161"/>
  <c r="J81" i="161"/>
  <c r="I79" i="161"/>
  <c r="G79" i="161"/>
  <c r="D77" i="161"/>
  <c r="J77" i="161" s="1"/>
  <c r="H75" i="161"/>
  <c r="J75" i="161" s="1"/>
  <c r="J73" i="161"/>
  <c r="E71" i="161"/>
  <c r="H71" i="161" s="1"/>
  <c r="J71" i="161" s="1"/>
  <c r="J69" i="161"/>
  <c r="E67" i="161"/>
  <c r="E68" i="161" s="1"/>
  <c r="H68" i="161" s="1"/>
  <c r="J68" i="161" s="1"/>
  <c r="J63" i="161"/>
  <c r="J62" i="161"/>
  <c r="J61" i="161"/>
  <c r="J60" i="161"/>
  <c r="J59" i="161"/>
  <c r="J57" i="161"/>
  <c r="J56" i="161"/>
  <c r="J55" i="161"/>
  <c r="J54" i="161"/>
  <c r="J52" i="161"/>
  <c r="J51" i="161"/>
  <c r="J49" i="161"/>
  <c r="J48" i="161"/>
  <c r="J46" i="161"/>
  <c r="E44" i="161"/>
  <c r="J44" i="161" s="1"/>
  <c r="E43" i="161"/>
  <c r="E103" i="161" s="1"/>
  <c r="J103" i="161" s="1"/>
  <c r="J38" i="161"/>
  <c r="J37" i="161"/>
  <c r="J36" i="161"/>
  <c r="J35" i="161"/>
  <c r="H31" i="161"/>
  <c r="J30" i="161"/>
  <c r="H29" i="161"/>
  <c r="J29" i="161" s="1"/>
  <c r="J28" i="161"/>
  <c r="J27" i="161"/>
  <c r="H21" i="161"/>
  <c r="E21" i="161"/>
  <c r="E31" i="161" s="1"/>
  <c r="E39" i="161" s="1"/>
  <c r="H39" i="161" s="1"/>
  <c r="J39" i="161" s="1"/>
  <c r="J20" i="161"/>
  <c r="H19" i="161"/>
  <c r="J19" i="161" s="1"/>
  <c r="J18" i="161"/>
  <c r="J17" i="161"/>
  <c r="H14" i="161"/>
  <c r="J14" i="161" s="1"/>
  <c r="J13" i="161"/>
  <c r="J12" i="161"/>
  <c r="K7" i="161"/>
  <c r="J106" i="160"/>
  <c r="J107" i="160" s="1"/>
  <c r="J103" i="160"/>
  <c r="J104" i="160" s="1"/>
  <c r="J100" i="160"/>
  <c r="J101" i="160" s="1"/>
  <c r="J97" i="160"/>
  <c r="J98" i="160" s="1"/>
  <c r="J94" i="160"/>
  <c r="J95" i="160" s="1"/>
  <c r="J91" i="160"/>
  <c r="J92" i="160" s="1"/>
  <c r="J88" i="160"/>
  <c r="J85" i="160"/>
  <c r="J86" i="160" s="1"/>
  <c r="J82" i="160"/>
  <c r="J83" i="160" s="1"/>
  <c r="J78" i="160"/>
  <c r="J77" i="160"/>
  <c r="J71" i="160"/>
  <c r="J70" i="160"/>
  <c r="J69" i="160"/>
  <c r="J67" i="160"/>
  <c r="J66" i="160"/>
  <c r="J64" i="160"/>
  <c r="J63" i="160"/>
  <c r="J62" i="160"/>
  <c r="J60" i="160"/>
  <c r="J59" i="160"/>
  <c r="J57" i="160"/>
  <c r="J56" i="160"/>
  <c r="J55" i="160"/>
  <c r="J54" i="160"/>
  <c r="J53" i="160"/>
  <c r="J49" i="160"/>
  <c r="J48" i="160"/>
  <c r="J46" i="160"/>
  <c r="J44" i="160"/>
  <c r="J43" i="160"/>
  <c r="J41" i="160"/>
  <c r="J39" i="160"/>
  <c r="J38" i="160"/>
  <c r="J37" i="160"/>
  <c r="J36" i="160"/>
  <c r="J35" i="160"/>
  <c r="H31" i="160"/>
  <c r="J31" i="160" s="1"/>
  <c r="H30" i="160"/>
  <c r="J30" i="160" s="1"/>
  <c r="H29" i="160"/>
  <c r="J29" i="160" s="1"/>
  <c r="E24" i="160"/>
  <c r="J24" i="160" s="1"/>
  <c r="J19" i="160"/>
  <c r="J26" i="160" s="1"/>
  <c r="J18" i="160"/>
  <c r="J25" i="160" s="1"/>
  <c r="H17" i="160"/>
  <c r="J17" i="160" s="1"/>
  <c r="J14" i="160"/>
  <c r="J13" i="160"/>
  <c r="J12" i="160"/>
  <c r="K7" i="160"/>
  <c r="E85" i="159"/>
  <c r="J85" i="159" s="1"/>
  <c r="J87" i="159" s="1"/>
  <c r="G118" i="180" s="1"/>
  <c r="E81" i="159"/>
  <c r="J81" i="159" s="1"/>
  <c r="J83" i="159" s="1"/>
  <c r="G117" i="180" s="1"/>
  <c r="J78" i="159"/>
  <c r="J79" i="159" s="1"/>
  <c r="G116" i="180" s="1"/>
  <c r="A77" i="159"/>
  <c r="A81" i="159" s="1"/>
  <c r="A85" i="159" s="1"/>
  <c r="I74" i="159"/>
  <c r="J74" i="159" s="1"/>
  <c r="I73" i="159"/>
  <c r="J73" i="159" s="1"/>
  <c r="I72" i="159"/>
  <c r="J72" i="159" s="1"/>
  <c r="I68" i="159"/>
  <c r="J68" i="159" s="1"/>
  <c r="I67" i="159"/>
  <c r="J67" i="159" s="1"/>
  <c r="I57" i="159"/>
  <c r="J57" i="159" s="1"/>
  <c r="J56" i="159"/>
  <c r="J54" i="159"/>
  <c r="I52" i="159"/>
  <c r="J52" i="159" s="1"/>
  <c r="I51" i="159"/>
  <c r="J51" i="159" s="1"/>
  <c r="I50" i="159"/>
  <c r="J50" i="159" s="1"/>
  <c r="I49" i="159"/>
  <c r="J49" i="159" s="1"/>
  <c r="J47" i="159"/>
  <c r="I45" i="159"/>
  <c r="J45" i="159" s="1"/>
  <c r="J42" i="159"/>
  <c r="I41" i="159"/>
  <c r="J41" i="159" s="1"/>
  <c r="J40" i="159"/>
  <c r="J37" i="159"/>
  <c r="I35" i="159"/>
  <c r="J35" i="159" s="1"/>
  <c r="I34" i="159"/>
  <c r="J34" i="159" s="1"/>
  <c r="J32" i="159"/>
  <c r="J31" i="159"/>
  <c r="J30" i="159"/>
  <c r="J26" i="159"/>
  <c r="J25" i="159"/>
  <c r="J19" i="159"/>
  <c r="I18" i="159"/>
  <c r="J18" i="159" s="1"/>
  <c r="J17" i="159"/>
  <c r="J24" i="159" s="1"/>
  <c r="A16" i="159"/>
  <c r="J13" i="159"/>
  <c r="J12" i="159"/>
  <c r="K7" i="159"/>
  <c r="R84" i="158"/>
  <c r="R82" i="158"/>
  <c r="E82" i="158"/>
  <c r="J82" i="158" s="1"/>
  <c r="J84" i="158" s="1"/>
  <c r="G86" i="180" s="1"/>
  <c r="J79" i="158"/>
  <c r="J80" i="158" s="1"/>
  <c r="G85" i="180" s="1"/>
  <c r="A78" i="158"/>
  <c r="A82" i="158" s="1"/>
  <c r="A86" i="158" s="1"/>
  <c r="I70" i="158"/>
  <c r="C70" i="158"/>
  <c r="I69" i="158"/>
  <c r="C69" i="158"/>
  <c r="I67" i="158"/>
  <c r="C67" i="158"/>
  <c r="I66" i="158"/>
  <c r="C66" i="158"/>
  <c r="I61" i="158"/>
  <c r="J61" i="158" s="1"/>
  <c r="J58" i="158"/>
  <c r="J57" i="158"/>
  <c r="J54" i="158"/>
  <c r="I53" i="158"/>
  <c r="J53" i="158" s="1"/>
  <c r="F53" i="158"/>
  <c r="J51" i="158"/>
  <c r="I50" i="158"/>
  <c r="F50" i="158"/>
  <c r="F48" i="158"/>
  <c r="J48" i="158" s="1"/>
  <c r="A47" i="158"/>
  <c r="A56" i="158" s="1"/>
  <c r="A60" i="158" s="1"/>
  <c r="A64" i="158" s="1"/>
  <c r="A72" i="158" s="1"/>
  <c r="F45" i="158"/>
  <c r="I45" i="158" s="1"/>
  <c r="J45" i="158" s="1"/>
  <c r="I44" i="158"/>
  <c r="J44" i="158" s="1"/>
  <c r="F43" i="158"/>
  <c r="I43" i="158" s="1"/>
  <c r="J43" i="158" s="1"/>
  <c r="J39" i="158"/>
  <c r="I38" i="158"/>
  <c r="J38" i="158" s="1"/>
  <c r="I37" i="158"/>
  <c r="J37" i="158" s="1"/>
  <c r="J35" i="158"/>
  <c r="I34" i="158"/>
  <c r="J34" i="158" s="1"/>
  <c r="I33" i="158"/>
  <c r="J33" i="158" s="1"/>
  <c r="J31" i="158"/>
  <c r="F30" i="158"/>
  <c r="I30" i="158" s="1"/>
  <c r="J30" i="158" s="1"/>
  <c r="J25" i="158"/>
  <c r="F24" i="158"/>
  <c r="J24" i="158" s="1"/>
  <c r="J19" i="158"/>
  <c r="I18" i="158"/>
  <c r="J18" i="158" s="1"/>
  <c r="J17" i="158"/>
  <c r="A16" i="158"/>
  <c r="J13" i="158"/>
  <c r="J12" i="158"/>
  <c r="O73" i="157"/>
  <c r="P46" i="157"/>
  <c r="J31" i="157"/>
  <c r="J30" i="157"/>
  <c r="J27" i="157"/>
  <c r="J26" i="157"/>
  <c r="A21" i="157"/>
  <c r="A25" i="157" s="1"/>
  <c r="J17" i="157"/>
  <c r="J23" i="157" s="1"/>
  <c r="J16" i="157"/>
  <c r="J13" i="157"/>
  <c r="J12" i="157"/>
  <c r="N42" i="157"/>
  <c r="G675" i="180" l="1"/>
  <c r="D45" i="177" s="1"/>
  <c r="G141" i="180"/>
  <c r="J20" i="160"/>
  <c r="G142" i="180"/>
  <c r="G143" i="180"/>
  <c r="J69" i="158"/>
  <c r="J21" i="161"/>
  <c r="J108" i="161"/>
  <c r="J109" i="161" s="1"/>
  <c r="G361" i="180" s="1"/>
  <c r="M83" i="160"/>
  <c r="D137" i="176"/>
  <c r="D157" i="172"/>
  <c r="J157" i="172" s="1"/>
  <c r="D159" i="172"/>
  <c r="J159" i="172" s="1"/>
  <c r="D139" i="176"/>
  <c r="D361" i="176"/>
  <c r="D397" i="172"/>
  <c r="J397" i="172" s="1"/>
  <c r="D134" i="172"/>
  <c r="J134" i="172" s="1"/>
  <c r="D114" i="176"/>
  <c r="J106" i="161"/>
  <c r="G359" i="180" s="1"/>
  <c r="J79" i="161"/>
  <c r="D389" i="172"/>
  <c r="J389" i="172" s="1"/>
  <c r="D679" i="172"/>
  <c r="J679" i="172" s="1"/>
  <c r="D661" i="176"/>
  <c r="D135" i="172"/>
  <c r="J135" i="172" s="1"/>
  <c r="D115" i="176"/>
  <c r="D653" i="176"/>
  <c r="D671" i="172"/>
  <c r="J671" i="172" s="1"/>
  <c r="D136" i="172"/>
  <c r="J136" i="172" s="1"/>
  <c r="D116" i="176"/>
  <c r="D650" i="176"/>
  <c r="D668" i="172"/>
  <c r="J668" i="172" s="1"/>
  <c r="J15" i="158"/>
  <c r="D85" i="176"/>
  <c r="D105" i="172"/>
  <c r="J105" i="172" s="1"/>
  <c r="J31" i="161"/>
  <c r="J33" i="161" s="1"/>
  <c r="G348" i="180" s="1"/>
  <c r="D359" i="176"/>
  <c r="D395" i="172"/>
  <c r="J395" i="172" s="1"/>
  <c r="D676" i="172"/>
  <c r="J676" i="172" s="1"/>
  <c r="D658" i="176"/>
  <c r="D86" i="176"/>
  <c r="D106" i="172"/>
  <c r="J106" i="172" s="1"/>
  <c r="D648" i="176"/>
  <c r="D666" i="172"/>
  <c r="J666" i="172" s="1"/>
  <c r="D659" i="172"/>
  <c r="J659" i="172" s="1"/>
  <c r="D641" i="176"/>
  <c r="J28" i="157"/>
  <c r="J15" i="160"/>
  <c r="G124" i="180" s="1"/>
  <c r="D138" i="176"/>
  <c r="D158" i="172"/>
  <c r="J158" i="172" s="1"/>
  <c r="D396" i="172"/>
  <c r="J396" i="172" s="1"/>
  <c r="D360" i="176"/>
  <c r="J14" i="159"/>
  <c r="G99" i="180" s="1"/>
  <c r="J75" i="159"/>
  <c r="J18" i="157"/>
  <c r="E72" i="161"/>
  <c r="H72" i="161" s="1"/>
  <c r="J72" i="161" s="1"/>
  <c r="J67" i="158"/>
  <c r="J32" i="157"/>
  <c r="G63" i="180" s="1"/>
  <c r="J59" i="158"/>
  <c r="G75" i="180" s="1"/>
  <c r="E86" i="158"/>
  <c r="J86" i="158" s="1"/>
  <c r="J88" i="158" s="1"/>
  <c r="G87" i="180" s="1"/>
  <c r="J70" i="158"/>
  <c r="J50" i="160"/>
  <c r="G132" i="180" s="1"/>
  <c r="J79" i="160"/>
  <c r="G139" i="180" s="1"/>
  <c r="M126" i="161"/>
  <c r="M86" i="160"/>
  <c r="M123" i="161"/>
  <c r="J27" i="160"/>
  <c r="G129" i="180" s="1"/>
  <c r="J14" i="157"/>
  <c r="G48" i="180" s="1"/>
  <c r="J72" i="160"/>
  <c r="G135" i="180" s="1"/>
  <c r="E111" i="161"/>
  <c r="E114" i="161" s="1"/>
  <c r="J114" i="161" s="1"/>
  <c r="J115" i="161" s="1"/>
  <c r="J43" i="159"/>
  <c r="G106" i="180" s="1"/>
  <c r="M87" i="159"/>
  <c r="M83" i="159"/>
  <c r="M80" i="158"/>
  <c r="M119" i="161"/>
  <c r="J58" i="159"/>
  <c r="M84" i="158"/>
  <c r="J27" i="159"/>
  <c r="G104" i="180" s="1"/>
  <c r="J38" i="159"/>
  <c r="G110" i="180" s="1"/>
  <c r="J69" i="159"/>
  <c r="G114" i="180" s="1"/>
  <c r="J32" i="160"/>
  <c r="G131" i="180" s="1"/>
  <c r="J66" i="158"/>
  <c r="M79" i="159"/>
  <c r="M15" i="160"/>
  <c r="J15" i="161"/>
  <c r="G343" i="180" s="1"/>
  <c r="J50" i="158"/>
  <c r="J55" i="158" s="1"/>
  <c r="G76" i="180" s="1"/>
  <c r="J89" i="160"/>
  <c r="M89" i="160" s="1"/>
  <c r="J22" i="161"/>
  <c r="J23" i="161" s="1"/>
  <c r="G345" i="180" s="1"/>
  <c r="J26" i="158"/>
  <c r="G72" i="180" s="1"/>
  <c r="J40" i="158"/>
  <c r="G81" i="180" s="1"/>
  <c r="J20" i="158"/>
  <c r="S20" i="158" s="1"/>
  <c r="J46" i="158"/>
  <c r="G74" i="180" s="1"/>
  <c r="J22" i="160"/>
  <c r="G127" i="180" s="1"/>
  <c r="J21" i="160"/>
  <c r="G126" i="180" s="1"/>
  <c r="J40" i="161"/>
  <c r="G350" i="180" s="1"/>
  <c r="J20" i="159"/>
  <c r="J43" i="161"/>
  <c r="J64" i="161" s="1"/>
  <c r="G351" i="180" s="1"/>
  <c r="H67" i="161"/>
  <c r="J67" i="161" s="1"/>
  <c r="J97" i="161"/>
  <c r="J99" i="161"/>
  <c r="F62" i="158"/>
  <c r="I62" i="158" s="1"/>
  <c r="J62" i="158" s="1"/>
  <c r="J63" i="158" s="1"/>
  <c r="G79" i="180" s="1"/>
  <c r="J22" i="157"/>
  <c r="J24" i="157" s="1"/>
  <c r="G53" i="180" s="1"/>
  <c r="M79" i="160" l="1"/>
  <c r="D353" i="176"/>
  <c r="S15" i="158"/>
  <c r="G67" i="180"/>
  <c r="M28" i="157"/>
  <c r="G59" i="180"/>
  <c r="G112" i="180"/>
  <c r="G107" i="180"/>
  <c r="J71" i="158"/>
  <c r="M14" i="159"/>
  <c r="M15" i="158"/>
  <c r="M59" i="158"/>
  <c r="S59" i="158"/>
  <c r="D340" i="176"/>
  <c r="D376" i="172"/>
  <c r="J376" i="172" s="1"/>
  <c r="M33" i="161"/>
  <c r="D387" i="172"/>
  <c r="J387" i="172" s="1"/>
  <c r="D351" i="176"/>
  <c r="D357" i="176"/>
  <c r="D393" i="172"/>
  <c r="J393" i="172" s="1"/>
  <c r="D105" i="176"/>
  <c r="D110" i="176" s="1"/>
  <c r="D125" i="172"/>
  <c r="D81" i="176"/>
  <c r="D101" i="172"/>
  <c r="J101" i="172" s="1"/>
  <c r="D69" i="172"/>
  <c r="J69" i="172" s="1"/>
  <c r="D48" i="176"/>
  <c r="D155" i="172"/>
  <c r="J155" i="172" s="1"/>
  <c r="D135" i="176"/>
  <c r="J20" i="157"/>
  <c r="J19" i="157"/>
  <c r="D59" i="176"/>
  <c r="D80" i="172"/>
  <c r="J80" i="172" s="1"/>
  <c r="D123" i="176"/>
  <c r="D143" i="172"/>
  <c r="J143" i="172" s="1"/>
  <c r="D337" i="176"/>
  <c r="D373" i="172"/>
  <c r="J373" i="172" s="1"/>
  <c r="D53" i="176"/>
  <c r="D74" i="172"/>
  <c r="J74" i="172" s="1"/>
  <c r="D378" i="172"/>
  <c r="J378" i="172" s="1"/>
  <c r="D342" i="176"/>
  <c r="D96" i="172"/>
  <c r="J96" i="172" s="1"/>
  <c r="D76" i="176"/>
  <c r="D132" i="172"/>
  <c r="J132" i="172" s="1"/>
  <c r="D112" i="176"/>
  <c r="D117" i="172"/>
  <c r="J117" i="172" s="1"/>
  <c r="D97" i="176"/>
  <c r="J683" i="172"/>
  <c r="D87" i="172"/>
  <c r="J87" i="172" s="1"/>
  <c r="D67" i="176"/>
  <c r="D63" i="176"/>
  <c r="D83" i="172"/>
  <c r="J83" i="172" s="1"/>
  <c r="D74" i="176"/>
  <c r="D94" i="172"/>
  <c r="J94" i="172" s="1"/>
  <c r="D343" i="176"/>
  <c r="D379" i="172"/>
  <c r="J379" i="172" s="1"/>
  <c r="D151" i="172"/>
  <c r="J151" i="172" s="1"/>
  <c r="D131" i="176"/>
  <c r="D128" i="176"/>
  <c r="D148" i="172"/>
  <c r="J148" i="172" s="1"/>
  <c r="D79" i="176"/>
  <c r="D99" i="172"/>
  <c r="J99" i="172" s="1"/>
  <c r="J74" i="160"/>
  <c r="J75" i="160" s="1"/>
  <c r="D335" i="176"/>
  <c r="D371" i="172"/>
  <c r="J371" i="172" s="1"/>
  <c r="D108" i="176"/>
  <c r="D128" i="172"/>
  <c r="J128" i="172" s="1"/>
  <c r="D104" i="176"/>
  <c r="D124" i="172"/>
  <c r="J124" i="172" s="1"/>
  <c r="M32" i="157"/>
  <c r="M88" i="158"/>
  <c r="D107" i="172"/>
  <c r="J107" i="172" s="1"/>
  <c r="D87" i="176"/>
  <c r="M106" i="161"/>
  <c r="D140" i="172"/>
  <c r="J140" i="172" s="1"/>
  <c r="D120" i="176"/>
  <c r="D72" i="176"/>
  <c r="D92" i="172"/>
  <c r="J92" i="172" s="1"/>
  <c r="D127" i="176"/>
  <c r="D147" i="172"/>
  <c r="J147" i="172" s="1"/>
  <c r="D125" i="176"/>
  <c r="D145" i="172"/>
  <c r="J145" i="172" s="1"/>
  <c r="D122" i="176"/>
  <c r="D142" i="172"/>
  <c r="J142" i="172" s="1"/>
  <c r="D102" i="176"/>
  <c r="D122" i="172"/>
  <c r="J122" i="172" s="1"/>
  <c r="D95" i="172"/>
  <c r="J95" i="172" s="1"/>
  <c r="D75" i="176"/>
  <c r="J111" i="161"/>
  <c r="J112" i="161" s="1"/>
  <c r="G363" i="180" s="1"/>
  <c r="J22" i="158"/>
  <c r="G70" i="180" s="1"/>
  <c r="M58" i="159"/>
  <c r="J91" i="161"/>
  <c r="J64" i="159"/>
  <c r="J65" i="159" s="1"/>
  <c r="M65" i="159" s="1"/>
  <c r="M50" i="160"/>
  <c r="S55" i="158"/>
  <c r="M14" i="157"/>
  <c r="M40" i="161"/>
  <c r="M15" i="161"/>
  <c r="M38" i="159"/>
  <c r="M27" i="159"/>
  <c r="M43" i="159"/>
  <c r="M23" i="161"/>
  <c r="M69" i="159"/>
  <c r="M27" i="160"/>
  <c r="M24" i="157"/>
  <c r="M32" i="160"/>
  <c r="J21" i="158"/>
  <c r="G69" i="180" s="1"/>
  <c r="M72" i="160"/>
  <c r="M40" i="158"/>
  <c r="M26" i="158"/>
  <c r="J73" i="158"/>
  <c r="M55" i="158"/>
  <c r="M64" i="161"/>
  <c r="J94" i="161"/>
  <c r="J95" i="161" s="1"/>
  <c r="G355" i="180" s="1"/>
  <c r="S46" i="158"/>
  <c r="M46" i="158"/>
  <c r="J24" i="161"/>
  <c r="G346" i="180" s="1"/>
  <c r="J101" i="161"/>
  <c r="G357" i="180" s="1"/>
  <c r="J22" i="159"/>
  <c r="G102" i="180" s="1"/>
  <c r="J21" i="159"/>
  <c r="G101" i="180" s="1"/>
  <c r="G121" i="180" s="1"/>
  <c r="D17" i="177" s="1"/>
  <c r="J74" i="158" l="1"/>
  <c r="G77" i="180"/>
  <c r="M91" i="161"/>
  <c r="G353" i="180"/>
  <c r="M20" i="157"/>
  <c r="G51" i="180"/>
  <c r="M75" i="160"/>
  <c r="M91" i="160" s="1"/>
  <c r="M100" i="160" s="1"/>
  <c r="G137" i="180"/>
  <c r="G146" i="180" s="1"/>
  <c r="D18" i="177" s="1"/>
  <c r="M19" i="157"/>
  <c r="G50" i="180"/>
  <c r="G64" i="180" s="1"/>
  <c r="D15" i="177" s="1"/>
  <c r="D97" i="172"/>
  <c r="J97" i="172" s="1"/>
  <c r="D77" i="176"/>
  <c r="M22" i="158"/>
  <c r="M21" i="158"/>
  <c r="D89" i="172"/>
  <c r="J89" i="172" s="1"/>
  <c r="D69" i="176"/>
  <c r="D383" i="172"/>
  <c r="J383" i="172" s="1"/>
  <c r="D347" i="176"/>
  <c r="D153" i="172"/>
  <c r="J153" i="172" s="1"/>
  <c r="J160" i="172" s="1"/>
  <c r="D133" i="176"/>
  <c r="D345" i="176"/>
  <c r="D381" i="172"/>
  <c r="J381" i="172" s="1"/>
  <c r="D50" i="176"/>
  <c r="D71" i="172"/>
  <c r="J71" i="172" s="1"/>
  <c r="D130" i="172"/>
  <c r="J130" i="172" s="1"/>
  <c r="J125" i="172"/>
  <c r="D51" i="176"/>
  <c r="D72" i="172"/>
  <c r="J72" i="172" s="1"/>
  <c r="D374" i="172"/>
  <c r="J374" i="172" s="1"/>
  <c r="D338" i="176"/>
  <c r="D119" i="172"/>
  <c r="J119" i="172" s="1"/>
  <c r="D99" i="176"/>
  <c r="D100" i="176"/>
  <c r="D120" i="172"/>
  <c r="J120" i="172" s="1"/>
  <c r="D90" i="172"/>
  <c r="J90" i="172" s="1"/>
  <c r="D70" i="176"/>
  <c r="D385" i="172"/>
  <c r="J385" i="172" s="1"/>
  <c r="D349" i="176"/>
  <c r="D355" i="176"/>
  <c r="D391" i="172"/>
  <c r="J391" i="172" s="1"/>
  <c r="M24" i="161"/>
  <c r="J75" i="158"/>
  <c r="G83" i="180" s="1"/>
  <c r="G96" i="180" s="1"/>
  <c r="D16" i="177" s="1"/>
  <c r="M95" i="161"/>
  <c r="M22" i="159"/>
  <c r="M101" i="161"/>
  <c r="M21" i="159"/>
  <c r="M33" i="157"/>
  <c r="J137" i="172" l="1"/>
  <c r="K137" i="172" s="1"/>
  <c r="J84" i="172"/>
  <c r="K84" i="172" s="1"/>
  <c r="J399" i="172"/>
  <c r="D103" i="172"/>
  <c r="J103" i="172" s="1"/>
  <c r="J114" i="172" s="1"/>
  <c r="K114" i="172" s="1"/>
  <c r="D83" i="176"/>
  <c r="M88" i="159"/>
  <c r="M127" i="161"/>
  <c r="M75" i="158"/>
  <c r="M89" i="158" s="1"/>
  <c r="S75" i="158"/>
  <c r="S77" i="158" s="1"/>
  <c r="K7" i="156"/>
  <c r="J11" i="156"/>
  <c r="J12" i="156" s="1"/>
  <c r="G377" i="180" s="1"/>
  <c r="E14" i="156"/>
  <c r="J14" i="156" s="1"/>
  <c r="H15" i="156"/>
  <c r="J15" i="156" s="1"/>
  <c r="H16" i="156"/>
  <c r="J16" i="156" s="1"/>
  <c r="H17" i="156"/>
  <c r="J17" i="156" s="1"/>
  <c r="H18" i="156"/>
  <c r="J18" i="156" s="1"/>
  <c r="H19" i="156"/>
  <c r="J19" i="156" s="1"/>
  <c r="H20" i="156"/>
  <c r="J20" i="156" s="1"/>
  <c r="E25" i="156"/>
  <c r="J25" i="156" s="1"/>
  <c r="H26" i="156"/>
  <c r="J26" i="156" s="1"/>
  <c r="H27" i="156"/>
  <c r="J27" i="156" s="1"/>
  <c r="H28" i="156"/>
  <c r="J28" i="156" s="1"/>
  <c r="H29" i="156"/>
  <c r="J29" i="156" s="1"/>
  <c r="H30" i="156"/>
  <c r="J30" i="156" s="1"/>
  <c r="H31" i="156"/>
  <c r="J31" i="156" s="1"/>
  <c r="J34" i="156"/>
  <c r="M35" i="156"/>
  <c r="J38" i="156"/>
  <c r="J39" i="156"/>
  <c r="E43" i="156"/>
  <c r="J43" i="156" s="1"/>
  <c r="J45" i="156"/>
  <c r="J46" i="156"/>
  <c r="J50" i="156"/>
  <c r="J51" i="156" s="1"/>
  <c r="G388" i="180" s="1"/>
  <c r="J55" i="156"/>
  <c r="J56" i="156"/>
  <c r="J57" i="156"/>
  <c r="J64" i="156"/>
  <c r="J65" i="156"/>
  <c r="J66" i="156"/>
  <c r="J69" i="156"/>
  <c r="J70" i="156" s="1"/>
  <c r="J72" i="156"/>
  <c r="J73" i="156" s="1"/>
  <c r="M73" i="156" s="1"/>
  <c r="K7" i="155"/>
  <c r="J12" i="155"/>
  <c r="J15" i="155"/>
  <c r="J16" i="155"/>
  <c r="J17" i="155"/>
  <c r="J22" i="155"/>
  <c r="J23" i="155"/>
  <c r="F26" i="155"/>
  <c r="H26" i="155" s="1"/>
  <c r="J26" i="155" s="1"/>
  <c r="J27" i="155"/>
  <c r="F28" i="155"/>
  <c r="H28" i="155" s="1"/>
  <c r="J28" i="155" s="1"/>
  <c r="F29" i="155"/>
  <c r="H29" i="155" s="1"/>
  <c r="J29" i="155" s="1"/>
  <c r="H32" i="155"/>
  <c r="J32" i="155" s="1"/>
  <c r="H33" i="155"/>
  <c r="J33" i="155" s="1"/>
  <c r="H34" i="155"/>
  <c r="J34" i="155" s="1"/>
  <c r="J35" i="155"/>
  <c r="J36" i="155"/>
  <c r="J37" i="155"/>
  <c r="J39" i="155"/>
  <c r="J40" i="155"/>
  <c r="J43" i="155"/>
  <c r="J44" i="155" s="1"/>
  <c r="G329" i="180" s="1"/>
  <c r="J47" i="155"/>
  <c r="H48" i="155"/>
  <c r="J48" i="155" s="1"/>
  <c r="J49" i="155"/>
  <c r="H50" i="155"/>
  <c r="J50" i="155"/>
  <c r="G52" i="155"/>
  <c r="I52" i="155"/>
  <c r="E53" i="155"/>
  <c r="J53" i="155" s="1"/>
  <c r="H59" i="155"/>
  <c r="J59" i="155" s="1"/>
  <c r="H60" i="155"/>
  <c r="J60" i="155" s="1"/>
  <c r="H61" i="155"/>
  <c r="J61" i="155" s="1"/>
  <c r="J64" i="155"/>
  <c r="J65" i="155" s="1"/>
  <c r="G337" i="180" s="1"/>
  <c r="J67" i="155"/>
  <c r="J68" i="155" s="1"/>
  <c r="G338" i="180" s="1"/>
  <c r="J70" i="155"/>
  <c r="J71" i="155" s="1"/>
  <c r="G339" i="180" s="1"/>
  <c r="E79" i="154"/>
  <c r="E83" i="154" s="1"/>
  <c r="J83" i="154" s="1"/>
  <c r="J85" i="154" s="1"/>
  <c r="G314" i="180" s="1"/>
  <c r="J76" i="154"/>
  <c r="J77" i="154" s="1"/>
  <c r="G312" i="180" s="1"/>
  <c r="A75" i="154"/>
  <c r="A79" i="154" s="1"/>
  <c r="A83" i="154" s="1"/>
  <c r="I72" i="154"/>
  <c r="J72" i="154" s="1"/>
  <c r="J73" i="154" s="1"/>
  <c r="I69" i="154"/>
  <c r="J69" i="154" s="1"/>
  <c r="J70" i="154" s="1"/>
  <c r="G310" i="180" s="1"/>
  <c r="E63" i="154"/>
  <c r="J63" i="154" s="1"/>
  <c r="I62" i="154"/>
  <c r="J62" i="154" s="1"/>
  <c r="J61" i="154"/>
  <c r="J59" i="154"/>
  <c r="I58" i="154"/>
  <c r="J58" i="154" s="1"/>
  <c r="I57" i="154"/>
  <c r="J57" i="154" s="1"/>
  <c r="I56" i="154"/>
  <c r="J56" i="154" s="1"/>
  <c r="J55" i="154"/>
  <c r="J53" i="154"/>
  <c r="I50" i="154"/>
  <c r="J50" i="154" s="1"/>
  <c r="I49" i="154"/>
  <c r="J49" i="154" s="1"/>
  <c r="I48" i="154"/>
  <c r="J48" i="154" s="1"/>
  <c r="H45" i="154"/>
  <c r="I45" i="154" s="1"/>
  <c r="J45" i="154" s="1"/>
  <c r="J43" i="154"/>
  <c r="I41" i="154"/>
  <c r="J41" i="154" s="1"/>
  <c r="F40" i="154"/>
  <c r="I40" i="154" s="1"/>
  <c r="J40" i="154" s="1"/>
  <c r="J39" i="154"/>
  <c r="J38" i="154"/>
  <c r="J37" i="154"/>
  <c r="I36" i="154"/>
  <c r="J36" i="154" s="1"/>
  <c r="I35" i="154"/>
  <c r="J35" i="154" s="1"/>
  <c r="J33" i="154"/>
  <c r="I32" i="154"/>
  <c r="J32" i="154" s="1"/>
  <c r="J28" i="154"/>
  <c r="I27" i="154"/>
  <c r="J27" i="154" s="1"/>
  <c r="I26" i="154"/>
  <c r="J26" i="154" s="1"/>
  <c r="J25" i="154"/>
  <c r="J20" i="154"/>
  <c r="J19" i="154"/>
  <c r="J18" i="154"/>
  <c r="J17" i="154"/>
  <c r="A16" i="154"/>
  <c r="J13" i="154"/>
  <c r="J12" i="154"/>
  <c r="J14" i="154" s="1"/>
  <c r="G296" i="180" s="1"/>
  <c r="K7" i="154"/>
  <c r="J13" i="155" l="1"/>
  <c r="M13" i="155" s="1"/>
  <c r="G320" i="180"/>
  <c r="J52" i="155"/>
  <c r="J54" i="155" s="1"/>
  <c r="G331" i="180" s="1"/>
  <c r="J40" i="156"/>
  <c r="G385" i="180" s="1"/>
  <c r="D368" i="176"/>
  <c r="D404" i="172"/>
  <c r="J404" i="172" s="1"/>
  <c r="M12" i="156"/>
  <c r="D342" i="172"/>
  <c r="J342" i="172" s="1"/>
  <c r="D306" i="176"/>
  <c r="D348" i="172"/>
  <c r="J348" i="172" s="1"/>
  <c r="D312" i="176"/>
  <c r="D344" i="172"/>
  <c r="J344" i="172" s="1"/>
  <c r="D308" i="176"/>
  <c r="D331" i="176"/>
  <c r="D367" i="172"/>
  <c r="J367" i="172" s="1"/>
  <c r="D357" i="172"/>
  <c r="J357" i="172" s="1"/>
  <c r="D321" i="176"/>
  <c r="D326" i="172"/>
  <c r="J326" i="172" s="1"/>
  <c r="D290" i="176"/>
  <c r="D330" i="176"/>
  <c r="D366" i="172"/>
  <c r="J366" i="172" s="1"/>
  <c r="D379" i="176"/>
  <c r="D415" i="172"/>
  <c r="J415" i="172" s="1"/>
  <c r="J21" i="154"/>
  <c r="J23" i="154" s="1"/>
  <c r="G298" i="180" s="1"/>
  <c r="D340" i="172"/>
  <c r="J340" i="172" s="1"/>
  <c r="D304" i="176"/>
  <c r="D329" i="176"/>
  <c r="D365" i="172"/>
  <c r="J365" i="172" s="1"/>
  <c r="J48" i="156"/>
  <c r="M68" i="155"/>
  <c r="J51" i="154"/>
  <c r="G305" i="180" s="1"/>
  <c r="J64" i="154"/>
  <c r="G306" i="180" s="1"/>
  <c r="M85" i="154"/>
  <c r="J41" i="155"/>
  <c r="G328" i="180" s="1"/>
  <c r="J58" i="156"/>
  <c r="G390" i="180" s="1"/>
  <c r="M77" i="154"/>
  <c r="J62" i="155"/>
  <c r="G335" i="180" s="1"/>
  <c r="M51" i="156"/>
  <c r="M40" i="156"/>
  <c r="J24" i="155"/>
  <c r="G325" i="180" s="1"/>
  <c r="M71" i="155"/>
  <c r="J46" i="154"/>
  <c r="G303" i="180" s="1"/>
  <c r="J18" i="155"/>
  <c r="M70" i="154"/>
  <c r="M14" i="154"/>
  <c r="J29" i="154"/>
  <c r="G301" i="180" s="1"/>
  <c r="M65" i="155"/>
  <c r="M44" i="155"/>
  <c r="J67" i="156"/>
  <c r="G394" i="180" s="1"/>
  <c r="J32" i="156"/>
  <c r="G382" i="180" s="1"/>
  <c r="J21" i="156"/>
  <c r="J30" i="155"/>
  <c r="G327" i="180" s="1"/>
  <c r="J79" i="154"/>
  <c r="J81" i="154" s="1"/>
  <c r="G313" i="180" s="1"/>
  <c r="J22" i="154" l="1"/>
  <c r="G299" i="180" s="1"/>
  <c r="M48" i="156"/>
  <c r="G386" i="180"/>
  <c r="D376" i="176"/>
  <c r="D412" i="172"/>
  <c r="J412" i="172" s="1"/>
  <c r="J60" i="156"/>
  <c r="J61" i="156" s="1"/>
  <c r="G392" i="180" s="1"/>
  <c r="D317" i="176"/>
  <c r="D353" i="172"/>
  <c r="J353" i="172" s="1"/>
  <c r="D381" i="176"/>
  <c r="D417" i="172"/>
  <c r="J417" i="172" s="1"/>
  <c r="D413" i="172"/>
  <c r="J413" i="172" s="1"/>
  <c r="D377" i="176"/>
  <c r="D373" i="176"/>
  <c r="D409" i="172"/>
  <c r="J409" i="172" s="1"/>
  <c r="D359" i="172"/>
  <c r="J359" i="172" s="1"/>
  <c r="D323" i="176"/>
  <c r="D320" i="176"/>
  <c r="D356" i="172"/>
  <c r="J356" i="172" s="1"/>
  <c r="D385" i="176"/>
  <c r="D421" i="172"/>
  <c r="J421" i="172" s="1"/>
  <c r="D329" i="172"/>
  <c r="J329" i="172" s="1"/>
  <c r="D293" i="176"/>
  <c r="D331" i="172"/>
  <c r="J331" i="172" s="1"/>
  <c r="D295" i="176"/>
  <c r="D343" i="172"/>
  <c r="J343" i="172" s="1"/>
  <c r="D307" i="176"/>
  <c r="D328" i="172"/>
  <c r="J328" i="172" s="1"/>
  <c r="D292" i="176"/>
  <c r="D300" i="176"/>
  <c r="D336" i="172"/>
  <c r="J336" i="172" s="1"/>
  <c r="D319" i="176"/>
  <c r="D355" i="172"/>
  <c r="J355" i="172" s="1"/>
  <c r="D297" i="176"/>
  <c r="D333" i="172"/>
  <c r="J333" i="172" s="1"/>
  <c r="D363" i="172"/>
  <c r="J363" i="172" s="1"/>
  <c r="D327" i="176"/>
  <c r="D299" i="176"/>
  <c r="D335" i="172"/>
  <c r="J335" i="172" s="1"/>
  <c r="M22" i="154"/>
  <c r="M23" i="154"/>
  <c r="M54" i="155"/>
  <c r="M30" i="155"/>
  <c r="M41" i="155"/>
  <c r="M51" i="154"/>
  <c r="M24" i="155"/>
  <c r="M67" i="156"/>
  <c r="J56" i="155"/>
  <c r="J57" i="155" s="1"/>
  <c r="G333" i="180" s="1"/>
  <c r="M46" i="154"/>
  <c r="M29" i="154"/>
  <c r="M58" i="156"/>
  <c r="J20" i="155"/>
  <c r="G323" i="180" s="1"/>
  <c r="J19" i="155"/>
  <c r="G322" i="180" s="1"/>
  <c r="M81" i="154"/>
  <c r="M62" i="155"/>
  <c r="M64" i="154"/>
  <c r="J66" i="154"/>
  <c r="J67" i="154" s="1"/>
  <c r="G308" i="180" s="1"/>
  <c r="M32" i="156"/>
  <c r="J22" i="156"/>
  <c r="G379" i="180" s="1"/>
  <c r="J23" i="156"/>
  <c r="G380" i="180" s="1"/>
  <c r="G340" i="180" l="1"/>
  <c r="D29" i="177" s="1"/>
  <c r="G396" i="180"/>
  <c r="D33" i="177" s="1"/>
  <c r="G317" i="180"/>
  <c r="D28" i="177" s="1"/>
  <c r="D383" i="176"/>
  <c r="M61" i="156"/>
  <c r="D419" i="172"/>
  <c r="J419" i="172" s="1"/>
  <c r="D315" i="176"/>
  <c r="D351" i="172"/>
  <c r="J351" i="172" s="1"/>
  <c r="D371" i="176"/>
  <c r="D407" i="172"/>
  <c r="J407" i="172" s="1"/>
  <c r="D302" i="176"/>
  <c r="D338" i="172"/>
  <c r="J338" i="172" s="1"/>
  <c r="J345" i="172" s="1"/>
  <c r="D370" i="176"/>
  <c r="D406" i="172"/>
  <c r="J406" i="172" s="1"/>
  <c r="D350" i="172"/>
  <c r="J350" i="172" s="1"/>
  <c r="D314" i="176"/>
  <c r="D361" i="172"/>
  <c r="J361" i="172" s="1"/>
  <c r="D325" i="176"/>
  <c r="M23" i="156"/>
  <c r="M67" i="154"/>
  <c r="M86" i="154" s="1"/>
  <c r="M22" i="156"/>
  <c r="M75" i="156" s="1"/>
  <c r="M57" i="155"/>
  <c r="M73" i="155" s="1"/>
  <c r="J368" i="172" l="1"/>
  <c r="J422" i="172"/>
  <c r="K7" i="153"/>
  <c r="J13" i="153"/>
  <c r="G264" i="180" s="1"/>
  <c r="A16" i="153"/>
  <c r="J17" i="153"/>
  <c r="J18" i="153" s="1"/>
  <c r="S18" i="153" s="1"/>
  <c r="F22" i="153"/>
  <c r="J22" i="153" s="1"/>
  <c r="G269" i="180" s="1"/>
  <c r="I27" i="153"/>
  <c r="J27" i="153" s="1"/>
  <c r="J28" i="153"/>
  <c r="J31" i="153"/>
  <c r="I33" i="153"/>
  <c r="J33" i="153" s="1"/>
  <c r="J34" i="153"/>
  <c r="J35" i="153"/>
  <c r="I48" i="153"/>
  <c r="J48" i="153" s="1"/>
  <c r="G273" i="180" s="1"/>
  <c r="J51" i="153"/>
  <c r="J52" i="153"/>
  <c r="J53" i="153"/>
  <c r="G277" i="180" s="1"/>
  <c r="A55" i="153"/>
  <c r="A64" i="153" s="1"/>
  <c r="A68" i="153" s="1"/>
  <c r="A75" i="153" s="1"/>
  <c r="J56" i="153"/>
  <c r="J57" i="153"/>
  <c r="J58" i="153"/>
  <c r="J59" i="153"/>
  <c r="J60" i="153"/>
  <c r="J61" i="153"/>
  <c r="F69" i="153"/>
  <c r="F65" i="153" s="1"/>
  <c r="I65" i="153" s="1"/>
  <c r="F70" i="153"/>
  <c r="F66" i="153" s="1"/>
  <c r="I66" i="153" s="1"/>
  <c r="J66" i="153" s="1"/>
  <c r="F71" i="153"/>
  <c r="I71" i="153" s="1"/>
  <c r="J71" i="153" s="1"/>
  <c r="F72" i="153"/>
  <c r="I72" i="153"/>
  <c r="J72" i="153" s="1"/>
  <c r="I73" i="153"/>
  <c r="J73" i="153" s="1"/>
  <c r="A80" i="153"/>
  <c r="A84" i="153" s="1"/>
  <c r="A88" i="153" s="1"/>
  <c r="J81" i="153"/>
  <c r="J82" i="153" s="1"/>
  <c r="G285" i="180" s="1"/>
  <c r="E84" i="153"/>
  <c r="J84" i="153" s="1"/>
  <c r="J86" i="153" s="1"/>
  <c r="G286" i="180" s="1"/>
  <c r="R84" i="153"/>
  <c r="R86" i="153"/>
  <c r="J88" i="153"/>
  <c r="J90" i="153" s="1"/>
  <c r="G287" i="180" s="1"/>
  <c r="G276" i="180" l="1"/>
  <c r="I70" i="153"/>
  <c r="J70" i="153" s="1"/>
  <c r="D316" i="172"/>
  <c r="J316" i="172" s="1"/>
  <c r="D280" i="176"/>
  <c r="D270" i="176"/>
  <c r="D306" i="172"/>
  <c r="J306" i="172" s="1"/>
  <c r="D263" i="176"/>
  <c r="D299" i="172"/>
  <c r="J299" i="172" s="1"/>
  <c r="J45" i="153"/>
  <c r="G271" i="180" s="1"/>
  <c r="D303" i="172"/>
  <c r="J303" i="172" s="1"/>
  <c r="D267" i="176"/>
  <c r="D294" i="172"/>
  <c r="J294" i="172" s="1"/>
  <c r="D258" i="176"/>
  <c r="D281" i="176"/>
  <c r="D317" i="172"/>
  <c r="J317" i="172" s="1"/>
  <c r="D307" i="172"/>
  <c r="J307" i="172" s="1"/>
  <c r="D271" i="176"/>
  <c r="D279" i="176"/>
  <c r="D315" i="172"/>
  <c r="J315" i="172" s="1"/>
  <c r="I69" i="153"/>
  <c r="J69" i="153" s="1"/>
  <c r="J65" i="153"/>
  <c r="J49" i="153"/>
  <c r="M49" i="153" s="1"/>
  <c r="J23" i="153"/>
  <c r="M23" i="153" s="1"/>
  <c r="M86" i="153"/>
  <c r="M82" i="153"/>
  <c r="J15" i="153"/>
  <c r="M15" i="153" s="1"/>
  <c r="M90" i="153"/>
  <c r="J63" i="153"/>
  <c r="G274" i="180" s="1"/>
  <c r="J54" i="153"/>
  <c r="M54" i="153" s="1"/>
  <c r="J20" i="153"/>
  <c r="G267" i="180" s="1"/>
  <c r="J19" i="153"/>
  <c r="G266" i="180" s="1"/>
  <c r="J67" i="153" l="1"/>
  <c r="G281" i="180" s="1"/>
  <c r="D301" i="172"/>
  <c r="J301" i="172" s="1"/>
  <c r="D265" i="176"/>
  <c r="M45" i="153"/>
  <c r="D261" i="176"/>
  <c r="D297" i="172"/>
  <c r="J297" i="172" s="1"/>
  <c r="S15" i="153"/>
  <c r="D260" i="176"/>
  <c r="D296" i="172"/>
  <c r="J296" i="172" s="1"/>
  <c r="D268" i="176"/>
  <c r="D304" i="172"/>
  <c r="J304" i="172" s="1"/>
  <c r="S63" i="153"/>
  <c r="M63" i="153"/>
  <c r="J74" i="153"/>
  <c r="S49" i="153"/>
  <c r="S67" i="153"/>
  <c r="M19" i="153"/>
  <c r="M20" i="153"/>
  <c r="J76" i="153"/>
  <c r="J77" i="153" s="1"/>
  <c r="G283" i="180" s="1"/>
  <c r="S54" i="153"/>
  <c r="G279" i="180" l="1"/>
  <c r="G293" i="180" s="1"/>
  <c r="D27" i="177" s="1"/>
  <c r="D309" i="172"/>
  <c r="J309" i="172" s="1"/>
  <c r="D273" i="176"/>
  <c r="D275" i="176"/>
  <c r="D311" i="172"/>
  <c r="J311" i="172" s="1"/>
  <c r="M67" i="153"/>
  <c r="D277" i="176"/>
  <c r="D313" i="172"/>
  <c r="J313" i="172" s="1"/>
  <c r="S77" i="153"/>
  <c r="S79" i="153" s="1"/>
  <c r="M77" i="153"/>
  <c r="M91" i="153" s="1"/>
  <c r="H22" i="143"/>
  <c r="J323" i="172" l="1"/>
  <c r="J23" i="146"/>
  <c r="I26" i="146"/>
  <c r="H26" i="146"/>
  <c r="G26" i="146"/>
  <c r="F26" i="146"/>
  <c r="E193" i="152" l="1"/>
  <c r="G365" i="180" l="1"/>
  <c r="G371" i="180" s="1"/>
  <c r="D30" i="177" s="1"/>
  <c r="I18" i="96"/>
  <c r="K18" i="96" s="1"/>
  <c r="I17" i="96"/>
  <c r="K17" i="96" s="1"/>
  <c r="I36" i="96" l="1"/>
  <c r="I15" i="96"/>
  <c r="K15" i="96" s="1"/>
  <c r="M32" i="147" l="1"/>
  <c r="J27" i="147"/>
  <c r="J29" i="147" s="1"/>
  <c r="G239" i="180" s="1"/>
  <c r="H24" i="147"/>
  <c r="J24" i="147" s="1"/>
  <c r="J25" i="147" s="1"/>
  <c r="G238" i="180" s="1"/>
  <c r="J14" i="147"/>
  <c r="J13" i="147"/>
  <c r="H10" i="147"/>
  <c r="J10" i="147" s="1"/>
  <c r="J11" i="147" s="1"/>
  <c r="G234" i="180" s="1"/>
  <c r="J7" i="147"/>
  <c r="C48" i="146"/>
  <c r="N36" i="146"/>
  <c r="I36" i="146"/>
  <c r="J36" i="146" s="1"/>
  <c r="G167" i="180" s="1"/>
  <c r="H32" i="146"/>
  <c r="G32" i="146"/>
  <c r="F32" i="146"/>
  <c r="E32" i="146"/>
  <c r="D32" i="146"/>
  <c r="H31" i="146"/>
  <c r="H33" i="146" s="1"/>
  <c r="G31" i="146"/>
  <c r="G33" i="146" s="1"/>
  <c r="F31" i="146"/>
  <c r="F33" i="146" s="1"/>
  <c r="E31" i="146"/>
  <c r="E33" i="146" s="1"/>
  <c r="D31" i="146"/>
  <c r="M26" i="146"/>
  <c r="J26" i="146"/>
  <c r="M31" i="146" s="1"/>
  <c r="R25" i="146"/>
  <c r="I25" i="146"/>
  <c r="H25" i="146"/>
  <c r="G25" i="146"/>
  <c r="F25" i="146"/>
  <c r="E25" i="146"/>
  <c r="D25" i="146"/>
  <c r="I39" i="146"/>
  <c r="I40" i="146" s="1"/>
  <c r="J22" i="146"/>
  <c r="J21" i="146"/>
  <c r="H39" i="146" s="1"/>
  <c r="H40" i="146" s="1"/>
  <c r="J20" i="146"/>
  <c r="G39" i="146" s="1"/>
  <c r="G40" i="146" s="1"/>
  <c r="J19" i="146"/>
  <c r="F38" i="146" s="1"/>
  <c r="J18" i="146"/>
  <c r="E39" i="146" s="1"/>
  <c r="E40" i="146" s="1"/>
  <c r="J17" i="146"/>
  <c r="D39" i="146" s="1"/>
  <c r="J7" i="146"/>
  <c r="Q5" i="146"/>
  <c r="H34" i="145"/>
  <c r="E33" i="145"/>
  <c r="Q32" i="145"/>
  <c r="Q25" i="145"/>
  <c r="H25" i="145"/>
  <c r="J25" i="145" s="1"/>
  <c r="D25" i="145"/>
  <c r="E21" i="145"/>
  <c r="I15" i="145"/>
  <c r="R14" i="145"/>
  <c r="A14" i="145"/>
  <c r="J12" i="145"/>
  <c r="J13" i="145" s="1"/>
  <c r="G179" i="180" s="1"/>
  <c r="K7" i="145"/>
  <c r="M47" i="144"/>
  <c r="J39" i="144"/>
  <c r="J38" i="144"/>
  <c r="J37" i="144"/>
  <c r="J32" i="144"/>
  <c r="J34" i="144" s="1"/>
  <c r="H29" i="144"/>
  <c r="J29" i="144" s="1"/>
  <c r="J30" i="144" s="1"/>
  <c r="J26" i="144"/>
  <c r="J27" i="144" s="1"/>
  <c r="G221" i="180" s="1"/>
  <c r="G231" i="180" s="1"/>
  <c r="D22" i="177" s="1"/>
  <c r="J23" i="144"/>
  <c r="J24" i="144" s="1"/>
  <c r="J19" i="144"/>
  <c r="J20" i="144" s="1"/>
  <c r="J13" i="144"/>
  <c r="J14" i="144" s="1"/>
  <c r="J16" i="144" s="1"/>
  <c r="F10" i="144"/>
  <c r="H10" i="144" s="1"/>
  <c r="J10" i="144" s="1"/>
  <c r="J11" i="144" s="1"/>
  <c r="J7" i="144"/>
  <c r="H35" i="143"/>
  <c r="J35" i="143" s="1"/>
  <c r="M34" i="143"/>
  <c r="E34" i="143"/>
  <c r="Q33" i="143"/>
  <c r="M33" i="143"/>
  <c r="M30" i="143"/>
  <c r="M29" i="143"/>
  <c r="Q26" i="143"/>
  <c r="H26" i="143"/>
  <c r="J26" i="143" s="1"/>
  <c r="D26" i="143"/>
  <c r="M25" i="143"/>
  <c r="M24" i="143"/>
  <c r="E21" i="143"/>
  <c r="M20" i="143"/>
  <c r="M19" i="143"/>
  <c r="I15" i="143"/>
  <c r="J15" i="143" s="1"/>
  <c r="R14" i="143"/>
  <c r="M14" i="143"/>
  <c r="A14" i="143"/>
  <c r="J12" i="143"/>
  <c r="J13" i="143" s="1"/>
  <c r="G196" i="180" s="1"/>
  <c r="K7" i="143"/>
  <c r="D252" i="172" l="1"/>
  <c r="J252" i="172" s="1"/>
  <c r="D232" i="176"/>
  <c r="D181" i="172"/>
  <c r="J181" i="172" s="1"/>
  <c r="D161" i="176"/>
  <c r="D233" i="176"/>
  <c r="D253" i="172"/>
  <c r="J253" i="172" s="1"/>
  <c r="D235" i="172"/>
  <c r="J235" i="172" s="1"/>
  <c r="J245" i="172" s="1"/>
  <c r="D215" i="176"/>
  <c r="D173" i="176"/>
  <c r="D193" i="172"/>
  <c r="J193" i="172" s="1"/>
  <c r="D210" i="172"/>
  <c r="J210" i="172" s="1"/>
  <c r="D190" i="176"/>
  <c r="D248" i="172"/>
  <c r="J248" i="172" s="1"/>
  <c r="D228" i="176"/>
  <c r="J21" i="143"/>
  <c r="M21" i="143" s="1"/>
  <c r="E22" i="143"/>
  <c r="J22" i="143" s="1"/>
  <c r="J23" i="143" s="1"/>
  <c r="G201" i="180" s="1"/>
  <c r="J18" i="145"/>
  <c r="G182" i="180" s="1"/>
  <c r="J16" i="145"/>
  <c r="G181" i="180" s="1"/>
  <c r="H31" i="143"/>
  <c r="J31" i="143" s="1"/>
  <c r="M31" i="143" s="1"/>
  <c r="H27" i="143"/>
  <c r="J27" i="143" s="1"/>
  <c r="J16" i="143"/>
  <c r="G198" i="180" s="1"/>
  <c r="M15" i="143"/>
  <c r="J34" i="145"/>
  <c r="J35" i="145" s="1"/>
  <c r="G192" i="180" s="1"/>
  <c r="H26" i="145"/>
  <c r="J26" i="145" s="1"/>
  <c r="J17" i="145"/>
  <c r="J21" i="145"/>
  <c r="J22" i="145" s="1"/>
  <c r="G184" i="180" s="1"/>
  <c r="M12" i="145"/>
  <c r="F39" i="146"/>
  <c r="F40" i="146" s="1"/>
  <c r="H30" i="145"/>
  <c r="M24" i="144"/>
  <c r="M13" i="143"/>
  <c r="M16" i="144"/>
  <c r="M20" i="144"/>
  <c r="J41" i="144"/>
  <c r="M11" i="147"/>
  <c r="L36" i="146"/>
  <c r="M11" i="144"/>
  <c r="M27" i="146"/>
  <c r="S6" i="146"/>
  <c r="G20" i="146" s="1"/>
  <c r="G27" i="146" s="1"/>
  <c r="H22" i="146"/>
  <c r="M22" i="146" s="1"/>
  <c r="J19" i="147"/>
  <c r="J39" i="146"/>
  <c r="G158" i="180" s="1"/>
  <c r="D33" i="146"/>
  <c r="D40" i="146" s="1"/>
  <c r="H38" i="146"/>
  <c r="G38" i="146"/>
  <c r="E38" i="146"/>
  <c r="I38" i="146"/>
  <c r="J43" i="144"/>
  <c r="J44" i="144" s="1"/>
  <c r="M30" i="144"/>
  <c r="J15" i="144"/>
  <c r="J36" i="143"/>
  <c r="G208" i="180" s="1"/>
  <c r="M35" i="143"/>
  <c r="J17" i="143"/>
  <c r="J32" i="143" l="1"/>
  <c r="G206" i="180" s="1"/>
  <c r="M18" i="145"/>
  <c r="D195" i="176"/>
  <c r="D215" i="172"/>
  <c r="J215" i="172" s="1"/>
  <c r="D178" i="176"/>
  <c r="D198" i="172"/>
  <c r="J198" i="172" s="1"/>
  <c r="D202" i="176"/>
  <c r="D222" i="172"/>
  <c r="J222" i="172" s="1"/>
  <c r="D175" i="176"/>
  <c r="D195" i="172"/>
  <c r="J195" i="172" s="1"/>
  <c r="D176" i="176"/>
  <c r="D196" i="172"/>
  <c r="J196" i="172" s="1"/>
  <c r="D200" i="176"/>
  <c r="D220" i="172"/>
  <c r="J220" i="172" s="1"/>
  <c r="D152" i="176"/>
  <c r="D172" i="172"/>
  <c r="J172" i="172" s="1"/>
  <c r="D206" i="172"/>
  <c r="J206" i="172" s="1"/>
  <c r="D186" i="176"/>
  <c r="M16" i="143"/>
  <c r="D212" i="172"/>
  <c r="J212" i="172" s="1"/>
  <c r="D192" i="176"/>
  <c r="I16" i="96"/>
  <c r="K16" i="96" s="1"/>
  <c r="J28" i="143"/>
  <c r="G204" i="180" s="1"/>
  <c r="M35" i="145"/>
  <c r="J27" i="145"/>
  <c r="G188" i="180" s="1"/>
  <c r="J30" i="145"/>
  <c r="J31" i="145" s="1"/>
  <c r="G190" i="180" s="1"/>
  <c r="G193" i="180" s="1"/>
  <c r="D20" i="177" s="1"/>
  <c r="M26" i="143"/>
  <c r="M22" i="145"/>
  <c r="M16" i="145"/>
  <c r="I23" i="146"/>
  <c r="I32" i="146" s="1"/>
  <c r="J32" i="146" s="1"/>
  <c r="G160" i="180" s="1"/>
  <c r="M15" i="144"/>
  <c r="G22" i="146"/>
  <c r="M41" i="144"/>
  <c r="M23" i="143"/>
  <c r="G18" i="146"/>
  <c r="E27" i="146" s="1"/>
  <c r="M44" i="144"/>
  <c r="G17" i="146"/>
  <c r="D27" i="146" s="1"/>
  <c r="M32" i="143"/>
  <c r="G21" i="146"/>
  <c r="H27" i="146" s="1"/>
  <c r="M36" i="143"/>
  <c r="L39" i="146"/>
  <c r="J38" i="146"/>
  <c r="G170" i="180" s="1"/>
  <c r="G19" i="146"/>
  <c r="F27" i="146" s="1"/>
  <c r="H17" i="146"/>
  <c r="J21" i="147"/>
  <c r="G237" i="180" s="1"/>
  <c r="J20" i="147"/>
  <c r="G236" i="180" s="1"/>
  <c r="O22" i="146"/>
  <c r="J18" i="143"/>
  <c r="G199" i="180" s="1"/>
  <c r="M17" i="143"/>
  <c r="J7" i="137"/>
  <c r="J7" i="124"/>
  <c r="D27" i="138"/>
  <c r="D26" i="138"/>
  <c r="D28" i="138" s="1"/>
  <c r="I21" i="138"/>
  <c r="H21" i="138"/>
  <c r="G21" i="138"/>
  <c r="F21" i="138"/>
  <c r="E21" i="138"/>
  <c r="E26" i="138" s="1"/>
  <c r="E28" i="138" s="1"/>
  <c r="I20" i="138"/>
  <c r="H20" i="138"/>
  <c r="G20" i="138"/>
  <c r="F20" i="138"/>
  <c r="E20" i="138"/>
  <c r="D20" i="138"/>
  <c r="M19" i="138"/>
  <c r="K19" i="138"/>
  <c r="L14" i="138"/>
  <c r="S8" i="138"/>
  <c r="M5" i="138"/>
  <c r="D27" i="137"/>
  <c r="D26" i="137"/>
  <c r="D28" i="137" s="1"/>
  <c r="I21" i="137"/>
  <c r="H21" i="137"/>
  <c r="G21" i="137"/>
  <c r="F21" i="137"/>
  <c r="E21" i="137"/>
  <c r="I20" i="137"/>
  <c r="H20" i="137"/>
  <c r="G20" i="137"/>
  <c r="F20" i="137"/>
  <c r="E20" i="137"/>
  <c r="D20" i="137"/>
  <c r="M19" i="137"/>
  <c r="K19" i="137"/>
  <c r="L14" i="137"/>
  <c r="D32" i="137"/>
  <c r="S8" i="137"/>
  <c r="M5" i="137"/>
  <c r="D27" i="124"/>
  <c r="D26" i="124"/>
  <c r="I20" i="124"/>
  <c r="H20" i="124"/>
  <c r="G20" i="124"/>
  <c r="F20" i="124"/>
  <c r="E20" i="124"/>
  <c r="D20" i="124"/>
  <c r="M19" i="124"/>
  <c r="K19" i="124"/>
  <c r="L14" i="124"/>
  <c r="D32" i="124"/>
  <c r="C11" i="124"/>
  <c r="W9" i="124"/>
  <c r="S8" i="124"/>
  <c r="R9" i="124" s="1"/>
  <c r="I18" i="124" s="1"/>
  <c r="M5" i="124"/>
  <c r="L8" i="124" s="1"/>
  <c r="G209" i="180" l="1"/>
  <c r="D21" i="177" s="1"/>
  <c r="G242" i="180"/>
  <c r="D23" i="177" s="1"/>
  <c r="D250" i="172"/>
  <c r="J250" i="172" s="1"/>
  <c r="D230" i="176"/>
  <c r="D218" i="172"/>
  <c r="J218" i="172" s="1"/>
  <c r="D198" i="176"/>
  <c r="D251" i="172"/>
  <c r="J251" i="172" s="1"/>
  <c r="D231" i="176"/>
  <c r="D184" i="172"/>
  <c r="J184" i="172" s="1"/>
  <c r="D164" i="176"/>
  <c r="D193" i="176"/>
  <c r="D213" i="172"/>
  <c r="J213" i="172" s="1"/>
  <c r="D182" i="176"/>
  <c r="D202" i="172"/>
  <c r="J202" i="172" s="1"/>
  <c r="D184" i="176"/>
  <c r="D204" i="172"/>
  <c r="J204" i="172" s="1"/>
  <c r="G23" i="146"/>
  <c r="I27" i="146" s="1"/>
  <c r="L32" i="146"/>
  <c r="D154" i="176"/>
  <c r="D174" i="172"/>
  <c r="J174" i="172" s="1"/>
  <c r="L8" i="138"/>
  <c r="N8" i="138" s="1"/>
  <c r="I31" i="138"/>
  <c r="F27" i="138"/>
  <c r="L8" i="137"/>
  <c r="H15" i="137" s="1"/>
  <c r="F35" i="137" s="1"/>
  <c r="I30" i="137"/>
  <c r="H30" i="137"/>
  <c r="I34" i="138"/>
  <c r="I35" i="138" s="1"/>
  <c r="M28" i="143"/>
  <c r="M31" i="145"/>
  <c r="M27" i="145"/>
  <c r="M36" i="145" s="1"/>
  <c r="D33" i="124"/>
  <c r="G21" i="124"/>
  <c r="G34" i="124" s="1"/>
  <c r="F21" i="124"/>
  <c r="F34" i="124" s="1"/>
  <c r="I21" i="124"/>
  <c r="H21" i="124"/>
  <c r="H34" i="124" s="1"/>
  <c r="F27" i="137"/>
  <c r="F26" i="137"/>
  <c r="F28" i="137" s="1"/>
  <c r="M48" i="144"/>
  <c r="E34" i="137"/>
  <c r="E34" i="124"/>
  <c r="M18" i="143"/>
  <c r="M21" i="147"/>
  <c r="M20" i="147"/>
  <c r="F32" i="137"/>
  <c r="F33" i="137" s="1"/>
  <c r="J27" i="146"/>
  <c r="G148" i="180" s="1"/>
  <c r="L38" i="146"/>
  <c r="D41" i="146"/>
  <c r="H18" i="146"/>
  <c r="D28" i="146" s="1"/>
  <c r="D34" i="146"/>
  <c r="E26" i="124"/>
  <c r="F26" i="138"/>
  <c r="F28" i="138" s="1"/>
  <c r="G27" i="138"/>
  <c r="G26" i="138"/>
  <c r="G28" i="138" s="1"/>
  <c r="H27" i="138"/>
  <c r="H26" i="138"/>
  <c r="H28" i="138" s="1"/>
  <c r="E27" i="138"/>
  <c r="J21" i="138"/>
  <c r="D33" i="137"/>
  <c r="G26" i="137"/>
  <c r="G28" i="137" s="1"/>
  <c r="H27" i="137"/>
  <c r="G32" i="137"/>
  <c r="G33" i="137" s="1"/>
  <c r="H26" i="137"/>
  <c r="H28" i="137" s="1"/>
  <c r="E27" i="137"/>
  <c r="H32" i="137"/>
  <c r="H33" i="137" s="1"/>
  <c r="G27" i="137"/>
  <c r="G34" i="137"/>
  <c r="J21" i="137"/>
  <c r="E26" i="137"/>
  <c r="E32" i="137"/>
  <c r="N8" i="124"/>
  <c r="G13" i="124"/>
  <c r="U9" i="124"/>
  <c r="H13" i="124"/>
  <c r="H14" i="124"/>
  <c r="E29" i="124" s="1"/>
  <c r="H17" i="124"/>
  <c r="H18" i="124"/>
  <c r="E27" i="124"/>
  <c r="H15" i="124"/>
  <c r="H16" i="124"/>
  <c r="E32" i="124"/>
  <c r="I30" i="124" l="1"/>
  <c r="N8" i="137"/>
  <c r="G32" i="124"/>
  <c r="I29" i="124"/>
  <c r="J207" i="172"/>
  <c r="J223" i="172"/>
  <c r="D162" i="172"/>
  <c r="J162" i="172" s="1"/>
  <c r="D142" i="176"/>
  <c r="J256" i="172"/>
  <c r="H18" i="137"/>
  <c r="I18" i="137" s="1"/>
  <c r="I27" i="137" s="1"/>
  <c r="J27" i="137" s="1"/>
  <c r="G635" i="180" s="1"/>
  <c r="H14" i="137"/>
  <c r="E29" i="137" s="1"/>
  <c r="H16" i="137"/>
  <c r="G35" i="137" s="1"/>
  <c r="G36" i="137" s="1"/>
  <c r="H17" i="137"/>
  <c r="H13" i="137"/>
  <c r="D29" i="137" s="1"/>
  <c r="G13" i="137"/>
  <c r="G18" i="137" s="1"/>
  <c r="L27" i="146"/>
  <c r="I34" i="124"/>
  <c r="I31" i="124"/>
  <c r="I23" i="96"/>
  <c r="K23" i="96" s="1"/>
  <c r="I20" i="96"/>
  <c r="K20" i="96" s="1"/>
  <c r="I21" i="96"/>
  <c r="K21" i="96" s="1"/>
  <c r="I22" i="96"/>
  <c r="K22" i="96" s="1"/>
  <c r="I23" i="137"/>
  <c r="M33" i="147"/>
  <c r="M37" i="143"/>
  <c r="E33" i="124"/>
  <c r="I32" i="124"/>
  <c r="I35" i="124"/>
  <c r="I36" i="124" s="1"/>
  <c r="F35" i="124"/>
  <c r="F36" i="124" s="1"/>
  <c r="J21" i="124"/>
  <c r="H35" i="124"/>
  <c r="H36" i="124" s="1"/>
  <c r="G35" i="124"/>
  <c r="G36" i="124" s="1"/>
  <c r="G27" i="124"/>
  <c r="G26" i="124"/>
  <c r="G33" i="124" s="1"/>
  <c r="F27" i="124"/>
  <c r="F32" i="124"/>
  <c r="F26" i="124"/>
  <c r="G28" i="124"/>
  <c r="H26" i="124"/>
  <c r="H32" i="124"/>
  <c r="H27" i="124"/>
  <c r="I27" i="124"/>
  <c r="F36" i="137"/>
  <c r="D35" i="146"/>
  <c r="J32" i="137"/>
  <c r="G633" i="180" s="1"/>
  <c r="H19" i="146"/>
  <c r="F28" i="146" s="1"/>
  <c r="E34" i="146"/>
  <c r="E41" i="146"/>
  <c r="E28" i="137"/>
  <c r="F29" i="137"/>
  <c r="F23" i="137"/>
  <c r="H29" i="124"/>
  <c r="H25" i="124"/>
  <c r="I22" i="124"/>
  <c r="D29" i="124"/>
  <c r="D23" i="124"/>
  <c r="E23" i="124"/>
  <c r="G24" i="124"/>
  <c r="J24" i="124" s="1"/>
  <c r="G466" i="180" s="1"/>
  <c r="E35" i="124"/>
  <c r="F28" i="124"/>
  <c r="F23" i="124"/>
  <c r="I23" i="124"/>
  <c r="F18" i="124"/>
  <c r="I26" i="124" s="1"/>
  <c r="G15" i="124"/>
  <c r="F22" i="124" s="1"/>
  <c r="G14" i="124"/>
  <c r="E22" i="124" s="1"/>
  <c r="G16" i="124"/>
  <c r="G22" i="124" s="1"/>
  <c r="D22" i="124"/>
  <c r="G18" i="124"/>
  <c r="G17" i="124"/>
  <c r="H22" i="124" s="1"/>
  <c r="H25" i="137" l="1"/>
  <c r="O23" i="128"/>
  <c r="O28" i="128" s="1"/>
  <c r="O29" i="128" s="1"/>
  <c r="O31" i="128" s="1"/>
  <c r="O32" i="128" s="1"/>
  <c r="D29" i="128" s="1"/>
  <c r="F18" i="137"/>
  <c r="I26" i="137" s="1"/>
  <c r="I28" i="137" s="1"/>
  <c r="J33" i="137" s="1"/>
  <c r="G637" i="180" s="1"/>
  <c r="I29" i="137"/>
  <c r="D23" i="137"/>
  <c r="D25" i="137" s="1"/>
  <c r="E23" i="137"/>
  <c r="E25" i="137" s="1"/>
  <c r="I31" i="137"/>
  <c r="G647" i="180" s="1"/>
  <c r="E35" i="137"/>
  <c r="I35" i="137"/>
  <c r="I36" i="137" s="1"/>
  <c r="G14" i="137"/>
  <c r="E22" i="137" s="1"/>
  <c r="E24" i="137" s="1"/>
  <c r="J24" i="137" s="1"/>
  <c r="G629" i="180" s="1"/>
  <c r="G16" i="137"/>
  <c r="G22" i="137" s="1"/>
  <c r="G15" i="137"/>
  <c r="F22" i="137" s="1"/>
  <c r="G17" i="137"/>
  <c r="H35" i="137" s="1"/>
  <c r="H36" i="137" s="1"/>
  <c r="D641" i="172"/>
  <c r="J641" i="172" s="1"/>
  <c r="D623" i="176"/>
  <c r="I22" i="137"/>
  <c r="H29" i="137"/>
  <c r="G24" i="137"/>
  <c r="G29" i="137"/>
  <c r="J29" i="137" s="1"/>
  <c r="G639" i="180" s="1"/>
  <c r="D645" i="172"/>
  <c r="J645" i="172" s="1"/>
  <c r="D625" i="176"/>
  <c r="D643" i="172"/>
  <c r="J643" i="172" s="1"/>
  <c r="D456" i="176"/>
  <c r="D482" i="172"/>
  <c r="J482" i="172" s="1"/>
  <c r="D22" i="137"/>
  <c r="D24" i="137" s="1"/>
  <c r="J28" i="124"/>
  <c r="G472" i="180" s="1"/>
  <c r="J28" i="137"/>
  <c r="D29" i="146"/>
  <c r="F41" i="146"/>
  <c r="J32" i="124"/>
  <c r="G479" i="180" s="1"/>
  <c r="H33" i="124"/>
  <c r="F33" i="124"/>
  <c r="J25" i="124"/>
  <c r="G467" i="180" s="1"/>
  <c r="I33" i="124"/>
  <c r="J27" i="124"/>
  <c r="J26" i="137"/>
  <c r="G632" i="180" s="1"/>
  <c r="E35" i="146"/>
  <c r="E28" i="146"/>
  <c r="J22" i="124"/>
  <c r="G463" i="180" s="1"/>
  <c r="J31" i="124"/>
  <c r="F34" i="146"/>
  <c r="H20" i="146"/>
  <c r="J30" i="137"/>
  <c r="G641" i="180" s="1"/>
  <c r="F34" i="137"/>
  <c r="H34" i="137"/>
  <c r="J23" i="137"/>
  <c r="G628" i="180" s="1"/>
  <c r="E36" i="137"/>
  <c r="J29" i="124"/>
  <c r="G473" i="180" s="1"/>
  <c r="J26" i="124"/>
  <c r="J30" i="124"/>
  <c r="E36" i="124"/>
  <c r="J35" i="124"/>
  <c r="G469" i="180" s="1"/>
  <c r="J23" i="124"/>
  <c r="G465" i="180" s="1"/>
  <c r="D627" i="176" l="1"/>
  <c r="J25" i="137"/>
  <c r="G630" i="180" s="1"/>
  <c r="J31" i="137"/>
  <c r="D637" i="176"/>
  <c r="D655" i="172"/>
  <c r="J655" i="172" s="1"/>
  <c r="J35" i="137"/>
  <c r="G645" i="180" s="1"/>
  <c r="H22" i="137"/>
  <c r="J22" i="137" s="1"/>
  <c r="G623" i="180" s="1"/>
  <c r="G648" i="180" s="1"/>
  <c r="D44" i="177" s="1"/>
  <c r="D631" i="176"/>
  <c r="D649" i="172"/>
  <c r="J649" i="172" s="1"/>
  <c r="D619" i="176"/>
  <c r="D637" i="172"/>
  <c r="J637" i="172" s="1"/>
  <c r="D463" i="176"/>
  <c r="D489" i="172"/>
  <c r="J489" i="172" s="1"/>
  <c r="D629" i="176"/>
  <c r="D647" i="172"/>
  <c r="J647" i="172" s="1"/>
  <c r="D640" i="172"/>
  <c r="J640" i="172" s="1"/>
  <c r="D622" i="176"/>
  <c r="D618" i="176"/>
  <c r="D636" i="172"/>
  <c r="J636" i="172" s="1"/>
  <c r="D462" i="176"/>
  <c r="D488" i="172"/>
  <c r="J488" i="172" s="1"/>
  <c r="D457" i="176"/>
  <c r="D483" i="172"/>
  <c r="J483" i="172" s="1"/>
  <c r="D469" i="176"/>
  <c r="D495" i="172"/>
  <c r="J495" i="172" s="1"/>
  <c r="D455" i="176"/>
  <c r="D481" i="172"/>
  <c r="J481" i="172" s="1"/>
  <c r="D485" i="172"/>
  <c r="J485" i="172" s="1"/>
  <c r="D459" i="176"/>
  <c r="D453" i="176"/>
  <c r="D479" i="172"/>
  <c r="J479" i="172" s="1"/>
  <c r="E29" i="146"/>
  <c r="G41" i="146"/>
  <c r="J33" i="124"/>
  <c r="G481" i="180" s="1"/>
  <c r="D30" i="146"/>
  <c r="H21" i="146"/>
  <c r="E30" i="146" s="1"/>
  <c r="G34" i="146"/>
  <c r="J34" i="137"/>
  <c r="G642" i="180" s="1"/>
  <c r="J34" i="124"/>
  <c r="G477" i="180" l="1"/>
  <c r="G483" i="180" s="1"/>
  <c r="D36" i="177" s="1"/>
  <c r="D638" i="172"/>
  <c r="J638" i="172" s="1"/>
  <c r="D620" i="176"/>
  <c r="D653" i="172"/>
  <c r="J653" i="172" s="1"/>
  <c r="D635" i="176"/>
  <c r="D493" i="172"/>
  <c r="J493" i="172" s="1"/>
  <c r="D467" i="176"/>
  <c r="D632" i="176"/>
  <c r="D650" i="172"/>
  <c r="J650" i="172" s="1"/>
  <c r="D613" i="176"/>
  <c r="D631" i="172"/>
  <c r="J631" i="172" s="1"/>
  <c r="J656" i="172" s="1"/>
  <c r="D497" i="172"/>
  <c r="J497" i="172" s="1"/>
  <c r="D471" i="176"/>
  <c r="H41" i="146"/>
  <c r="H30" i="146"/>
  <c r="J30" i="146" s="1"/>
  <c r="G155" i="180" s="1"/>
  <c r="G29" i="146"/>
  <c r="J29" i="146" s="1"/>
  <c r="G154" i="180" s="1"/>
  <c r="H35" i="146"/>
  <c r="H23" i="146"/>
  <c r="H37" i="146" s="1"/>
  <c r="I43" i="96" l="1"/>
  <c r="K43" i="96" s="1"/>
  <c r="J499" i="172"/>
  <c r="H24" i="123"/>
  <c r="I31" i="123"/>
  <c r="I30" i="123" s="1"/>
  <c r="D148" i="176"/>
  <c r="D168" i="172"/>
  <c r="J168" i="172" s="1"/>
  <c r="D149" i="176"/>
  <c r="D169" i="172"/>
  <c r="J169" i="172" s="1"/>
  <c r="L29" i="146"/>
  <c r="L30" i="146"/>
  <c r="I28" i="146"/>
  <c r="J28" i="146" s="1"/>
  <c r="G153" i="180" s="1"/>
  <c r="I41" i="146"/>
  <c r="J41" i="146" s="1"/>
  <c r="G175" i="180" s="1"/>
  <c r="I35" i="96"/>
  <c r="K35" i="96" s="1"/>
  <c r="F23" i="146"/>
  <c r="I31" i="146" s="1"/>
  <c r="I37" i="146"/>
  <c r="P25" i="146"/>
  <c r="S25" i="146" s="1"/>
  <c r="T25" i="146" s="1"/>
  <c r="I35" i="146"/>
  <c r="K7" i="134"/>
  <c r="K7" i="103"/>
  <c r="I7" i="141"/>
  <c r="H7" i="142"/>
  <c r="K7" i="121"/>
  <c r="J7" i="120"/>
  <c r="K7" i="119"/>
  <c r="K7" i="118"/>
  <c r="K7" i="140"/>
  <c r="K7" i="139"/>
  <c r="H7" i="128"/>
  <c r="K7" i="127"/>
  <c r="K7" i="136"/>
  <c r="I7" i="125"/>
  <c r="I7" i="126"/>
  <c r="I4" i="123"/>
  <c r="K7" i="122"/>
  <c r="J7" i="133"/>
  <c r="G7" i="135"/>
  <c r="G26" i="123" l="1"/>
  <c r="G28" i="123"/>
  <c r="G24" i="123"/>
  <c r="G30" i="123"/>
  <c r="G31" i="123" s="1"/>
  <c r="G25" i="123"/>
  <c r="D147" i="176"/>
  <c r="D167" i="172"/>
  <c r="J167" i="172" s="1"/>
  <c r="D169" i="176"/>
  <c r="D189" i="172"/>
  <c r="J189" i="172" s="1"/>
  <c r="L28" i="146"/>
  <c r="J34" i="146"/>
  <c r="G164" i="180" s="1"/>
  <c r="J35" i="146"/>
  <c r="G165" i="180" s="1"/>
  <c r="I33" i="146"/>
  <c r="J33" i="146" s="1"/>
  <c r="G162" i="180" s="1"/>
  <c r="J31" i="146"/>
  <c r="G157" i="180" s="1"/>
  <c r="J40" i="146"/>
  <c r="J37" i="146"/>
  <c r="G169" i="180" s="1"/>
  <c r="L41" i="146"/>
  <c r="E20" i="127"/>
  <c r="G172" i="180" l="1"/>
  <c r="G176" i="180" s="1"/>
  <c r="D158" i="176"/>
  <c r="D178" i="172"/>
  <c r="J178" i="172" s="1"/>
  <c r="D159" i="176"/>
  <c r="D179" i="172"/>
  <c r="J179" i="172" s="1"/>
  <c r="D186" i="172"/>
  <c r="J186" i="172" s="1"/>
  <c r="D166" i="176"/>
  <c r="D176" i="172"/>
  <c r="J176" i="172" s="1"/>
  <c r="D156" i="176"/>
  <c r="D163" i="176"/>
  <c r="D183" i="172"/>
  <c r="J183" i="172" s="1"/>
  <c r="D151" i="176"/>
  <c r="D171" i="172"/>
  <c r="J171" i="172" s="1"/>
  <c r="L35" i="146"/>
  <c r="L34" i="146"/>
  <c r="L37" i="146"/>
  <c r="L40" i="146"/>
  <c r="L31" i="146"/>
  <c r="L33" i="146"/>
  <c r="P33" i="123"/>
  <c r="D19" i="177" l="1"/>
  <c r="D24" i="177" s="1"/>
  <c r="G243" i="180"/>
  <c r="J190" i="172"/>
  <c r="J257" i="172" s="1"/>
  <c r="J258" i="172" s="1"/>
  <c r="L42" i="146"/>
  <c r="I22" i="126"/>
  <c r="E24" i="126"/>
  <c r="H24" i="126" s="1"/>
  <c r="I24" i="126" s="1"/>
  <c r="E25" i="126"/>
  <c r="H25" i="126" s="1"/>
  <c r="I25" i="126" s="1"/>
  <c r="E23" i="126"/>
  <c r="H23" i="126" s="1"/>
  <c r="I23" i="126" s="1"/>
  <c r="I19" i="96" l="1"/>
  <c r="K19" i="96" l="1"/>
  <c r="L19" i="96"/>
  <c r="M19" i="96" s="1"/>
  <c r="J57" i="118"/>
  <c r="G760" i="180" s="1"/>
  <c r="J29" i="127"/>
  <c r="K29" i="127"/>
  <c r="L29" i="127"/>
  <c r="J31" i="123"/>
  <c r="J18" i="138" s="1"/>
  <c r="D767" i="172" l="1"/>
  <c r="J767" i="172" s="1"/>
  <c r="D750" i="176"/>
  <c r="J51" i="142"/>
  <c r="J50" i="142"/>
  <c r="J49" i="142"/>
  <c r="J48" i="142"/>
  <c r="J44" i="142"/>
  <c r="J43" i="142"/>
  <c r="J39" i="142"/>
  <c r="J38" i="142"/>
  <c r="J37" i="142"/>
  <c r="J36" i="142"/>
  <c r="J32" i="142"/>
  <c r="J31" i="142"/>
  <c r="J30" i="142"/>
  <c r="J29" i="142"/>
  <c r="J25" i="142"/>
  <c r="J24" i="142"/>
  <c r="L21" i="142"/>
  <c r="J20" i="142"/>
  <c r="J19" i="142"/>
  <c r="J16" i="142"/>
  <c r="J15" i="142"/>
  <c r="J14" i="142"/>
  <c r="J13" i="142"/>
  <c r="J10" i="142"/>
  <c r="J11" i="142" s="1"/>
  <c r="J59" i="141"/>
  <c r="J58" i="141"/>
  <c r="J57" i="141"/>
  <c r="J56" i="141"/>
  <c r="J55" i="141"/>
  <c r="J51" i="141"/>
  <c r="J50" i="141"/>
  <c r="J49" i="141"/>
  <c r="J45" i="141"/>
  <c r="J44" i="141"/>
  <c r="J43" i="141"/>
  <c r="J39" i="141"/>
  <c r="J38" i="141"/>
  <c r="J37" i="141"/>
  <c r="J32" i="141"/>
  <c r="J31" i="141"/>
  <c r="J30" i="141"/>
  <c r="J26" i="141"/>
  <c r="J25" i="141"/>
  <c r="J21" i="141"/>
  <c r="J17" i="141"/>
  <c r="J16" i="141"/>
  <c r="H15" i="141"/>
  <c r="J15" i="141" s="1"/>
  <c r="J14" i="141"/>
  <c r="J13" i="141"/>
  <c r="J10" i="141"/>
  <c r="J11" i="141" s="1"/>
  <c r="D262" i="172" s="1"/>
  <c r="J262" i="172" s="1"/>
  <c r="D53" i="172" l="1"/>
  <c r="J53" i="172" s="1"/>
  <c r="J40" i="141"/>
  <c r="D269" i="172" s="1"/>
  <c r="J269" i="172" s="1"/>
  <c r="J45" i="142"/>
  <c r="L45" i="142" s="1"/>
  <c r="J26" i="142"/>
  <c r="J52" i="142"/>
  <c r="J21" i="142"/>
  <c r="J33" i="142"/>
  <c r="J40" i="142"/>
  <c r="J17" i="142"/>
  <c r="L11" i="142"/>
  <c r="J33" i="141"/>
  <c r="D267" i="172" s="1"/>
  <c r="J267" i="172" s="1"/>
  <c r="J52" i="141"/>
  <c r="D272" i="172" s="1"/>
  <c r="J272" i="172" s="1"/>
  <c r="J18" i="141"/>
  <c r="J46" i="141"/>
  <c r="D271" i="172" s="1"/>
  <c r="J271" i="172" s="1"/>
  <c r="J27" i="141"/>
  <c r="D266" i="172" s="1"/>
  <c r="J266" i="172" s="1"/>
  <c r="L11" i="141"/>
  <c r="J60" i="141"/>
  <c r="D274" i="172" s="1"/>
  <c r="J274" i="172" s="1"/>
  <c r="D65" i="172" l="1"/>
  <c r="J65" i="172" s="1"/>
  <c r="D58" i="172"/>
  <c r="J58" i="172" s="1"/>
  <c r="D57" i="172"/>
  <c r="J57" i="172" s="1"/>
  <c r="D55" i="172"/>
  <c r="J55" i="172" s="1"/>
  <c r="L26" i="142"/>
  <c r="D62" i="172"/>
  <c r="J62" i="172" s="1"/>
  <c r="L52" i="142"/>
  <c r="D264" i="172"/>
  <c r="J264" i="172" s="1"/>
  <c r="J275" i="172" s="1"/>
  <c r="D63" i="172"/>
  <c r="J63" i="172" s="1"/>
  <c r="D60" i="172"/>
  <c r="J60" i="172" s="1"/>
  <c r="L33" i="142"/>
  <c r="L33" i="141"/>
  <c r="L17" i="142"/>
  <c r="L27" i="141"/>
  <c r="L60" i="141"/>
  <c r="L40" i="142"/>
  <c r="L46" i="141"/>
  <c r="L40" i="141"/>
  <c r="L18" i="141"/>
  <c r="L52" i="141"/>
  <c r="J66" i="172" l="1"/>
  <c r="K66" i="172" s="1"/>
  <c r="L62" i="141"/>
  <c r="G42" i="180"/>
  <c r="D11" i="177" s="1"/>
  <c r="L54" i="142"/>
  <c r="E30" i="140"/>
  <c r="O29" i="140"/>
  <c r="O23" i="140"/>
  <c r="D23" i="140"/>
  <c r="H31" i="140"/>
  <c r="J31" i="140" s="1"/>
  <c r="J32" i="140" s="1"/>
  <c r="G687" i="180" s="1"/>
  <c r="E19" i="140"/>
  <c r="J15" i="140"/>
  <c r="J16" i="140" s="1"/>
  <c r="G680" i="180" s="1"/>
  <c r="P14" i="140"/>
  <c r="A14" i="140"/>
  <c r="J12" i="140"/>
  <c r="J13" i="140" s="1"/>
  <c r="G678" i="180" s="1"/>
  <c r="E30" i="139"/>
  <c r="O29" i="139"/>
  <c r="O23" i="139"/>
  <c r="D23" i="139"/>
  <c r="H19" i="139"/>
  <c r="H31" i="139" s="1"/>
  <c r="J31" i="139" s="1"/>
  <c r="J32" i="139" s="1"/>
  <c r="G616" i="180" s="1"/>
  <c r="E19" i="139"/>
  <c r="H15" i="139"/>
  <c r="J15" i="139" s="1"/>
  <c r="J16" i="139" s="1"/>
  <c r="G609" i="180" s="1"/>
  <c r="P14" i="139"/>
  <c r="A14" i="139"/>
  <c r="J12" i="139"/>
  <c r="J13" i="139" s="1"/>
  <c r="G607" i="180" s="1"/>
  <c r="I10" i="96" l="1"/>
  <c r="K10" i="96" s="1"/>
  <c r="D599" i="176"/>
  <c r="D617" i="172"/>
  <c r="J617" i="172" s="1"/>
  <c r="D668" i="176"/>
  <c r="D686" i="172"/>
  <c r="J686" i="172" s="1"/>
  <c r="D606" i="176"/>
  <c r="D624" i="172"/>
  <c r="J624" i="172" s="1"/>
  <c r="D670" i="176"/>
  <c r="D688" i="172"/>
  <c r="J688" i="172" s="1"/>
  <c r="D695" i="172"/>
  <c r="J695" i="172" s="1"/>
  <c r="D677" i="176"/>
  <c r="D597" i="176"/>
  <c r="D615" i="172"/>
  <c r="J615" i="172" s="1"/>
  <c r="I11" i="96"/>
  <c r="K11" i="96" s="1"/>
  <c r="J19" i="140"/>
  <c r="J20" i="140" s="1"/>
  <c r="G682" i="180" s="1"/>
  <c r="H23" i="140"/>
  <c r="J23" i="140" s="1"/>
  <c r="H23" i="139"/>
  <c r="J19" i="139"/>
  <c r="J20" i="139" s="1"/>
  <c r="G611" i="180" s="1"/>
  <c r="D10" i="177" l="1"/>
  <c r="D13" i="177" s="1"/>
  <c r="G44" i="180"/>
  <c r="D587" i="172"/>
  <c r="J587" i="172" s="1"/>
  <c r="D564" i="176"/>
  <c r="D619" i="172"/>
  <c r="J619" i="172" s="1"/>
  <c r="D601" i="176"/>
  <c r="D672" i="176"/>
  <c r="D690" i="172"/>
  <c r="J690" i="172" s="1"/>
  <c r="J24" i="140"/>
  <c r="G686" i="180" s="1"/>
  <c r="H27" i="140"/>
  <c r="J27" i="140" s="1"/>
  <c r="J28" i="140" s="1"/>
  <c r="G690" i="180" s="1"/>
  <c r="G691" i="180" s="1"/>
  <c r="D46" i="177" s="1"/>
  <c r="H27" i="139"/>
  <c r="J27" i="139" s="1"/>
  <c r="J28" i="139" s="1"/>
  <c r="G619" i="180" s="1"/>
  <c r="G620" i="180" s="1"/>
  <c r="D43" i="177" s="1"/>
  <c r="J23" i="139"/>
  <c r="J24" i="139" s="1"/>
  <c r="G615" i="180" s="1"/>
  <c r="D627" i="172" l="1"/>
  <c r="J627" i="172" s="1"/>
  <c r="D609" i="176"/>
  <c r="D680" i="176"/>
  <c r="D698" i="172"/>
  <c r="J698" i="172" s="1"/>
  <c r="D623" i="172"/>
  <c r="J623" i="172" s="1"/>
  <c r="D605" i="176"/>
  <c r="D676" i="176"/>
  <c r="D694" i="172"/>
  <c r="J694" i="172" s="1"/>
  <c r="J699" i="172" s="1"/>
  <c r="J628" i="172" l="1"/>
  <c r="I45" i="96"/>
  <c r="K45" i="96" s="1"/>
  <c r="I42" i="96"/>
  <c r="K42" i="96" s="1"/>
  <c r="H17" i="127"/>
  <c r="H19" i="127" s="1"/>
  <c r="J20" i="127" s="1"/>
  <c r="G567" i="180" l="1"/>
  <c r="G564" i="180"/>
  <c r="D557" i="176"/>
  <c r="D554" i="176"/>
  <c r="D577" i="172"/>
  <c r="J577" i="172" s="1"/>
  <c r="D580" i="172"/>
  <c r="J580" i="172" s="1"/>
  <c r="H23" i="136"/>
  <c r="H31" i="136" l="1"/>
  <c r="J16" i="136"/>
  <c r="E30" i="136"/>
  <c r="O29" i="136"/>
  <c r="O23" i="136"/>
  <c r="D23" i="136"/>
  <c r="J23" i="136" s="1"/>
  <c r="E19" i="136"/>
  <c r="J19" i="136" s="1"/>
  <c r="P14" i="136"/>
  <c r="A14" i="136"/>
  <c r="J12" i="136"/>
  <c r="J13" i="136" s="1"/>
  <c r="G536" i="180" s="1"/>
  <c r="G549" i="180" s="1"/>
  <c r="D40" i="177" s="1"/>
  <c r="D34" i="128"/>
  <c r="D33" i="128"/>
  <c r="D32" i="128"/>
  <c r="D541" i="176" l="1"/>
  <c r="G551" i="180"/>
  <c r="D35" i="128"/>
  <c r="D554" i="172"/>
  <c r="J554" i="172" s="1"/>
  <c r="D528" i="176"/>
  <c r="D526" i="176"/>
  <c r="D552" i="172"/>
  <c r="J552" i="172" s="1"/>
  <c r="J31" i="136"/>
  <c r="J32" i="136" s="1"/>
  <c r="D36" i="128"/>
  <c r="J20" i="136"/>
  <c r="D587" i="176" l="1"/>
  <c r="G597" i="180"/>
  <c r="D608" i="172"/>
  <c r="J608" i="172" s="1"/>
  <c r="D530" i="176"/>
  <c r="D556" i="172"/>
  <c r="J556" i="172" s="1"/>
  <c r="D535" i="176"/>
  <c r="D561" i="172"/>
  <c r="J561" i="172" s="1"/>
  <c r="H27" i="136"/>
  <c r="J27" i="136" s="1"/>
  <c r="J28" i="136" s="1"/>
  <c r="J24" i="136"/>
  <c r="D538" i="176" l="1"/>
  <c r="D564" i="172"/>
  <c r="J564" i="172" s="1"/>
  <c r="D558" i="172"/>
  <c r="J558" i="172" s="1"/>
  <c r="J565" i="172" s="1"/>
  <c r="D532" i="176"/>
  <c r="I15" i="127"/>
  <c r="I39" i="96" l="1"/>
  <c r="K39" i="96" s="1"/>
  <c r="J16" i="127"/>
  <c r="E10" i="135"/>
  <c r="F10" i="135" s="1"/>
  <c r="G10" i="135" s="1"/>
  <c r="H10" i="135" s="1"/>
  <c r="J10" i="135" s="1"/>
  <c r="H37" i="125" l="1"/>
  <c r="D20" i="125"/>
  <c r="H27" i="133" l="1"/>
  <c r="H26" i="133"/>
  <c r="H25" i="133"/>
  <c r="J72" i="133" l="1"/>
  <c r="J71" i="133"/>
  <c r="H74" i="133"/>
  <c r="J74" i="133" s="1"/>
  <c r="H73" i="133"/>
  <c r="J73" i="133" s="1"/>
  <c r="H39" i="133"/>
  <c r="H24" i="133"/>
  <c r="J13" i="133"/>
  <c r="F10" i="133"/>
  <c r="H10" i="133" s="1"/>
  <c r="K34" i="123" l="1"/>
  <c r="J34" i="123"/>
  <c r="H46" i="123" l="1"/>
  <c r="H47" i="123"/>
  <c r="H48" i="123" s="1"/>
  <c r="F47" i="123"/>
  <c r="F46" i="123"/>
  <c r="J47" i="123"/>
  <c r="J48" i="123" s="1"/>
  <c r="J46" i="123"/>
  <c r="J40" i="123"/>
  <c r="K46" i="123"/>
  <c r="K47" i="123"/>
  <c r="K48" i="123" s="1"/>
  <c r="K44" i="123"/>
  <c r="L44" i="123" s="1"/>
  <c r="F48" i="123" l="1"/>
  <c r="L47" i="123"/>
  <c r="L46" i="123"/>
  <c r="J74" i="134"/>
  <c r="J73" i="134"/>
  <c r="J71" i="134"/>
  <c r="J70" i="134"/>
  <c r="J12" i="134"/>
  <c r="J99" i="134"/>
  <c r="J98" i="134"/>
  <c r="J97" i="134"/>
  <c r="J87" i="134"/>
  <c r="J86" i="134"/>
  <c r="J85" i="134"/>
  <c r="J79" i="134"/>
  <c r="J78" i="134"/>
  <c r="J68" i="134"/>
  <c r="J75" i="134" s="1"/>
  <c r="J64" i="134"/>
  <c r="J65" i="134" s="1"/>
  <c r="H61" i="134"/>
  <c r="J61" i="134" s="1"/>
  <c r="J62" i="134" s="1"/>
  <c r="H58" i="134"/>
  <c r="J58" i="134" s="1"/>
  <c r="J57" i="134"/>
  <c r="H56" i="134"/>
  <c r="J56" i="134" s="1"/>
  <c r="H55" i="134"/>
  <c r="J55" i="134" s="1"/>
  <c r="H54" i="134"/>
  <c r="J54" i="134" s="1"/>
  <c r="H53" i="134"/>
  <c r="J53" i="134" s="1"/>
  <c r="H52" i="134"/>
  <c r="J52" i="134" s="1"/>
  <c r="H51" i="134"/>
  <c r="J51" i="134" s="1"/>
  <c r="H50" i="134"/>
  <c r="J50" i="134" s="1"/>
  <c r="H49" i="134"/>
  <c r="J49" i="134" s="1"/>
  <c r="H48" i="134"/>
  <c r="J48" i="134" s="1"/>
  <c r="H47" i="134"/>
  <c r="J47" i="134" s="1"/>
  <c r="H46" i="134"/>
  <c r="J46" i="134" s="1"/>
  <c r="H45" i="134"/>
  <c r="J45" i="134" s="1"/>
  <c r="H44" i="134"/>
  <c r="J44" i="134" s="1"/>
  <c r="H43" i="134"/>
  <c r="J43" i="134" s="1"/>
  <c r="H42" i="134"/>
  <c r="J42" i="134" s="1"/>
  <c r="H41" i="134"/>
  <c r="J41" i="134" s="1"/>
  <c r="H40" i="134"/>
  <c r="J40" i="134" s="1"/>
  <c r="H39" i="134"/>
  <c r="J39" i="134" s="1"/>
  <c r="J38" i="134"/>
  <c r="H33" i="134"/>
  <c r="J33" i="134" s="1"/>
  <c r="J32" i="134"/>
  <c r="H31" i="134"/>
  <c r="J31" i="134" s="1"/>
  <c r="H30" i="134"/>
  <c r="J30" i="134" s="1"/>
  <c r="H29" i="134"/>
  <c r="J29" i="134" s="1"/>
  <c r="H28" i="134"/>
  <c r="J28" i="134" s="1"/>
  <c r="H27" i="134"/>
  <c r="J27" i="134" s="1"/>
  <c r="H26" i="134"/>
  <c r="J26" i="134" s="1"/>
  <c r="H25" i="134"/>
  <c r="J25" i="134" s="1"/>
  <c r="H24" i="134"/>
  <c r="J24" i="134" s="1"/>
  <c r="H23" i="134"/>
  <c r="J23" i="134" s="1"/>
  <c r="H22" i="134"/>
  <c r="J22" i="134" s="1"/>
  <c r="H21" i="134"/>
  <c r="J21" i="134" s="1"/>
  <c r="H20" i="134"/>
  <c r="J20" i="134" s="1"/>
  <c r="H19" i="134"/>
  <c r="J19" i="134" s="1"/>
  <c r="H18" i="134"/>
  <c r="J18" i="134" s="1"/>
  <c r="H17" i="134"/>
  <c r="J17" i="134" s="1"/>
  <c r="H16" i="134"/>
  <c r="J16" i="134" s="1"/>
  <c r="H15" i="134"/>
  <c r="J15" i="134" s="1"/>
  <c r="H14" i="134"/>
  <c r="J14" i="134" s="1"/>
  <c r="J68" i="133"/>
  <c r="J56" i="133"/>
  <c r="J55" i="133"/>
  <c r="J54" i="133"/>
  <c r="J50" i="133"/>
  <c r="J49" i="133"/>
  <c r="J48" i="133"/>
  <c r="J43" i="133"/>
  <c r="J42" i="133"/>
  <c r="J39" i="133"/>
  <c r="J38" i="133"/>
  <c r="J37" i="133"/>
  <c r="J34" i="133"/>
  <c r="J35" i="133" s="1"/>
  <c r="J31" i="133"/>
  <c r="J32" i="133" s="1"/>
  <c r="J27" i="133"/>
  <c r="J26" i="133"/>
  <c r="J25" i="133"/>
  <c r="J24" i="133"/>
  <c r="J23" i="133"/>
  <c r="J17" i="133"/>
  <c r="J16" i="133"/>
  <c r="J15" i="133"/>
  <c r="J14" i="133"/>
  <c r="J10" i="133"/>
  <c r="J11" i="133" s="1"/>
  <c r="D28" i="128"/>
  <c r="G596" i="180" s="1"/>
  <c r="D26" i="128"/>
  <c r="G594" i="180" s="1"/>
  <c r="A21" i="128"/>
  <c r="A22" i="128" s="1"/>
  <c r="A23" i="128" s="1"/>
  <c r="A24" i="128" s="1"/>
  <c r="O12" i="128"/>
  <c r="R8" i="128"/>
  <c r="G17" i="127"/>
  <c r="G19" i="127" s="1"/>
  <c r="J15" i="127"/>
  <c r="G570" i="180" s="1"/>
  <c r="J12" i="127"/>
  <c r="J42" i="126"/>
  <c r="J43" i="126" s="1"/>
  <c r="I39" i="126"/>
  <c r="G39" i="126"/>
  <c r="I38" i="126"/>
  <c r="G38" i="126"/>
  <c r="H31" i="126"/>
  <c r="J31" i="126" s="1"/>
  <c r="G531" i="180" s="1"/>
  <c r="L30" i="126"/>
  <c r="J28" i="126"/>
  <c r="J27" i="126"/>
  <c r="J26" i="126"/>
  <c r="J25" i="126"/>
  <c r="J24" i="126"/>
  <c r="J23" i="126"/>
  <c r="J22" i="126"/>
  <c r="J19" i="126"/>
  <c r="J18" i="126"/>
  <c r="A17" i="126"/>
  <c r="A21" i="126" s="1"/>
  <c r="A34" i="126" s="1"/>
  <c r="I14" i="126"/>
  <c r="J14" i="126" s="1"/>
  <c r="I13" i="126"/>
  <c r="J13" i="126" s="1"/>
  <c r="H42" i="125"/>
  <c r="J42" i="125" s="1"/>
  <c r="G514" i="180" s="1"/>
  <c r="J37" i="125"/>
  <c r="G517" i="180" s="1"/>
  <c r="E34" i="125"/>
  <c r="E28" i="125"/>
  <c r="A27" i="125"/>
  <c r="L20" i="125"/>
  <c r="L22" i="125" s="1"/>
  <c r="P12" i="125"/>
  <c r="O13" i="125" s="1"/>
  <c r="C54" i="123"/>
  <c r="C56" i="123" s="1"/>
  <c r="D40" i="123"/>
  <c r="D39" i="123"/>
  <c r="K33" i="123"/>
  <c r="J33" i="123"/>
  <c r="H33" i="123"/>
  <c r="F33" i="123"/>
  <c r="E33" i="123"/>
  <c r="D33" i="123"/>
  <c r="J30" i="123"/>
  <c r="J28" i="123"/>
  <c r="J26" i="123"/>
  <c r="J27" i="123" s="1"/>
  <c r="J25" i="123"/>
  <c r="J24" i="123"/>
  <c r="E31" i="122"/>
  <c r="O30" i="122"/>
  <c r="O25" i="122"/>
  <c r="D25" i="122"/>
  <c r="H25" i="122"/>
  <c r="H28" i="122" s="1"/>
  <c r="J28" i="122" s="1"/>
  <c r="J29" i="122" s="1"/>
  <c r="G410" i="180" s="1"/>
  <c r="E21" i="122"/>
  <c r="I15" i="122"/>
  <c r="P14" i="122"/>
  <c r="A14" i="122"/>
  <c r="J12" i="122"/>
  <c r="J13" i="122" s="1"/>
  <c r="G399" i="180" s="1"/>
  <c r="J16" i="138" l="1"/>
  <c r="J29" i="123"/>
  <c r="D41" i="123"/>
  <c r="D521" i="176"/>
  <c r="D547" i="172"/>
  <c r="J547" i="172" s="1"/>
  <c r="D507" i="176"/>
  <c r="D533" i="172"/>
  <c r="J533" i="172" s="1"/>
  <c r="D389" i="176"/>
  <c r="D425" i="172"/>
  <c r="J425" i="172" s="1"/>
  <c r="D400" i="176"/>
  <c r="D436" i="172"/>
  <c r="J436" i="172" s="1"/>
  <c r="D607" i="172"/>
  <c r="J607" i="172" s="1"/>
  <c r="D586" i="176"/>
  <c r="D530" i="172"/>
  <c r="J530" i="172" s="1"/>
  <c r="D504" i="176"/>
  <c r="D584" i="176"/>
  <c r="D605" i="172"/>
  <c r="J605" i="172" s="1"/>
  <c r="J14" i="127"/>
  <c r="G552" i="180" s="1"/>
  <c r="D560" i="176"/>
  <c r="D583" i="172"/>
  <c r="J583" i="172" s="1"/>
  <c r="F14" i="128"/>
  <c r="D20" i="128" s="1"/>
  <c r="G579" i="180" s="1"/>
  <c r="D24" i="128"/>
  <c r="G590" i="180" s="1"/>
  <c r="G34" i="138"/>
  <c r="G35" i="138" s="1"/>
  <c r="G33" i="138"/>
  <c r="J14" i="138"/>
  <c r="J15" i="138"/>
  <c r="D48" i="123"/>
  <c r="J13" i="138"/>
  <c r="J17" i="138"/>
  <c r="J19" i="127"/>
  <c r="G566" i="180" s="1"/>
  <c r="J17" i="127"/>
  <c r="G559" i="180" s="1"/>
  <c r="J38" i="126"/>
  <c r="M75" i="134"/>
  <c r="J39" i="126"/>
  <c r="J35" i="126"/>
  <c r="J36" i="126" s="1"/>
  <c r="G525" i="180" s="1"/>
  <c r="J21" i="127"/>
  <c r="M12" i="134"/>
  <c r="D27" i="128"/>
  <c r="G599" i="180" s="1"/>
  <c r="H32" i="122"/>
  <c r="J32" i="122" s="1"/>
  <c r="J33" i="122" s="1"/>
  <c r="G411" i="180" s="1"/>
  <c r="K40" i="123"/>
  <c r="J17" i="122"/>
  <c r="J18" i="122" s="1"/>
  <c r="G402" i="180" s="1"/>
  <c r="J16" i="122"/>
  <c r="G401" i="180" s="1"/>
  <c r="J21" i="122"/>
  <c r="J22" i="122" s="1"/>
  <c r="G404" i="180" s="1"/>
  <c r="J20" i="126"/>
  <c r="M62" i="134"/>
  <c r="M68" i="133"/>
  <c r="M32" i="133"/>
  <c r="J15" i="126"/>
  <c r="G521" i="180" s="1"/>
  <c r="L34" i="123"/>
  <c r="M11" i="133"/>
  <c r="J92" i="134"/>
  <c r="J93" i="134" s="1"/>
  <c r="J40" i="133"/>
  <c r="J75" i="133"/>
  <c r="J58" i="133"/>
  <c r="J28" i="133"/>
  <c r="J18" i="133"/>
  <c r="J45" i="133"/>
  <c r="J90" i="134"/>
  <c r="J81" i="134"/>
  <c r="J100" i="134"/>
  <c r="J59" i="134"/>
  <c r="J34" i="134"/>
  <c r="Q13" i="128"/>
  <c r="J29" i="126"/>
  <c r="G523" i="180" s="1"/>
  <c r="G15" i="125"/>
  <c r="F15" i="125"/>
  <c r="I28" i="125" s="1"/>
  <c r="J28" i="125" s="1"/>
  <c r="J29" i="125" s="1"/>
  <c r="G501" i="180" s="1"/>
  <c r="H13" i="138"/>
  <c r="E40" i="123"/>
  <c r="L40" i="123" s="1"/>
  <c r="E48" i="123"/>
  <c r="F40" i="123"/>
  <c r="H40" i="123"/>
  <c r="E39" i="123"/>
  <c r="F39" i="123"/>
  <c r="F41" i="123" s="1"/>
  <c r="H39" i="123"/>
  <c r="H41" i="123" s="1"/>
  <c r="J25" i="122"/>
  <c r="J26" i="122" s="1"/>
  <c r="G407" i="180" s="1"/>
  <c r="D46" i="121"/>
  <c r="D51" i="121" s="1"/>
  <c r="J51" i="121" s="1"/>
  <c r="G822" i="180" s="1"/>
  <c r="A45" i="121"/>
  <c r="A47" i="121" s="1"/>
  <c r="A50" i="121" s="1"/>
  <c r="J42" i="121"/>
  <c r="J43" i="121" s="1"/>
  <c r="G818" i="180" s="1"/>
  <c r="E39" i="121"/>
  <c r="I39" i="121" s="1"/>
  <c r="J39" i="121" s="1"/>
  <c r="J40" i="121" s="1"/>
  <c r="G817" i="180" s="1"/>
  <c r="J33" i="121"/>
  <c r="J34" i="121" s="1"/>
  <c r="G813" i="180" s="1"/>
  <c r="D25" i="121"/>
  <c r="J25" i="121" s="1"/>
  <c r="A23" i="121"/>
  <c r="A28" i="121" s="1"/>
  <c r="A32" i="121" s="1"/>
  <c r="A35" i="121" s="1"/>
  <c r="A38" i="121" s="1"/>
  <c r="A41" i="121" s="1"/>
  <c r="E20" i="121"/>
  <c r="E24" i="121" s="1"/>
  <c r="I24" i="121" s="1"/>
  <c r="J24" i="121" s="1"/>
  <c r="J15" i="121"/>
  <c r="J16" i="121" s="1"/>
  <c r="J12" i="121"/>
  <c r="J13" i="121" s="1"/>
  <c r="G803" i="180" s="1"/>
  <c r="O42" i="120"/>
  <c r="L42" i="120"/>
  <c r="O40" i="120"/>
  <c r="L40" i="120"/>
  <c r="O37" i="120"/>
  <c r="L37" i="120"/>
  <c r="A36" i="120"/>
  <c r="A38" i="120" s="1"/>
  <c r="A41" i="120" s="1"/>
  <c r="J30" i="120"/>
  <c r="I29" i="120"/>
  <c r="J29" i="120" s="1"/>
  <c r="J28" i="120"/>
  <c r="J24" i="120"/>
  <c r="J25" i="120" s="1"/>
  <c r="G790" i="180" s="1"/>
  <c r="I20" i="120"/>
  <c r="J20" i="120" s="1"/>
  <c r="I19" i="120"/>
  <c r="J19" i="120" s="1"/>
  <c r="I18" i="120"/>
  <c r="J18" i="120" s="1"/>
  <c r="A17" i="120"/>
  <c r="A23" i="120" s="1"/>
  <c r="A27" i="120" s="1"/>
  <c r="A32" i="120" s="1"/>
  <c r="J14" i="120"/>
  <c r="J15" i="120" s="1"/>
  <c r="G786" i="180" s="1"/>
  <c r="D109" i="119"/>
  <c r="J109" i="119" s="1"/>
  <c r="J108" i="119"/>
  <c r="J104" i="119"/>
  <c r="E103" i="119"/>
  <c r="E102" i="119"/>
  <c r="J102" i="119" s="1"/>
  <c r="J99" i="119"/>
  <c r="E98" i="119"/>
  <c r="J98" i="119" s="1"/>
  <c r="E97" i="119"/>
  <c r="J97" i="119" s="1"/>
  <c r="S96" i="119"/>
  <c r="T96" i="119" s="1"/>
  <c r="P96" i="119"/>
  <c r="Q96" i="119" s="1"/>
  <c r="E96" i="119"/>
  <c r="J96" i="119" s="1"/>
  <c r="S95" i="119"/>
  <c r="T95" i="119" s="1"/>
  <c r="P95" i="119"/>
  <c r="Q95" i="119" s="1"/>
  <c r="P102" i="119" s="1"/>
  <c r="E95" i="119"/>
  <c r="S94" i="119"/>
  <c r="T94" i="119" s="1"/>
  <c r="P94" i="119"/>
  <c r="Q94" i="119" s="1"/>
  <c r="J92" i="119"/>
  <c r="J90" i="119"/>
  <c r="J89" i="119"/>
  <c r="J86" i="119"/>
  <c r="J85" i="119"/>
  <c r="F84" i="119"/>
  <c r="E84" i="119"/>
  <c r="J81" i="119"/>
  <c r="J80" i="119"/>
  <c r="J77" i="119"/>
  <c r="J76" i="119"/>
  <c r="J73" i="119"/>
  <c r="J72" i="119"/>
  <c r="J71" i="119"/>
  <c r="J69" i="119"/>
  <c r="J66" i="119"/>
  <c r="J65" i="119"/>
  <c r="J64" i="119"/>
  <c r="J61" i="119"/>
  <c r="J60" i="119"/>
  <c r="J59" i="119"/>
  <c r="I55" i="119"/>
  <c r="J55" i="119" s="1"/>
  <c r="J56" i="119" s="1"/>
  <c r="G777" i="180" s="1"/>
  <c r="E48" i="119"/>
  <c r="J48" i="119" s="1"/>
  <c r="J52" i="119" s="1"/>
  <c r="I47" i="119"/>
  <c r="J47" i="119" s="1"/>
  <c r="J46" i="119"/>
  <c r="J44" i="119"/>
  <c r="J43" i="119"/>
  <c r="J42" i="119"/>
  <c r="J41" i="119"/>
  <c r="J38" i="119"/>
  <c r="J36" i="119"/>
  <c r="J34" i="119"/>
  <c r="I33" i="119"/>
  <c r="I32" i="119"/>
  <c r="D32" i="119"/>
  <c r="I31" i="119"/>
  <c r="I30" i="119"/>
  <c r="I29" i="119"/>
  <c r="I28" i="119"/>
  <c r="J27" i="119"/>
  <c r="I26" i="119"/>
  <c r="J26" i="119" s="1"/>
  <c r="I25" i="119"/>
  <c r="E25" i="119"/>
  <c r="J24" i="119"/>
  <c r="J25" i="119" s="1"/>
  <c r="A23" i="119"/>
  <c r="J15" i="119"/>
  <c r="J16" i="119" s="1"/>
  <c r="J20" i="119" s="1"/>
  <c r="J21" i="119" s="1"/>
  <c r="G775" i="180" s="1"/>
  <c r="J12" i="119"/>
  <c r="J13" i="119" s="1"/>
  <c r="G770" i="180" s="1"/>
  <c r="M57" i="118"/>
  <c r="M55" i="118"/>
  <c r="M54" i="118"/>
  <c r="M52" i="118"/>
  <c r="M51" i="118"/>
  <c r="M48" i="118"/>
  <c r="M47" i="118"/>
  <c r="M46" i="118"/>
  <c r="M45" i="118"/>
  <c r="M44" i="118"/>
  <c r="M43" i="118"/>
  <c r="M42" i="118"/>
  <c r="M41" i="118"/>
  <c r="M40" i="118"/>
  <c r="M39" i="118"/>
  <c r="M37" i="118"/>
  <c r="M29" i="118"/>
  <c r="M28" i="118"/>
  <c r="J27" i="118"/>
  <c r="G730" i="180" s="1"/>
  <c r="M26" i="118"/>
  <c r="M25" i="118"/>
  <c r="I16" i="118"/>
  <c r="J16" i="118" s="1"/>
  <c r="J18" i="118" s="1"/>
  <c r="G724" i="180" s="1"/>
  <c r="J13" i="118"/>
  <c r="G721" i="180" s="1"/>
  <c r="A11" i="118"/>
  <c r="A15" i="118" s="1"/>
  <c r="L48" i="123" l="1"/>
  <c r="J40" i="126"/>
  <c r="G529" i="180" s="1"/>
  <c r="G577" i="180"/>
  <c r="D41" i="177" s="1"/>
  <c r="G412" i="180"/>
  <c r="D34" i="177" s="1"/>
  <c r="J78" i="119"/>
  <c r="J28" i="119"/>
  <c r="D567" i="172"/>
  <c r="J567" i="172" s="1"/>
  <c r="D542" i="176"/>
  <c r="D491" i="176"/>
  <c r="D517" i="172"/>
  <c r="J517" i="172" s="1"/>
  <c r="D789" i="172"/>
  <c r="J789" i="172" s="1"/>
  <c r="D776" i="176"/>
  <c r="D791" i="176"/>
  <c r="D804" i="172"/>
  <c r="J804" i="172" s="1"/>
  <c r="D601" i="172"/>
  <c r="J601" i="172" s="1"/>
  <c r="D580" i="176"/>
  <c r="D819" i="172"/>
  <c r="J819" i="172" s="1"/>
  <c r="D806" i="176"/>
  <c r="D519" i="176"/>
  <c r="D545" i="172"/>
  <c r="J545" i="172" s="1"/>
  <c r="D778" i="172"/>
  <c r="J778" i="172" s="1"/>
  <c r="D765" i="176"/>
  <c r="D767" i="176"/>
  <c r="D780" i="172"/>
  <c r="J780" i="172" s="1"/>
  <c r="D397" i="176"/>
  <c r="D433" i="172"/>
  <c r="J433" i="172" s="1"/>
  <c r="D513" i="176"/>
  <c r="D539" i="172"/>
  <c r="J539" i="172" s="1"/>
  <c r="D714" i="176"/>
  <c r="D732" i="172"/>
  <c r="J732" i="172" s="1"/>
  <c r="D394" i="176"/>
  <c r="D430" i="172"/>
  <c r="J430" i="172" s="1"/>
  <c r="D760" i="176"/>
  <c r="D773" i="172"/>
  <c r="J773" i="172" s="1"/>
  <c r="D823" i="172"/>
  <c r="J823" i="172" s="1"/>
  <c r="D810" i="176"/>
  <c r="D569" i="176"/>
  <c r="D590" i="172"/>
  <c r="J590" i="172" s="1"/>
  <c r="D391" i="176"/>
  <c r="D427" i="172"/>
  <c r="J427" i="172" s="1"/>
  <c r="D401" i="176"/>
  <c r="D437" i="172"/>
  <c r="J437" i="172" s="1"/>
  <c r="D572" i="172"/>
  <c r="J572" i="172" s="1"/>
  <c r="D549" i="176"/>
  <c r="D793" i="172"/>
  <c r="J793" i="172" s="1"/>
  <c r="D780" i="176"/>
  <c r="D801" i="176"/>
  <c r="D814" i="172"/>
  <c r="J814" i="172" s="1"/>
  <c r="D511" i="176"/>
  <c r="D537" i="172"/>
  <c r="J537" i="172" s="1"/>
  <c r="D428" i="172"/>
  <c r="J428" i="172" s="1"/>
  <c r="D392" i="176"/>
  <c r="D589" i="176"/>
  <c r="D610" i="172"/>
  <c r="J610" i="172" s="1"/>
  <c r="D515" i="176"/>
  <c r="D541" i="172"/>
  <c r="J541" i="172" s="1"/>
  <c r="D556" i="176"/>
  <c r="D579" i="172"/>
  <c r="J579" i="172" s="1"/>
  <c r="D729" i="172"/>
  <c r="J729" i="172" s="1"/>
  <c r="D711" i="176"/>
  <c r="J32" i="118"/>
  <c r="J33" i="118" s="1"/>
  <c r="D738" i="172"/>
  <c r="J738" i="172" s="1"/>
  <c r="D720" i="176"/>
  <c r="D805" i="176"/>
  <c r="D818" i="172"/>
  <c r="J818" i="172" s="1"/>
  <c r="G14" i="128"/>
  <c r="D22" i="128" s="1"/>
  <c r="G586" i="180" s="1"/>
  <c r="H14" i="128"/>
  <c r="D25" i="128" s="1"/>
  <c r="E105" i="119"/>
  <c r="J105" i="119" s="1"/>
  <c r="J32" i="119"/>
  <c r="D22" i="125"/>
  <c r="I31" i="125"/>
  <c r="H31" i="125"/>
  <c r="H34" i="138"/>
  <c r="H33" i="138"/>
  <c r="F34" i="138"/>
  <c r="F33" i="138"/>
  <c r="D29" i="138"/>
  <c r="D25" i="138"/>
  <c r="H35" i="123"/>
  <c r="G16" i="138"/>
  <c r="G22" i="138" s="1"/>
  <c r="F35" i="123"/>
  <c r="G15" i="138"/>
  <c r="F22" i="138" s="1"/>
  <c r="E33" i="138"/>
  <c r="E34" i="138"/>
  <c r="E35" i="138" s="1"/>
  <c r="D35" i="123"/>
  <c r="G13" i="138"/>
  <c r="G17" i="138"/>
  <c r="H22" i="138" s="1"/>
  <c r="E35" i="123"/>
  <c r="G14" i="138"/>
  <c r="I18" i="138"/>
  <c r="J30" i="119"/>
  <c r="J26" i="121"/>
  <c r="K33" i="126"/>
  <c r="J33" i="126" s="1"/>
  <c r="G527" i="180" s="1"/>
  <c r="G533" i="180" s="1"/>
  <c r="D39" i="177" s="1"/>
  <c r="J67" i="119"/>
  <c r="J35" i="123"/>
  <c r="J62" i="119"/>
  <c r="J31" i="120"/>
  <c r="G791" i="180" s="1"/>
  <c r="M13" i="118"/>
  <c r="J84" i="119"/>
  <c r="J87" i="119" s="1"/>
  <c r="E100" i="119"/>
  <c r="J100" i="119" s="1"/>
  <c r="J20" i="121"/>
  <c r="J21" i="121" s="1"/>
  <c r="G808" i="180" s="1"/>
  <c r="J74" i="119"/>
  <c r="J91" i="119"/>
  <c r="J36" i="134"/>
  <c r="J35" i="134"/>
  <c r="J82" i="119"/>
  <c r="J17" i="121"/>
  <c r="G806" i="180" s="1"/>
  <c r="J60" i="133"/>
  <c r="J61" i="133" s="1"/>
  <c r="J19" i="133"/>
  <c r="J20" i="133"/>
  <c r="O15" i="120"/>
  <c r="M13" i="121"/>
  <c r="M40" i="121"/>
  <c r="M43" i="121"/>
  <c r="M18" i="118"/>
  <c r="M13" i="119"/>
  <c r="J21" i="120"/>
  <c r="G788" i="180" s="1"/>
  <c r="M51" i="121"/>
  <c r="M21" i="119"/>
  <c r="O25" i="120"/>
  <c r="J36" i="121"/>
  <c r="J37" i="121" s="1"/>
  <c r="G815" i="180" s="1"/>
  <c r="M34" i="121"/>
  <c r="J46" i="121"/>
  <c r="G820" i="180" s="1"/>
  <c r="J103" i="119"/>
  <c r="L25" i="120"/>
  <c r="M28" i="133"/>
  <c r="M27" i="118"/>
  <c r="P103" i="119"/>
  <c r="E29" i="121"/>
  <c r="I29" i="121" s="1"/>
  <c r="J29" i="121" s="1"/>
  <c r="J30" i="121" s="1"/>
  <c r="G812" i="180" s="1"/>
  <c r="M58" i="133"/>
  <c r="M59" i="134"/>
  <c r="M56" i="119"/>
  <c r="D49" i="121"/>
  <c r="J49" i="121" s="1"/>
  <c r="G821" i="180" s="1"/>
  <c r="M93" i="134"/>
  <c r="M100" i="134"/>
  <c r="G445" i="180"/>
  <c r="M75" i="133"/>
  <c r="J95" i="119"/>
  <c r="E107" i="119"/>
  <c r="J107" i="119" s="1"/>
  <c r="M90" i="134"/>
  <c r="M40" i="133"/>
  <c r="H34" i="125"/>
  <c r="I41" i="125" s="1"/>
  <c r="H15" i="125"/>
  <c r="D23" i="125"/>
  <c r="J39" i="125" s="1"/>
  <c r="G512" i="180" s="1"/>
  <c r="G449" i="180"/>
  <c r="E41" i="123"/>
  <c r="D38" i="123"/>
  <c r="H25" i="123"/>
  <c r="H14" i="138" s="1"/>
  <c r="F36" i="138" s="1"/>
  <c r="D49" i="123"/>
  <c r="D43" i="123"/>
  <c r="J17" i="118"/>
  <c r="J17" i="119"/>
  <c r="G773" i="180" s="1"/>
  <c r="L15" i="120"/>
  <c r="J18" i="119"/>
  <c r="G772" i="180" s="1"/>
  <c r="J19" i="118"/>
  <c r="G723" i="180" s="1"/>
  <c r="J22" i="118"/>
  <c r="J23" i="118" s="1"/>
  <c r="G726" i="180" s="1"/>
  <c r="G415" i="180" l="1"/>
  <c r="M33" i="118"/>
  <c r="G735" i="180"/>
  <c r="G767" i="180" s="1"/>
  <c r="D50" i="177" s="1"/>
  <c r="G592" i="180"/>
  <c r="G600" i="180"/>
  <c r="M26" i="121"/>
  <c r="G810" i="180"/>
  <c r="J588" i="172"/>
  <c r="J49" i="119"/>
  <c r="G778" i="180" s="1"/>
  <c r="D21" i="128"/>
  <c r="D23" i="128"/>
  <c r="D809" i="172"/>
  <c r="J809" i="172" s="1"/>
  <c r="D796" i="176"/>
  <c r="D800" i="176"/>
  <c r="D813" i="172"/>
  <c r="J813" i="172" s="1"/>
  <c r="D807" i="172"/>
  <c r="J807" i="172" s="1"/>
  <c r="D794" i="176"/>
  <c r="D474" i="172"/>
  <c r="J474" i="172" s="1"/>
  <c r="D444" i="176"/>
  <c r="J438" i="172"/>
  <c r="D803" i="176"/>
  <c r="D816" i="172"/>
  <c r="J816" i="172" s="1"/>
  <c r="D798" i="176"/>
  <c r="D811" i="172"/>
  <c r="J811" i="172" s="1"/>
  <c r="D716" i="176"/>
  <c r="D734" i="172"/>
  <c r="J734" i="172" s="1"/>
  <c r="D713" i="176"/>
  <c r="D731" i="172"/>
  <c r="J731" i="172" s="1"/>
  <c r="J33" i="120"/>
  <c r="J34" i="120" s="1"/>
  <c r="D781" i="176"/>
  <c r="D794" i="172"/>
  <c r="J794" i="172" s="1"/>
  <c r="D441" i="172"/>
  <c r="J441" i="172" s="1"/>
  <c r="D405" i="176"/>
  <c r="D762" i="176"/>
  <c r="D775" i="172"/>
  <c r="J775" i="172" s="1"/>
  <c r="D822" i="172"/>
  <c r="J822" i="172" s="1"/>
  <c r="D809" i="176"/>
  <c r="D517" i="176"/>
  <c r="D543" i="172"/>
  <c r="J543" i="172" s="1"/>
  <c r="J549" i="172" s="1"/>
  <c r="D742" i="172"/>
  <c r="J742" i="172" s="1"/>
  <c r="D725" i="176"/>
  <c r="D435" i="176"/>
  <c r="D465" i="172"/>
  <c r="J465" i="172" s="1"/>
  <c r="D439" i="176"/>
  <c r="D469" i="172"/>
  <c r="J469" i="172" s="1"/>
  <c r="D603" i="172"/>
  <c r="D582" i="176"/>
  <c r="D590" i="176" s="1"/>
  <c r="D821" i="172"/>
  <c r="J821" i="172" s="1"/>
  <c r="D808" i="176"/>
  <c r="D791" i="172"/>
  <c r="J791" i="172" s="1"/>
  <c r="D778" i="176"/>
  <c r="D781" i="172"/>
  <c r="J781" i="172" s="1"/>
  <c r="D768" i="176"/>
  <c r="D763" i="176"/>
  <c r="D776" i="172"/>
  <c r="J776" i="172" s="1"/>
  <c r="D502" i="176"/>
  <c r="D528" i="172"/>
  <c r="J528" i="172" s="1"/>
  <c r="D576" i="176"/>
  <c r="D597" i="172"/>
  <c r="J597" i="172" s="1"/>
  <c r="J31" i="125"/>
  <c r="G505" i="180" s="1"/>
  <c r="J32" i="125"/>
  <c r="G507" i="180" s="1"/>
  <c r="I33" i="96"/>
  <c r="K33" i="96" s="1"/>
  <c r="I40" i="96"/>
  <c r="K40" i="96" s="1"/>
  <c r="I27" i="138"/>
  <c r="J27" i="138" s="1"/>
  <c r="D34" i="138"/>
  <c r="E36" i="138"/>
  <c r="E25" i="138"/>
  <c r="F37" i="138"/>
  <c r="E29" i="138"/>
  <c r="K35" i="123"/>
  <c r="D406" i="176" s="1"/>
  <c r="D446" i="176" s="1"/>
  <c r="G18" i="138"/>
  <c r="I22" i="138" s="1"/>
  <c r="J22" i="138" s="1"/>
  <c r="G694" i="180" s="1"/>
  <c r="O31" i="120"/>
  <c r="M21" i="121"/>
  <c r="J18" i="121"/>
  <c r="G805" i="180" s="1"/>
  <c r="L31" i="120"/>
  <c r="J110" i="119"/>
  <c r="G782" i="180" s="1"/>
  <c r="J40" i="125"/>
  <c r="M17" i="119"/>
  <c r="M61" i="133"/>
  <c r="M36" i="134"/>
  <c r="M19" i="133"/>
  <c r="M37" i="121"/>
  <c r="O21" i="120"/>
  <c r="M20" i="133"/>
  <c r="M30" i="121"/>
  <c r="M23" i="118"/>
  <c r="M49" i="121"/>
  <c r="M17" i="121"/>
  <c r="M19" i="118"/>
  <c r="M49" i="119"/>
  <c r="M18" i="119"/>
  <c r="J51" i="119"/>
  <c r="J53" i="119" s="1"/>
  <c r="G780" i="180" s="1"/>
  <c r="M46" i="121"/>
  <c r="M35" i="134"/>
  <c r="L21" i="120"/>
  <c r="J41" i="125"/>
  <c r="J34" i="125"/>
  <c r="J35" i="125" s="1"/>
  <c r="G510" i="180" s="1"/>
  <c r="E38" i="123"/>
  <c r="H26" i="123"/>
  <c r="E49" i="123"/>
  <c r="N51" i="103"/>
  <c r="G783" i="180" l="1"/>
  <c r="D51" i="177" s="1"/>
  <c r="G456" i="180"/>
  <c r="G416" i="180"/>
  <c r="G518" i="180"/>
  <c r="G516" i="180"/>
  <c r="D578" i="176"/>
  <c r="G588" i="180"/>
  <c r="D594" i="172"/>
  <c r="J594" i="172" s="1"/>
  <c r="G583" i="180"/>
  <c r="O34" i="120"/>
  <c r="G793" i="180"/>
  <c r="G800" i="180" s="1"/>
  <c r="D52" i="177" s="1"/>
  <c r="G823" i="180"/>
  <c r="D573" i="176"/>
  <c r="D599" i="172"/>
  <c r="J599" i="172" s="1"/>
  <c r="I48" i="96"/>
  <c r="K48" i="96" s="1"/>
  <c r="J770" i="172"/>
  <c r="I50" i="96"/>
  <c r="K50" i="96" s="1"/>
  <c r="L34" i="120"/>
  <c r="L43" i="120" s="1"/>
  <c r="D442" i="172"/>
  <c r="D476" i="172" s="1"/>
  <c r="J476" i="172" s="1"/>
  <c r="D495" i="176"/>
  <c r="D521" i="172"/>
  <c r="J521" i="172" s="1"/>
  <c r="D783" i="172"/>
  <c r="J783" i="172" s="1"/>
  <c r="D770" i="176"/>
  <c r="D783" i="176"/>
  <c r="D796" i="172"/>
  <c r="J796" i="172" s="1"/>
  <c r="J801" i="172" s="1"/>
  <c r="M110" i="119"/>
  <c r="D772" i="176"/>
  <c r="D785" i="172"/>
  <c r="J785" i="172" s="1"/>
  <c r="D684" i="176"/>
  <c r="D702" i="172"/>
  <c r="J702" i="172" s="1"/>
  <c r="D500" i="176"/>
  <c r="D526" i="172"/>
  <c r="J526" i="172" s="1"/>
  <c r="I51" i="96"/>
  <c r="K51" i="96" s="1"/>
  <c r="D793" i="176"/>
  <c r="D806" i="172"/>
  <c r="J806" i="172" s="1"/>
  <c r="J824" i="172" s="1"/>
  <c r="D506" i="176"/>
  <c r="D508" i="176" s="1"/>
  <c r="D532" i="172"/>
  <c r="D497" i="176"/>
  <c r="D523" i="172"/>
  <c r="J523" i="172" s="1"/>
  <c r="D611" i="172"/>
  <c r="J611" i="172" s="1"/>
  <c r="J603" i="172"/>
  <c r="I32" i="96"/>
  <c r="K32" i="96" s="1"/>
  <c r="H15" i="138"/>
  <c r="F29" i="138" s="1"/>
  <c r="F49" i="123"/>
  <c r="J33" i="125"/>
  <c r="I44" i="96"/>
  <c r="K44" i="96" s="1"/>
  <c r="I38" i="96"/>
  <c r="K38" i="96" s="1"/>
  <c r="E37" i="138"/>
  <c r="D35" i="138"/>
  <c r="F36" i="123"/>
  <c r="F42" i="123"/>
  <c r="M101" i="134"/>
  <c r="M18" i="121"/>
  <c r="M52" i="121" s="1"/>
  <c r="G435" i="180"/>
  <c r="O43" i="120"/>
  <c r="M58" i="118"/>
  <c r="M53" i="119"/>
  <c r="M76" i="133"/>
  <c r="H28" i="123"/>
  <c r="H49" i="123" s="1"/>
  <c r="G519" i="180" l="1"/>
  <c r="D38" i="177" s="1"/>
  <c r="G604" i="180"/>
  <c r="D42" i="177" s="1"/>
  <c r="D53" i="177"/>
  <c r="D54" i="177" s="1"/>
  <c r="G824" i="180"/>
  <c r="J612" i="172"/>
  <c r="M111" i="119"/>
  <c r="J442" i="172"/>
  <c r="F23" i="138"/>
  <c r="I49" i="96"/>
  <c r="K49" i="96" s="1"/>
  <c r="D534" i="172"/>
  <c r="J534" i="172" s="1"/>
  <c r="J532" i="172"/>
  <c r="D457" i="172"/>
  <c r="J457" i="172" s="1"/>
  <c r="D425" i="176"/>
  <c r="J786" i="172"/>
  <c r="J825" i="172" s="1"/>
  <c r="I41" i="96"/>
  <c r="K41" i="96" s="1"/>
  <c r="H42" i="123"/>
  <c r="H16" i="138"/>
  <c r="H30" i="123"/>
  <c r="J45" i="123" s="1"/>
  <c r="L42" i="123" l="1"/>
  <c r="G429" i="180" s="1"/>
  <c r="J535" i="172"/>
  <c r="F30" i="123"/>
  <c r="H17" i="138"/>
  <c r="H36" i="138" s="1"/>
  <c r="H37" i="138" s="1"/>
  <c r="E835" i="172"/>
  <c r="D419" i="176"/>
  <c r="D454" i="172"/>
  <c r="J454" i="172" s="1"/>
  <c r="G24" i="138"/>
  <c r="J24" i="138" s="1"/>
  <c r="G697" i="180" s="1"/>
  <c r="G36" i="138"/>
  <c r="G29" i="138"/>
  <c r="F35" i="138"/>
  <c r="J43" i="123"/>
  <c r="H37" i="123"/>
  <c r="J38" i="123"/>
  <c r="L38" i="123" s="1"/>
  <c r="I37" i="96"/>
  <c r="K37" i="96" s="1"/>
  <c r="H31" i="123"/>
  <c r="L35" i="123"/>
  <c r="J49" i="123"/>
  <c r="L37" i="123" l="1"/>
  <c r="G422" i="180" s="1"/>
  <c r="H25" i="138"/>
  <c r="J39" i="123"/>
  <c r="H30" i="138"/>
  <c r="F31" i="123"/>
  <c r="K39" i="123" s="1"/>
  <c r="K41" i="123" s="1"/>
  <c r="K45" i="123"/>
  <c r="L45" i="123" s="1"/>
  <c r="D412" i="176"/>
  <c r="D448" i="172"/>
  <c r="J448" i="172" s="1"/>
  <c r="D687" i="176"/>
  <c r="D705" i="172"/>
  <c r="J705" i="172" s="1"/>
  <c r="H18" i="138"/>
  <c r="I36" i="138" s="1"/>
  <c r="J33" i="138"/>
  <c r="G706" i="180" s="1"/>
  <c r="G37" i="138"/>
  <c r="K36" i="123"/>
  <c r="K43" i="123"/>
  <c r="N33" i="123"/>
  <c r="Q33" i="123" s="1"/>
  <c r="R33" i="123" s="1"/>
  <c r="K49" i="123"/>
  <c r="L36" i="123" l="1"/>
  <c r="G421" i="180" s="1"/>
  <c r="J41" i="123"/>
  <c r="L41" i="123" s="1"/>
  <c r="L39" i="123"/>
  <c r="G444" i="180" s="1"/>
  <c r="L43" i="123"/>
  <c r="G430" i="180" s="1"/>
  <c r="L49" i="123"/>
  <c r="G426" i="180" s="1"/>
  <c r="D451" i="172"/>
  <c r="J451" i="172" s="1"/>
  <c r="D455" i="172"/>
  <c r="J455" i="172" s="1"/>
  <c r="D420" i="176"/>
  <c r="D411" i="176"/>
  <c r="D696" i="176"/>
  <c r="D714" i="172"/>
  <c r="J714" i="172" s="1"/>
  <c r="I32" i="138"/>
  <c r="J32" i="138" s="1"/>
  <c r="G715" i="180" s="1"/>
  <c r="I23" i="138"/>
  <c r="J23" i="138" s="1"/>
  <c r="G696" i="180" s="1"/>
  <c r="J31" i="138"/>
  <c r="G705" i="180" s="1"/>
  <c r="I30" i="138"/>
  <c r="J30" i="138" s="1"/>
  <c r="G703" i="180" s="1"/>
  <c r="F18" i="138"/>
  <c r="I26" i="138" s="1"/>
  <c r="I28" i="138" s="1"/>
  <c r="H35" i="138"/>
  <c r="J35" i="138" s="1"/>
  <c r="G710" i="180" s="1"/>
  <c r="J34" i="138"/>
  <c r="G708" i="180" s="1"/>
  <c r="J29" i="138"/>
  <c r="G702" i="180" s="1"/>
  <c r="J25" i="138"/>
  <c r="G698" i="180" s="1"/>
  <c r="G451" i="180"/>
  <c r="G423" i="180"/>
  <c r="J40" i="103"/>
  <c r="J39" i="103"/>
  <c r="G27" i="103"/>
  <c r="E17" i="103"/>
  <c r="E23" i="103" s="1"/>
  <c r="J23" i="103" s="1"/>
  <c r="J13" i="103"/>
  <c r="J12" i="103"/>
  <c r="D416" i="176" l="1"/>
  <c r="D447" i="172"/>
  <c r="J447" i="172" s="1"/>
  <c r="J51" i="123"/>
  <c r="G447" i="180" s="1"/>
  <c r="G461" i="180" s="1"/>
  <c r="D35" i="177" s="1"/>
  <c r="D693" i="176"/>
  <c r="D711" i="172"/>
  <c r="J711" i="172" s="1"/>
  <c r="D688" i="176"/>
  <c r="D706" i="172"/>
  <c r="J706" i="172" s="1"/>
  <c r="D441" i="176"/>
  <c r="D471" i="172"/>
  <c r="J471" i="172" s="1"/>
  <c r="D686" i="176"/>
  <c r="D704" i="172"/>
  <c r="J704" i="172" s="1"/>
  <c r="D434" i="176"/>
  <c r="D464" i="172"/>
  <c r="J464" i="172" s="1"/>
  <c r="D716" i="172"/>
  <c r="J716" i="172" s="1"/>
  <c r="D698" i="176"/>
  <c r="D413" i="176"/>
  <c r="D449" i="172"/>
  <c r="J449" i="172" s="1"/>
  <c r="D700" i="176"/>
  <c r="D718" i="172"/>
  <c r="J718" i="172" s="1"/>
  <c r="D713" i="172"/>
  <c r="J713" i="172" s="1"/>
  <c r="D695" i="176"/>
  <c r="D723" i="172"/>
  <c r="J723" i="172" s="1"/>
  <c r="D705" i="176"/>
  <c r="D692" i="176"/>
  <c r="D710" i="172"/>
  <c r="J710" i="172" s="1"/>
  <c r="I37" i="138"/>
  <c r="J36" i="138"/>
  <c r="G713" i="180" s="1"/>
  <c r="G716" i="180" s="1"/>
  <c r="J28" i="138"/>
  <c r="J26" i="138"/>
  <c r="J41" i="103"/>
  <c r="G260" i="180" s="1"/>
  <c r="E27" i="103"/>
  <c r="J14" i="103"/>
  <c r="G248" i="180" s="1"/>
  <c r="D13" i="68"/>
  <c r="D18" i="68"/>
  <c r="H11" i="114"/>
  <c r="J67" i="86"/>
  <c r="J64" i="86"/>
  <c r="J59" i="86"/>
  <c r="J58" i="86"/>
  <c r="J57" i="86"/>
  <c r="J55" i="86"/>
  <c r="J54" i="86"/>
  <c r="J53" i="86"/>
  <c r="J52" i="86"/>
  <c r="J51" i="86"/>
  <c r="J49" i="86"/>
  <c r="J48" i="86"/>
  <c r="J47" i="86"/>
  <c r="J44" i="86"/>
  <c r="J98" i="86"/>
  <c r="H70" i="86"/>
  <c r="J70" i="86" s="1"/>
  <c r="J69" i="86"/>
  <c r="J68" i="86"/>
  <c r="J66" i="86"/>
  <c r="J65" i="86"/>
  <c r="H61" i="86"/>
  <c r="J61" i="86" s="1"/>
  <c r="J60" i="86"/>
  <c r="I56" i="86"/>
  <c r="J56" i="86" s="1"/>
  <c r="H46" i="86"/>
  <c r="J46" i="86" s="1"/>
  <c r="J43" i="86"/>
  <c r="E242" i="86"/>
  <c r="J242" i="86" s="1"/>
  <c r="D239" i="86"/>
  <c r="J239" i="86" s="1"/>
  <c r="H236" i="86"/>
  <c r="J236" i="86" s="1"/>
  <c r="J234" i="86"/>
  <c r="J231" i="86"/>
  <c r="Q16" i="86"/>
  <c r="C12" i="112"/>
  <c r="C23" i="112"/>
  <c r="C22" i="112"/>
  <c r="C21" i="112"/>
  <c r="C20" i="112"/>
  <c r="C18" i="112"/>
  <c r="C17" i="112"/>
  <c r="C16" i="112"/>
  <c r="L20" i="108"/>
  <c r="L21" i="108" s="1"/>
  <c r="E6" i="111"/>
  <c r="E7" i="111"/>
  <c r="E8" i="111"/>
  <c r="E9" i="111"/>
  <c r="E10" i="111"/>
  <c r="E11" i="111"/>
  <c r="E13" i="111"/>
  <c r="E14" i="111"/>
  <c r="E15" i="111"/>
  <c r="E18" i="111"/>
  <c r="E19" i="111"/>
  <c r="E21" i="111"/>
  <c r="E22" i="111"/>
  <c r="E24" i="111"/>
  <c r="E25" i="111"/>
  <c r="E5" i="111"/>
  <c r="J218" i="86"/>
  <c r="J216" i="86"/>
  <c r="J213" i="86"/>
  <c r="J211" i="86"/>
  <c r="J201" i="86"/>
  <c r="J227" i="86"/>
  <c r="J228" i="86" s="1"/>
  <c r="J225" i="86"/>
  <c r="J221" i="86"/>
  <c r="J222" i="86" s="1"/>
  <c r="J207" i="86"/>
  <c r="J206" i="86"/>
  <c r="J203" i="86"/>
  <c r="J202" i="86"/>
  <c r="J200" i="86"/>
  <c r="J196" i="86"/>
  <c r="K118" i="110"/>
  <c r="C327" i="110"/>
  <c r="H326" i="110"/>
  <c r="G326" i="110" s="1"/>
  <c r="E326" i="110"/>
  <c r="F326" i="110" s="1"/>
  <c r="D326" i="110"/>
  <c r="C326" i="110"/>
  <c r="C324" i="110"/>
  <c r="H323" i="110"/>
  <c r="G323" i="110" s="1"/>
  <c r="E323" i="110"/>
  <c r="F323" i="110" s="1"/>
  <c r="D323" i="110"/>
  <c r="C323" i="110"/>
  <c r="C321" i="110"/>
  <c r="H320" i="110"/>
  <c r="G320" i="110" s="1"/>
  <c r="E320" i="110"/>
  <c r="F320" i="110" s="1"/>
  <c r="D320" i="110"/>
  <c r="C320" i="110"/>
  <c r="C318" i="110"/>
  <c r="H317" i="110"/>
  <c r="G317" i="110" s="1"/>
  <c r="E317" i="110"/>
  <c r="F317" i="110" s="1"/>
  <c r="D317" i="110"/>
  <c r="C317" i="110"/>
  <c r="H314" i="110"/>
  <c r="G314" i="110" s="1"/>
  <c r="E314" i="110"/>
  <c r="F314" i="110" s="1"/>
  <c r="D314" i="110"/>
  <c r="C314" i="110"/>
  <c r="H311" i="110"/>
  <c r="G311" i="110" s="1"/>
  <c r="E311" i="110"/>
  <c r="F311" i="110" s="1"/>
  <c r="C311" i="110"/>
  <c r="H310" i="110"/>
  <c r="G310" i="110" s="1"/>
  <c r="E310" i="110"/>
  <c r="F310" i="110" s="1"/>
  <c r="J310" i="110" s="1"/>
  <c r="C310" i="110"/>
  <c r="H306" i="110"/>
  <c r="G306" i="110" s="1"/>
  <c r="E306" i="110"/>
  <c r="F306" i="110" s="1"/>
  <c r="D306" i="110"/>
  <c r="C306" i="110"/>
  <c r="H302" i="110"/>
  <c r="G302" i="110" s="1"/>
  <c r="E302" i="110"/>
  <c r="F302" i="110" s="1"/>
  <c r="D302" i="110"/>
  <c r="C302" i="110"/>
  <c r="I299" i="110"/>
  <c r="F299" i="110"/>
  <c r="J299" i="110" s="1"/>
  <c r="G298" i="110"/>
  <c r="E298" i="110"/>
  <c r="F298" i="110" s="1"/>
  <c r="J298" i="110" s="1"/>
  <c r="G297" i="110"/>
  <c r="I297" i="110" s="1"/>
  <c r="F297" i="110"/>
  <c r="J297" i="110" s="1"/>
  <c r="G296" i="110"/>
  <c r="I296" i="110" s="1"/>
  <c r="F296" i="110"/>
  <c r="J296" i="110" s="1"/>
  <c r="G295" i="110"/>
  <c r="E295" i="110"/>
  <c r="G294" i="110"/>
  <c r="E294" i="110"/>
  <c r="F294" i="110" s="1"/>
  <c r="J294" i="110" s="1"/>
  <c r="G293" i="110"/>
  <c r="I293" i="110" s="1"/>
  <c r="F293" i="110"/>
  <c r="J293" i="110" s="1"/>
  <c r="B293" i="110"/>
  <c r="B294" i="110" s="1"/>
  <c r="B295" i="110" s="1"/>
  <c r="B296" i="110" s="1"/>
  <c r="B297" i="110" s="1"/>
  <c r="B298" i="110" s="1"/>
  <c r="B299" i="110" s="1"/>
  <c r="G292" i="110"/>
  <c r="E292" i="110"/>
  <c r="F292" i="110" s="1"/>
  <c r="J292" i="110" s="1"/>
  <c r="H289" i="110"/>
  <c r="G289" i="110" s="1"/>
  <c r="E289" i="110"/>
  <c r="F289" i="110" s="1"/>
  <c r="D289" i="110"/>
  <c r="C289" i="110"/>
  <c r="B289" i="110"/>
  <c r="H288" i="110"/>
  <c r="G288" i="110" s="1"/>
  <c r="E288" i="110"/>
  <c r="F288" i="110" s="1"/>
  <c r="D288" i="110"/>
  <c r="C288" i="110"/>
  <c r="B288" i="110"/>
  <c r="H287" i="110"/>
  <c r="G287" i="110" s="1"/>
  <c r="E287" i="110"/>
  <c r="F287" i="110" s="1"/>
  <c r="D287" i="110"/>
  <c r="C287" i="110"/>
  <c r="B287" i="110"/>
  <c r="H286" i="110"/>
  <c r="G286" i="110" s="1"/>
  <c r="E286" i="110"/>
  <c r="F286" i="110" s="1"/>
  <c r="D286" i="110"/>
  <c r="C286" i="110"/>
  <c r="B286" i="110"/>
  <c r="H285" i="110"/>
  <c r="G285" i="110" s="1"/>
  <c r="E285" i="110"/>
  <c r="F285" i="110" s="1"/>
  <c r="D285" i="110"/>
  <c r="C285" i="110"/>
  <c r="B285" i="110"/>
  <c r="H284" i="110"/>
  <c r="G284" i="110" s="1"/>
  <c r="E284" i="110"/>
  <c r="F284" i="110" s="1"/>
  <c r="D284" i="110"/>
  <c r="C284" i="110"/>
  <c r="B284" i="110"/>
  <c r="H283" i="110"/>
  <c r="G283" i="110" s="1"/>
  <c r="E283" i="110"/>
  <c r="F283" i="110" s="1"/>
  <c r="D283" i="110"/>
  <c r="C283" i="110"/>
  <c r="B283" i="110"/>
  <c r="H282" i="110"/>
  <c r="G282" i="110" s="1"/>
  <c r="E282" i="110"/>
  <c r="F282" i="110" s="1"/>
  <c r="D282" i="110"/>
  <c r="C282" i="110"/>
  <c r="B282" i="110"/>
  <c r="H281" i="110"/>
  <c r="G281" i="110" s="1"/>
  <c r="E281" i="110"/>
  <c r="F281" i="110" s="1"/>
  <c r="D281" i="110"/>
  <c r="C281" i="110"/>
  <c r="B281" i="110"/>
  <c r="H280" i="110"/>
  <c r="G280" i="110" s="1"/>
  <c r="E280" i="110"/>
  <c r="F280" i="110" s="1"/>
  <c r="D280" i="110"/>
  <c r="C280" i="110"/>
  <c r="B280" i="110"/>
  <c r="H279" i="110"/>
  <c r="G279" i="110" s="1"/>
  <c r="E279" i="110"/>
  <c r="F279" i="110" s="1"/>
  <c r="D279" i="110"/>
  <c r="C279" i="110"/>
  <c r="B279" i="110"/>
  <c r="H278" i="110"/>
  <c r="G278" i="110" s="1"/>
  <c r="E278" i="110"/>
  <c r="I278" i="110" s="1"/>
  <c r="D278" i="110"/>
  <c r="C278" i="110"/>
  <c r="B278" i="110"/>
  <c r="H277" i="110"/>
  <c r="G277" i="110" s="1"/>
  <c r="E277" i="110"/>
  <c r="F277" i="110" s="1"/>
  <c r="D277" i="110"/>
  <c r="C277" i="110"/>
  <c r="B277" i="110"/>
  <c r="H274" i="110"/>
  <c r="G274" i="110" s="1"/>
  <c r="E274" i="110"/>
  <c r="F274" i="110" s="1"/>
  <c r="D274" i="110"/>
  <c r="C274" i="110"/>
  <c r="H273" i="110"/>
  <c r="G273" i="110" s="1"/>
  <c r="E273" i="110"/>
  <c r="F273" i="110" s="1"/>
  <c r="D273" i="110"/>
  <c r="C273" i="110"/>
  <c r="H272" i="110"/>
  <c r="G272" i="110" s="1"/>
  <c r="E272" i="110"/>
  <c r="F272" i="110" s="1"/>
  <c r="D272" i="110"/>
  <c r="C272" i="110"/>
  <c r="H271" i="110"/>
  <c r="G271" i="110" s="1"/>
  <c r="E271" i="110"/>
  <c r="F271" i="110" s="1"/>
  <c r="D271" i="110"/>
  <c r="C271" i="110"/>
  <c r="H270" i="110"/>
  <c r="G270" i="110" s="1"/>
  <c r="E270" i="110"/>
  <c r="F270" i="110" s="1"/>
  <c r="D270" i="110"/>
  <c r="C270" i="110"/>
  <c r="H269" i="110"/>
  <c r="G269" i="110" s="1"/>
  <c r="E269" i="110"/>
  <c r="F269" i="110" s="1"/>
  <c r="D269" i="110"/>
  <c r="C269" i="110"/>
  <c r="H268" i="110"/>
  <c r="G268" i="110" s="1"/>
  <c r="E268" i="110"/>
  <c r="F268" i="110" s="1"/>
  <c r="D268" i="110"/>
  <c r="C268" i="110"/>
  <c r="H267" i="110"/>
  <c r="G267" i="110" s="1"/>
  <c r="E267" i="110"/>
  <c r="F267" i="110" s="1"/>
  <c r="D267" i="110"/>
  <c r="C267" i="110"/>
  <c r="H266" i="110"/>
  <c r="G266" i="110" s="1"/>
  <c r="E266" i="110"/>
  <c r="F266" i="110" s="1"/>
  <c r="D266" i="110"/>
  <c r="C266" i="110"/>
  <c r="H265" i="110"/>
  <c r="G265" i="110" s="1"/>
  <c r="E265" i="110"/>
  <c r="F265" i="110" s="1"/>
  <c r="D265" i="110"/>
  <c r="C265" i="110"/>
  <c r="H264" i="110"/>
  <c r="G264" i="110" s="1"/>
  <c r="E264" i="110"/>
  <c r="F264" i="110" s="1"/>
  <c r="D264" i="110"/>
  <c r="C264" i="110"/>
  <c r="H263" i="110"/>
  <c r="G263" i="110" s="1"/>
  <c r="E263" i="110"/>
  <c r="F263" i="110" s="1"/>
  <c r="D263" i="110"/>
  <c r="C263" i="110"/>
  <c r="H262" i="110"/>
  <c r="G262" i="110" s="1"/>
  <c r="E262" i="110"/>
  <c r="F262" i="110" s="1"/>
  <c r="D262" i="110"/>
  <c r="C262" i="110"/>
  <c r="H261" i="110"/>
  <c r="G261" i="110" s="1"/>
  <c r="E261" i="110"/>
  <c r="F261" i="110" s="1"/>
  <c r="D261" i="110"/>
  <c r="C261" i="110"/>
  <c r="H260" i="110"/>
  <c r="G260" i="110" s="1"/>
  <c r="E260" i="110"/>
  <c r="F260" i="110" s="1"/>
  <c r="D260" i="110"/>
  <c r="C260" i="110"/>
  <c r="H259" i="110"/>
  <c r="G259" i="110" s="1"/>
  <c r="E259" i="110"/>
  <c r="F259" i="110" s="1"/>
  <c r="D259" i="110"/>
  <c r="C259" i="110"/>
  <c r="H258" i="110"/>
  <c r="G258" i="110" s="1"/>
  <c r="E258" i="110"/>
  <c r="F258" i="110" s="1"/>
  <c r="D258" i="110"/>
  <c r="C258" i="110"/>
  <c r="H257" i="110"/>
  <c r="G257" i="110" s="1"/>
  <c r="E257" i="110"/>
  <c r="F257" i="110" s="1"/>
  <c r="D257" i="110"/>
  <c r="C257" i="110"/>
  <c r="H256" i="110"/>
  <c r="G256" i="110" s="1"/>
  <c r="E256" i="110"/>
  <c r="F256" i="110" s="1"/>
  <c r="D256" i="110"/>
  <c r="C256" i="110"/>
  <c r="H255" i="110"/>
  <c r="G255" i="110" s="1"/>
  <c r="E255" i="110"/>
  <c r="F255" i="110" s="1"/>
  <c r="D255" i="110"/>
  <c r="C255" i="110"/>
  <c r="H254" i="110"/>
  <c r="G254" i="110" s="1"/>
  <c r="E254" i="110"/>
  <c r="F254" i="110" s="1"/>
  <c r="C254" i="110"/>
  <c r="H253" i="110"/>
  <c r="G253" i="110" s="1"/>
  <c r="E253" i="110"/>
  <c r="F253" i="110" s="1"/>
  <c r="C253" i="110"/>
  <c r="H252" i="110"/>
  <c r="G252" i="110" s="1"/>
  <c r="E252" i="110"/>
  <c r="F252" i="110" s="1"/>
  <c r="D252" i="110"/>
  <c r="C252" i="110"/>
  <c r="B252" i="110"/>
  <c r="H251" i="110"/>
  <c r="G251" i="110" s="1"/>
  <c r="E251" i="110"/>
  <c r="F251" i="110" s="1"/>
  <c r="D251" i="110"/>
  <c r="C251" i="110"/>
  <c r="B251" i="110"/>
  <c r="H250" i="110"/>
  <c r="G250" i="110" s="1"/>
  <c r="E250" i="110"/>
  <c r="F250" i="110" s="1"/>
  <c r="D250" i="110"/>
  <c r="C250" i="110"/>
  <c r="B250" i="110"/>
  <c r="H249" i="110"/>
  <c r="G249" i="110" s="1"/>
  <c r="E249" i="110"/>
  <c r="F249" i="110" s="1"/>
  <c r="D249" i="110"/>
  <c r="C249" i="110"/>
  <c r="B249" i="110"/>
  <c r="H248" i="110"/>
  <c r="G248" i="110" s="1"/>
  <c r="E248" i="110"/>
  <c r="D248" i="110"/>
  <c r="C248" i="110"/>
  <c r="B248" i="110"/>
  <c r="H247" i="110"/>
  <c r="G247" i="110" s="1"/>
  <c r="E247" i="110"/>
  <c r="F247" i="110" s="1"/>
  <c r="D247" i="110"/>
  <c r="C247" i="110"/>
  <c r="B247" i="110"/>
  <c r="H246" i="110"/>
  <c r="G246" i="110" s="1"/>
  <c r="E246" i="110"/>
  <c r="F246" i="110" s="1"/>
  <c r="D246" i="110"/>
  <c r="C246" i="110"/>
  <c r="B246" i="110"/>
  <c r="H245" i="110"/>
  <c r="G245" i="110" s="1"/>
  <c r="I245" i="110" s="1"/>
  <c r="E245" i="110"/>
  <c r="F245" i="110" s="1"/>
  <c r="D245" i="110"/>
  <c r="C245" i="110"/>
  <c r="B245" i="110"/>
  <c r="H244" i="110"/>
  <c r="G244" i="110" s="1"/>
  <c r="E244" i="110"/>
  <c r="F244" i="110" s="1"/>
  <c r="D244" i="110"/>
  <c r="C244" i="110"/>
  <c r="B244" i="110"/>
  <c r="H243" i="110"/>
  <c r="G243" i="110" s="1"/>
  <c r="E243" i="110"/>
  <c r="F243" i="110" s="1"/>
  <c r="D243" i="110"/>
  <c r="C243" i="110"/>
  <c r="B243" i="110"/>
  <c r="H242" i="110"/>
  <c r="G242" i="110" s="1"/>
  <c r="E242" i="110"/>
  <c r="F242" i="110" s="1"/>
  <c r="D242" i="110"/>
  <c r="C242" i="110"/>
  <c r="B242" i="110"/>
  <c r="H241" i="110"/>
  <c r="G241" i="110" s="1"/>
  <c r="E241" i="110"/>
  <c r="F241" i="110" s="1"/>
  <c r="D241" i="110"/>
  <c r="C241" i="110"/>
  <c r="B241" i="110"/>
  <c r="H240" i="110"/>
  <c r="G240" i="110" s="1"/>
  <c r="E240" i="110"/>
  <c r="D240" i="110"/>
  <c r="C240" i="110"/>
  <c r="B240" i="110"/>
  <c r="H239" i="110"/>
  <c r="G239" i="110" s="1"/>
  <c r="E239" i="110"/>
  <c r="F239" i="110" s="1"/>
  <c r="D239" i="110"/>
  <c r="C239" i="110"/>
  <c r="B239" i="110"/>
  <c r="H238" i="110"/>
  <c r="G238" i="110" s="1"/>
  <c r="E238" i="110"/>
  <c r="F238" i="110" s="1"/>
  <c r="D238" i="110"/>
  <c r="C238" i="110"/>
  <c r="B238" i="110"/>
  <c r="H237" i="110"/>
  <c r="G237" i="110" s="1"/>
  <c r="E237" i="110"/>
  <c r="F237" i="110" s="1"/>
  <c r="D237" i="110"/>
  <c r="C237" i="110"/>
  <c r="B237" i="110"/>
  <c r="H236" i="110"/>
  <c r="G236" i="110" s="1"/>
  <c r="E236" i="110"/>
  <c r="F236" i="110" s="1"/>
  <c r="D236" i="110"/>
  <c r="C236" i="110"/>
  <c r="B236" i="110"/>
  <c r="H235" i="110"/>
  <c r="G235" i="110" s="1"/>
  <c r="E235" i="110"/>
  <c r="F235" i="110" s="1"/>
  <c r="D235" i="110"/>
  <c r="C235" i="110"/>
  <c r="B235" i="110"/>
  <c r="H234" i="110"/>
  <c r="G234" i="110" s="1"/>
  <c r="E234" i="110"/>
  <c r="F234" i="110" s="1"/>
  <c r="D234" i="110"/>
  <c r="C234" i="110"/>
  <c r="B234" i="110"/>
  <c r="H233" i="110"/>
  <c r="G233" i="110" s="1"/>
  <c r="E233" i="110"/>
  <c r="F233" i="110" s="1"/>
  <c r="D233" i="110"/>
  <c r="C233" i="110"/>
  <c r="B233" i="110"/>
  <c r="H232" i="110"/>
  <c r="G232" i="110" s="1"/>
  <c r="E232" i="110"/>
  <c r="F232" i="110" s="1"/>
  <c r="D232" i="110"/>
  <c r="C232" i="110"/>
  <c r="B232" i="110"/>
  <c r="H231" i="110"/>
  <c r="G231" i="110" s="1"/>
  <c r="E231" i="110"/>
  <c r="F231" i="110" s="1"/>
  <c r="D231" i="110"/>
  <c r="C231" i="110"/>
  <c r="B231" i="110"/>
  <c r="H230" i="110"/>
  <c r="G230" i="110" s="1"/>
  <c r="E230" i="110"/>
  <c r="F230" i="110" s="1"/>
  <c r="D230" i="110"/>
  <c r="C230" i="110"/>
  <c r="B230" i="110"/>
  <c r="H229" i="110"/>
  <c r="G229" i="110" s="1"/>
  <c r="E229" i="110"/>
  <c r="F229" i="110" s="1"/>
  <c r="D229" i="110"/>
  <c r="C229" i="110"/>
  <c r="B229" i="110"/>
  <c r="H228" i="110"/>
  <c r="G228" i="110" s="1"/>
  <c r="E228" i="110"/>
  <c r="D228" i="110"/>
  <c r="C228" i="110"/>
  <c r="B228" i="110"/>
  <c r="H227" i="110"/>
  <c r="G227" i="110" s="1"/>
  <c r="E227" i="110"/>
  <c r="F227" i="110" s="1"/>
  <c r="G226" i="110"/>
  <c r="E226" i="110"/>
  <c r="F226" i="110" s="1"/>
  <c r="J226" i="110" s="1"/>
  <c r="G225" i="110"/>
  <c r="E225" i="110"/>
  <c r="F225" i="110" s="1"/>
  <c r="J225" i="110" s="1"/>
  <c r="D224" i="110"/>
  <c r="C224" i="110"/>
  <c r="B224" i="110"/>
  <c r="H223" i="110"/>
  <c r="G223" i="110" s="1"/>
  <c r="E223" i="110"/>
  <c r="F223" i="110" s="1"/>
  <c r="H222" i="110"/>
  <c r="G222" i="110" s="1"/>
  <c r="E222" i="110"/>
  <c r="F222" i="110" s="1"/>
  <c r="D221" i="110"/>
  <c r="C221" i="110"/>
  <c r="B221" i="110"/>
  <c r="H220" i="110"/>
  <c r="G220" i="110" s="1"/>
  <c r="E220" i="110"/>
  <c r="D220" i="110"/>
  <c r="C220" i="110"/>
  <c r="B220" i="110"/>
  <c r="H219" i="110"/>
  <c r="G219" i="110" s="1"/>
  <c r="E219" i="110"/>
  <c r="F219" i="110" s="1"/>
  <c r="D219" i="110"/>
  <c r="C219" i="110"/>
  <c r="B219" i="110"/>
  <c r="H218" i="110"/>
  <c r="G218" i="110" s="1"/>
  <c r="E218" i="110"/>
  <c r="K218" i="110" s="1"/>
  <c r="K220" i="110" s="1"/>
  <c r="D218" i="110"/>
  <c r="C218" i="110"/>
  <c r="B218" i="110"/>
  <c r="H215" i="110"/>
  <c r="G215" i="110" s="1"/>
  <c r="E215" i="110"/>
  <c r="F215" i="110" s="1"/>
  <c r="D215" i="110"/>
  <c r="C215" i="110"/>
  <c r="B215" i="110"/>
  <c r="H214" i="110"/>
  <c r="G214" i="110" s="1"/>
  <c r="E214" i="110"/>
  <c r="F214" i="110" s="1"/>
  <c r="D214" i="110"/>
  <c r="C214" i="110"/>
  <c r="B214" i="110"/>
  <c r="H211" i="110"/>
  <c r="G211" i="110" s="1"/>
  <c r="E211" i="110"/>
  <c r="F211" i="110" s="1"/>
  <c r="D211" i="110"/>
  <c r="C211" i="110"/>
  <c r="B211" i="110"/>
  <c r="H210" i="110"/>
  <c r="G210" i="110" s="1"/>
  <c r="E210" i="110"/>
  <c r="F210" i="110" s="1"/>
  <c r="D210" i="110"/>
  <c r="C210" i="110"/>
  <c r="B210" i="110"/>
  <c r="H209" i="110"/>
  <c r="G209" i="110" s="1"/>
  <c r="E209" i="110"/>
  <c r="F209" i="110" s="1"/>
  <c r="D209" i="110"/>
  <c r="C209" i="110"/>
  <c r="B209" i="110"/>
  <c r="H208" i="110"/>
  <c r="G208" i="110" s="1"/>
  <c r="E208" i="110"/>
  <c r="F208" i="110" s="1"/>
  <c r="D208" i="110"/>
  <c r="C208" i="110"/>
  <c r="B208" i="110"/>
  <c r="H205" i="110"/>
  <c r="G205" i="110" s="1"/>
  <c r="E205" i="110"/>
  <c r="F205" i="110" s="1"/>
  <c r="D205" i="110"/>
  <c r="C205" i="110"/>
  <c r="B205" i="110"/>
  <c r="H204" i="110"/>
  <c r="G204" i="110" s="1"/>
  <c r="E204" i="110"/>
  <c r="F204" i="110" s="1"/>
  <c r="D204" i="110"/>
  <c r="C204" i="110"/>
  <c r="B204" i="110"/>
  <c r="H203" i="110"/>
  <c r="G203" i="110" s="1"/>
  <c r="E203" i="110"/>
  <c r="F203" i="110" s="1"/>
  <c r="D203" i="110"/>
  <c r="C203" i="110"/>
  <c r="B203" i="110"/>
  <c r="H200" i="110"/>
  <c r="G200" i="110" s="1"/>
  <c r="E200" i="110"/>
  <c r="F200" i="110" s="1"/>
  <c r="D200" i="110"/>
  <c r="C200" i="110"/>
  <c r="B200" i="110"/>
  <c r="H199" i="110"/>
  <c r="G199" i="110" s="1"/>
  <c r="E199" i="110"/>
  <c r="D199" i="110"/>
  <c r="C199" i="110"/>
  <c r="B199" i="110"/>
  <c r="H198" i="110"/>
  <c r="G198" i="110" s="1"/>
  <c r="E198" i="110"/>
  <c r="F198" i="110" s="1"/>
  <c r="D198" i="110"/>
  <c r="C198" i="110"/>
  <c r="B198" i="110"/>
  <c r="H195" i="110"/>
  <c r="G195" i="110" s="1"/>
  <c r="E195" i="110"/>
  <c r="D195" i="110"/>
  <c r="C195" i="110"/>
  <c r="B195" i="110"/>
  <c r="H192" i="110"/>
  <c r="G192" i="110" s="1"/>
  <c r="E192" i="110"/>
  <c r="F192" i="110" s="1"/>
  <c r="D192" i="110"/>
  <c r="C192" i="110"/>
  <c r="B192" i="110"/>
  <c r="H191" i="110"/>
  <c r="G191" i="110" s="1"/>
  <c r="E191" i="110"/>
  <c r="F191" i="110" s="1"/>
  <c r="D191" i="110"/>
  <c r="C191" i="110"/>
  <c r="B191" i="110"/>
  <c r="H190" i="110"/>
  <c r="G190" i="110" s="1"/>
  <c r="E190" i="110"/>
  <c r="F190" i="110" s="1"/>
  <c r="D190" i="110"/>
  <c r="C190" i="110"/>
  <c r="B190" i="110"/>
  <c r="H189" i="110"/>
  <c r="G189" i="110" s="1"/>
  <c r="E189" i="110"/>
  <c r="F189" i="110" s="1"/>
  <c r="D189" i="110"/>
  <c r="C189" i="110"/>
  <c r="B189" i="110"/>
  <c r="H188" i="110"/>
  <c r="G188" i="110" s="1"/>
  <c r="E188" i="110"/>
  <c r="F188" i="110" s="1"/>
  <c r="D188" i="110"/>
  <c r="C188" i="110"/>
  <c r="B188" i="110"/>
  <c r="H185" i="110"/>
  <c r="G185" i="110" s="1"/>
  <c r="E185" i="110"/>
  <c r="F185" i="110" s="1"/>
  <c r="D185" i="110"/>
  <c r="C185" i="110"/>
  <c r="B185" i="110"/>
  <c r="H182" i="110"/>
  <c r="G182" i="110" s="1"/>
  <c r="E182" i="110"/>
  <c r="D182" i="110"/>
  <c r="C182" i="110"/>
  <c r="B182" i="110"/>
  <c r="H181" i="110"/>
  <c r="G181" i="110" s="1"/>
  <c r="E181" i="110"/>
  <c r="D181" i="110"/>
  <c r="C181" i="110"/>
  <c r="B181" i="110"/>
  <c r="H180" i="110"/>
  <c r="G180" i="110" s="1"/>
  <c r="E180" i="110"/>
  <c r="F180" i="110" s="1"/>
  <c r="D180" i="110"/>
  <c r="C180" i="110"/>
  <c r="B180" i="110"/>
  <c r="H179" i="110"/>
  <c r="G179" i="110" s="1"/>
  <c r="E179" i="110"/>
  <c r="F179" i="110" s="1"/>
  <c r="D179" i="110"/>
  <c r="C179" i="110"/>
  <c r="B179" i="110"/>
  <c r="H178" i="110"/>
  <c r="G178" i="110" s="1"/>
  <c r="E178" i="110"/>
  <c r="D178" i="110"/>
  <c r="C178" i="110"/>
  <c r="B178" i="110"/>
  <c r="H175" i="110"/>
  <c r="G175" i="110" s="1"/>
  <c r="E175" i="110"/>
  <c r="F175" i="110" s="1"/>
  <c r="D175" i="110"/>
  <c r="C175" i="110"/>
  <c r="B175" i="110"/>
  <c r="H174" i="110"/>
  <c r="G174" i="110" s="1"/>
  <c r="E174" i="110"/>
  <c r="F174" i="110" s="1"/>
  <c r="D174" i="110"/>
  <c r="C174" i="110"/>
  <c r="B174" i="110"/>
  <c r="H173" i="110"/>
  <c r="G173" i="110" s="1"/>
  <c r="E173" i="110"/>
  <c r="F173" i="110" s="1"/>
  <c r="D173" i="110"/>
  <c r="C173" i="110"/>
  <c r="B173" i="110"/>
  <c r="H172" i="110"/>
  <c r="G172" i="110" s="1"/>
  <c r="E172" i="110"/>
  <c r="F172" i="110" s="1"/>
  <c r="D172" i="110"/>
  <c r="C172" i="110"/>
  <c r="B172" i="110"/>
  <c r="H171" i="110"/>
  <c r="G171" i="110" s="1"/>
  <c r="E171" i="110"/>
  <c r="D171" i="110"/>
  <c r="C171" i="110"/>
  <c r="B171" i="110"/>
  <c r="H170" i="110"/>
  <c r="G170" i="110" s="1"/>
  <c r="E170" i="110"/>
  <c r="F170" i="110" s="1"/>
  <c r="D170" i="110"/>
  <c r="C170" i="110"/>
  <c r="B170" i="110"/>
  <c r="H169" i="110"/>
  <c r="G169" i="110" s="1"/>
  <c r="E169" i="110"/>
  <c r="F169" i="110" s="1"/>
  <c r="D169" i="110"/>
  <c r="C169" i="110"/>
  <c r="B169" i="110"/>
  <c r="H168" i="110"/>
  <c r="G168" i="110" s="1"/>
  <c r="E168" i="110"/>
  <c r="D168" i="110"/>
  <c r="C168" i="110"/>
  <c r="B168" i="110"/>
  <c r="H167" i="110"/>
  <c r="G167" i="110" s="1"/>
  <c r="E167" i="110"/>
  <c r="D167" i="110"/>
  <c r="C167" i="110"/>
  <c r="B167" i="110"/>
  <c r="H166" i="110"/>
  <c r="G166" i="110" s="1"/>
  <c r="E166" i="110"/>
  <c r="F166" i="110" s="1"/>
  <c r="D166" i="110"/>
  <c r="C166" i="110"/>
  <c r="B166" i="110"/>
  <c r="H163" i="110"/>
  <c r="G163" i="110" s="1"/>
  <c r="E163" i="110"/>
  <c r="F163" i="110" s="1"/>
  <c r="D163" i="110"/>
  <c r="C163" i="110"/>
  <c r="B163" i="110"/>
  <c r="H162" i="110"/>
  <c r="G162" i="110" s="1"/>
  <c r="E162" i="110"/>
  <c r="D162" i="110"/>
  <c r="C162" i="110"/>
  <c r="B162" i="110"/>
  <c r="H161" i="110"/>
  <c r="G161" i="110" s="1"/>
  <c r="E161" i="110"/>
  <c r="D161" i="110"/>
  <c r="C161" i="110"/>
  <c r="B161" i="110"/>
  <c r="H160" i="110"/>
  <c r="G160" i="110" s="1"/>
  <c r="E160" i="110"/>
  <c r="F160" i="110" s="1"/>
  <c r="D160" i="110"/>
  <c r="C160" i="110"/>
  <c r="B160" i="110"/>
  <c r="H159" i="110"/>
  <c r="G159" i="110" s="1"/>
  <c r="E159" i="110"/>
  <c r="F159" i="110" s="1"/>
  <c r="D159" i="110"/>
  <c r="C159" i="110"/>
  <c r="B159" i="110"/>
  <c r="H158" i="110"/>
  <c r="G158" i="110" s="1"/>
  <c r="E158" i="110"/>
  <c r="F158" i="110" s="1"/>
  <c r="D158" i="110"/>
  <c r="C158" i="110"/>
  <c r="B158" i="110"/>
  <c r="H157" i="110"/>
  <c r="G157" i="110" s="1"/>
  <c r="E157" i="110"/>
  <c r="D157" i="110"/>
  <c r="C157" i="110"/>
  <c r="B157" i="110"/>
  <c r="H156" i="110"/>
  <c r="G156" i="110" s="1"/>
  <c r="E156" i="110"/>
  <c r="F156" i="110" s="1"/>
  <c r="D156" i="110"/>
  <c r="C156" i="110"/>
  <c r="B156" i="110"/>
  <c r="H153" i="110"/>
  <c r="G153" i="110" s="1"/>
  <c r="E153" i="110"/>
  <c r="F153" i="110" s="1"/>
  <c r="D153" i="110"/>
  <c r="C153" i="110"/>
  <c r="B153" i="110"/>
  <c r="H152" i="110"/>
  <c r="G152" i="110" s="1"/>
  <c r="E152" i="110"/>
  <c r="F152" i="110" s="1"/>
  <c r="D152" i="110"/>
  <c r="C152" i="110"/>
  <c r="B152" i="110"/>
  <c r="H151" i="110"/>
  <c r="G151" i="110" s="1"/>
  <c r="E151" i="110"/>
  <c r="F151" i="110" s="1"/>
  <c r="D151" i="110"/>
  <c r="C151" i="110"/>
  <c r="B151" i="110"/>
  <c r="H150" i="110"/>
  <c r="G150" i="110" s="1"/>
  <c r="E150" i="110"/>
  <c r="F150" i="110" s="1"/>
  <c r="D150" i="110"/>
  <c r="C150" i="110"/>
  <c r="B150" i="110"/>
  <c r="H149" i="110"/>
  <c r="G149" i="110" s="1"/>
  <c r="E149" i="110"/>
  <c r="F149" i="110" s="1"/>
  <c r="D149" i="110"/>
  <c r="C149" i="110"/>
  <c r="B149" i="110"/>
  <c r="H148" i="110"/>
  <c r="G148" i="110" s="1"/>
  <c r="E148" i="110"/>
  <c r="F148" i="110" s="1"/>
  <c r="D148" i="110"/>
  <c r="C148" i="110"/>
  <c r="B148" i="110"/>
  <c r="H145" i="110"/>
  <c r="G145" i="110" s="1"/>
  <c r="E145" i="110"/>
  <c r="F145" i="110" s="1"/>
  <c r="D145" i="110"/>
  <c r="C145" i="110"/>
  <c r="B145" i="110"/>
  <c r="H144" i="110"/>
  <c r="G144" i="110" s="1"/>
  <c r="E144" i="110"/>
  <c r="F144" i="110" s="1"/>
  <c r="D144" i="110"/>
  <c r="C144" i="110"/>
  <c r="B144" i="110"/>
  <c r="H143" i="110"/>
  <c r="G143" i="110" s="1"/>
  <c r="E143" i="110"/>
  <c r="F143" i="110" s="1"/>
  <c r="D143" i="110"/>
  <c r="C143" i="110"/>
  <c r="B143" i="110"/>
  <c r="H140" i="110"/>
  <c r="G140" i="110" s="1"/>
  <c r="E140" i="110"/>
  <c r="F140" i="110" s="1"/>
  <c r="D140" i="110"/>
  <c r="C140" i="110"/>
  <c r="H139" i="110"/>
  <c r="G139" i="110" s="1"/>
  <c r="E139" i="110"/>
  <c r="F139" i="110" s="1"/>
  <c r="D139" i="110"/>
  <c r="C139" i="110"/>
  <c r="H138" i="110"/>
  <c r="G138" i="110" s="1"/>
  <c r="E138" i="110"/>
  <c r="F138" i="110" s="1"/>
  <c r="D138" i="110"/>
  <c r="C138" i="110"/>
  <c r="H137" i="110"/>
  <c r="G137" i="110" s="1"/>
  <c r="E137" i="110"/>
  <c r="F137" i="110" s="1"/>
  <c r="D137" i="110"/>
  <c r="C137" i="110"/>
  <c r="H136" i="110"/>
  <c r="G136" i="110" s="1"/>
  <c r="E136" i="110"/>
  <c r="F136" i="110" s="1"/>
  <c r="D136" i="110"/>
  <c r="C136" i="110"/>
  <c r="H135" i="110"/>
  <c r="G135" i="110" s="1"/>
  <c r="E135" i="110"/>
  <c r="F135" i="110" s="1"/>
  <c r="D135" i="110"/>
  <c r="C135" i="110"/>
  <c r="H134" i="110"/>
  <c r="G134" i="110" s="1"/>
  <c r="E134" i="110"/>
  <c r="F134" i="110" s="1"/>
  <c r="D134" i="110"/>
  <c r="C134" i="110"/>
  <c r="H133" i="110"/>
  <c r="G133" i="110" s="1"/>
  <c r="E133" i="110"/>
  <c r="F133" i="110" s="1"/>
  <c r="D133" i="110"/>
  <c r="C133" i="110"/>
  <c r="H132" i="110"/>
  <c r="G132" i="110" s="1"/>
  <c r="E132" i="110"/>
  <c r="F132" i="110" s="1"/>
  <c r="D132" i="110"/>
  <c r="C132" i="110"/>
  <c r="H131" i="110"/>
  <c r="G131" i="110" s="1"/>
  <c r="E131" i="110"/>
  <c r="F131" i="110" s="1"/>
  <c r="D131" i="110"/>
  <c r="C131" i="110"/>
  <c r="H130" i="110"/>
  <c r="G130" i="110" s="1"/>
  <c r="E130" i="110"/>
  <c r="F130" i="110" s="1"/>
  <c r="D130" i="110"/>
  <c r="C130" i="110"/>
  <c r="H129" i="110"/>
  <c r="G129" i="110" s="1"/>
  <c r="E129" i="110"/>
  <c r="F129" i="110" s="1"/>
  <c r="D129" i="110"/>
  <c r="C129" i="110"/>
  <c r="H128" i="110"/>
  <c r="G128" i="110" s="1"/>
  <c r="E128" i="110"/>
  <c r="F128" i="110" s="1"/>
  <c r="D128" i="110"/>
  <c r="C128" i="110"/>
  <c r="H127" i="110"/>
  <c r="G127" i="110" s="1"/>
  <c r="E127" i="110"/>
  <c r="F127" i="110" s="1"/>
  <c r="D127" i="110"/>
  <c r="C127" i="110"/>
  <c r="H126" i="110"/>
  <c r="G126" i="110" s="1"/>
  <c r="E126" i="110"/>
  <c r="F126" i="110" s="1"/>
  <c r="D126" i="110"/>
  <c r="C126" i="110"/>
  <c r="H125" i="110"/>
  <c r="G125" i="110" s="1"/>
  <c r="E125" i="110"/>
  <c r="F125" i="110" s="1"/>
  <c r="D125" i="110"/>
  <c r="C125" i="110"/>
  <c r="H124" i="110"/>
  <c r="G124" i="110" s="1"/>
  <c r="E124" i="110"/>
  <c r="F124" i="110" s="1"/>
  <c r="D124" i="110"/>
  <c r="C124" i="110"/>
  <c r="H121" i="110"/>
  <c r="G121" i="110" s="1"/>
  <c r="E121" i="110"/>
  <c r="D121" i="110"/>
  <c r="C121" i="110"/>
  <c r="B121" i="110"/>
  <c r="H120" i="110"/>
  <c r="G120" i="110" s="1"/>
  <c r="E120" i="110"/>
  <c r="F120" i="110" s="1"/>
  <c r="D120" i="110"/>
  <c r="C120" i="110"/>
  <c r="B120" i="110"/>
  <c r="J107" i="110"/>
  <c r="G107" i="110"/>
  <c r="E107" i="110"/>
  <c r="D107" i="110"/>
  <c r="D108" i="110" s="1"/>
  <c r="D109" i="110" s="1"/>
  <c r="D110" i="110" s="1"/>
  <c r="D111" i="110" s="1"/>
  <c r="D112" i="110" s="1"/>
  <c r="D113" i="110" s="1"/>
  <c r="D114" i="110" s="1"/>
  <c r="D115" i="110" s="1"/>
  <c r="D116" i="110" s="1"/>
  <c r="D117" i="110" s="1"/>
  <c r="D118" i="110" s="1"/>
  <c r="D119" i="110" s="1"/>
  <c r="C107" i="110"/>
  <c r="B107" i="110"/>
  <c r="H106" i="110"/>
  <c r="G106" i="110" s="1"/>
  <c r="E106" i="110"/>
  <c r="F106" i="110" s="1"/>
  <c r="D106" i="110"/>
  <c r="C106" i="110"/>
  <c r="B106" i="110"/>
  <c r="H105" i="110"/>
  <c r="G105" i="110" s="1"/>
  <c r="E105" i="110"/>
  <c r="F105" i="110" s="1"/>
  <c r="D105" i="110"/>
  <c r="C105" i="110"/>
  <c r="B105" i="110"/>
  <c r="H104" i="110"/>
  <c r="H108" i="110" s="1"/>
  <c r="H109" i="110" s="1"/>
  <c r="G109" i="110" s="1"/>
  <c r="E104" i="110"/>
  <c r="F104" i="110" s="1"/>
  <c r="D104" i="110"/>
  <c r="C104" i="110"/>
  <c r="B104" i="110"/>
  <c r="J91" i="110"/>
  <c r="G91" i="110"/>
  <c r="E91" i="110"/>
  <c r="D91" i="110"/>
  <c r="D92" i="110" s="1"/>
  <c r="D93" i="110" s="1"/>
  <c r="D94" i="110" s="1"/>
  <c r="D95" i="110" s="1"/>
  <c r="D96" i="110" s="1"/>
  <c r="D97" i="110" s="1"/>
  <c r="D98" i="110" s="1"/>
  <c r="D99" i="110" s="1"/>
  <c r="D100" i="110" s="1"/>
  <c r="D101" i="110" s="1"/>
  <c r="D102" i="110" s="1"/>
  <c r="D103" i="110" s="1"/>
  <c r="C91" i="110"/>
  <c r="B91" i="110"/>
  <c r="H90" i="110"/>
  <c r="G90" i="110" s="1"/>
  <c r="E90" i="110"/>
  <c r="E92" i="110" s="1"/>
  <c r="D90" i="110"/>
  <c r="C90" i="110"/>
  <c r="B90" i="110"/>
  <c r="H89" i="110"/>
  <c r="G89" i="110" s="1"/>
  <c r="E89" i="110"/>
  <c r="F89" i="110" s="1"/>
  <c r="D89" i="110"/>
  <c r="C89" i="110"/>
  <c r="B89" i="110"/>
  <c r="H88" i="110"/>
  <c r="G88" i="110" s="1"/>
  <c r="E88" i="110"/>
  <c r="F88" i="110" s="1"/>
  <c r="D88" i="110"/>
  <c r="C88" i="110"/>
  <c r="B88" i="110"/>
  <c r="J75" i="110"/>
  <c r="G75" i="110"/>
  <c r="E75" i="110"/>
  <c r="D75" i="110"/>
  <c r="D76" i="110" s="1"/>
  <c r="D77" i="110" s="1"/>
  <c r="D78" i="110" s="1"/>
  <c r="D79" i="110" s="1"/>
  <c r="D80" i="110" s="1"/>
  <c r="D81" i="110" s="1"/>
  <c r="D82" i="110" s="1"/>
  <c r="D83" i="110" s="1"/>
  <c r="D84" i="110" s="1"/>
  <c r="D85" i="110" s="1"/>
  <c r="D86" i="110" s="1"/>
  <c r="D87" i="110" s="1"/>
  <c r="C75" i="110"/>
  <c r="B75" i="110"/>
  <c r="H74" i="110"/>
  <c r="G74" i="110" s="1"/>
  <c r="E74" i="110"/>
  <c r="E76" i="110" s="1"/>
  <c r="F76" i="110" s="1"/>
  <c r="D74" i="110"/>
  <c r="C74" i="110"/>
  <c r="B74" i="110"/>
  <c r="H73" i="110"/>
  <c r="G73" i="110" s="1"/>
  <c r="E73" i="110"/>
  <c r="F73" i="110" s="1"/>
  <c r="D73" i="110"/>
  <c r="C73" i="110"/>
  <c r="B73" i="110"/>
  <c r="H72" i="110"/>
  <c r="G72" i="110" s="1"/>
  <c r="E72" i="110"/>
  <c r="F72" i="110" s="1"/>
  <c r="D72" i="110"/>
  <c r="C72" i="110"/>
  <c r="B72" i="110"/>
  <c r="E59" i="110"/>
  <c r="D59" i="110"/>
  <c r="D60" i="110" s="1"/>
  <c r="D61" i="110" s="1"/>
  <c r="D62" i="110" s="1"/>
  <c r="D63" i="110" s="1"/>
  <c r="D64" i="110" s="1"/>
  <c r="D65" i="110" s="1"/>
  <c r="D66" i="110" s="1"/>
  <c r="D67" i="110" s="1"/>
  <c r="D68" i="110" s="1"/>
  <c r="D69" i="110" s="1"/>
  <c r="D70" i="110" s="1"/>
  <c r="D71" i="110" s="1"/>
  <c r="C59" i="110"/>
  <c r="B59" i="110"/>
  <c r="G58" i="110"/>
  <c r="E58" i="110"/>
  <c r="E60" i="110" s="1"/>
  <c r="E61" i="110" s="1"/>
  <c r="F61" i="110" s="1"/>
  <c r="D58" i="110"/>
  <c r="C58" i="110"/>
  <c r="B58" i="110"/>
  <c r="H57" i="110"/>
  <c r="G57" i="110" s="1"/>
  <c r="E57" i="110"/>
  <c r="D57" i="110"/>
  <c r="C57" i="110"/>
  <c r="B57" i="110"/>
  <c r="H56" i="110"/>
  <c r="G56" i="110" s="1"/>
  <c r="E56" i="110"/>
  <c r="F56" i="110" s="1"/>
  <c r="D56" i="110"/>
  <c r="C56" i="110"/>
  <c r="B56" i="110"/>
  <c r="H55" i="110"/>
  <c r="G55" i="110" s="1"/>
  <c r="E55" i="110"/>
  <c r="F55" i="110" s="1"/>
  <c r="D55" i="110"/>
  <c r="C55" i="110"/>
  <c r="B55" i="110"/>
  <c r="H52" i="110"/>
  <c r="G52" i="110" s="1"/>
  <c r="E52" i="110"/>
  <c r="F52" i="110" s="1"/>
  <c r="D52" i="110"/>
  <c r="C52" i="110"/>
  <c r="H51" i="110"/>
  <c r="G51" i="110" s="1"/>
  <c r="E51" i="110"/>
  <c r="F51" i="110" s="1"/>
  <c r="D51" i="110"/>
  <c r="C51" i="110"/>
  <c r="B51" i="110"/>
  <c r="H50" i="110"/>
  <c r="G50" i="110" s="1"/>
  <c r="E50" i="110"/>
  <c r="F50" i="110" s="1"/>
  <c r="D50" i="110"/>
  <c r="C50" i="110"/>
  <c r="B50" i="110"/>
  <c r="H49" i="110"/>
  <c r="G49" i="110" s="1"/>
  <c r="E49" i="110"/>
  <c r="D49" i="110"/>
  <c r="C49" i="110"/>
  <c r="B49" i="110"/>
  <c r="H48" i="110"/>
  <c r="G48" i="110" s="1"/>
  <c r="E48" i="110"/>
  <c r="F48" i="110" s="1"/>
  <c r="D48" i="110"/>
  <c r="C48" i="110"/>
  <c r="B48" i="110"/>
  <c r="H47" i="110"/>
  <c r="G47" i="110" s="1"/>
  <c r="E47" i="110"/>
  <c r="F47" i="110" s="1"/>
  <c r="D47" i="110"/>
  <c r="C47" i="110"/>
  <c r="B47" i="110"/>
  <c r="H46" i="110"/>
  <c r="G46" i="110" s="1"/>
  <c r="E46" i="110"/>
  <c r="F46" i="110" s="1"/>
  <c r="D46" i="110"/>
  <c r="C46" i="110"/>
  <c r="B46" i="110"/>
  <c r="H45" i="110"/>
  <c r="G45" i="110" s="1"/>
  <c r="E45" i="110"/>
  <c r="F45" i="110" s="1"/>
  <c r="D45" i="110"/>
  <c r="C45" i="110"/>
  <c r="B45" i="110"/>
  <c r="H44" i="110"/>
  <c r="G44" i="110" s="1"/>
  <c r="E44" i="110"/>
  <c r="F44" i="110" s="1"/>
  <c r="D44" i="110"/>
  <c r="C44" i="110"/>
  <c r="B44" i="110"/>
  <c r="H41" i="110"/>
  <c r="G41" i="110" s="1"/>
  <c r="E41" i="110"/>
  <c r="F41" i="110" s="1"/>
  <c r="D41" i="110"/>
  <c r="C41" i="110"/>
  <c r="B41" i="110"/>
  <c r="H40" i="110"/>
  <c r="G40" i="110" s="1"/>
  <c r="E40" i="110"/>
  <c r="F40" i="110" s="1"/>
  <c r="D40" i="110"/>
  <c r="C40" i="110"/>
  <c r="B40" i="110"/>
  <c r="H39" i="110"/>
  <c r="G39" i="110" s="1"/>
  <c r="E39" i="110"/>
  <c r="F39" i="110" s="1"/>
  <c r="D39" i="110"/>
  <c r="C39" i="110"/>
  <c r="B39" i="110"/>
  <c r="H38" i="110"/>
  <c r="G38" i="110" s="1"/>
  <c r="E38" i="110"/>
  <c r="D38" i="110"/>
  <c r="C38" i="110"/>
  <c r="B38" i="110"/>
  <c r="H37" i="110"/>
  <c r="G37" i="110" s="1"/>
  <c r="E37" i="110"/>
  <c r="F37" i="110" s="1"/>
  <c r="D37" i="110"/>
  <c r="C37" i="110"/>
  <c r="B37" i="110"/>
  <c r="H36" i="110"/>
  <c r="G36" i="110" s="1"/>
  <c r="E36" i="110"/>
  <c r="F36" i="110" s="1"/>
  <c r="D36" i="110"/>
  <c r="C36" i="110"/>
  <c r="B36" i="110"/>
  <c r="H35" i="110"/>
  <c r="G35" i="110" s="1"/>
  <c r="E35" i="110"/>
  <c r="F35" i="110" s="1"/>
  <c r="D35" i="110"/>
  <c r="C35" i="110"/>
  <c r="B35" i="110"/>
  <c r="H34" i="110"/>
  <c r="G34" i="110" s="1"/>
  <c r="E34" i="110"/>
  <c r="F34" i="110" s="1"/>
  <c r="D34" i="110"/>
  <c r="C34" i="110"/>
  <c r="B34" i="110"/>
  <c r="H33" i="110"/>
  <c r="G33" i="110" s="1"/>
  <c r="E33" i="110"/>
  <c r="D33" i="110"/>
  <c r="C33" i="110"/>
  <c r="B33" i="110"/>
  <c r="H32" i="110"/>
  <c r="G32" i="110" s="1"/>
  <c r="E32" i="110"/>
  <c r="F32" i="110" s="1"/>
  <c r="D32" i="110"/>
  <c r="C32" i="110"/>
  <c r="B32" i="110"/>
  <c r="H31" i="110"/>
  <c r="G31" i="110" s="1"/>
  <c r="E31" i="110"/>
  <c r="F31" i="110" s="1"/>
  <c r="D31" i="110"/>
  <c r="C31" i="110"/>
  <c r="B31" i="110"/>
  <c r="H30" i="110"/>
  <c r="G30" i="110" s="1"/>
  <c r="E30" i="110"/>
  <c r="D30" i="110"/>
  <c r="C30" i="110"/>
  <c r="B30" i="110"/>
  <c r="H29" i="110"/>
  <c r="G29" i="110" s="1"/>
  <c r="E29" i="110"/>
  <c r="F29" i="110" s="1"/>
  <c r="D29" i="110"/>
  <c r="C29" i="110"/>
  <c r="B29" i="110"/>
  <c r="H28" i="110"/>
  <c r="G28" i="110" s="1"/>
  <c r="E28" i="110"/>
  <c r="F28" i="110" s="1"/>
  <c r="D28" i="110"/>
  <c r="C28" i="110"/>
  <c r="B28" i="110"/>
  <c r="H27" i="110"/>
  <c r="G27" i="110" s="1"/>
  <c r="E27" i="110"/>
  <c r="F27" i="110" s="1"/>
  <c r="D27" i="110"/>
  <c r="C27" i="110"/>
  <c r="B27" i="110"/>
  <c r="H26" i="110"/>
  <c r="G26" i="110" s="1"/>
  <c r="E26" i="110"/>
  <c r="F26" i="110" s="1"/>
  <c r="D26" i="110"/>
  <c r="C26" i="110"/>
  <c r="B26" i="110"/>
  <c r="H25" i="110"/>
  <c r="G25" i="110" s="1"/>
  <c r="E25" i="110"/>
  <c r="F25" i="110" s="1"/>
  <c r="D25" i="110"/>
  <c r="C25" i="110"/>
  <c r="B25" i="110"/>
  <c r="H24" i="110"/>
  <c r="G24" i="110" s="1"/>
  <c r="E24" i="110"/>
  <c r="F24" i="110" s="1"/>
  <c r="D24" i="110"/>
  <c r="C24" i="110"/>
  <c r="B24" i="110"/>
  <c r="H23" i="110"/>
  <c r="G23" i="110" s="1"/>
  <c r="E23" i="110"/>
  <c r="F23" i="110" s="1"/>
  <c r="D23" i="110"/>
  <c r="C23" i="110"/>
  <c r="B23" i="110"/>
  <c r="H22" i="110"/>
  <c r="G22" i="110" s="1"/>
  <c r="E22" i="110"/>
  <c r="F22" i="110" s="1"/>
  <c r="D22" i="110"/>
  <c r="C22" i="110"/>
  <c r="B22" i="110"/>
  <c r="H21" i="110"/>
  <c r="G21" i="110" s="1"/>
  <c r="E21" i="110"/>
  <c r="F21" i="110" s="1"/>
  <c r="D21" i="110"/>
  <c r="C21" i="110"/>
  <c r="B21" i="110"/>
  <c r="H20" i="110"/>
  <c r="G20" i="110" s="1"/>
  <c r="E20" i="110"/>
  <c r="F20" i="110" s="1"/>
  <c r="D20" i="110"/>
  <c r="C20" i="110"/>
  <c r="B20" i="110"/>
  <c r="H17" i="110"/>
  <c r="G17" i="110" s="1"/>
  <c r="E17" i="110"/>
  <c r="F17" i="110" s="1"/>
  <c r="D17" i="110"/>
  <c r="C17" i="110"/>
  <c r="B17" i="110"/>
  <c r="H16" i="110"/>
  <c r="G16" i="110" s="1"/>
  <c r="E16" i="110"/>
  <c r="F16" i="110" s="1"/>
  <c r="D16" i="110"/>
  <c r="C16" i="110"/>
  <c r="B16" i="110"/>
  <c r="H15" i="110"/>
  <c r="G15" i="110" s="1"/>
  <c r="E15" i="110"/>
  <c r="F15" i="110" s="1"/>
  <c r="D15" i="110"/>
  <c r="C15" i="110"/>
  <c r="B15" i="110"/>
  <c r="H14" i="110"/>
  <c r="G14" i="110" s="1"/>
  <c r="E14" i="110"/>
  <c r="F14" i="110" s="1"/>
  <c r="D14" i="110"/>
  <c r="C14" i="110"/>
  <c r="B14" i="110"/>
  <c r="H13" i="110"/>
  <c r="G13" i="110" s="1"/>
  <c r="E13" i="110"/>
  <c r="D13" i="110"/>
  <c r="C13" i="110"/>
  <c r="B13" i="110"/>
  <c r="H12" i="110"/>
  <c r="G12" i="110" s="1"/>
  <c r="E12" i="110"/>
  <c r="F12" i="110" s="1"/>
  <c r="D12" i="110"/>
  <c r="C12" i="110"/>
  <c r="B12" i="110"/>
  <c r="H11" i="110"/>
  <c r="G11" i="110" s="1"/>
  <c r="E11" i="110"/>
  <c r="F11" i="110" s="1"/>
  <c r="D11" i="110"/>
  <c r="C11" i="110"/>
  <c r="B11" i="110"/>
  <c r="H10" i="110"/>
  <c r="G10" i="110" s="1"/>
  <c r="E10" i="110"/>
  <c r="D10" i="110"/>
  <c r="C10" i="110"/>
  <c r="B10" i="110"/>
  <c r="H9" i="110"/>
  <c r="G9" i="110" s="1"/>
  <c r="E9" i="110"/>
  <c r="F9" i="110" s="1"/>
  <c r="D9" i="110"/>
  <c r="C9" i="110"/>
  <c r="B9" i="110"/>
  <c r="H8" i="110"/>
  <c r="G8" i="110" s="1"/>
  <c r="E8" i="110"/>
  <c r="F8" i="110" s="1"/>
  <c r="D8" i="110"/>
  <c r="C8" i="110"/>
  <c r="B8" i="110"/>
  <c r="H7" i="110"/>
  <c r="G7" i="110" s="1"/>
  <c r="E7" i="110"/>
  <c r="F7" i="110" s="1"/>
  <c r="D7" i="110"/>
  <c r="C7" i="110"/>
  <c r="B7" i="110"/>
  <c r="A7" i="110"/>
  <c r="A8" i="110" s="1"/>
  <c r="A9" i="110" s="1"/>
  <c r="A10" i="110" s="1"/>
  <c r="A11" i="110" s="1"/>
  <c r="A12" i="110" s="1"/>
  <c r="A13" i="110" s="1"/>
  <c r="A14" i="110" s="1"/>
  <c r="A15" i="110" s="1"/>
  <c r="A16" i="110" s="1"/>
  <c r="A17" i="110" s="1"/>
  <c r="A20" i="110" s="1"/>
  <c r="A21" i="110" s="1"/>
  <c r="A22" i="110" s="1"/>
  <c r="A23" i="110" s="1"/>
  <c r="A24" i="110" s="1"/>
  <c r="A25" i="110" s="1"/>
  <c r="A26" i="110" s="1"/>
  <c r="A27" i="110" s="1"/>
  <c r="A28" i="110" s="1"/>
  <c r="A29" i="110" s="1"/>
  <c r="A30" i="110" s="1"/>
  <c r="A31" i="110" s="1"/>
  <c r="A32" i="110" s="1"/>
  <c r="A33" i="110" s="1"/>
  <c r="A34" i="110" s="1"/>
  <c r="A35" i="110" s="1"/>
  <c r="A36" i="110" s="1"/>
  <c r="A37" i="110" s="1"/>
  <c r="A38" i="110" s="1"/>
  <c r="A39" i="110" s="1"/>
  <c r="A40" i="110" s="1"/>
  <c r="A41" i="110" s="1"/>
  <c r="A44" i="110" s="1"/>
  <c r="A45" i="110" s="1"/>
  <c r="A46" i="110" s="1"/>
  <c r="A47" i="110" s="1"/>
  <c r="A48" i="110" s="1"/>
  <c r="A49" i="110" s="1"/>
  <c r="A50" i="110" s="1"/>
  <c r="A51" i="110" s="1"/>
  <c r="H6" i="110"/>
  <c r="G6" i="110" s="1"/>
  <c r="E6" i="110"/>
  <c r="F6" i="110" s="1"/>
  <c r="D6" i="110"/>
  <c r="C6" i="110"/>
  <c r="B6" i="110"/>
  <c r="F295" i="110"/>
  <c r="J295" i="110" s="1"/>
  <c r="F182" i="110"/>
  <c r="F157" i="110"/>
  <c r="J157" i="110" s="1"/>
  <c r="F199" i="110"/>
  <c r="K131" i="110"/>
  <c r="F240" i="110"/>
  <c r="J240" i="110" s="1"/>
  <c r="F248" i="110"/>
  <c r="J248" i="110" s="1"/>
  <c r="I302" i="110"/>
  <c r="D11" i="68"/>
  <c r="F11" i="68" s="1"/>
  <c r="J24" i="106"/>
  <c r="J23" i="106"/>
  <c r="J22" i="106"/>
  <c r="J16" i="106"/>
  <c r="J18" i="106" s="1"/>
  <c r="J27" i="106"/>
  <c r="J28" i="106" s="1"/>
  <c r="AA47" i="106"/>
  <c r="AH41" i="106"/>
  <c r="AG41" i="106"/>
  <c r="AF41" i="106"/>
  <c r="AE41" i="106"/>
  <c r="AD41" i="106"/>
  <c r="AC41" i="106"/>
  <c r="AB41" i="106"/>
  <c r="AJ40" i="106"/>
  <c r="AI39" i="106"/>
  <c r="AJ41" i="106" s="1"/>
  <c r="AD32" i="106"/>
  <c r="AF32" i="106" s="1"/>
  <c r="AD31" i="106"/>
  <c r="AF31" i="106" s="1"/>
  <c r="AD30" i="106"/>
  <c r="AF30" i="106" s="1"/>
  <c r="AD29" i="106"/>
  <c r="AF29" i="106" s="1"/>
  <c r="O26" i="106"/>
  <c r="AI25" i="106"/>
  <c r="AG25" i="106"/>
  <c r="AH25" i="106" s="1"/>
  <c r="Z25" i="106"/>
  <c r="Y23" i="106"/>
  <c r="O23" i="106"/>
  <c r="X19" i="106"/>
  <c r="X23" i="106" s="1"/>
  <c r="AJ18" i="106"/>
  <c r="AF18" i="106"/>
  <c r="AJ16" i="106"/>
  <c r="AF16" i="106"/>
  <c r="AJ14" i="106"/>
  <c r="AF14" i="106"/>
  <c r="A14" i="106"/>
  <c r="A19" i="106" s="1"/>
  <c r="A26" i="106" s="1"/>
  <c r="AJ13" i="106"/>
  <c r="AF13" i="106"/>
  <c r="AJ12" i="106"/>
  <c r="AF12" i="106"/>
  <c r="J12" i="106"/>
  <c r="J13" i="106" s="1"/>
  <c r="AJ11" i="106"/>
  <c r="AF11" i="106"/>
  <c r="AJ10" i="106"/>
  <c r="AF10" i="106"/>
  <c r="O82" i="103"/>
  <c r="P55" i="103"/>
  <c r="A21" i="103"/>
  <c r="A25" i="103" s="1"/>
  <c r="A29" i="103" s="1"/>
  <c r="A35" i="103"/>
  <c r="J17" i="103"/>
  <c r="K17" i="98"/>
  <c r="K16" i="98" s="1"/>
  <c r="K14" i="98"/>
  <c r="H13" i="98"/>
  <c r="K13" i="98" s="1"/>
  <c r="H12" i="98"/>
  <c r="K12" i="98" s="1"/>
  <c r="H11" i="98"/>
  <c r="K11" i="98" s="1"/>
  <c r="K8" i="98"/>
  <c r="H7" i="98"/>
  <c r="K7" i="98" s="1"/>
  <c r="H6" i="98"/>
  <c r="K6" i="98" s="1"/>
  <c r="H5" i="98"/>
  <c r="K5" i="98" s="1"/>
  <c r="J189" i="86"/>
  <c r="J188" i="86"/>
  <c r="J192" i="86"/>
  <c r="J186" i="86"/>
  <c r="J185" i="86"/>
  <c r="J183" i="86"/>
  <c r="J182" i="86"/>
  <c r="J180" i="86"/>
  <c r="J175" i="86"/>
  <c r="J171" i="86"/>
  <c r="J167" i="86"/>
  <c r="J166" i="86"/>
  <c r="J164" i="86"/>
  <c r="J163" i="86"/>
  <c r="J152" i="86"/>
  <c r="J149" i="86"/>
  <c r="J148" i="86"/>
  <c r="J151" i="86"/>
  <c r="J146" i="86"/>
  <c r="J144" i="86"/>
  <c r="J140" i="86"/>
  <c r="J137" i="86"/>
  <c r="J138" i="86"/>
  <c r="J135" i="86"/>
  <c r="J134" i="86"/>
  <c r="J131" i="86"/>
  <c r="J132" i="86"/>
  <c r="J129" i="86"/>
  <c r="J128" i="86"/>
  <c r="E193" i="86"/>
  <c r="J193" i="86" s="1"/>
  <c r="D177" i="86"/>
  <c r="J177" i="86" s="1"/>
  <c r="D176" i="86"/>
  <c r="J176" i="86" s="1"/>
  <c r="D169" i="86"/>
  <c r="J169" i="86" s="1"/>
  <c r="D168" i="86"/>
  <c r="J168" i="86" s="1"/>
  <c r="E161" i="86"/>
  <c r="J161" i="86" s="1"/>
  <c r="E160" i="86"/>
  <c r="J160" i="86" s="1"/>
  <c r="E159" i="86"/>
  <c r="J159" i="86" s="1"/>
  <c r="E158" i="86"/>
  <c r="J158" i="86" s="1"/>
  <c r="E157" i="86"/>
  <c r="J157" i="86" s="1"/>
  <c r="E156" i="86"/>
  <c r="J156" i="86" s="1"/>
  <c r="E154" i="86"/>
  <c r="J154" i="86" s="1"/>
  <c r="E141" i="86"/>
  <c r="E142" i="86" s="1"/>
  <c r="J142" i="86" s="1"/>
  <c r="J87" i="86"/>
  <c r="J86" i="86"/>
  <c r="J84" i="86"/>
  <c r="J83" i="86"/>
  <c r="J81" i="86"/>
  <c r="J76" i="86"/>
  <c r="J90" i="86"/>
  <c r="J89" i="86"/>
  <c r="D78" i="86"/>
  <c r="J78" i="86" s="1"/>
  <c r="D77" i="86"/>
  <c r="J77" i="86" s="1"/>
  <c r="I94" i="86"/>
  <c r="J94" i="86" s="1"/>
  <c r="J95" i="86" s="1"/>
  <c r="J99" i="86"/>
  <c r="G37" i="86"/>
  <c r="E37" i="86"/>
  <c r="F37" i="86"/>
  <c r="F36" i="86"/>
  <c r="E36" i="86"/>
  <c r="J15" i="86"/>
  <c r="J17" i="86"/>
  <c r="J18" i="86" s="1"/>
  <c r="J14" i="86"/>
  <c r="J19" i="86" s="1"/>
  <c r="H20" i="87"/>
  <c r="J20" i="87" s="1"/>
  <c r="D28" i="87"/>
  <c r="F10" i="87"/>
  <c r="J10" i="87" s="1"/>
  <c r="J11" i="87" s="1"/>
  <c r="E13" i="87"/>
  <c r="J13" i="87" s="1"/>
  <c r="J14" i="87" s="1"/>
  <c r="B3" i="87"/>
  <c r="B2" i="87"/>
  <c r="B3" i="86"/>
  <c r="B2" i="86"/>
  <c r="B3" i="79"/>
  <c r="B2" i="79"/>
  <c r="B3" i="99"/>
  <c r="B2" i="99"/>
  <c r="D2" i="55"/>
  <c r="C42" i="79"/>
  <c r="E52" i="79" s="1"/>
  <c r="N48" i="79"/>
  <c r="K27" i="98"/>
  <c r="K26" i="98"/>
  <c r="J33" i="99"/>
  <c r="J31" i="99"/>
  <c r="J30" i="99"/>
  <c r="J29" i="99" s="1"/>
  <c r="J24" i="99"/>
  <c r="J22" i="99"/>
  <c r="J20" i="99"/>
  <c r="J14" i="99"/>
  <c r="J12" i="99"/>
  <c r="E10" i="99"/>
  <c r="J10" i="99" s="1"/>
  <c r="K33" i="98"/>
  <c r="G34" i="98"/>
  <c r="K34" i="98" s="1"/>
  <c r="G53" i="98"/>
  <c r="H53" i="98" s="1"/>
  <c r="K53" i="98" s="1"/>
  <c r="K52" i="98"/>
  <c r="G51" i="98"/>
  <c r="H51" i="98" s="1"/>
  <c r="K51" i="98" s="1"/>
  <c r="K50" i="98"/>
  <c r="G49" i="98"/>
  <c r="H49" i="98" s="1"/>
  <c r="K49" i="98" s="1"/>
  <c r="K48" i="98"/>
  <c r="G47" i="98"/>
  <c r="H47" i="98" s="1"/>
  <c r="K47" i="98" s="1"/>
  <c r="K46" i="98"/>
  <c r="G45" i="98"/>
  <c r="H45" i="98" s="1"/>
  <c r="K45" i="98" s="1"/>
  <c r="K44" i="98"/>
  <c r="K19" i="98"/>
  <c r="K40" i="98" s="1"/>
  <c r="K25" i="98"/>
  <c r="D27" i="87"/>
  <c r="D26" i="87"/>
  <c r="D19" i="87"/>
  <c r="E24" i="88"/>
  <c r="J24" i="88" s="1"/>
  <c r="E23" i="88"/>
  <c r="J23" i="88" s="1"/>
  <c r="E22" i="88"/>
  <c r="J22" i="88" s="1"/>
  <c r="H47" i="88"/>
  <c r="E45" i="88"/>
  <c r="E46" i="88" s="1"/>
  <c r="J46" i="88" s="1"/>
  <c r="E42" i="88"/>
  <c r="J42" i="88" s="1"/>
  <c r="J34" i="88"/>
  <c r="J33" i="88"/>
  <c r="D35" i="88"/>
  <c r="E51" i="88"/>
  <c r="J51" i="88" s="1"/>
  <c r="J30" i="88"/>
  <c r="J28" i="88"/>
  <c r="J29" i="88"/>
  <c r="E10" i="88"/>
  <c r="E18" i="88" s="1"/>
  <c r="J18" i="88" s="1"/>
  <c r="J11" i="88"/>
  <c r="F14" i="88"/>
  <c r="C43" i="79"/>
  <c r="E53" i="79" s="1"/>
  <c r="C44" i="79"/>
  <c r="E54" i="79" s="1"/>
  <c r="C45" i="79"/>
  <c r="C46" i="79"/>
  <c r="E56" i="79" s="1"/>
  <c r="C47" i="79"/>
  <c r="E57" i="79" s="1"/>
  <c r="J41" i="85"/>
  <c r="K29" i="84"/>
  <c r="J15" i="81"/>
  <c r="C15" i="85"/>
  <c r="C14" i="85"/>
  <c r="E20" i="85" s="1"/>
  <c r="E24" i="85" s="1"/>
  <c r="K29" i="95"/>
  <c r="K26" i="95"/>
  <c r="K19" i="95"/>
  <c r="J24" i="95"/>
  <c r="K24" i="95" s="1"/>
  <c r="J21" i="95"/>
  <c r="K21" i="95" s="1"/>
  <c r="E16" i="95"/>
  <c r="K16" i="95" s="1"/>
  <c r="E13" i="95"/>
  <c r="K13" i="95" s="1"/>
  <c r="J10" i="95"/>
  <c r="K10" i="95" s="1"/>
  <c r="J222" i="92"/>
  <c r="J216" i="92"/>
  <c r="J214" i="92"/>
  <c r="G240" i="92"/>
  <c r="E240" i="92"/>
  <c r="G239" i="92"/>
  <c r="J239" i="92" s="1"/>
  <c r="J237" i="92"/>
  <c r="G236" i="92"/>
  <c r="E236" i="92"/>
  <c r="D236" i="92"/>
  <c r="F234" i="92"/>
  <c r="E234" i="92"/>
  <c r="G233" i="92"/>
  <c r="F233" i="92"/>
  <c r="G232" i="92"/>
  <c r="E232" i="92"/>
  <c r="J228" i="92"/>
  <c r="J227" i="92"/>
  <c r="J225" i="92"/>
  <c r="F224" i="92"/>
  <c r="F235" i="92" s="1"/>
  <c r="J235" i="92" s="1"/>
  <c r="J223" i="92"/>
  <c r="E218" i="92"/>
  <c r="J218" i="92" s="1"/>
  <c r="A218" i="92"/>
  <c r="A220" i="92" s="1"/>
  <c r="A230" i="92" s="1"/>
  <c r="A243" i="92" s="1"/>
  <c r="H210" i="92"/>
  <c r="E210" i="92"/>
  <c r="A210" i="92"/>
  <c r="J208" i="92"/>
  <c r="F206" i="92"/>
  <c r="J206" i="92" s="1"/>
  <c r="J204" i="92"/>
  <c r="J197" i="92"/>
  <c r="G196" i="92"/>
  <c r="J196" i="92" s="1"/>
  <c r="J194" i="92"/>
  <c r="G193" i="92"/>
  <c r="J193" i="92" s="1"/>
  <c r="G191" i="92"/>
  <c r="E190" i="92"/>
  <c r="E191" i="92" s="1"/>
  <c r="G189" i="92"/>
  <c r="G190" i="92" s="1"/>
  <c r="G187" i="92"/>
  <c r="J187" i="92" s="1"/>
  <c r="H186" i="92"/>
  <c r="J186" i="92" s="1"/>
  <c r="G184" i="92"/>
  <c r="E184" i="92"/>
  <c r="J183" i="92"/>
  <c r="G182" i="92"/>
  <c r="J182" i="92" s="1"/>
  <c r="G180" i="92"/>
  <c r="J180" i="92" s="1"/>
  <c r="J175" i="92"/>
  <c r="J174" i="92"/>
  <c r="J172" i="92"/>
  <c r="J171" i="92"/>
  <c r="J169" i="92"/>
  <c r="J168" i="92"/>
  <c r="J167" i="92"/>
  <c r="H166" i="92"/>
  <c r="J166" i="92" s="1"/>
  <c r="E164" i="92"/>
  <c r="J164" i="92" s="1"/>
  <c r="G163" i="92"/>
  <c r="J163" i="92" s="1"/>
  <c r="J162" i="92"/>
  <c r="J160" i="92"/>
  <c r="J159" i="92"/>
  <c r="J158" i="92"/>
  <c r="J157" i="92"/>
  <c r="G152" i="92"/>
  <c r="F151" i="92"/>
  <c r="J151" i="92" s="1"/>
  <c r="J147" i="92"/>
  <c r="J146" i="92"/>
  <c r="J142" i="92"/>
  <c r="J141" i="92"/>
  <c r="J140" i="92"/>
  <c r="F139" i="92"/>
  <c r="J139" i="92" s="1"/>
  <c r="J138" i="92"/>
  <c r="E130" i="92"/>
  <c r="J130" i="92" s="1"/>
  <c r="G128" i="92"/>
  <c r="J124" i="92"/>
  <c r="F119" i="92"/>
  <c r="E117" i="92"/>
  <c r="J117" i="92" s="1"/>
  <c r="J114" i="92"/>
  <c r="J113" i="92"/>
  <c r="H104" i="92"/>
  <c r="J104" i="92" s="1"/>
  <c r="F103" i="92"/>
  <c r="J103" i="92" s="1"/>
  <c r="E101" i="92"/>
  <c r="J101" i="92" s="1"/>
  <c r="E100" i="92"/>
  <c r="J100" i="92" s="1"/>
  <c r="H99" i="92"/>
  <c r="J99" i="92" s="1"/>
  <c r="F97" i="92"/>
  <c r="J97" i="92" s="1"/>
  <c r="G96" i="92"/>
  <c r="E96" i="92"/>
  <c r="G95" i="92"/>
  <c r="E95" i="92"/>
  <c r="J94" i="92"/>
  <c r="J93" i="92"/>
  <c r="E89" i="92"/>
  <c r="E105" i="92" s="1"/>
  <c r="E106" i="92" s="1"/>
  <c r="J106" i="92" s="1"/>
  <c r="J88" i="92"/>
  <c r="J87" i="92"/>
  <c r="J86" i="92"/>
  <c r="J84" i="92"/>
  <c r="J83" i="92"/>
  <c r="J82" i="92"/>
  <c r="J81" i="92"/>
  <c r="J80" i="92"/>
  <c r="F77" i="92"/>
  <c r="J77" i="92" s="1"/>
  <c r="J74" i="92"/>
  <c r="J73" i="92"/>
  <c r="A72" i="92"/>
  <c r="F67" i="92"/>
  <c r="J67" i="92" s="1"/>
  <c r="G64" i="92"/>
  <c r="G65" i="92" s="1"/>
  <c r="E64" i="92"/>
  <c r="G62" i="92"/>
  <c r="E62" i="92"/>
  <c r="E63" i="92" s="1"/>
  <c r="J63" i="92" s="1"/>
  <c r="H60" i="92"/>
  <c r="J60" i="92" s="1"/>
  <c r="J59" i="92"/>
  <c r="J55" i="92"/>
  <c r="F54" i="92"/>
  <c r="J54" i="92" s="1"/>
  <c r="J53" i="92"/>
  <c r="J51" i="92"/>
  <c r="F50" i="92"/>
  <c r="J50" i="92" s="1"/>
  <c r="F47" i="92"/>
  <c r="E47" i="92"/>
  <c r="J45" i="92"/>
  <c r="J36" i="92"/>
  <c r="E34" i="92"/>
  <c r="J34" i="92" s="1"/>
  <c r="J32" i="92"/>
  <c r="E31" i="92"/>
  <c r="E33" i="92" s="1"/>
  <c r="J30" i="92"/>
  <c r="J29" i="92"/>
  <c r="J25" i="92"/>
  <c r="J22" i="92"/>
  <c r="J21" i="92"/>
  <c r="J20" i="92"/>
  <c r="J19" i="92"/>
  <c r="J18" i="92"/>
  <c r="J14" i="92"/>
  <c r="J12" i="92"/>
  <c r="J11" i="92"/>
  <c r="J9" i="88"/>
  <c r="J40" i="78"/>
  <c r="J38" i="78"/>
  <c r="E10" i="78"/>
  <c r="J10" i="78" s="1"/>
  <c r="J24" i="78"/>
  <c r="J14" i="78"/>
  <c r="J22" i="78"/>
  <c r="J20" i="78"/>
  <c r="C14" i="84"/>
  <c r="C13" i="84"/>
  <c r="I30" i="85"/>
  <c r="I29" i="85"/>
  <c r="O54" i="79"/>
  <c r="P102" i="79"/>
  <c r="F94" i="79"/>
  <c r="F93" i="79"/>
  <c r="F92" i="79"/>
  <c r="E55" i="79"/>
  <c r="E93" i="79" s="1"/>
  <c r="B48" i="79"/>
  <c r="E32" i="79"/>
  <c r="J32" i="79" s="1"/>
  <c r="K32" i="79" s="1"/>
  <c r="I56" i="68"/>
  <c r="J121" i="86"/>
  <c r="I32" i="86"/>
  <c r="J32" i="86" s="1"/>
  <c r="I31" i="86"/>
  <c r="J31" i="86" s="1"/>
  <c r="E19" i="79"/>
  <c r="I19" i="79" s="1"/>
  <c r="K19" i="79" s="1"/>
  <c r="J9" i="86"/>
  <c r="J10" i="86" s="1"/>
  <c r="J122" i="86"/>
  <c r="G106" i="86"/>
  <c r="I106" i="86" s="1"/>
  <c r="J106" i="86" s="1"/>
  <c r="G105" i="86"/>
  <c r="I105" i="86" s="1"/>
  <c r="J105" i="86" s="1"/>
  <c r="I103" i="86"/>
  <c r="J103" i="86" s="1"/>
  <c r="I102" i="86"/>
  <c r="J102" i="86" s="1"/>
  <c r="J281" i="89"/>
  <c r="J279" i="89"/>
  <c r="H275" i="89"/>
  <c r="H274" i="89"/>
  <c r="H280" i="89" s="1"/>
  <c r="J280" i="89" s="1"/>
  <c r="J270" i="89"/>
  <c r="J269" i="89"/>
  <c r="J265" i="89"/>
  <c r="J264" i="89"/>
  <c r="J260" i="89"/>
  <c r="J259" i="89"/>
  <c r="J251" i="89"/>
  <c r="J250" i="89"/>
  <c r="J247" i="89"/>
  <c r="J254" i="89" s="1"/>
  <c r="J245" i="89"/>
  <c r="J243" i="89"/>
  <c r="J241" i="89"/>
  <c r="H236" i="89"/>
  <c r="H231" i="89"/>
  <c r="E231" i="89"/>
  <c r="H230" i="89"/>
  <c r="E230" i="89"/>
  <c r="E226" i="89"/>
  <c r="E234" i="89" s="1"/>
  <c r="H225" i="89"/>
  <c r="J225" i="89" s="1"/>
  <c r="H224" i="89"/>
  <c r="J224" i="89" s="1"/>
  <c r="D212" i="89"/>
  <c r="J212" i="89" s="1"/>
  <c r="D211" i="89"/>
  <c r="J210" i="89"/>
  <c r="J205" i="89"/>
  <c r="J204" i="89"/>
  <c r="D203" i="89"/>
  <c r="J203" i="89" s="1"/>
  <c r="D202" i="89"/>
  <c r="J202" i="89" s="1"/>
  <c r="J198" i="89"/>
  <c r="J197" i="89"/>
  <c r="H196" i="89"/>
  <c r="D196" i="89"/>
  <c r="D195" i="89"/>
  <c r="G194" i="89"/>
  <c r="G193" i="89"/>
  <c r="H189" i="89"/>
  <c r="D189" i="89"/>
  <c r="D188" i="89"/>
  <c r="J188" i="89" s="1"/>
  <c r="G187" i="89"/>
  <c r="G186" i="89"/>
  <c r="H182" i="89"/>
  <c r="D182" i="89"/>
  <c r="D181" i="89"/>
  <c r="E173" i="89"/>
  <c r="J173" i="89" s="1"/>
  <c r="E172" i="89"/>
  <c r="E209" i="89" s="1"/>
  <c r="E211" i="89" s="1"/>
  <c r="J168" i="89"/>
  <c r="J167" i="89"/>
  <c r="J164" i="89"/>
  <c r="F162" i="89"/>
  <c r="F194" i="89" s="1"/>
  <c r="F158" i="89"/>
  <c r="F187" i="89" s="1"/>
  <c r="E155" i="89"/>
  <c r="J155" i="89" s="1"/>
  <c r="F154" i="89"/>
  <c r="F180" i="89" s="1"/>
  <c r="J180" i="89" s="1"/>
  <c r="E154" i="89"/>
  <c r="E179" i="89" s="1"/>
  <c r="J179" i="89" s="1"/>
  <c r="E150" i="89"/>
  <c r="J150" i="89" s="1"/>
  <c r="J149" i="89"/>
  <c r="E148" i="89"/>
  <c r="J148" i="89" s="1"/>
  <c r="E147" i="89"/>
  <c r="E159" i="89" s="1"/>
  <c r="J159" i="89" s="1"/>
  <c r="E146" i="89"/>
  <c r="J146" i="89" s="1"/>
  <c r="E142" i="89"/>
  <c r="J142" i="89" s="1"/>
  <c r="E141" i="89"/>
  <c r="J141" i="89" s="1"/>
  <c r="E140" i="89"/>
  <c r="J140" i="89" s="1"/>
  <c r="E139" i="89"/>
  <c r="J139" i="89" s="1"/>
  <c r="J135" i="89"/>
  <c r="J134" i="89"/>
  <c r="J133" i="89"/>
  <c r="J132" i="89"/>
  <c r="D123" i="89"/>
  <c r="J123" i="89" s="1"/>
  <c r="D122" i="89"/>
  <c r="J121" i="89"/>
  <c r="H109" i="89"/>
  <c r="E109" i="89"/>
  <c r="H108" i="89"/>
  <c r="E108" i="89"/>
  <c r="H107" i="89"/>
  <c r="E107" i="89"/>
  <c r="E103" i="89"/>
  <c r="E112" i="89" s="1"/>
  <c r="J112" i="89" s="1"/>
  <c r="J102" i="89"/>
  <c r="H101" i="89"/>
  <c r="J101" i="89" s="1"/>
  <c r="H100" i="89"/>
  <c r="J100" i="89" s="1"/>
  <c r="G91" i="89"/>
  <c r="F91" i="89"/>
  <c r="G90" i="89"/>
  <c r="E90" i="89"/>
  <c r="G89" i="89"/>
  <c r="F89" i="89"/>
  <c r="G88" i="89"/>
  <c r="G86" i="89"/>
  <c r="F86" i="89"/>
  <c r="D86" i="89"/>
  <c r="G85" i="89"/>
  <c r="E85" i="89"/>
  <c r="D85" i="89"/>
  <c r="G84" i="89"/>
  <c r="F84" i="89"/>
  <c r="D84" i="89"/>
  <c r="G83" i="89"/>
  <c r="E83" i="89"/>
  <c r="D83" i="89"/>
  <c r="G81" i="89"/>
  <c r="F81" i="89"/>
  <c r="D81" i="89"/>
  <c r="G80" i="89"/>
  <c r="E80" i="89"/>
  <c r="D80" i="89"/>
  <c r="G79" i="89"/>
  <c r="F79" i="89"/>
  <c r="D79" i="89"/>
  <c r="G78" i="89"/>
  <c r="E78" i="89"/>
  <c r="D78" i="89"/>
  <c r="H76" i="89"/>
  <c r="J76" i="89" s="1"/>
  <c r="G75" i="89"/>
  <c r="E75" i="89"/>
  <c r="H74" i="89"/>
  <c r="J74" i="89" s="1"/>
  <c r="G73" i="89"/>
  <c r="E73" i="89"/>
  <c r="H72" i="89"/>
  <c r="J72" i="89" s="1"/>
  <c r="J67" i="89"/>
  <c r="E66" i="89"/>
  <c r="J66" i="89" s="1"/>
  <c r="J64" i="89"/>
  <c r="J63" i="89"/>
  <c r="J61" i="89"/>
  <c r="J60" i="89"/>
  <c r="J58" i="89"/>
  <c r="J57" i="89"/>
  <c r="E56" i="89"/>
  <c r="J56" i="89" s="1"/>
  <c r="E53" i="89"/>
  <c r="J53" i="89" s="1"/>
  <c r="J51" i="89"/>
  <c r="J44" i="89"/>
  <c r="J43" i="89"/>
  <c r="H42" i="89"/>
  <c r="J42" i="89" s="1"/>
  <c r="J41" i="89"/>
  <c r="H39" i="89"/>
  <c r="J39" i="89" s="1"/>
  <c r="J38" i="89"/>
  <c r="H37" i="89"/>
  <c r="J37" i="89" s="1"/>
  <c r="J36" i="89"/>
  <c r="H34" i="89"/>
  <c r="J34" i="89" s="1"/>
  <c r="J33" i="89"/>
  <c r="H31" i="89"/>
  <c r="J31" i="89" s="1"/>
  <c r="G30" i="89"/>
  <c r="J30" i="89" s="1"/>
  <c r="H29" i="89"/>
  <c r="J29" i="89" s="1"/>
  <c r="G28" i="89"/>
  <c r="J28" i="89" s="1"/>
  <c r="J25" i="89"/>
  <c r="J22" i="89"/>
  <c r="J21" i="89"/>
  <c r="J20" i="89"/>
  <c r="J18" i="89"/>
  <c r="J16" i="89"/>
  <c r="J15" i="89"/>
  <c r="J12" i="89"/>
  <c r="J10" i="89"/>
  <c r="E21" i="84"/>
  <c r="E24" i="84" s="1"/>
  <c r="J18" i="84"/>
  <c r="J11" i="81"/>
  <c r="J9" i="81"/>
  <c r="J10" i="79"/>
  <c r="K10" i="79" s="1"/>
  <c r="E33" i="79"/>
  <c r="J33" i="79" s="1"/>
  <c r="K33" i="79" s="1"/>
  <c r="E20" i="79"/>
  <c r="I20" i="79" s="1"/>
  <c r="K20" i="79" s="1"/>
  <c r="E18" i="79"/>
  <c r="I18" i="79" s="1"/>
  <c r="K18" i="79" s="1"/>
  <c r="J11" i="79"/>
  <c r="K11" i="79" s="1"/>
  <c r="J12" i="79"/>
  <c r="K12" i="79" s="1"/>
  <c r="J13" i="79"/>
  <c r="K13" i="79" s="1"/>
  <c r="J14" i="79"/>
  <c r="K14" i="79" s="1"/>
  <c r="J15" i="79"/>
  <c r="K15" i="79" s="1"/>
  <c r="J12" i="78"/>
  <c r="E3" i="72"/>
  <c r="F3" i="72" s="1"/>
  <c r="F2" i="72"/>
  <c r="H63" i="68"/>
  <c r="H64" i="68" s="1"/>
  <c r="H65" i="68" s="1"/>
  <c r="C37" i="49"/>
  <c r="F37" i="49" s="1"/>
  <c r="C36" i="49"/>
  <c r="F36" i="49" s="1"/>
  <c r="C35" i="49"/>
  <c r="F35" i="49" s="1"/>
  <c r="F34" i="49"/>
  <c r="C33" i="49"/>
  <c r="F33" i="49" s="1"/>
  <c r="C32" i="49"/>
  <c r="F32" i="49" s="1"/>
  <c r="C31" i="49"/>
  <c r="F31" i="49" s="1"/>
  <c r="C30" i="49"/>
  <c r="F30" i="49" s="1"/>
  <c r="C29" i="49"/>
  <c r="F29" i="49" s="1"/>
  <c r="C28" i="49"/>
  <c r="F28" i="49" s="1"/>
  <c r="C27" i="49"/>
  <c r="F27" i="49" s="1"/>
  <c r="C26" i="49"/>
  <c r="F26" i="49" s="1"/>
  <c r="C25" i="49"/>
  <c r="F25" i="49" s="1"/>
  <c r="C24" i="49"/>
  <c r="F24" i="49" s="1"/>
  <c r="C23" i="49"/>
  <c r="F23" i="49" s="1"/>
  <c r="C22" i="49"/>
  <c r="F22" i="49" s="1"/>
  <c r="C21" i="49"/>
  <c r="F21" i="49" s="1"/>
  <c r="C20" i="49"/>
  <c r="F20" i="49" s="1"/>
  <c r="C19" i="49"/>
  <c r="F19" i="49" s="1"/>
  <c r="C18" i="49"/>
  <c r="F18" i="49" s="1"/>
  <c r="C17" i="49"/>
  <c r="F17" i="49" s="1"/>
  <c r="C16" i="49"/>
  <c r="F16" i="49" s="1"/>
  <c r="C15" i="49"/>
  <c r="F15" i="49" s="1"/>
  <c r="C14" i="49"/>
  <c r="F14" i="49" s="1"/>
  <c r="A14" i="49"/>
  <c r="A15" i="49" s="1"/>
  <c r="A16" i="49" s="1"/>
  <c r="A17" i="49" s="1"/>
  <c r="A18" i="49" s="1"/>
  <c r="A19" i="49" s="1"/>
  <c r="A20" i="49" s="1"/>
  <c r="A21" i="49" s="1"/>
  <c r="A22" i="49" s="1"/>
  <c r="A23" i="49" s="1"/>
  <c r="A24" i="49" s="1"/>
  <c r="A25" i="49" s="1"/>
  <c r="A26" i="49" s="1"/>
  <c r="A27" i="49" s="1"/>
  <c r="A28" i="49" s="1"/>
  <c r="A29" i="49" s="1"/>
  <c r="A30" i="49" s="1"/>
  <c r="A31" i="49" s="1"/>
  <c r="A32" i="49" s="1"/>
  <c r="A33" i="49" s="1"/>
  <c r="A34" i="49" s="1"/>
  <c r="A35" i="49" s="1"/>
  <c r="A36" i="49" s="1"/>
  <c r="A37" i="49" s="1"/>
  <c r="D5" i="49"/>
  <c r="C13" i="49"/>
  <c r="F13" i="49" s="1"/>
  <c r="D139" i="53"/>
  <c r="J68" i="53"/>
  <c r="J67" i="53"/>
  <c r="J64" i="53"/>
  <c r="J65" i="53" s="1"/>
  <c r="J61" i="53"/>
  <c r="J62" i="53" s="1"/>
  <c r="J58" i="53"/>
  <c r="J59" i="53" s="1"/>
  <c r="J55" i="53"/>
  <c r="J56" i="53" s="1"/>
  <c r="J52" i="53"/>
  <c r="J53" i="53" s="1"/>
  <c r="J49" i="53"/>
  <c r="J50" i="53" s="1"/>
  <c r="J42" i="53"/>
  <c r="J41" i="53"/>
  <c r="J38" i="53"/>
  <c r="J39" i="53" s="1"/>
  <c r="J35" i="53"/>
  <c r="J34" i="53"/>
  <c r="J31" i="53"/>
  <c r="J30" i="53"/>
  <c r="J29" i="53"/>
  <c r="J26" i="53"/>
  <c r="J25" i="53"/>
  <c r="J22" i="53"/>
  <c r="J21" i="53"/>
  <c r="J18" i="53"/>
  <c r="J19" i="53" s="1"/>
  <c r="A17" i="53"/>
  <c r="A20" i="53" s="1"/>
  <c r="A24" i="53" s="1"/>
  <c r="A28" i="53" s="1"/>
  <c r="A33" i="53" s="1"/>
  <c r="A37" i="53" s="1"/>
  <c r="A40" i="53" s="1"/>
  <c r="A45" i="53" s="1"/>
  <c r="A48" i="53" s="1"/>
  <c r="A51" i="53" s="1"/>
  <c r="A54" i="53" s="1"/>
  <c r="A57" i="53" s="1"/>
  <c r="A60" i="53" s="1"/>
  <c r="A63" i="53" s="1"/>
  <c r="A66" i="53" s="1"/>
  <c r="J15" i="53"/>
  <c r="I14" i="53"/>
  <c r="J14" i="53" s="1"/>
  <c r="B4" i="53"/>
  <c r="B3" i="53"/>
  <c r="B2" i="53"/>
  <c r="D59" i="57"/>
  <c r="D56" i="57"/>
  <c r="D55" i="57"/>
  <c r="D54" i="57"/>
  <c r="N74" i="55"/>
  <c r="L74" i="55"/>
  <c r="J74" i="55"/>
  <c r="H74" i="55"/>
  <c r="F74" i="55"/>
  <c r="N73" i="55"/>
  <c r="L73" i="55"/>
  <c r="J73" i="55"/>
  <c r="H73" i="55"/>
  <c r="F73" i="55"/>
  <c r="N72" i="55"/>
  <c r="L72" i="55"/>
  <c r="J72" i="55"/>
  <c r="H72" i="55"/>
  <c r="F72" i="55"/>
  <c r="N71" i="55"/>
  <c r="L71" i="55"/>
  <c r="J71" i="55"/>
  <c r="H71" i="55"/>
  <c r="F71" i="55"/>
  <c r="N70" i="55"/>
  <c r="L70" i="55"/>
  <c r="J70" i="55"/>
  <c r="H70" i="55"/>
  <c r="F70" i="55"/>
  <c r="N69" i="55"/>
  <c r="L69" i="55"/>
  <c r="J69" i="55"/>
  <c r="H69" i="55"/>
  <c r="F69" i="55"/>
  <c r="N68" i="55"/>
  <c r="L68" i="55"/>
  <c r="J68" i="55"/>
  <c r="H68" i="55"/>
  <c r="F68" i="55"/>
  <c r="N67" i="55"/>
  <c r="L67" i="55"/>
  <c r="J67" i="55"/>
  <c r="H67" i="55"/>
  <c r="F67" i="55"/>
  <c r="N47" i="55"/>
  <c r="L47" i="55"/>
  <c r="J47" i="55"/>
  <c r="H47" i="55"/>
  <c r="F47" i="55"/>
  <c r="N46" i="55"/>
  <c r="L46" i="55"/>
  <c r="J46" i="55"/>
  <c r="H46" i="55"/>
  <c r="F46" i="55"/>
  <c r="N45" i="55"/>
  <c r="L45" i="55"/>
  <c r="J45" i="55"/>
  <c r="H45" i="55"/>
  <c r="F45" i="55"/>
  <c r="N44" i="55"/>
  <c r="L44" i="55"/>
  <c r="J44" i="55"/>
  <c r="H44" i="55"/>
  <c r="F44" i="55"/>
  <c r="N43" i="55"/>
  <c r="L43" i="55"/>
  <c r="J43" i="55"/>
  <c r="H43" i="55"/>
  <c r="F43" i="55"/>
  <c r="N42" i="55"/>
  <c r="L42" i="55"/>
  <c r="J42" i="55"/>
  <c r="H42" i="55"/>
  <c r="F42" i="55"/>
  <c r="N41" i="55"/>
  <c r="L41" i="55"/>
  <c r="J41" i="55"/>
  <c r="H41" i="55"/>
  <c r="F41" i="55"/>
  <c r="N40" i="55"/>
  <c r="L40" i="55"/>
  <c r="J40" i="55"/>
  <c r="H40" i="55"/>
  <c r="F40" i="55"/>
  <c r="N39" i="55"/>
  <c r="L39" i="55"/>
  <c r="J39" i="55"/>
  <c r="H39" i="55"/>
  <c r="F39" i="55"/>
  <c r="N37" i="55"/>
  <c r="L37" i="55"/>
  <c r="J37" i="55"/>
  <c r="H37" i="55"/>
  <c r="F37" i="55"/>
  <c r="N36" i="55"/>
  <c r="L36" i="55"/>
  <c r="J36" i="55"/>
  <c r="H36" i="55"/>
  <c r="F36" i="55"/>
  <c r="N35" i="55"/>
  <c r="L35" i="55"/>
  <c r="J35" i="55"/>
  <c r="H35" i="55"/>
  <c r="F35" i="55"/>
  <c r="N34" i="55"/>
  <c r="L34" i="55"/>
  <c r="J34" i="55"/>
  <c r="H34" i="55"/>
  <c r="F34" i="55"/>
  <c r="N32" i="55"/>
  <c r="L32" i="55"/>
  <c r="J32" i="55"/>
  <c r="H32" i="55"/>
  <c r="F32" i="55"/>
  <c r="N31" i="55"/>
  <c r="L31" i="55"/>
  <c r="J31" i="55"/>
  <c r="H31" i="55"/>
  <c r="F31" i="55"/>
  <c r="N29" i="55"/>
  <c r="L29" i="55"/>
  <c r="J29" i="55"/>
  <c r="H29" i="55"/>
  <c r="F29" i="55"/>
  <c r="N27" i="55"/>
  <c r="L27" i="55"/>
  <c r="J27" i="55"/>
  <c r="H27" i="55"/>
  <c r="F27" i="55"/>
  <c r="N26" i="55"/>
  <c r="L26" i="55"/>
  <c r="J26" i="55"/>
  <c r="H26" i="55"/>
  <c r="F26" i="55"/>
  <c r="N25" i="55"/>
  <c r="L25" i="55"/>
  <c r="J25" i="55"/>
  <c r="H25" i="55"/>
  <c r="F25" i="55"/>
  <c r="N24" i="55"/>
  <c r="L24" i="55"/>
  <c r="J24" i="55"/>
  <c r="H24" i="55"/>
  <c r="F24" i="55"/>
  <c r="N21" i="55"/>
  <c r="L21" i="55"/>
  <c r="J21" i="55"/>
  <c r="H21" i="55"/>
  <c r="F21" i="55"/>
  <c r="N20" i="55"/>
  <c r="L20" i="55"/>
  <c r="J20" i="55"/>
  <c r="H20" i="55"/>
  <c r="F20" i="55"/>
  <c r="N19" i="55"/>
  <c r="L19" i="55"/>
  <c r="J19" i="55"/>
  <c r="H19" i="55"/>
  <c r="F19" i="55"/>
  <c r="N18" i="55"/>
  <c r="L18" i="55"/>
  <c r="J18" i="55"/>
  <c r="H18" i="55"/>
  <c r="F18" i="55"/>
  <c r="N17" i="55"/>
  <c r="L17" i="55"/>
  <c r="J17" i="55"/>
  <c r="H17" i="55"/>
  <c r="F17" i="55"/>
  <c r="N16" i="55"/>
  <c r="L16" i="55"/>
  <c r="J16" i="55"/>
  <c r="H16" i="55"/>
  <c r="F16" i="55"/>
  <c r="N15" i="55"/>
  <c r="L15" i="55"/>
  <c r="J15" i="55"/>
  <c r="H15" i="55"/>
  <c r="N14" i="55"/>
  <c r="L14" i="55"/>
  <c r="J14" i="55"/>
  <c r="H14" i="55"/>
  <c r="F14" i="55"/>
  <c r="N13" i="55"/>
  <c r="L13" i="55"/>
  <c r="J13" i="55"/>
  <c r="H13" i="55"/>
  <c r="F13" i="55"/>
  <c r="N11" i="55"/>
  <c r="L11" i="55"/>
  <c r="J11" i="55"/>
  <c r="H11" i="55"/>
  <c r="F11" i="55"/>
  <c r="N10" i="55"/>
  <c r="L10" i="55"/>
  <c r="J10" i="55"/>
  <c r="H10" i="55"/>
  <c r="F10" i="55"/>
  <c r="F18" i="68"/>
  <c r="F19" i="68"/>
  <c r="D20" i="68"/>
  <c r="F13" i="68"/>
  <c r="F12" i="68"/>
  <c r="D47" i="177" l="1"/>
  <c r="G717" i="180"/>
  <c r="G104" i="110"/>
  <c r="I104" i="110" s="1"/>
  <c r="J139" i="110"/>
  <c r="I178" i="110"/>
  <c r="F278" i="110"/>
  <c r="J278" i="110" s="1"/>
  <c r="E163" i="89"/>
  <c r="J163" i="89" s="1"/>
  <c r="J182" i="110"/>
  <c r="D48" i="177"/>
  <c r="D68" i="177"/>
  <c r="F90" i="110"/>
  <c r="J90" i="110" s="1"/>
  <c r="I169" i="110"/>
  <c r="I254" i="110"/>
  <c r="I257" i="110"/>
  <c r="I260" i="110"/>
  <c r="H76" i="110"/>
  <c r="G76" i="110" s="1"/>
  <c r="D14" i="68"/>
  <c r="D35" i="68" s="1"/>
  <c r="F35" i="68" s="1"/>
  <c r="J243" i="110"/>
  <c r="J253" i="110"/>
  <c r="I323" i="110"/>
  <c r="J274" i="89"/>
  <c r="F58" i="110"/>
  <c r="J58" i="110" s="1"/>
  <c r="J254" i="110"/>
  <c r="J274" i="110"/>
  <c r="J279" i="110"/>
  <c r="J120" i="110"/>
  <c r="J244" i="110"/>
  <c r="J219" i="110"/>
  <c r="I249" i="110"/>
  <c r="I287" i="110"/>
  <c r="J317" i="110"/>
  <c r="J189" i="92"/>
  <c r="J282" i="110"/>
  <c r="I168" i="110"/>
  <c r="J62" i="92"/>
  <c r="J190" i="110"/>
  <c r="I230" i="110"/>
  <c r="I255" i="110"/>
  <c r="I261" i="110"/>
  <c r="J252" i="110"/>
  <c r="I130" i="110"/>
  <c r="J135" i="110"/>
  <c r="J32" i="53"/>
  <c r="J237" i="110"/>
  <c r="I265" i="110"/>
  <c r="J236" i="110"/>
  <c r="J302" i="110"/>
  <c r="J320" i="110"/>
  <c r="J214" i="86"/>
  <c r="I229" i="110"/>
  <c r="I279" i="110"/>
  <c r="J227" i="110"/>
  <c r="D467" i="172"/>
  <c r="J467" i="172" s="1"/>
  <c r="J477" i="172" s="1"/>
  <c r="D437" i="176"/>
  <c r="J223" i="110"/>
  <c r="J263" i="110"/>
  <c r="D254" i="176"/>
  <c r="D290" i="172"/>
  <c r="J290" i="172" s="1"/>
  <c r="J190" i="92"/>
  <c r="E66" i="92"/>
  <c r="J66" i="92" s="1"/>
  <c r="I51" i="110"/>
  <c r="I58" i="110"/>
  <c r="I34" i="96"/>
  <c r="K34" i="96" s="1"/>
  <c r="J236" i="92"/>
  <c r="Z23" i="106"/>
  <c r="I126" i="110"/>
  <c r="I134" i="110"/>
  <c r="I136" i="110"/>
  <c r="I140" i="110"/>
  <c r="J107" i="89"/>
  <c r="D278" i="172"/>
  <c r="J278" i="172" s="1"/>
  <c r="D242" i="176"/>
  <c r="J230" i="89"/>
  <c r="I243" i="110"/>
  <c r="J222" i="110"/>
  <c r="F52" i="96"/>
  <c r="F62" i="177"/>
  <c r="D703" i="176"/>
  <c r="D721" i="172"/>
  <c r="J721" i="172" s="1"/>
  <c r="J724" i="172" s="1"/>
  <c r="J75" i="89"/>
  <c r="J91" i="89"/>
  <c r="I125" i="110"/>
  <c r="E108" i="110"/>
  <c r="J17" i="110"/>
  <c r="J149" i="110"/>
  <c r="J159" i="110"/>
  <c r="I219" i="110"/>
  <c r="I294" i="110"/>
  <c r="J233" i="92"/>
  <c r="I262" i="110"/>
  <c r="I144" i="110"/>
  <c r="J151" i="110"/>
  <c r="I174" i="110"/>
  <c r="I181" i="110"/>
  <c r="I188" i="110"/>
  <c r="I225" i="110"/>
  <c r="I231" i="110"/>
  <c r="J286" i="110"/>
  <c r="J249" i="110"/>
  <c r="I26" i="110"/>
  <c r="I56" i="110"/>
  <c r="J143" i="110"/>
  <c r="J115" i="92"/>
  <c r="K127" i="110"/>
  <c r="I150" i="110"/>
  <c r="I170" i="110"/>
  <c r="I285" i="110"/>
  <c r="I310" i="110"/>
  <c r="J187" i="89"/>
  <c r="K125" i="110"/>
  <c r="J198" i="110"/>
  <c r="J245" i="110"/>
  <c r="E72" i="79"/>
  <c r="J72" i="79" s="1"/>
  <c r="Q72" i="79" s="1"/>
  <c r="J53" i="79"/>
  <c r="E92" i="79"/>
  <c r="I326" i="110"/>
  <c r="J148" i="92"/>
  <c r="J115" i="86"/>
  <c r="J262" i="110"/>
  <c r="I274" i="110"/>
  <c r="I311" i="110"/>
  <c r="J25" i="110"/>
  <c r="I137" i="110"/>
  <c r="I148" i="110"/>
  <c r="I223" i="110"/>
  <c r="I226" i="110"/>
  <c r="I233" i="110"/>
  <c r="I317" i="110"/>
  <c r="J20" i="86"/>
  <c r="J24" i="86" s="1"/>
  <c r="I88" i="110"/>
  <c r="I270" i="110"/>
  <c r="J209" i="89"/>
  <c r="J231" i="89"/>
  <c r="F218" i="110"/>
  <c r="J218" i="110" s="1"/>
  <c r="J134" i="110"/>
  <c r="I246" i="110"/>
  <c r="I284" i="110"/>
  <c r="I252" i="110"/>
  <c r="I236" i="110"/>
  <c r="J84" i="89"/>
  <c r="I272" i="110"/>
  <c r="H60" i="110"/>
  <c r="G60" i="110" s="1"/>
  <c r="I60" i="110" s="1"/>
  <c r="I22" i="110"/>
  <c r="J175" i="110"/>
  <c r="I227" i="110"/>
  <c r="I209" i="110"/>
  <c r="J20" i="85"/>
  <c r="K137" i="110"/>
  <c r="F181" i="110"/>
  <c r="J181" i="110" s="1"/>
  <c r="I289" i="110"/>
  <c r="J32" i="110"/>
  <c r="J314" i="110"/>
  <c r="F178" i="110"/>
  <c r="J178" i="110" s="1"/>
  <c r="I268" i="110"/>
  <c r="J266" i="89"/>
  <c r="E17" i="95"/>
  <c r="K17" i="95" s="1"/>
  <c r="F60" i="110"/>
  <c r="J188" i="110"/>
  <c r="I191" i="110"/>
  <c r="I256" i="110"/>
  <c r="J264" i="110"/>
  <c r="J266" i="110"/>
  <c r="J27" i="53"/>
  <c r="J83" i="89"/>
  <c r="J45" i="88"/>
  <c r="E77" i="110"/>
  <c r="F77" i="110" s="1"/>
  <c r="J258" i="110"/>
  <c r="J250" i="110"/>
  <c r="J242" i="110"/>
  <c r="I266" i="110"/>
  <c r="I280" i="110"/>
  <c r="J272" i="110"/>
  <c r="I37" i="110"/>
  <c r="J270" i="110"/>
  <c r="J163" i="110"/>
  <c r="I247" i="110"/>
  <c r="I8" i="110"/>
  <c r="J9" i="110"/>
  <c r="I12" i="110"/>
  <c r="I15" i="110"/>
  <c r="J26" i="110"/>
  <c r="I32" i="110"/>
  <c r="I35" i="110"/>
  <c r="I45" i="110"/>
  <c r="I106" i="110"/>
  <c r="J125" i="110"/>
  <c r="J172" i="110"/>
  <c r="J189" i="110"/>
  <c r="J203" i="110"/>
  <c r="I208" i="110"/>
  <c r="J231" i="110"/>
  <c r="I234" i="110"/>
  <c r="I237" i="110"/>
  <c r="J261" i="110"/>
  <c r="J154" i="89"/>
  <c r="J156" i="89" s="1"/>
  <c r="E232" i="89"/>
  <c r="D42" i="68"/>
  <c r="D43" i="68" s="1"/>
  <c r="J89" i="89"/>
  <c r="J189" i="89"/>
  <c r="J252" i="89"/>
  <c r="J96" i="92"/>
  <c r="J191" i="92"/>
  <c r="K29" i="98"/>
  <c r="K221" i="110"/>
  <c r="I273" i="110"/>
  <c r="J246" i="110"/>
  <c r="J238" i="110"/>
  <c r="I288" i="110"/>
  <c r="I232" i="110"/>
  <c r="I200" i="110"/>
  <c r="J287" i="110"/>
  <c r="K143" i="110"/>
  <c r="J260" i="110"/>
  <c r="I149" i="110"/>
  <c r="F168" i="110"/>
  <c r="J168" i="110" s="1"/>
  <c r="J283" i="110"/>
  <c r="I76" i="110"/>
  <c r="J199" i="110"/>
  <c r="I320" i="110"/>
  <c r="J281" i="110"/>
  <c r="J24" i="110"/>
  <c r="I46" i="110"/>
  <c r="J52" i="110"/>
  <c r="J148" i="110"/>
  <c r="I157" i="110"/>
  <c r="J158" i="110"/>
  <c r="I160" i="110"/>
  <c r="I166" i="110"/>
  <c r="J179" i="110"/>
  <c r="I182" i="110"/>
  <c r="I190" i="110"/>
  <c r="J191" i="110"/>
  <c r="J229" i="110"/>
  <c r="I235" i="110"/>
  <c r="I239" i="110"/>
  <c r="I267" i="110"/>
  <c r="J269" i="110"/>
  <c r="I306" i="110"/>
  <c r="J326" i="110"/>
  <c r="J68" i="89"/>
  <c r="J94" i="89" s="1"/>
  <c r="J20" i="110"/>
  <c r="J23" i="110"/>
  <c r="J34" i="110"/>
  <c r="J143" i="92"/>
  <c r="J44" i="110"/>
  <c r="J124" i="110"/>
  <c r="J128" i="110"/>
  <c r="I244" i="110"/>
  <c r="I277" i="110"/>
  <c r="J169" i="110"/>
  <c r="J214" i="110"/>
  <c r="I238" i="110"/>
  <c r="I241" i="110"/>
  <c r="J271" i="89"/>
  <c r="I39" i="110"/>
  <c r="I47" i="110"/>
  <c r="I52" i="110"/>
  <c r="I172" i="110"/>
  <c r="H77" i="110"/>
  <c r="H78" i="110" s="1"/>
  <c r="H79" i="110" s="1"/>
  <c r="G79" i="110" s="1"/>
  <c r="J28" i="110"/>
  <c r="J27" i="110"/>
  <c r="I121" i="110"/>
  <c r="I198" i="110"/>
  <c r="I222" i="110"/>
  <c r="I240" i="110"/>
  <c r="J289" i="110"/>
  <c r="I158" i="110"/>
  <c r="I211" i="110"/>
  <c r="I295" i="110"/>
  <c r="J21" i="84"/>
  <c r="I24" i="110"/>
  <c r="J29" i="110"/>
  <c r="I127" i="110"/>
  <c r="I131" i="110"/>
  <c r="I133" i="110"/>
  <c r="I203" i="110"/>
  <c r="J256" i="110"/>
  <c r="E162" i="89"/>
  <c r="E193" i="89" s="1"/>
  <c r="J193" i="89" s="1"/>
  <c r="J72" i="110"/>
  <c r="I90" i="110"/>
  <c r="I105" i="110"/>
  <c r="J210" i="110"/>
  <c r="J215" i="110"/>
  <c r="J104" i="86"/>
  <c r="J81" i="89"/>
  <c r="D56" i="78"/>
  <c r="J10" i="92"/>
  <c r="J184" i="92"/>
  <c r="J224" i="92"/>
  <c r="J73" i="110"/>
  <c r="J16" i="53"/>
  <c r="I124" i="110"/>
  <c r="I135" i="110"/>
  <c r="I145" i="110"/>
  <c r="I156" i="110"/>
  <c r="I251" i="110"/>
  <c r="I253" i="110"/>
  <c r="I259" i="110"/>
  <c r="J210" i="92"/>
  <c r="C16" i="85"/>
  <c r="D43" i="99"/>
  <c r="I11" i="110"/>
  <c r="I48" i="110"/>
  <c r="I55" i="110"/>
  <c r="J88" i="110"/>
  <c r="I128" i="110"/>
  <c r="I132" i="110"/>
  <c r="J153" i="110"/>
  <c r="I159" i="110"/>
  <c r="I173" i="110"/>
  <c r="J209" i="110"/>
  <c r="J239" i="110"/>
  <c r="I248" i="110"/>
  <c r="J265" i="110"/>
  <c r="I281" i="110"/>
  <c r="I314" i="110"/>
  <c r="J69" i="53"/>
  <c r="E88" i="89"/>
  <c r="J88" i="89" s="1"/>
  <c r="J108" i="89"/>
  <c r="J206" i="89"/>
  <c r="J89" i="92"/>
  <c r="J90" i="92" s="1"/>
  <c r="J109" i="92" s="1"/>
  <c r="A15" i="106"/>
  <c r="I28" i="110"/>
  <c r="I57" i="110"/>
  <c r="I13" i="110"/>
  <c r="J31" i="110"/>
  <c r="I50" i="110"/>
  <c r="J127" i="110"/>
  <c r="I139" i="110"/>
  <c r="J152" i="110"/>
  <c r="I161" i="110"/>
  <c r="I180" i="110"/>
  <c r="I214" i="110"/>
  <c r="I250" i="110"/>
  <c r="I269" i="110"/>
  <c r="I271" i="110"/>
  <c r="I283" i="110"/>
  <c r="J306" i="110"/>
  <c r="J311" i="110"/>
  <c r="J182" i="89"/>
  <c r="F74" i="110"/>
  <c r="J74" i="110" s="1"/>
  <c r="J129" i="110"/>
  <c r="I228" i="110"/>
  <c r="J241" i="110"/>
  <c r="I258" i="110"/>
  <c r="I292" i="110"/>
  <c r="J78" i="89"/>
  <c r="J103" i="89"/>
  <c r="J196" i="89"/>
  <c r="J232" i="92"/>
  <c r="E16" i="87"/>
  <c r="J16" i="87" s="1"/>
  <c r="J17" i="87" s="1"/>
  <c r="I30" i="110"/>
  <c r="J234" i="110"/>
  <c r="J23" i="53"/>
  <c r="J211" i="89"/>
  <c r="J213" i="89" s="1"/>
  <c r="E78" i="79"/>
  <c r="J78" i="79" s="1"/>
  <c r="Q78" i="79" s="1"/>
  <c r="J105" i="92"/>
  <c r="I20" i="110"/>
  <c r="J45" i="110"/>
  <c r="J140" i="110"/>
  <c r="I163" i="110"/>
  <c r="I171" i="110"/>
  <c r="I220" i="110"/>
  <c r="I264" i="110"/>
  <c r="J219" i="86"/>
  <c r="J93" i="79"/>
  <c r="E98" i="79"/>
  <c r="J98" i="79" s="1"/>
  <c r="J24" i="85"/>
  <c r="E29" i="85"/>
  <c r="J29" i="85" s="1"/>
  <c r="K34" i="79"/>
  <c r="K36" i="79" s="1"/>
  <c r="J194" i="89"/>
  <c r="J33" i="86"/>
  <c r="D39" i="99"/>
  <c r="J44" i="53"/>
  <c r="J46" i="53" s="1"/>
  <c r="J47" i="53" s="1"/>
  <c r="E71" i="89"/>
  <c r="J71" i="89" s="1"/>
  <c r="J85" i="89"/>
  <c r="J109" i="89"/>
  <c r="J226" i="89"/>
  <c r="J261" i="89"/>
  <c r="E94" i="79"/>
  <c r="E99" i="79" s="1"/>
  <c r="J99" i="79" s="1"/>
  <c r="J31" i="92"/>
  <c r="J75" i="92"/>
  <c r="J95" i="92"/>
  <c r="D41" i="99"/>
  <c r="I37" i="86"/>
  <c r="J37" i="86" s="1"/>
  <c r="J141" i="86"/>
  <c r="J125" i="86" s="1"/>
  <c r="I162" i="110"/>
  <c r="J143" i="89"/>
  <c r="J147" i="89"/>
  <c r="J151" i="89" s="1"/>
  <c r="E158" i="89"/>
  <c r="J36" i="53"/>
  <c r="J55" i="79"/>
  <c r="E63" i="79"/>
  <c r="J63" i="79" s="1"/>
  <c r="Q63" i="79" s="1"/>
  <c r="J232" i="89"/>
  <c r="D48" i="79"/>
  <c r="E93" i="110"/>
  <c r="F93" i="110" s="1"/>
  <c r="F92" i="110"/>
  <c r="E116" i="89"/>
  <c r="E122" i="89" s="1"/>
  <c r="J122" i="89" s="1"/>
  <c r="E115" i="89"/>
  <c r="D52" i="78"/>
  <c r="E65" i="92"/>
  <c r="J65" i="92" s="1"/>
  <c r="J64" i="92"/>
  <c r="J31" i="88"/>
  <c r="I218" i="110"/>
  <c r="G153" i="92"/>
  <c r="J153" i="92" s="1"/>
  <c r="J152" i="92"/>
  <c r="J275" i="89"/>
  <c r="H282" i="89"/>
  <c r="J282" i="89" s="1"/>
  <c r="J283" i="89" s="1"/>
  <c r="J240" i="92"/>
  <c r="J92" i="86"/>
  <c r="H92" i="110"/>
  <c r="I6" i="110"/>
  <c r="I7" i="110"/>
  <c r="I16" i="110"/>
  <c r="J21" i="110"/>
  <c r="I25" i="110"/>
  <c r="J36" i="110"/>
  <c r="I40" i="110"/>
  <c r="I49" i="110"/>
  <c r="F57" i="110"/>
  <c r="J57" i="110" s="1"/>
  <c r="I73" i="110"/>
  <c r="J89" i="110"/>
  <c r="J105" i="110"/>
  <c r="F121" i="110"/>
  <c r="J121" i="110" s="1"/>
  <c r="J131" i="110"/>
  <c r="I138" i="110"/>
  <c r="I153" i="110"/>
  <c r="J173" i="110"/>
  <c r="I185" i="110"/>
  <c r="I204" i="110"/>
  <c r="J259" i="110"/>
  <c r="J271" i="110"/>
  <c r="I298" i="110"/>
  <c r="J234" i="92"/>
  <c r="F162" i="110"/>
  <c r="J162" i="110" s="1"/>
  <c r="F228" i="110"/>
  <c r="J228" i="110" s="1"/>
  <c r="K16" i="79"/>
  <c r="J79" i="89"/>
  <c r="J86" i="89"/>
  <c r="J90" i="89"/>
  <c r="J23" i="92"/>
  <c r="J41" i="92" s="1"/>
  <c r="J25" i="106"/>
  <c r="I29" i="110"/>
  <c r="F171" i="110"/>
  <c r="J171" i="110" s="1"/>
  <c r="F220" i="110"/>
  <c r="J220" i="110" s="1"/>
  <c r="I14" i="110"/>
  <c r="F13" i="110"/>
  <c r="J13" i="110" s="1"/>
  <c r="I27" i="110"/>
  <c r="I31" i="110"/>
  <c r="J48" i="110"/>
  <c r="J104" i="110"/>
  <c r="I120" i="110"/>
  <c r="I151" i="110"/>
  <c r="F161" i="110"/>
  <c r="J161" i="110" s="1"/>
  <c r="I189" i="110"/>
  <c r="I215" i="110"/>
  <c r="I242" i="110"/>
  <c r="I282" i="110"/>
  <c r="I286" i="110"/>
  <c r="J136" i="110"/>
  <c r="J156" i="110"/>
  <c r="I263" i="110"/>
  <c r="I21" i="110"/>
  <c r="J12" i="110"/>
  <c r="J47" i="110"/>
  <c r="J50" i="110"/>
  <c r="J55" i="110"/>
  <c r="J76" i="110"/>
  <c r="J132" i="110"/>
  <c r="J180" i="110"/>
  <c r="J192" i="110"/>
  <c r="J208" i="110"/>
  <c r="J230" i="110"/>
  <c r="J251" i="110"/>
  <c r="J267" i="110"/>
  <c r="J277" i="110"/>
  <c r="J284" i="110"/>
  <c r="D54" i="78"/>
  <c r="J23" i="89"/>
  <c r="J47" i="89" s="1"/>
  <c r="J80" i="89"/>
  <c r="J136" i="89"/>
  <c r="J169" i="89"/>
  <c r="J123" i="86"/>
  <c r="J47" i="92"/>
  <c r="J229" i="92"/>
  <c r="J243" i="92" s="1"/>
  <c r="I36" i="86"/>
  <c r="J36" i="86" s="1"/>
  <c r="I205" i="110"/>
  <c r="J204" i="110"/>
  <c r="J138" i="110"/>
  <c r="I152" i="110"/>
  <c r="I41" i="110"/>
  <c r="J166" i="110"/>
  <c r="J170" i="110"/>
  <c r="I199" i="110"/>
  <c r="J233" i="110"/>
  <c r="J209" i="86"/>
  <c r="J107" i="86"/>
  <c r="E236" i="89"/>
  <c r="J236" i="89" s="1"/>
  <c r="J234" i="89"/>
  <c r="E88" i="79"/>
  <c r="J88" i="79" s="1"/>
  <c r="Q88" i="79" s="1"/>
  <c r="J57" i="79"/>
  <c r="E84" i="79"/>
  <c r="J84" i="79" s="1"/>
  <c r="Q84" i="79" s="1"/>
  <c r="J24" i="84"/>
  <c r="J39" i="84" s="1"/>
  <c r="E27" i="84"/>
  <c r="E37" i="92"/>
  <c r="J37" i="92" s="1"/>
  <c r="J33" i="92"/>
  <c r="J57" i="92"/>
  <c r="J70" i="92" s="1"/>
  <c r="E62" i="79"/>
  <c r="J54" i="79"/>
  <c r="E75" i="79"/>
  <c r="J75" i="79" s="1"/>
  <c r="Q75" i="79" s="1"/>
  <c r="J92" i="79"/>
  <c r="E97" i="79"/>
  <c r="E58" i="79"/>
  <c r="E21" i="85"/>
  <c r="E22" i="85" s="1"/>
  <c r="E34" i="85" s="1"/>
  <c r="E12" i="88"/>
  <c r="E43" i="88"/>
  <c r="J43" i="88" s="1"/>
  <c r="G35" i="98"/>
  <c r="K30" i="98"/>
  <c r="Z19" i="106"/>
  <c r="Z20" i="106" s="1"/>
  <c r="AF33" i="106"/>
  <c r="E69" i="79"/>
  <c r="E195" i="89"/>
  <c r="J195" i="89" s="1"/>
  <c r="E81" i="79"/>
  <c r="J81" i="79" s="1"/>
  <c r="Q81" i="79" s="1"/>
  <c r="J176" i="92"/>
  <c r="J200" i="92" s="1"/>
  <c r="E14" i="88"/>
  <c r="J14" i="88" s="1"/>
  <c r="J15" i="88" s="1"/>
  <c r="K4" i="98"/>
  <c r="K54" i="98"/>
  <c r="E4" i="72"/>
  <c r="F4" i="72" s="1"/>
  <c r="F5" i="72" s="1"/>
  <c r="F6" i="72" s="1"/>
  <c r="E110" i="89"/>
  <c r="E181" i="89"/>
  <c r="J181" i="89" s="1"/>
  <c r="J73" i="89"/>
  <c r="G181" i="92"/>
  <c r="J181" i="92" s="1"/>
  <c r="J116" i="86"/>
  <c r="E64" i="79"/>
  <c r="J64" i="79" s="1"/>
  <c r="Q64" i="79" s="1"/>
  <c r="E90" i="79"/>
  <c r="J90" i="79" s="1"/>
  <c r="Q90" i="79" s="1"/>
  <c r="D47" i="88"/>
  <c r="J47" i="88" s="1"/>
  <c r="J48" i="88" s="1"/>
  <c r="J35" i="88"/>
  <c r="J36" i="88" s="1"/>
  <c r="J38" i="88" s="1"/>
  <c r="J25" i="88"/>
  <c r="J52" i="79"/>
  <c r="J45" i="89"/>
  <c r="J10" i="88"/>
  <c r="J12" i="88" s="1"/>
  <c r="J172" i="89"/>
  <c r="J174" i="89" s="1"/>
  <c r="J56" i="79"/>
  <c r="E119" i="92"/>
  <c r="E17" i="88"/>
  <c r="J17" i="88" s="1"/>
  <c r="H110" i="110"/>
  <c r="I129" i="110"/>
  <c r="K10" i="98"/>
  <c r="A55" i="110"/>
  <c r="A56" i="110" s="1"/>
  <c r="A57" i="110" s="1"/>
  <c r="A58" i="110" s="1"/>
  <c r="A59" i="110" s="1"/>
  <c r="A72" i="110" s="1"/>
  <c r="A73" i="110" s="1"/>
  <c r="A74" i="110" s="1"/>
  <c r="A75" i="110" s="1"/>
  <c r="A88" i="110" s="1"/>
  <c r="A89" i="110" s="1"/>
  <c r="A90" i="110" s="1"/>
  <c r="A91" i="110" s="1"/>
  <c r="A104" i="110" s="1"/>
  <c r="A105" i="110" s="1"/>
  <c r="A106" i="110" s="1"/>
  <c r="A107" i="110" s="1"/>
  <c r="A120" i="110" s="1"/>
  <c r="A121" i="110" s="1"/>
  <c r="A124" i="110" s="1"/>
  <c r="A125" i="110" s="1"/>
  <c r="A126" i="110" s="1"/>
  <c r="A127" i="110" s="1"/>
  <c r="A128" i="110" s="1"/>
  <c r="A129" i="110" s="1"/>
  <c r="A130" i="110" s="1"/>
  <c r="A131" i="110" s="1"/>
  <c r="A132" i="110" s="1"/>
  <c r="A133" i="110" s="1"/>
  <c r="A134" i="110" s="1"/>
  <c r="A135" i="110" s="1"/>
  <c r="A136" i="110" s="1"/>
  <c r="A137" i="110" s="1"/>
  <c r="A138" i="110" s="1"/>
  <c r="A139" i="110" s="1"/>
  <c r="A140" i="110" s="1"/>
  <c r="A143" i="110" s="1"/>
  <c r="A144" i="110" s="1"/>
  <c r="A145" i="110" s="1"/>
  <c r="A148" i="110" s="1"/>
  <c r="A149" i="110" s="1"/>
  <c r="A150" i="110" s="1"/>
  <c r="A151" i="110" s="1"/>
  <c r="A152" i="110" s="1"/>
  <c r="A153" i="110" s="1"/>
  <c r="A156" i="110" s="1"/>
  <c r="A157" i="110" s="1"/>
  <c r="A158" i="110" s="1"/>
  <c r="A159" i="110" s="1"/>
  <c r="A160" i="110" s="1"/>
  <c r="A161" i="110" s="1"/>
  <c r="A162" i="110" s="1"/>
  <c r="A163" i="110" s="1"/>
  <c r="A166" i="110" s="1"/>
  <c r="A167" i="110" s="1"/>
  <c r="A168" i="110" s="1"/>
  <c r="A169" i="110" s="1"/>
  <c r="A170" i="110" s="1"/>
  <c r="A171" i="110" s="1"/>
  <c r="A172" i="110" s="1"/>
  <c r="A173" i="110" s="1"/>
  <c r="A174" i="110" s="1"/>
  <c r="A175" i="110" s="1"/>
  <c r="A178" i="110" s="1"/>
  <c r="A179" i="110" s="1"/>
  <c r="A180" i="110" s="1"/>
  <c r="A181" i="110" s="1"/>
  <c r="A182" i="110" s="1"/>
  <c r="A52" i="110"/>
  <c r="E62" i="110"/>
  <c r="G108" i="110"/>
  <c r="I179" i="110"/>
  <c r="I143" i="110"/>
  <c r="I89" i="110"/>
  <c r="I74" i="110"/>
  <c r="I34" i="110"/>
  <c r="I9" i="110"/>
  <c r="J14" i="110"/>
  <c r="F30" i="110"/>
  <c r="J30" i="110" s="1"/>
  <c r="J35" i="110"/>
  <c r="J39" i="110"/>
  <c r="J46" i="110"/>
  <c r="J150" i="110"/>
  <c r="I167" i="110"/>
  <c r="F167" i="110"/>
  <c r="J167" i="110" s="1"/>
  <c r="J8" i="110"/>
  <c r="J56" i="110"/>
  <c r="I36" i="110"/>
  <c r="I17" i="110"/>
  <c r="J7" i="110"/>
  <c r="F195" i="110"/>
  <c r="J195" i="110" s="1"/>
  <c r="I195" i="110"/>
  <c r="I72" i="110"/>
  <c r="F49" i="110"/>
  <c r="J49" i="110" s="1"/>
  <c r="I23" i="110"/>
  <c r="I192" i="110"/>
  <c r="J11" i="110"/>
  <c r="I44" i="110"/>
  <c r="J106" i="110"/>
  <c r="J130" i="110"/>
  <c r="J113" i="86"/>
  <c r="J16" i="110"/>
  <c r="J37" i="110"/>
  <c r="J41" i="110"/>
  <c r="J145" i="110"/>
  <c r="I175" i="110"/>
  <c r="J6" i="110"/>
  <c r="I10" i="110"/>
  <c r="F10" i="110"/>
  <c r="J10" i="110" s="1"/>
  <c r="J15" i="110"/>
  <c r="J40" i="110"/>
  <c r="J144" i="110"/>
  <c r="J73" i="86"/>
  <c r="J51" i="110"/>
  <c r="J126" i="110"/>
  <c r="J232" i="110"/>
  <c r="I210" i="110"/>
  <c r="J112" i="86"/>
  <c r="M41" i="103"/>
  <c r="J133" i="110"/>
  <c r="J137" i="110"/>
  <c r="J185" i="110"/>
  <c r="J205" i="110"/>
  <c r="J247" i="110"/>
  <c r="J257" i="110"/>
  <c r="J273" i="110"/>
  <c r="J280" i="110"/>
  <c r="J285" i="110"/>
  <c r="J323" i="110"/>
  <c r="J255" i="110"/>
  <c r="J211" i="110"/>
  <c r="J22" i="110"/>
  <c r="J160" i="110"/>
  <c r="J174" i="110"/>
  <c r="J200" i="110"/>
  <c r="J235" i="110"/>
  <c r="J268" i="110"/>
  <c r="J288" i="110"/>
  <c r="M14" i="103"/>
  <c r="F41" i="96"/>
  <c r="F34" i="96"/>
  <c r="F33" i="96"/>
  <c r="B13" i="112" s="1"/>
  <c r="F51" i="96"/>
  <c r="B23" i="112" s="1"/>
  <c r="E23" i="112" s="1"/>
  <c r="F42" i="96"/>
  <c r="B3" i="93"/>
  <c r="F40" i="96"/>
  <c r="F37" i="96"/>
  <c r="D39" i="68"/>
  <c r="F39" i="68" s="1"/>
  <c r="I27" i="103"/>
  <c r="J27" i="103" s="1"/>
  <c r="E30" i="103"/>
  <c r="J24" i="103"/>
  <c r="G253" i="180" s="1"/>
  <c r="J18" i="103"/>
  <c r="J23" i="86" l="1"/>
  <c r="I108" i="110"/>
  <c r="J60" i="110"/>
  <c r="J276" i="89"/>
  <c r="J286" i="89" s="1"/>
  <c r="J22" i="86"/>
  <c r="J27" i="86"/>
  <c r="J183" i="89"/>
  <c r="J241" i="92"/>
  <c r="J725" i="172"/>
  <c r="J827" i="172" s="1"/>
  <c r="D283" i="172"/>
  <c r="J283" i="172" s="1"/>
  <c r="D247" i="176"/>
  <c r="J162" i="89"/>
  <c r="J165" i="89" s="1"/>
  <c r="J110" i="89"/>
  <c r="I46" i="96"/>
  <c r="H61" i="110"/>
  <c r="H62" i="110" s="1"/>
  <c r="G62" i="110" s="1"/>
  <c r="I62" i="110" s="1"/>
  <c r="F108" i="110"/>
  <c r="J108" i="110" s="1"/>
  <c r="E109" i="110"/>
  <c r="J117" i="86"/>
  <c r="J77" i="110"/>
  <c r="E78" i="110"/>
  <c r="F78" i="110" s="1"/>
  <c r="J78" i="110" s="1"/>
  <c r="J68" i="92"/>
  <c r="E95" i="79"/>
  <c r="H80" i="110"/>
  <c r="H81" i="110" s="1"/>
  <c r="J107" i="92"/>
  <c r="G77" i="110"/>
  <c r="I77" i="110" s="1"/>
  <c r="J116" i="89"/>
  <c r="J38" i="86"/>
  <c r="G78" i="110"/>
  <c r="J39" i="92"/>
  <c r="E19" i="87"/>
  <c r="J19" i="87" s="1"/>
  <c r="J21" i="87" s="1"/>
  <c r="J23" i="87" s="1"/>
  <c r="J108" i="86"/>
  <c r="J198" i="92"/>
  <c r="J94" i="79"/>
  <c r="J95" i="79" s="1"/>
  <c r="J19" i="103"/>
  <c r="G250" i="180" s="1"/>
  <c r="J20" i="103"/>
  <c r="G251" i="180" s="1"/>
  <c r="E186" i="89"/>
  <c r="J186" i="89" s="1"/>
  <c r="J190" i="89" s="1"/>
  <c r="J158" i="89"/>
  <c r="J160" i="89" s="1"/>
  <c r="J154" i="92"/>
  <c r="J92" i="89"/>
  <c r="G92" i="110"/>
  <c r="I92" i="110" s="1"/>
  <c r="H93" i="110"/>
  <c r="J93" i="110" s="1"/>
  <c r="E120" i="89"/>
  <c r="J120" i="89" s="1"/>
  <c r="J124" i="89" s="1"/>
  <c r="J115" i="89"/>
  <c r="J92" i="110"/>
  <c r="E94" i="110"/>
  <c r="F94" i="110" s="1"/>
  <c r="J199" i="89"/>
  <c r="J34" i="85"/>
  <c r="E35" i="85"/>
  <c r="K35" i="98"/>
  <c r="G36" i="98"/>
  <c r="E63" i="110"/>
  <c r="F62" i="110"/>
  <c r="H111" i="110"/>
  <c r="G110" i="110"/>
  <c r="J119" i="92"/>
  <c r="E122" i="92"/>
  <c r="E25" i="85"/>
  <c r="E30" i="85"/>
  <c r="J30" i="85" s="1"/>
  <c r="J31" i="85" s="1"/>
  <c r="J21" i="85"/>
  <c r="J22" i="85" s="1"/>
  <c r="A188" i="110"/>
  <c r="A189" i="110" s="1"/>
  <c r="A190" i="110" s="1"/>
  <c r="A191" i="110" s="1"/>
  <c r="A192" i="110" s="1"/>
  <c r="A195" i="110" s="1"/>
  <c r="A198" i="110" s="1"/>
  <c r="A199" i="110" s="1"/>
  <c r="A200" i="110" s="1"/>
  <c r="A203" i="110" s="1"/>
  <c r="A204" i="110" s="1"/>
  <c r="A205" i="110" s="1"/>
  <c r="A208" i="110" s="1"/>
  <c r="A209" i="110" s="1"/>
  <c r="A210" i="110" s="1"/>
  <c r="A211" i="110" s="1"/>
  <c r="A214" i="110" s="1"/>
  <c r="A215" i="110" s="1"/>
  <c r="A218" i="110" s="1"/>
  <c r="A219" i="110" s="1"/>
  <c r="A220" i="110" s="1"/>
  <c r="A221" i="110" s="1"/>
  <c r="A224" i="110" s="1"/>
  <c r="A228" i="110" s="1"/>
  <c r="A229" i="110" s="1"/>
  <c r="A230" i="110" s="1"/>
  <c r="A231" i="110" s="1"/>
  <c r="A232" i="110" s="1"/>
  <c r="A233" i="110" s="1"/>
  <c r="A234" i="110" s="1"/>
  <c r="A235" i="110" s="1"/>
  <c r="A236" i="110" s="1"/>
  <c r="A237" i="110" s="1"/>
  <c r="A238" i="110" s="1"/>
  <c r="A239" i="110" s="1"/>
  <c r="A240" i="110" s="1"/>
  <c r="A241" i="110" s="1"/>
  <c r="A242" i="110" s="1"/>
  <c r="A243" i="110" s="1"/>
  <c r="A244" i="110" s="1"/>
  <c r="A245" i="110" s="1"/>
  <c r="A246" i="110" s="1"/>
  <c r="A247" i="110" s="1"/>
  <c r="A248" i="110" s="1"/>
  <c r="A249" i="110" s="1"/>
  <c r="A250" i="110" s="1"/>
  <c r="A251" i="110" s="1"/>
  <c r="A252" i="110" s="1"/>
  <c r="A253" i="110" s="1"/>
  <c r="A254" i="110" s="1"/>
  <c r="A255" i="110" s="1"/>
  <c r="A256" i="110" s="1"/>
  <c r="A257" i="110" s="1"/>
  <c r="A258" i="110" s="1"/>
  <c r="A259" i="110" s="1"/>
  <c r="A260" i="110" s="1"/>
  <c r="A261" i="110" s="1"/>
  <c r="A262" i="110" s="1"/>
  <c r="A263" i="110" s="1"/>
  <c r="A264" i="110" s="1"/>
  <c r="A265" i="110" s="1"/>
  <c r="A266" i="110" s="1"/>
  <c r="A267" i="110" s="1"/>
  <c r="A268" i="110" s="1"/>
  <c r="A269" i="110" s="1"/>
  <c r="A270" i="110" s="1"/>
  <c r="A271" i="110" s="1"/>
  <c r="A272" i="110" s="1"/>
  <c r="A273" i="110" s="1"/>
  <c r="A274" i="110" s="1"/>
  <c r="A277" i="110" s="1"/>
  <c r="A278" i="110" s="1"/>
  <c r="A279" i="110" s="1"/>
  <c r="A280" i="110" s="1"/>
  <c r="A281" i="110" s="1"/>
  <c r="A282" i="110" s="1"/>
  <c r="A283" i="110" s="1"/>
  <c r="A284" i="110" s="1"/>
  <c r="A285" i="110" s="1"/>
  <c r="A286" i="110" s="1"/>
  <c r="A287" i="110" s="1"/>
  <c r="A288" i="110" s="1"/>
  <c r="A289" i="110" s="1"/>
  <c r="A292" i="110" s="1"/>
  <c r="A293" i="110" s="1"/>
  <c r="A294" i="110" s="1"/>
  <c r="A295" i="110" s="1"/>
  <c r="A296" i="110" s="1"/>
  <c r="A297" i="110" s="1"/>
  <c r="A298" i="110" s="1"/>
  <c r="A299" i="110" s="1"/>
  <c r="A302" i="110" s="1"/>
  <c r="A306" i="110" s="1"/>
  <c r="A310" i="110" s="1"/>
  <c r="A185" i="110"/>
  <c r="J58" i="79"/>
  <c r="Q58" i="79" s="1"/>
  <c r="K32" i="84"/>
  <c r="J27" i="84" s="1"/>
  <c r="E35" i="84"/>
  <c r="J35" i="84" s="1"/>
  <c r="J114" i="86"/>
  <c r="J118" i="86" s="1"/>
  <c r="J97" i="79"/>
  <c r="J100" i="79" s="1"/>
  <c r="Q100" i="79" s="1"/>
  <c r="E100" i="79"/>
  <c r="E65" i="79"/>
  <c r="J62" i="79"/>
  <c r="E86" i="79"/>
  <c r="J69" i="79"/>
  <c r="D23" i="112"/>
  <c r="F32" i="96"/>
  <c r="B10" i="112" s="1"/>
  <c r="B24" i="111"/>
  <c r="C24" i="111" s="1"/>
  <c r="F35" i="96"/>
  <c r="B15" i="111" s="1"/>
  <c r="C15" i="111" s="1"/>
  <c r="F19" i="96"/>
  <c r="B8" i="112" s="1"/>
  <c r="B19" i="111"/>
  <c r="C19" i="111" s="1"/>
  <c r="B19" i="112"/>
  <c r="E19" i="112" s="1"/>
  <c r="F38" i="96"/>
  <c r="B17" i="112" s="1"/>
  <c r="B13" i="111"/>
  <c r="C13" i="111" s="1"/>
  <c r="B14" i="111"/>
  <c r="C14" i="111" s="1"/>
  <c r="B14" i="112"/>
  <c r="E13" i="112"/>
  <c r="D13" i="112"/>
  <c r="C3" i="93"/>
  <c r="D3" i="93" s="1"/>
  <c r="D5" i="93" s="1"/>
  <c r="B16" i="111"/>
  <c r="B16" i="112"/>
  <c r="B18" i="111"/>
  <c r="C18" i="111" s="1"/>
  <c r="B18" i="112"/>
  <c r="B20" i="111"/>
  <c r="B20" i="112"/>
  <c r="M24" i="103"/>
  <c r="J30" i="103"/>
  <c r="G255" i="180" s="1"/>
  <c r="E33" i="103"/>
  <c r="J33" i="103" s="1"/>
  <c r="J28" i="103"/>
  <c r="M28" i="103" s="1"/>
  <c r="E79" i="110" l="1"/>
  <c r="E26" i="87"/>
  <c r="G80" i="110"/>
  <c r="J117" i="89"/>
  <c r="J127" i="89" s="1"/>
  <c r="J215" i="89"/>
  <c r="J175" i="89"/>
  <c r="J218" i="89" s="1"/>
  <c r="D281" i="172"/>
  <c r="J281" i="172" s="1"/>
  <c r="D245" i="176"/>
  <c r="D244" i="176"/>
  <c r="D280" i="172"/>
  <c r="J280" i="172" s="1"/>
  <c r="D285" i="172"/>
  <c r="J285" i="172" s="1"/>
  <c r="D249" i="176"/>
  <c r="K46" i="96"/>
  <c r="H63" i="110"/>
  <c r="H64" i="110" s="1"/>
  <c r="J62" i="110"/>
  <c r="F109" i="110"/>
  <c r="J109" i="110" s="1"/>
  <c r="E110" i="110"/>
  <c r="I109" i="110"/>
  <c r="E95" i="110"/>
  <c r="E96" i="110" s="1"/>
  <c r="I78" i="110"/>
  <c r="J61" i="110"/>
  <c r="G61" i="110"/>
  <c r="I61" i="110" s="1"/>
  <c r="I29" i="96"/>
  <c r="K29" i="96" s="1"/>
  <c r="H82" i="110"/>
  <c r="G81" i="110"/>
  <c r="G93" i="110"/>
  <c r="I93" i="110" s="1"/>
  <c r="H94" i="110"/>
  <c r="J94" i="110" s="1"/>
  <c r="J25" i="85"/>
  <c r="J26" i="85" s="1"/>
  <c r="E26" i="85"/>
  <c r="J65" i="79"/>
  <c r="Q62" i="79"/>
  <c r="F79" i="110"/>
  <c r="J79" i="110" s="1"/>
  <c r="I79" i="110"/>
  <c r="E80" i="110"/>
  <c r="G63" i="110"/>
  <c r="I63" i="110" s="1"/>
  <c r="G37" i="98"/>
  <c r="K37" i="98" s="1"/>
  <c r="K36" i="98"/>
  <c r="E123" i="92"/>
  <c r="J122" i="92"/>
  <c r="H112" i="110"/>
  <c r="G111" i="110"/>
  <c r="J26" i="87"/>
  <c r="E28" i="87"/>
  <c r="J47" i="85"/>
  <c r="A311" i="110"/>
  <c r="A317" i="110" s="1"/>
  <c r="A320" i="110" s="1"/>
  <c r="A323" i="110" s="1"/>
  <c r="A326" i="110" s="1"/>
  <c r="A314" i="110"/>
  <c r="Q69" i="79"/>
  <c r="J86" i="79"/>
  <c r="E64" i="110"/>
  <c r="F63" i="110"/>
  <c r="Q95" i="79"/>
  <c r="J102" i="79"/>
  <c r="Q102" i="79" s="1"/>
  <c r="J35" i="85"/>
  <c r="J48" i="85" s="1"/>
  <c r="E39" i="85"/>
  <c r="M20" i="103"/>
  <c r="M19" i="103"/>
  <c r="B10" i="111"/>
  <c r="C10" i="111" s="1"/>
  <c r="F60" i="96"/>
  <c r="D8" i="68" s="1"/>
  <c r="D34" i="68" s="1"/>
  <c r="F34" i="68" s="1"/>
  <c r="B8" i="111"/>
  <c r="C8" i="111" s="1"/>
  <c r="B15" i="112"/>
  <c r="D15" i="112" s="1"/>
  <c r="B17" i="111"/>
  <c r="C17" i="111" s="1"/>
  <c r="D19" i="112"/>
  <c r="F49" i="96"/>
  <c r="D14" i="112"/>
  <c r="E14" i="112"/>
  <c r="E17" i="112"/>
  <c r="D17" i="112"/>
  <c r="E18" i="112"/>
  <c r="D18" i="112"/>
  <c r="E16" i="112"/>
  <c r="D16" i="112"/>
  <c r="C16" i="111"/>
  <c r="E16" i="111"/>
  <c r="E20" i="112"/>
  <c r="D20" i="112"/>
  <c r="E20" i="111"/>
  <c r="C20" i="111"/>
  <c r="B23" i="111"/>
  <c r="F16" i="96"/>
  <c r="B5" i="112" s="1"/>
  <c r="F18" i="96"/>
  <c r="B7" i="111" s="1"/>
  <c r="C7" i="111" s="1"/>
  <c r="J31" i="103"/>
  <c r="J34" i="103"/>
  <c r="G256" i="180" s="1"/>
  <c r="J63" i="110" l="1"/>
  <c r="D286" i="172"/>
  <c r="J286" i="172" s="1"/>
  <c r="D250" i="176"/>
  <c r="F110" i="110"/>
  <c r="J110" i="110" s="1"/>
  <c r="E111" i="110"/>
  <c r="F95" i="110"/>
  <c r="I110" i="110"/>
  <c r="I28" i="96"/>
  <c r="K28" i="96" s="1"/>
  <c r="K38" i="98"/>
  <c r="Q105" i="79"/>
  <c r="Q107" i="79" s="1"/>
  <c r="H95" i="110"/>
  <c r="G94" i="110"/>
  <c r="I94" i="110" s="1"/>
  <c r="H83" i="110"/>
  <c r="G82" i="110"/>
  <c r="E15" i="112"/>
  <c r="H113" i="110"/>
  <c r="G112" i="110"/>
  <c r="H65" i="110"/>
  <c r="G64" i="110"/>
  <c r="I64" i="110" s="1"/>
  <c r="E17" i="111"/>
  <c r="J49" i="85"/>
  <c r="E128" i="92"/>
  <c r="J123" i="92"/>
  <c r="J125" i="92" s="1"/>
  <c r="J133" i="92" s="1"/>
  <c r="J36" i="85"/>
  <c r="I80" i="110"/>
  <c r="F80" i="110"/>
  <c r="J80" i="110" s="1"/>
  <c r="E81" i="110"/>
  <c r="E42" i="85"/>
  <c r="J42" i="85" s="1"/>
  <c r="J39" i="85"/>
  <c r="J28" i="87"/>
  <c r="E27" i="87"/>
  <c r="J27" i="87" s="1"/>
  <c r="F64" i="110"/>
  <c r="J64" i="110" s="1"/>
  <c r="E65" i="110"/>
  <c r="F96" i="110"/>
  <c r="E97" i="110"/>
  <c r="M34" i="103"/>
  <c r="F8" i="68"/>
  <c r="B21" i="111"/>
  <c r="C21" i="111" s="1"/>
  <c r="B21" i="112"/>
  <c r="F50" i="96"/>
  <c r="C23" i="111"/>
  <c r="M31" i="103"/>
  <c r="B5" i="111"/>
  <c r="C5" i="111" s="1"/>
  <c r="B7" i="112"/>
  <c r="J36" i="103"/>
  <c r="J37" i="103" s="1"/>
  <c r="G258" i="180" s="1"/>
  <c r="G261" i="180" s="1"/>
  <c r="D26" i="177" l="1"/>
  <c r="D31" i="177" s="1"/>
  <c r="D60" i="177" s="1"/>
  <c r="G372" i="180"/>
  <c r="G373" i="180" s="1"/>
  <c r="D252" i="176"/>
  <c r="D288" i="172"/>
  <c r="J288" i="172" s="1"/>
  <c r="J291" i="172" s="1"/>
  <c r="I27" i="96"/>
  <c r="F111" i="110"/>
  <c r="J111" i="110" s="1"/>
  <c r="E112" i="110"/>
  <c r="I111" i="110"/>
  <c r="I30" i="96"/>
  <c r="K30" i="96" s="1"/>
  <c r="J29" i="87"/>
  <c r="J44" i="85"/>
  <c r="H84" i="110"/>
  <c r="G83" i="110"/>
  <c r="G95" i="110"/>
  <c r="I95" i="110" s="1"/>
  <c r="H96" i="110"/>
  <c r="J96" i="110" s="1"/>
  <c r="J95" i="110"/>
  <c r="G65" i="110"/>
  <c r="I65" i="110" s="1"/>
  <c r="H66" i="110"/>
  <c r="F97" i="110"/>
  <c r="E98" i="110"/>
  <c r="G113" i="110"/>
  <c r="H114" i="110"/>
  <c r="J128" i="92"/>
  <c r="E129" i="92"/>
  <c r="J129" i="92" s="1"/>
  <c r="F65" i="110"/>
  <c r="J65" i="110" s="1"/>
  <c r="E66" i="110"/>
  <c r="I81" i="110"/>
  <c r="E82" i="110"/>
  <c r="F81" i="110"/>
  <c r="J81" i="110" s="1"/>
  <c r="D21" i="112"/>
  <c r="E21" i="112"/>
  <c r="B24" i="112"/>
  <c r="B25" i="111"/>
  <c r="C25" i="111" s="1"/>
  <c r="B22" i="111"/>
  <c r="C22" i="111" s="1"/>
  <c r="B22" i="112"/>
  <c r="B11" i="111"/>
  <c r="C11" i="111" s="1"/>
  <c r="M37" i="103"/>
  <c r="M42" i="103" s="1"/>
  <c r="F30" i="96"/>
  <c r="D69" i="177" l="1"/>
  <c r="J400" i="172"/>
  <c r="J826" i="172" s="1"/>
  <c r="J828" i="172" s="1"/>
  <c r="G829" i="172"/>
  <c r="K27" i="96"/>
  <c r="E113" i="110"/>
  <c r="I113" i="110" s="1"/>
  <c r="F112" i="110"/>
  <c r="J112" i="110" s="1"/>
  <c r="I112" i="110"/>
  <c r="I26" i="96"/>
  <c r="G84" i="110"/>
  <c r="H85" i="110"/>
  <c r="J131" i="92"/>
  <c r="G96" i="110"/>
  <c r="I96" i="110" s="1"/>
  <c r="H97" i="110"/>
  <c r="H67" i="110"/>
  <c r="G66" i="110"/>
  <c r="I66" i="110" s="1"/>
  <c r="G114" i="110"/>
  <c r="H115" i="110"/>
  <c r="E67" i="110"/>
  <c r="F66" i="110"/>
  <c r="J66" i="110" s="1"/>
  <c r="F82" i="110"/>
  <c r="J82" i="110" s="1"/>
  <c r="I82" i="110"/>
  <c r="E83" i="110"/>
  <c r="E99" i="110"/>
  <c r="F98" i="110"/>
  <c r="D22" i="112"/>
  <c r="E22" i="112"/>
  <c r="D24" i="112"/>
  <c r="E24" i="112"/>
  <c r="B9" i="111"/>
  <c r="C9" i="111" s="1"/>
  <c r="B9" i="112"/>
  <c r="F17" i="96"/>
  <c r="B6" i="111" s="1"/>
  <c r="C6" i="111" s="1"/>
  <c r="B11" i="112"/>
  <c r="D62" i="177" l="1"/>
  <c r="D63" i="177" s="1"/>
  <c r="I55" i="96"/>
  <c r="K55" i="96" s="1"/>
  <c r="K26" i="96"/>
  <c r="F113" i="110"/>
  <c r="J113" i="110" s="1"/>
  <c r="E114" i="110"/>
  <c r="H86" i="110"/>
  <c r="G85" i="110"/>
  <c r="G97" i="110"/>
  <c r="I97" i="110" s="1"/>
  <c r="H98" i="110"/>
  <c r="J98" i="110" s="1"/>
  <c r="J97" i="110"/>
  <c r="F67" i="110"/>
  <c r="J67" i="110" s="1"/>
  <c r="E68" i="110"/>
  <c r="G115" i="110"/>
  <c r="H116" i="110"/>
  <c r="E84" i="110"/>
  <c r="I83" i="110"/>
  <c r="F83" i="110"/>
  <c r="J83" i="110" s="1"/>
  <c r="E100" i="110"/>
  <c r="F99" i="110"/>
  <c r="H68" i="110"/>
  <c r="G67" i="110"/>
  <c r="I67" i="110" s="1"/>
  <c r="F59" i="96"/>
  <c r="F61" i="96" s="1"/>
  <c r="B6" i="112"/>
  <c r="B12" i="112" s="1"/>
  <c r="D12" i="112" s="1"/>
  <c r="B26" i="111"/>
  <c r="F6" i="111" s="1"/>
  <c r="B12" i="111"/>
  <c r="C12" i="111"/>
  <c r="C26" i="111"/>
  <c r="L55" i="96" l="1"/>
  <c r="I57" i="96"/>
  <c r="E115" i="110"/>
  <c r="F114" i="110"/>
  <c r="J114" i="110" s="1"/>
  <c r="I114" i="110"/>
  <c r="G98" i="110"/>
  <c r="I98" i="110" s="1"/>
  <c r="H99" i="110"/>
  <c r="J99" i="110" s="1"/>
  <c r="H87" i="110"/>
  <c r="G87" i="110" s="1"/>
  <c r="G86" i="110"/>
  <c r="F84" i="110"/>
  <c r="J84" i="110" s="1"/>
  <c r="I84" i="110"/>
  <c r="E85" i="110"/>
  <c r="E101" i="110"/>
  <c r="F100" i="110"/>
  <c r="H117" i="110"/>
  <c r="G116" i="110"/>
  <c r="E69" i="110"/>
  <c r="F68" i="110"/>
  <c r="J68" i="110" s="1"/>
  <c r="G68" i="110"/>
  <c r="I68" i="110" s="1"/>
  <c r="H69" i="110"/>
  <c r="D7" i="68"/>
  <c r="F7" i="68" s="1"/>
  <c r="E12" i="112"/>
  <c r="F17" i="111"/>
  <c r="F15" i="111"/>
  <c r="F13" i="111"/>
  <c r="F25" i="111"/>
  <c r="F11" i="111"/>
  <c r="F23" i="111"/>
  <c r="F20" i="111"/>
  <c r="F9" i="111"/>
  <c r="F14" i="111"/>
  <c r="F10" i="111"/>
  <c r="F18" i="111"/>
  <c r="F5" i="111"/>
  <c r="F16" i="111"/>
  <c r="F7" i="111"/>
  <c r="F21" i="111"/>
  <c r="F19" i="111"/>
  <c r="F22" i="111"/>
  <c r="F8" i="111"/>
  <c r="F12" i="111"/>
  <c r="F24" i="111"/>
  <c r="I58" i="96" l="1"/>
  <c r="K58" i="96" s="1"/>
  <c r="K57" i="96"/>
  <c r="F115" i="110"/>
  <c r="J115" i="110" s="1"/>
  <c r="E116" i="110"/>
  <c r="I116" i="110" s="1"/>
  <c r="I115" i="110"/>
  <c r="H100" i="110"/>
  <c r="G99" i="110"/>
  <c r="I99" i="110" s="1"/>
  <c r="H118" i="110"/>
  <c r="G117" i="110"/>
  <c r="F69" i="110"/>
  <c r="J69" i="110" s="1"/>
  <c r="E70" i="110"/>
  <c r="F101" i="110"/>
  <c r="E102" i="110"/>
  <c r="F85" i="110"/>
  <c r="J85" i="110" s="1"/>
  <c r="E86" i="110"/>
  <c r="I85" i="110"/>
  <c r="G69" i="110"/>
  <c r="I69" i="110" s="1"/>
  <c r="H70" i="110"/>
  <c r="D9" i="68"/>
  <c r="D38" i="68" s="1"/>
  <c r="F38" i="68" s="1"/>
  <c r="D33" i="68"/>
  <c r="F33" i="68" s="1"/>
  <c r="F26" i="111"/>
  <c r="E117" i="110" l="1"/>
  <c r="I117" i="110" s="1"/>
  <c r="F116" i="110"/>
  <c r="J116" i="110" s="1"/>
  <c r="H101" i="110"/>
  <c r="G100" i="110"/>
  <c r="I100" i="110" s="1"/>
  <c r="J100" i="110"/>
  <c r="J101" i="110"/>
  <c r="H71" i="110"/>
  <c r="G71" i="110" s="1"/>
  <c r="G70" i="110"/>
  <c r="I70" i="110" s="1"/>
  <c r="F70" i="110"/>
  <c r="J70" i="110" s="1"/>
  <c r="E71" i="110"/>
  <c r="E87" i="110"/>
  <c r="F86" i="110"/>
  <c r="J86" i="110" s="1"/>
  <c r="I86" i="110"/>
  <c r="E103" i="110"/>
  <c r="F102" i="110"/>
  <c r="G118" i="110"/>
  <c r="H119" i="110"/>
  <c r="D40" i="68"/>
  <c r="D36" i="68"/>
  <c r="D16" i="68"/>
  <c r="D22" i="68" s="1"/>
  <c r="F22" i="68" s="1"/>
  <c r="E118" i="110" l="1"/>
  <c r="F117" i="110"/>
  <c r="J117" i="110" s="1"/>
  <c r="H102" i="110"/>
  <c r="G101" i="110"/>
  <c r="I101" i="110" s="1"/>
  <c r="F71" i="110"/>
  <c r="J71" i="110" s="1"/>
  <c r="I71" i="110"/>
  <c r="I87" i="110"/>
  <c r="F87" i="110"/>
  <c r="J87" i="110" s="1"/>
  <c r="G119" i="110"/>
  <c r="F103" i="110"/>
  <c r="D26" i="68"/>
  <c r="D30" i="68" s="1"/>
  <c r="D23" i="68"/>
  <c r="D28" i="68"/>
  <c r="F28" i="68" s="1"/>
  <c r="D27" i="68"/>
  <c r="F27" i="68" s="1"/>
  <c r="D45" i="68"/>
  <c r="D47" i="68" s="1"/>
  <c r="F118" i="110" l="1"/>
  <c r="J118" i="110" s="1"/>
  <c r="E119" i="110"/>
  <c r="F119" i="110" s="1"/>
  <c r="J119" i="110" s="1"/>
  <c r="I118" i="110"/>
  <c r="H103" i="110"/>
  <c r="G103" i="110" s="1"/>
  <c r="I103" i="110" s="1"/>
  <c r="G102" i="110"/>
  <c r="I102" i="110" s="1"/>
  <c r="J103" i="110"/>
  <c r="J102" i="110"/>
  <c r="D49" i="68"/>
  <c r="D51" i="68" s="1"/>
  <c r="G23" i="68" s="1"/>
  <c r="F26" i="68"/>
  <c r="I119" i="110" l="1"/>
  <c r="G45" i="68"/>
  <c r="G11" i="68"/>
  <c r="G8" i="68"/>
  <c r="G13" i="68"/>
  <c r="E55" i="68"/>
  <c r="H55" i="68" s="1"/>
  <c r="G20" i="68"/>
  <c r="I52" i="68"/>
  <c r="I54" i="68" s="1"/>
  <c r="G30" i="68"/>
  <c r="I51" i="68"/>
  <c r="G40" i="68"/>
  <c r="G9" i="68"/>
  <c r="G36" i="68"/>
  <c r="G14" i="68"/>
  <c r="G12" i="68"/>
  <c r="G43" i="68"/>
  <c r="D53" i="68"/>
  <c r="G7" i="68"/>
  <c r="E56" i="68" l="1"/>
  <c r="I58"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D188" authorId="0" shapeId="0" xr:uid="{00000000-0006-0000-0500-000001000000}">
      <text>
        <r>
          <rPr>
            <b/>
            <sz val="9"/>
            <color indexed="81"/>
            <rFont val="Tahoma"/>
            <family val="2"/>
          </rPr>
          <t>Bishal Koirala:</t>
        </r>
        <r>
          <rPr>
            <sz val="9"/>
            <color indexed="81"/>
            <rFont val="Tahoma"/>
            <family val="2"/>
          </rPr>
          <t xml:space="preserve">
Nominal area provisioned</t>
        </r>
      </text>
    </comment>
    <comment ref="I188" authorId="0" shapeId="0" xr:uid="{00000000-0006-0000-0500-000002000000}">
      <text>
        <r>
          <rPr>
            <b/>
            <sz val="9"/>
            <color indexed="81"/>
            <rFont val="Tahoma"/>
            <family val="2"/>
          </rPr>
          <t>Bishal Koirala:</t>
        </r>
        <r>
          <rPr>
            <sz val="9"/>
            <color indexed="81"/>
            <rFont val="Tahoma"/>
            <family val="2"/>
          </rPr>
          <t xml:space="preserve">
Rate approx 80% of below</t>
        </r>
      </text>
    </comment>
    <comment ref="D221" authorId="0" shapeId="0" xr:uid="{00000000-0006-0000-0500-000003000000}">
      <text>
        <r>
          <rPr>
            <b/>
            <sz val="9"/>
            <color indexed="81"/>
            <rFont val="Tahoma"/>
            <family val="2"/>
          </rPr>
          <t>Bishal Koirala:</t>
        </r>
        <r>
          <rPr>
            <sz val="9"/>
            <color indexed="81"/>
            <rFont val="Tahoma"/>
            <family val="2"/>
          </rPr>
          <t xml:space="preserve">
nominal amount provisioned</t>
        </r>
      </text>
    </comment>
    <comment ref="I460" authorId="0" shapeId="0" xr:uid="{00000000-0006-0000-0500-000004000000}">
      <text>
        <r>
          <rPr>
            <b/>
            <sz val="9"/>
            <color indexed="81"/>
            <rFont val="Tahoma"/>
            <family val="2"/>
          </rPr>
          <t>Bishal Koirala:</t>
        </r>
        <r>
          <rPr>
            <sz val="9"/>
            <color indexed="81"/>
            <rFont val="Tahoma"/>
            <family val="2"/>
          </rPr>
          <t xml:space="preserve">
Rate?</t>
        </r>
      </text>
    </comment>
    <comment ref="I461" authorId="0" shapeId="0" xr:uid="{00000000-0006-0000-0500-000005000000}">
      <text>
        <r>
          <rPr>
            <b/>
            <sz val="9"/>
            <color indexed="81"/>
            <rFont val="Tahoma"/>
            <family val="2"/>
          </rPr>
          <t>Bishal Koirala:</t>
        </r>
        <r>
          <rPr>
            <sz val="9"/>
            <color indexed="81"/>
            <rFont val="Tahoma"/>
            <family val="2"/>
          </rPr>
          <t xml:space="preserve">
Rate?</t>
        </r>
      </text>
    </comment>
    <comment ref="I472" authorId="0" shapeId="0" xr:uid="{00000000-0006-0000-0500-000006000000}">
      <text>
        <r>
          <rPr>
            <b/>
            <sz val="9"/>
            <color indexed="81"/>
            <rFont val="Tahoma"/>
            <family val="2"/>
          </rPr>
          <t>Bishal Koirala:</t>
        </r>
        <r>
          <rPr>
            <sz val="9"/>
            <color indexed="81"/>
            <rFont val="Tahoma"/>
            <family val="2"/>
          </rPr>
          <t xml:space="preserve">
tentative rate</t>
        </r>
      </text>
    </comment>
    <comment ref="B509" authorId="0" shapeId="0" xr:uid="{00000000-0006-0000-0500-000007000000}">
      <text>
        <r>
          <rPr>
            <b/>
            <sz val="9"/>
            <color indexed="81"/>
            <rFont val="Tahoma"/>
            <family val="2"/>
          </rPr>
          <t>Bishal Koirala:</t>
        </r>
        <r>
          <rPr>
            <sz val="9"/>
            <color indexed="81"/>
            <rFont val="Tahoma"/>
            <family val="2"/>
          </rPr>
          <t xml:space="preserve">
Provisional</t>
        </r>
      </text>
    </comment>
    <comment ref="H548" authorId="0" shapeId="0" xr:uid="{00000000-0006-0000-0500-000008000000}">
      <text>
        <r>
          <rPr>
            <b/>
            <sz val="9"/>
            <color indexed="81"/>
            <rFont val="Tahoma"/>
            <family val="2"/>
          </rPr>
          <t>Bishal Koirala:</t>
        </r>
        <r>
          <rPr>
            <sz val="9"/>
            <color indexed="81"/>
            <rFont val="Tahoma"/>
            <family val="2"/>
          </rPr>
          <t xml:space="preserve">
Wire mesh?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Shyam Bhusal</author>
    <author>Bishal Koirala</author>
  </authors>
  <commentList>
    <comment ref="B42" authorId="0" shapeId="0" xr:uid="{00000000-0006-0000-0700-000001000000}">
      <text>
        <r>
          <rPr>
            <b/>
            <sz val="9"/>
            <color indexed="81"/>
            <rFont val="Tahoma"/>
            <family val="2"/>
          </rPr>
          <t>Shyam Bhusal:</t>
        </r>
        <r>
          <rPr>
            <sz val="9"/>
            <color indexed="81"/>
            <rFont val="Tahoma"/>
            <family val="2"/>
          </rPr>
          <t xml:space="preserve">
Myagdi has been overwritten with Kunaban</t>
        </r>
      </text>
    </comment>
    <comment ref="D174" authorId="1" shapeId="0" xr:uid="{00000000-0006-0000-0700-000002000000}">
      <text>
        <r>
          <rPr>
            <b/>
            <sz val="9"/>
            <color indexed="81"/>
            <rFont val="Tahoma"/>
            <family val="2"/>
          </rPr>
          <t>Bishal Koirala:</t>
        </r>
        <r>
          <rPr>
            <sz val="9"/>
            <color indexed="81"/>
            <rFont val="Tahoma"/>
            <family val="2"/>
          </rPr>
          <t xml:space="preserve">
Nominal area provisioned</t>
        </r>
      </text>
    </comment>
    <comment ref="I174" authorId="1" shapeId="0" xr:uid="{00000000-0006-0000-0700-000003000000}">
      <text>
        <r>
          <rPr>
            <b/>
            <sz val="9"/>
            <color indexed="81"/>
            <rFont val="Tahoma"/>
            <family val="2"/>
          </rPr>
          <t>Bishal Koirala:</t>
        </r>
        <r>
          <rPr>
            <sz val="9"/>
            <color indexed="81"/>
            <rFont val="Tahoma"/>
            <family val="2"/>
          </rPr>
          <t xml:space="preserve">
Rate approx 80% of below</t>
        </r>
      </text>
    </comment>
    <comment ref="D207" authorId="1" shapeId="0" xr:uid="{00000000-0006-0000-0700-000004000000}">
      <text>
        <r>
          <rPr>
            <b/>
            <sz val="9"/>
            <color indexed="81"/>
            <rFont val="Tahoma"/>
            <family val="2"/>
          </rPr>
          <t>Bishal Koirala:</t>
        </r>
        <r>
          <rPr>
            <sz val="9"/>
            <color indexed="81"/>
            <rFont val="Tahoma"/>
            <family val="2"/>
          </rPr>
          <t xml:space="preserve">
nominal amount provisioned</t>
        </r>
      </text>
    </comment>
    <comment ref="E370" authorId="0" shapeId="0" xr:uid="{00000000-0006-0000-0700-000005000000}">
      <text>
        <r>
          <rPr>
            <b/>
            <sz val="9"/>
            <color indexed="81"/>
            <rFont val="Tahoma"/>
            <family val="2"/>
          </rPr>
          <t>Shyam Bhusal:</t>
        </r>
        <r>
          <rPr>
            <sz val="9"/>
            <color indexed="81"/>
            <rFont val="Tahoma"/>
            <family val="2"/>
          </rPr>
          <t xml:space="preserve">
Delete it</t>
        </r>
      </text>
    </comment>
    <comment ref="I438" authorId="1" shapeId="0" xr:uid="{00000000-0006-0000-0700-000006000000}">
      <text>
        <r>
          <rPr>
            <b/>
            <sz val="9"/>
            <color indexed="81"/>
            <rFont val="Tahoma"/>
            <family val="2"/>
          </rPr>
          <t>Bishal Koirala:</t>
        </r>
        <r>
          <rPr>
            <sz val="9"/>
            <color indexed="81"/>
            <rFont val="Tahoma"/>
            <family val="2"/>
          </rPr>
          <t xml:space="preserve">
Rate?</t>
        </r>
      </text>
    </comment>
    <comment ref="I439" authorId="1" shapeId="0" xr:uid="{00000000-0006-0000-0700-000007000000}">
      <text>
        <r>
          <rPr>
            <b/>
            <sz val="9"/>
            <color indexed="81"/>
            <rFont val="Tahoma"/>
            <family val="2"/>
          </rPr>
          <t>Bishal Koirala:</t>
        </r>
        <r>
          <rPr>
            <sz val="9"/>
            <color indexed="81"/>
            <rFont val="Tahoma"/>
            <family val="2"/>
          </rPr>
          <t xml:space="preserve">
Rate?</t>
        </r>
      </text>
    </comment>
    <comment ref="H532" authorId="1" shapeId="0" xr:uid="{00000000-0006-0000-0700-000008000000}">
      <text>
        <r>
          <rPr>
            <b/>
            <sz val="9"/>
            <color indexed="81"/>
            <rFont val="Tahoma"/>
            <family val="2"/>
          </rPr>
          <t>Bishal Koirala:</t>
        </r>
        <r>
          <rPr>
            <sz val="9"/>
            <color indexed="81"/>
            <rFont val="Tahoma"/>
            <family val="2"/>
          </rPr>
          <t xml:space="preserve">
Wire mesh?</t>
        </r>
      </text>
    </comment>
    <comment ref="B562" authorId="0" shapeId="0" xr:uid="{00000000-0006-0000-0700-000009000000}">
      <text>
        <r>
          <rPr>
            <b/>
            <sz val="9"/>
            <color indexed="81"/>
            <rFont val="Tahoma"/>
            <family val="2"/>
          </rPr>
          <t>Shyam Bhusal:</t>
        </r>
        <r>
          <rPr>
            <sz val="9"/>
            <color indexed="81"/>
            <rFont val="Tahoma"/>
            <family val="2"/>
          </rPr>
          <t xml:space="preserve">
Deleted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Shyam Bhusal</author>
    <author>Bishal Koirala</author>
  </authors>
  <commentList>
    <comment ref="B42" authorId="0" shapeId="0" xr:uid="{00000000-0006-0000-0800-000001000000}">
      <text>
        <r>
          <rPr>
            <b/>
            <sz val="9"/>
            <color indexed="81"/>
            <rFont val="Tahoma"/>
            <family val="2"/>
          </rPr>
          <t>Shyam Bhusal:</t>
        </r>
        <r>
          <rPr>
            <sz val="9"/>
            <color indexed="81"/>
            <rFont val="Tahoma"/>
            <family val="2"/>
          </rPr>
          <t xml:space="preserve">
Myagdi has been overwritten with Kunaban</t>
        </r>
      </text>
    </comment>
    <comment ref="D168" authorId="1" shapeId="0" xr:uid="{00000000-0006-0000-0800-000002000000}">
      <text>
        <r>
          <rPr>
            <b/>
            <sz val="9"/>
            <color indexed="81"/>
            <rFont val="Tahoma"/>
            <family val="2"/>
          </rPr>
          <t>Bishal Koirala:</t>
        </r>
        <r>
          <rPr>
            <sz val="9"/>
            <color indexed="81"/>
            <rFont val="Tahoma"/>
            <family val="2"/>
          </rPr>
          <t xml:space="preserve">
Nominal area provisioned</t>
        </r>
      </text>
    </comment>
    <comment ref="I168" authorId="1" shapeId="0" xr:uid="{00000000-0006-0000-0800-000003000000}">
      <text>
        <r>
          <rPr>
            <b/>
            <sz val="9"/>
            <color indexed="81"/>
            <rFont val="Tahoma"/>
            <family val="2"/>
          </rPr>
          <t>Bishal Koirala:</t>
        </r>
        <r>
          <rPr>
            <sz val="9"/>
            <color indexed="81"/>
            <rFont val="Tahoma"/>
            <family val="2"/>
          </rPr>
          <t xml:space="preserve">
Rate approx 80% of below</t>
        </r>
      </text>
    </comment>
    <comment ref="D201" authorId="1" shapeId="0" xr:uid="{00000000-0006-0000-0800-000004000000}">
      <text>
        <r>
          <rPr>
            <b/>
            <sz val="9"/>
            <color indexed="81"/>
            <rFont val="Tahoma"/>
            <family val="2"/>
          </rPr>
          <t>Bishal Koirala:</t>
        </r>
        <r>
          <rPr>
            <sz val="9"/>
            <color indexed="81"/>
            <rFont val="Tahoma"/>
            <family val="2"/>
          </rPr>
          <t xml:space="preserve">
nominal amount provisioned</t>
        </r>
      </text>
    </comment>
    <comment ref="E362" authorId="0" shapeId="0" xr:uid="{00000000-0006-0000-0800-000005000000}">
      <text>
        <r>
          <rPr>
            <b/>
            <sz val="9"/>
            <color indexed="81"/>
            <rFont val="Tahoma"/>
            <family val="2"/>
          </rPr>
          <t>Shyam Bhusal:</t>
        </r>
        <r>
          <rPr>
            <sz val="9"/>
            <color indexed="81"/>
            <rFont val="Tahoma"/>
            <family val="2"/>
          </rPr>
          <t xml:space="preserve">
Delete it</t>
        </r>
      </text>
    </comment>
    <comment ref="I428" authorId="1" shapeId="0" xr:uid="{00000000-0006-0000-0800-000006000000}">
      <text>
        <r>
          <rPr>
            <b/>
            <sz val="9"/>
            <color indexed="81"/>
            <rFont val="Tahoma"/>
            <family val="2"/>
          </rPr>
          <t>Bishal Koirala:</t>
        </r>
        <r>
          <rPr>
            <sz val="9"/>
            <color indexed="81"/>
            <rFont val="Tahoma"/>
            <family val="2"/>
          </rPr>
          <t xml:space="preserve">
Rate?</t>
        </r>
      </text>
    </comment>
    <comment ref="I429" authorId="1" shapeId="0" xr:uid="{00000000-0006-0000-0800-000007000000}">
      <text>
        <r>
          <rPr>
            <b/>
            <sz val="9"/>
            <color indexed="81"/>
            <rFont val="Tahoma"/>
            <family val="2"/>
          </rPr>
          <t>Bishal Koirala:</t>
        </r>
        <r>
          <rPr>
            <sz val="9"/>
            <color indexed="81"/>
            <rFont val="Tahoma"/>
            <family val="2"/>
          </rPr>
          <t xml:space="preserve">
Rate?</t>
        </r>
      </text>
    </comment>
    <comment ref="H522" authorId="1" shapeId="0" xr:uid="{00000000-0006-0000-0800-000008000000}">
      <text>
        <r>
          <rPr>
            <b/>
            <sz val="9"/>
            <color indexed="81"/>
            <rFont val="Tahoma"/>
            <family val="2"/>
          </rPr>
          <t>Bishal Koirala:</t>
        </r>
        <r>
          <rPr>
            <sz val="9"/>
            <color indexed="81"/>
            <rFont val="Tahoma"/>
            <family val="2"/>
          </rPr>
          <t xml:space="preserve">
Wire mesh?</t>
        </r>
      </text>
    </comment>
    <comment ref="B552" authorId="0" shapeId="0" xr:uid="{00000000-0006-0000-0800-000009000000}">
      <text>
        <r>
          <rPr>
            <b/>
            <sz val="9"/>
            <color indexed="81"/>
            <rFont val="Tahoma"/>
            <family val="2"/>
          </rPr>
          <t>Shyam Bhusal:</t>
        </r>
        <r>
          <rPr>
            <sz val="9"/>
            <color indexed="81"/>
            <rFont val="Tahoma"/>
            <family val="2"/>
          </rPr>
          <t xml:space="preserve">
Deleted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Sandeep Poudel</author>
  </authors>
  <commentList>
    <comment ref="F16" authorId="0" shapeId="0" xr:uid="{00000000-0006-0000-0D00-000001000000}">
      <text>
        <r>
          <rPr>
            <b/>
            <sz val="9"/>
            <color indexed="81"/>
            <rFont val="Tahoma"/>
            <family val="2"/>
          </rPr>
          <t>Sandeep Poudel:</t>
        </r>
        <r>
          <rPr>
            <sz val="9"/>
            <color indexed="81"/>
            <rFont val="Tahoma"/>
            <family val="2"/>
          </rPr>
          <t xml:space="preserve">
Average Width</t>
        </r>
      </text>
    </comment>
    <comment ref="F17" authorId="0" shapeId="0" xr:uid="{00000000-0006-0000-0D00-000002000000}">
      <text>
        <r>
          <rPr>
            <b/>
            <sz val="9"/>
            <color indexed="81"/>
            <rFont val="Tahoma"/>
            <family val="2"/>
          </rPr>
          <t>Sandeep Poudel:</t>
        </r>
        <r>
          <rPr>
            <sz val="9"/>
            <color indexed="81"/>
            <rFont val="Tahoma"/>
            <family val="2"/>
          </rPr>
          <t xml:space="preserve">
Average Width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Sandeep Poudel</author>
    <author>Susan Vaidya</author>
  </authors>
  <commentList>
    <comment ref="I31" authorId="0" shapeId="0" xr:uid="{00000000-0006-0000-0E00-000001000000}">
      <text>
        <r>
          <rPr>
            <b/>
            <sz val="9"/>
            <color indexed="81"/>
            <rFont val="Tahoma"/>
            <family val="2"/>
          </rPr>
          <t>Sandeep Poudel:</t>
        </r>
        <r>
          <rPr>
            <sz val="9"/>
            <color indexed="81"/>
            <rFont val="Tahoma"/>
            <family val="2"/>
          </rPr>
          <t xml:space="preserve">
Cross sectional Area</t>
        </r>
      </text>
    </comment>
    <comment ref="I35" authorId="0" shapeId="0" xr:uid="{00000000-0006-0000-0E00-000002000000}">
      <text>
        <r>
          <rPr>
            <b/>
            <sz val="9"/>
            <color indexed="81"/>
            <rFont val="Tahoma"/>
            <family val="2"/>
          </rPr>
          <t>Sandeep Poudel:</t>
        </r>
        <r>
          <rPr>
            <sz val="9"/>
            <color indexed="81"/>
            <rFont val="Tahoma"/>
            <family val="2"/>
          </rPr>
          <t xml:space="preserve">
Cross sectional area of weir body</t>
        </r>
      </text>
    </comment>
    <comment ref="I39" authorId="0" shapeId="0" xr:uid="{00000000-0006-0000-0E00-000003000000}">
      <text>
        <r>
          <rPr>
            <b/>
            <sz val="9"/>
            <color indexed="81"/>
            <rFont val="Tahoma"/>
            <family val="2"/>
          </rPr>
          <t>Sandeep Poudel:</t>
        </r>
        <r>
          <rPr>
            <sz val="9"/>
            <color indexed="81"/>
            <rFont val="Tahoma"/>
            <family val="2"/>
          </rPr>
          <t xml:space="preserve">
Cross sectional area of stilling basin along Lenght</t>
        </r>
      </text>
    </comment>
    <comment ref="R82" authorId="1" shapeId="0" xr:uid="{00000000-0006-0000-0E00-000004000000}">
      <text>
        <r>
          <rPr>
            <b/>
            <sz val="9"/>
            <color indexed="81"/>
            <rFont val="Tahoma"/>
            <family val="2"/>
          </rPr>
          <t>Susan Vaidya:</t>
        </r>
        <r>
          <rPr>
            <sz val="9"/>
            <color indexed="81"/>
            <rFont val="Tahoma"/>
            <family val="2"/>
          </rPr>
          <t xml:space="preserve">
Weir + Stilling portion
</t>
        </r>
      </text>
    </comment>
    <comment ref="R84" authorId="1" shapeId="0" xr:uid="{00000000-0006-0000-0E00-000005000000}">
      <text>
        <r>
          <rPr>
            <b/>
            <sz val="9"/>
            <color indexed="81"/>
            <rFont val="Tahoma"/>
            <family val="2"/>
          </rPr>
          <t>Susan Vaidya:</t>
        </r>
        <r>
          <rPr>
            <sz val="9"/>
            <color indexed="81"/>
            <rFont val="Tahoma"/>
            <family val="2"/>
          </rPr>
          <t xml:space="preserve">
U/S &amp; D/S ends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Sandeep Poudel</author>
  </authors>
  <commentList>
    <comment ref="F17" authorId="0" shapeId="0" xr:uid="{00000000-0006-0000-0F00-000001000000}">
      <text>
        <r>
          <rPr>
            <b/>
            <sz val="9"/>
            <color indexed="81"/>
            <rFont val="Tahoma"/>
            <family val="2"/>
          </rPr>
          <t>Sandeep Poudel:</t>
        </r>
        <r>
          <rPr>
            <sz val="9"/>
            <color indexed="81"/>
            <rFont val="Tahoma"/>
            <family val="2"/>
          </rPr>
          <t xml:space="preserve">
Average width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Nitish Sapkota</author>
    <author>Bishal Koirala</author>
  </authors>
  <commentList>
    <comment ref="H37" authorId="0" shapeId="0" xr:uid="{00000000-0006-0000-1100-000001000000}">
      <text>
        <r>
          <rPr>
            <b/>
            <sz val="9"/>
            <color indexed="81"/>
            <rFont val="Tahoma"/>
            <family val="2"/>
          </rPr>
          <t>Nitish Sapkota:</t>
        </r>
        <r>
          <rPr>
            <sz val="9"/>
            <color indexed="81"/>
            <rFont val="Tahoma"/>
            <family val="2"/>
          </rPr>
          <t xml:space="preserve">
15Kg/m ISMB Rib, Spacing 1.5m</t>
        </r>
      </text>
    </comment>
    <comment ref="I37" authorId="0" shapeId="0" xr:uid="{00000000-0006-0000-1100-000002000000}">
      <text>
        <r>
          <rPr>
            <b/>
            <sz val="9"/>
            <color indexed="81"/>
            <rFont val="Tahoma"/>
            <family val="2"/>
          </rPr>
          <t>Nitish Sapkota:</t>
        </r>
        <r>
          <rPr>
            <sz val="9"/>
            <color indexed="81"/>
            <rFont val="Tahoma"/>
            <family val="2"/>
          </rPr>
          <t xml:space="preserve">
15Kg/m ISMB Rib, Spacing 1.5m</t>
        </r>
      </text>
    </comment>
    <comment ref="I41" authorId="1" shapeId="0" xr:uid="{00000000-0006-0000-1100-000003000000}">
      <text>
        <r>
          <rPr>
            <b/>
            <sz val="9"/>
            <color indexed="81"/>
            <rFont val="Tahoma"/>
            <family val="2"/>
          </rPr>
          <t>Bishal Koirala:</t>
        </r>
        <r>
          <rPr>
            <sz val="9"/>
            <color indexed="81"/>
            <rFont val="Tahoma"/>
            <family val="2"/>
          </rPr>
          <t xml:space="preserve">
Only 10% of surface area considered for wiremesh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Ronit Kayastha</author>
    <author>Bishal Koirala</author>
  </authors>
  <commentList>
    <comment ref="E15" authorId="0" shapeId="0" xr:uid="{00000000-0006-0000-1200-000001000000}">
      <text>
        <r>
          <rPr>
            <b/>
            <sz val="9"/>
            <color indexed="81"/>
            <rFont val="Tahoma"/>
            <family val="2"/>
          </rPr>
          <t>Average length=Porta plan area/average length</t>
        </r>
      </text>
    </comment>
    <comment ref="H15" authorId="1" shapeId="0" xr:uid="{00000000-0006-0000-1200-000002000000}">
      <text>
        <r>
          <rPr>
            <b/>
            <sz val="9"/>
            <color indexed="81"/>
            <rFont val="Tahoma"/>
            <family val="2"/>
          </rPr>
          <t>Bishal Koirala:</t>
        </r>
        <r>
          <rPr>
            <sz val="9"/>
            <color indexed="81"/>
            <rFont val="Tahoma"/>
            <family val="2"/>
          </rPr>
          <t xml:space="preserve">
Sectional area</t>
        </r>
      </text>
    </comment>
    <comment ref="H21" authorId="1" shapeId="0" xr:uid="{00000000-0006-0000-1200-000003000000}">
      <text>
        <r>
          <rPr>
            <b/>
            <sz val="9"/>
            <color indexed="81"/>
            <rFont val="Tahoma"/>
            <family val="2"/>
          </rPr>
          <t>Bishal Koirala:</t>
        </r>
        <r>
          <rPr>
            <sz val="9"/>
            <color indexed="81"/>
            <rFont val="Tahoma"/>
            <family val="2"/>
          </rPr>
          <t xml:space="preserve">
Face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Ronit Kayastha</author>
    <author>Bishal Koirala</author>
  </authors>
  <commentList>
    <comment ref="E15" authorId="0" shapeId="0" xr:uid="{00000000-0006-0000-1300-000001000000}">
      <text>
        <r>
          <rPr>
            <b/>
            <sz val="9"/>
            <color indexed="81"/>
            <rFont val="Tahoma"/>
            <family val="2"/>
          </rPr>
          <t>Ronit Kayastha:</t>
        </r>
        <r>
          <rPr>
            <sz val="9"/>
            <color indexed="81"/>
            <rFont val="Tahoma"/>
            <family val="2"/>
          </rPr>
          <t xml:space="preserve">
average length</t>
        </r>
      </text>
    </comment>
    <comment ref="H15" authorId="1" shapeId="0" xr:uid="{00000000-0006-0000-1300-000002000000}">
      <text>
        <r>
          <rPr>
            <b/>
            <sz val="9"/>
            <color indexed="81"/>
            <rFont val="Tahoma"/>
            <family val="2"/>
          </rPr>
          <t>Bishal Koirala:</t>
        </r>
        <r>
          <rPr>
            <sz val="9"/>
            <color indexed="81"/>
            <rFont val="Tahoma"/>
            <family val="2"/>
          </rPr>
          <t xml:space="preserve">
Average c/s area in excavation</t>
        </r>
      </text>
    </comment>
    <comment ref="J15" authorId="1" shapeId="0" xr:uid="{00000000-0006-0000-1300-000003000000}">
      <text>
        <r>
          <rPr>
            <b/>
            <sz val="9"/>
            <color indexed="81"/>
            <rFont val="Tahoma"/>
            <family val="2"/>
          </rPr>
          <t>Bishal Koirala:</t>
        </r>
        <r>
          <rPr>
            <sz val="9"/>
            <color indexed="81"/>
            <rFont val="Tahoma"/>
            <family val="2"/>
          </rPr>
          <t xml:space="preserve">
20% allowance for side excavation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F15" authorId="0" shapeId="0" xr:uid="{00000000-0006-0000-1400-000001000000}">
      <text>
        <r>
          <rPr>
            <b/>
            <sz val="9"/>
            <color indexed="81"/>
            <rFont val="Tahoma"/>
            <family val="2"/>
          </rPr>
          <t>Bishal Koirala:</t>
        </r>
        <r>
          <rPr>
            <sz val="9"/>
            <color indexed="81"/>
            <rFont val="Tahoma"/>
            <family val="2"/>
          </rPr>
          <t xml:space="preserve">
average width in plan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F15" authorId="0" shapeId="0" xr:uid="{00000000-0006-0000-1500-000001000000}">
      <text>
        <r>
          <rPr>
            <b/>
            <sz val="9"/>
            <color indexed="81"/>
            <rFont val="Tahoma"/>
            <family val="2"/>
          </rPr>
          <t>Bishal Koirala:</t>
        </r>
        <r>
          <rPr>
            <sz val="9"/>
            <color indexed="81"/>
            <rFont val="Tahoma"/>
            <family val="2"/>
          </rPr>
          <t xml:space="preserve">
average width in plan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Bishal Koirala</author>
    <author>Sandeep Poudel</author>
  </authors>
  <commentList>
    <comment ref="E15" authorId="0" shapeId="0" xr:uid="{00000000-0006-0000-1600-000001000000}">
      <text>
        <r>
          <rPr>
            <b/>
            <sz val="9"/>
            <color indexed="81"/>
            <rFont val="Tahoma"/>
            <family val="2"/>
          </rPr>
          <t>Bishal Koirala:</t>
        </r>
        <r>
          <rPr>
            <sz val="9"/>
            <color indexed="81"/>
            <rFont val="Tahoma"/>
            <family val="2"/>
          </rPr>
          <t xml:space="preserve">
Excavation of Syphon below weir included in weir</t>
        </r>
      </text>
    </comment>
    <comment ref="H26" authorId="1" shapeId="0" xr:uid="{00000000-0006-0000-1600-000002000000}">
      <text>
        <r>
          <rPr>
            <b/>
            <sz val="9"/>
            <color indexed="81"/>
            <rFont val="Tahoma"/>
            <family val="2"/>
          </rPr>
          <t>Sandeep Poudel:</t>
        </r>
        <r>
          <rPr>
            <sz val="9"/>
            <color indexed="81"/>
            <rFont val="Tahoma"/>
            <family val="2"/>
          </rPr>
          <t xml:space="preserve">
Sectional area</t>
        </r>
      </text>
    </comment>
    <comment ref="E34" authorId="1" shapeId="0" xr:uid="{00000000-0006-0000-1600-000003000000}">
      <text>
        <r>
          <rPr>
            <b/>
            <sz val="9"/>
            <color indexed="81"/>
            <rFont val="Tahoma"/>
            <family val="2"/>
          </rPr>
          <t>Sandeep Poudel:</t>
        </r>
        <r>
          <rPr>
            <sz val="9"/>
            <color indexed="81"/>
            <rFont val="Tahoma"/>
            <family val="2"/>
          </rPr>
          <t xml:space="preserve">
all length considered, top bottom, height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B30" authorId="0" shapeId="0" xr:uid="{00000000-0006-0000-1800-000001000000}">
      <text>
        <r>
          <rPr>
            <b/>
            <sz val="9"/>
            <color indexed="81"/>
            <rFont val="Tahoma"/>
            <family val="2"/>
          </rPr>
          <t>Bishal Koirala:</t>
        </r>
        <r>
          <rPr>
            <sz val="9"/>
            <color indexed="81"/>
            <rFont val="Tahoma"/>
            <family val="2"/>
          </rPr>
          <t xml:space="preserve">
Spot rockbolts provisioned for slope protection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Saugat Joshi</author>
    <author>Bishal Koirala</author>
  </authors>
  <commentList>
    <comment ref="F30" authorId="0" shapeId="0" xr:uid="{00000000-0006-0000-1900-000001000000}">
      <text>
        <r>
          <rPr>
            <b/>
            <sz val="9"/>
            <color indexed="81"/>
            <rFont val="Tahoma"/>
            <family val="2"/>
          </rPr>
          <t>Saugat Joshi:</t>
        </r>
        <r>
          <rPr>
            <sz val="9"/>
            <color indexed="81"/>
            <rFont val="Tahoma"/>
            <family val="2"/>
          </rPr>
          <t xml:space="preserve">
Average Width</t>
        </r>
      </text>
    </comment>
    <comment ref="A54" authorId="1" shapeId="0" xr:uid="{00000000-0006-0000-1900-000002000000}">
      <text>
        <r>
          <rPr>
            <b/>
            <sz val="9"/>
            <color indexed="81"/>
            <rFont val="Tahoma"/>
            <family val="2"/>
          </rPr>
          <t>Bishal Koirala:</t>
        </r>
        <r>
          <rPr>
            <sz val="9"/>
            <color indexed="81"/>
            <rFont val="Tahoma"/>
            <family val="2"/>
          </rPr>
          <t xml:space="preserve">
This quantity is redundant as is already considered in Weir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Sandeep Poudel</author>
    <author>Bishal Koirala</author>
    <author>Susan Vaidya</author>
  </authors>
  <commentList>
    <comment ref="F17" authorId="0" shapeId="0" xr:uid="{00000000-0006-0000-1B00-000001000000}">
      <text>
        <r>
          <rPr>
            <b/>
            <sz val="9"/>
            <color indexed="81"/>
            <rFont val="Tahoma"/>
            <family val="2"/>
          </rPr>
          <t>Sandeep Poudel:</t>
        </r>
        <r>
          <rPr>
            <sz val="9"/>
            <color indexed="81"/>
            <rFont val="Tahoma"/>
            <family val="2"/>
          </rPr>
          <t xml:space="preserve">
Average Width</t>
        </r>
      </text>
    </comment>
    <comment ref="I17" authorId="0" shapeId="0" xr:uid="{00000000-0006-0000-1B00-000002000000}">
      <text>
        <r>
          <rPr>
            <b/>
            <sz val="9"/>
            <color indexed="81"/>
            <rFont val="Tahoma"/>
            <family val="2"/>
          </rPr>
          <t>Sandeep Poudel:</t>
        </r>
        <r>
          <rPr>
            <sz val="9"/>
            <color indexed="81"/>
            <rFont val="Tahoma"/>
            <family val="2"/>
          </rPr>
          <t xml:space="preserve">
Area from Section along Profile of weir and undersluice</t>
        </r>
      </text>
    </comment>
    <comment ref="G27" authorId="1" shapeId="0" xr:uid="{00000000-0006-0000-1B00-000003000000}">
      <text>
        <r>
          <rPr>
            <b/>
            <sz val="9"/>
            <color indexed="81"/>
            <rFont val="Tahoma"/>
            <family val="2"/>
          </rPr>
          <t>Bishal Koirala:</t>
        </r>
        <r>
          <rPr>
            <sz val="9"/>
            <color indexed="81"/>
            <rFont val="Tahoma"/>
            <family val="2"/>
          </rPr>
          <t xml:space="preserve">
Including sloped area</t>
        </r>
      </text>
    </comment>
    <comment ref="I28" authorId="0" shapeId="0" xr:uid="{00000000-0006-0000-1B00-000004000000}">
      <text>
        <r>
          <rPr>
            <sz val="9"/>
            <color indexed="81"/>
            <rFont val="Tahoma"/>
            <family val="2"/>
          </rPr>
          <t xml:space="preserve">
Cross sectional Area</t>
        </r>
      </text>
    </comment>
    <comment ref="I35" authorId="0" shapeId="0" xr:uid="{00000000-0006-0000-1B00-000005000000}">
      <text>
        <r>
          <rPr>
            <b/>
            <sz val="9"/>
            <color indexed="81"/>
            <rFont val="Tahoma"/>
            <family val="2"/>
          </rPr>
          <t>Sandeep Poudel:</t>
        </r>
        <r>
          <rPr>
            <sz val="9"/>
            <color indexed="81"/>
            <rFont val="Tahoma"/>
            <family val="2"/>
          </rPr>
          <t xml:space="preserve">
Cross sectional area of weir body</t>
        </r>
      </text>
    </comment>
    <comment ref="G37" authorId="1" shapeId="0" xr:uid="{00000000-0006-0000-1B00-000006000000}">
      <text>
        <r>
          <rPr>
            <b/>
            <sz val="9"/>
            <color indexed="81"/>
            <rFont val="Tahoma"/>
            <family val="2"/>
          </rPr>
          <t>Bishal Koirala:</t>
        </r>
        <r>
          <rPr>
            <sz val="9"/>
            <color indexed="81"/>
            <rFont val="Tahoma"/>
            <family val="2"/>
          </rPr>
          <t xml:space="preserve">
Including sloped area</t>
        </r>
      </text>
    </comment>
    <comment ref="I38" authorId="0" shapeId="0" xr:uid="{00000000-0006-0000-1B00-000007000000}">
      <text>
        <r>
          <rPr>
            <sz val="9"/>
            <color indexed="81"/>
            <rFont val="Tahoma"/>
            <family val="2"/>
          </rPr>
          <t xml:space="preserve">
Cross sectional Area</t>
        </r>
      </text>
    </comment>
    <comment ref="G40" authorId="1" shapeId="0" xr:uid="{00000000-0006-0000-1B00-000008000000}">
      <text>
        <r>
          <rPr>
            <b/>
            <sz val="9"/>
            <color indexed="81"/>
            <rFont val="Tahoma"/>
            <family val="2"/>
          </rPr>
          <t>Bishal Koirala:</t>
        </r>
        <r>
          <rPr>
            <sz val="9"/>
            <color indexed="81"/>
            <rFont val="Tahoma"/>
            <family val="2"/>
          </rPr>
          <t xml:space="preserve">
Including sloped area</t>
        </r>
      </text>
    </comment>
    <comment ref="I41" authorId="0" shapeId="0" xr:uid="{00000000-0006-0000-1B00-000009000000}">
      <text>
        <r>
          <rPr>
            <sz val="9"/>
            <color indexed="81"/>
            <rFont val="Tahoma"/>
            <family val="2"/>
          </rPr>
          <t xml:space="preserve">
Cross sectional Area</t>
        </r>
      </text>
    </comment>
    <comment ref="G43" authorId="1" shapeId="0" xr:uid="{00000000-0006-0000-1B00-00000A000000}">
      <text>
        <r>
          <rPr>
            <b/>
            <sz val="9"/>
            <color indexed="81"/>
            <rFont val="Tahoma"/>
            <family val="2"/>
          </rPr>
          <t>Bishal Koirala:</t>
        </r>
        <r>
          <rPr>
            <sz val="9"/>
            <color indexed="81"/>
            <rFont val="Tahoma"/>
            <family val="2"/>
          </rPr>
          <t xml:space="preserve">
Including sloped area</t>
        </r>
      </text>
    </comment>
    <comment ref="I44" authorId="0" shapeId="0" xr:uid="{00000000-0006-0000-1B00-00000B000000}">
      <text>
        <r>
          <rPr>
            <sz val="9"/>
            <color indexed="81"/>
            <rFont val="Tahoma"/>
            <family val="2"/>
          </rPr>
          <t xml:space="preserve">
Cross sectional Area</t>
        </r>
      </text>
    </comment>
    <comment ref="F51" authorId="0" shapeId="0" xr:uid="{00000000-0006-0000-1B00-00000C000000}">
      <text>
        <r>
          <rPr>
            <b/>
            <sz val="9"/>
            <color indexed="81"/>
            <rFont val="Tahoma"/>
            <family val="2"/>
          </rPr>
          <t>Bishal Koirala:</t>
        </r>
        <r>
          <rPr>
            <sz val="9"/>
            <color indexed="81"/>
            <rFont val="Tahoma"/>
            <family val="2"/>
          </rPr>
          <t xml:space="preserve">
Deducted 1.5m for Structural concrete of 0.5 thickness at one edge and 1 m along other edge</t>
        </r>
      </text>
    </comment>
    <comment ref="I57" authorId="0" shapeId="0" xr:uid="{00000000-0006-0000-1B00-00000D000000}">
      <text>
        <r>
          <rPr>
            <b/>
            <sz val="9"/>
            <color indexed="81"/>
            <rFont val="Tahoma"/>
            <family val="2"/>
          </rPr>
          <t>Sandeep Poudel:</t>
        </r>
        <r>
          <rPr>
            <sz val="9"/>
            <color indexed="81"/>
            <rFont val="Tahoma"/>
            <family val="2"/>
          </rPr>
          <t xml:space="preserve">
Plan Area</t>
        </r>
      </text>
    </comment>
    <comment ref="R84" authorId="2" shapeId="0" xr:uid="{00000000-0006-0000-1B00-00000E000000}">
      <text>
        <r>
          <rPr>
            <b/>
            <sz val="9"/>
            <color indexed="81"/>
            <rFont val="Tahoma"/>
            <family val="2"/>
          </rPr>
          <t>Susan Vaidya:</t>
        </r>
        <r>
          <rPr>
            <sz val="9"/>
            <color indexed="81"/>
            <rFont val="Tahoma"/>
            <family val="2"/>
          </rPr>
          <t xml:space="preserve">
Weir + Stilling portion
</t>
        </r>
      </text>
    </comment>
    <comment ref="R86" authorId="2" shapeId="0" xr:uid="{00000000-0006-0000-1B00-00000F000000}">
      <text>
        <r>
          <rPr>
            <b/>
            <sz val="9"/>
            <color indexed="81"/>
            <rFont val="Tahoma"/>
            <family val="2"/>
          </rPr>
          <t>Susan Vaidya:</t>
        </r>
        <r>
          <rPr>
            <sz val="9"/>
            <color indexed="81"/>
            <rFont val="Tahoma"/>
            <family val="2"/>
          </rPr>
          <t xml:space="preserve">
U/S &amp; D/S ends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Sandeep Poudel</author>
    <author>Bishal Koirala</author>
  </authors>
  <commentList>
    <comment ref="I18" authorId="0" shapeId="0" xr:uid="{00000000-0006-0000-1C00-000001000000}">
      <text>
        <r>
          <rPr>
            <b/>
            <sz val="9"/>
            <color indexed="81"/>
            <rFont val="Tahoma"/>
            <family val="2"/>
          </rPr>
          <t>Sandeep Poudel:</t>
        </r>
        <r>
          <rPr>
            <sz val="9"/>
            <color indexed="81"/>
            <rFont val="Tahoma"/>
            <family val="2"/>
          </rPr>
          <t xml:space="preserve">
Area from Profile</t>
        </r>
      </text>
    </comment>
    <comment ref="I20" authorId="0" shapeId="0" xr:uid="{00000000-0006-0000-1C00-000002000000}">
      <text>
        <r>
          <rPr>
            <b/>
            <sz val="9"/>
            <color indexed="81"/>
            <rFont val="Tahoma"/>
            <family val="2"/>
          </rPr>
          <t>Sandeep Poudel:</t>
        </r>
        <r>
          <rPr>
            <sz val="9"/>
            <color indexed="81"/>
            <rFont val="Tahoma"/>
            <family val="2"/>
          </rPr>
          <t xml:space="preserve">
Sectional Area</t>
        </r>
      </text>
    </comment>
    <comment ref="G32" authorId="0" shapeId="0" xr:uid="{00000000-0006-0000-1C00-000003000000}">
      <text>
        <r>
          <rPr>
            <b/>
            <sz val="9"/>
            <color indexed="81"/>
            <rFont val="Tahoma"/>
            <family val="2"/>
          </rPr>
          <t>Sandeep Poudel:</t>
        </r>
        <r>
          <rPr>
            <sz val="9"/>
            <color indexed="81"/>
            <rFont val="Tahoma"/>
            <family val="2"/>
          </rPr>
          <t xml:space="preserve">
Only upstream as downstream formwork is to be included in the main body of undersluice</t>
        </r>
      </text>
    </comment>
    <comment ref="I38" authorId="1" shapeId="0" xr:uid="{00000000-0006-0000-1C00-000004000000}">
      <text>
        <r>
          <rPr>
            <b/>
            <sz val="9"/>
            <color indexed="81"/>
            <rFont val="Tahoma"/>
            <family val="2"/>
          </rPr>
          <t>Bishal Koirala:</t>
        </r>
        <r>
          <rPr>
            <sz val="9"/>
            <color indexed="81"/>
            <rFont val="Tahoma"/>
            <family val="2"/>
          </rPr>
          <t xml:space="preserve">
Area of total wall- area of undersluice body</t>
        </r>
      </text>
    </comment>
    <comment ref="I39" authorId="1" shapeId="0" xr:uid="{00000000-0006-0000-1C00-000005000000}">
      <text>
        <r>
          <rPr>
            <b/>
            <sz val="9"/>
            <color indexed="81"/>
            <rFont val="Tahoma"/>
            <family val="2"/>
          </rPr>
          <t>Bishal Koirala:</t>
        </r>
        <r>
          <rPr>
            <sz val="9"/>
            <color indexed="81"/>
            <rFont val="Tahoma"/>
            <family val="2"/>
          </rPr>
          <t xml:space="preserve">
Wall area from intake to end of stilling basin</t>
        </r>
      </text>
    </comment>
    <comment ref="F40" authorId="1" shapeId="0" xr:uid="{00000000-0006-0000-1C00-000006000000}">
      <text>
        <r>
          <rPr>
            <b/>
            <sz val="9"/>
            <color indexed="81"/>
            <rFont val="Tahoma"/>
            <family val="2"/>
          </rPr>
          <t>Bishal Koirala:</t>
        </r>
        <r>
          <rPr>
            <sz val="9"/>
            <color indexed="81"/>
            <rFont val="Tahoma"/>
            <family val="2"/>
          </rPr>
          <t xml:space="preserve">
Bottom area is also considered in this one</t>
        </r>
      </text>
    </comment>
    <comment ref="I43" authorId="1" shapeId="0" xr:uid="{00000000-0006-0000-1C00-000007000000}">
      <text>
        <r>
          <rPr>
            <b/>
            <sz val="9"/>
            <color indexed="81"/>
            <rFont val="Tahoma"/>
            <family val="2"/>
          </rPr>
          <t>Bishal Koirala:</t>
        </r>
        <r>
          <rPr>
            <sz val="9"/>
            <color indexed="81"/>
            <rFont val="Tahoma"/>
            <family val="2"/>
          </rPr>
          <t xml:space="preserve">
Only portion upto confluence of walls have been considered </t>
        </r>
      </text>
    </comment>
    <comment ref="F53" authorId="1" shapeId="0" xr:uid="{00000000-0006-0000-1C00-000008000000}">
      <text>
        <r>
          <rPr>
            <b/>
            <sz val="9"/>
            <color indexed="81"/>
            <rFont val="Tahoma"/>
            <family val="2"/>
          </rPr>
          <t>Bishal Koirala:</t>
        </r>
        <r>
          <rPr>
            <sz val="9"/>
            <color indexed="81"/>
            <rFont val="Tahoma"/>
            <family val="2"/>
          </rPr>
          <t xml:space="preserve">
Average width </t>
        </r>
      </text>
    </comment>
    <comment ref="F55" authorId="1" shapeId="0" xr:uid="{00000000-0006-0000-1C00-000009000000}">
      <text>
        <r>
          <rPr>
            <b/>
            <sz val="9"/>
            <color indexed="81"/>
            <rFont val="Tahoma"/>
            <family val="2"/>
          </rPr>
          <t>Bishal Koirala:</t>
        </r>
        <r>
          <rPr>
            <sz val="9"/>
            <color indexed="81"/>
            <rFont val="Tahoma"/>
            <family val="2"/>
          </rPr>
          <t xml:space="preserve">
The area of wall common with undersluice body has been considered in this section</t>
        </r>
      </text>
    </comment>
    <comment ref="F62" authorId="1" shapeId="0" xr:uid="{00000000-0006-0000-1C00-00000A000000}">
      <text>
        <r>
          <rPr>
            <b/>
            <sz val="9"/>
            <color indexed="81"/>
            <rFont val="Tahoma"/>
            <family val="2"/>
          </rPr>
          <t>Bishal Koirala:</t>
        </r>
        <r>
          <rPr>
            <sz val="9"/>
            <color indexed="81"/>
            <rFont val="Tahoma"/>
            <family val="2"/>
          </rPr>
          <t xml:space="preserve">
thickness of wall</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Sandeep Poudel</author>
    <author>Bishal Koirala</author>
  </authors>
  <commentList>
    <comment ref="H32" authorId="0" shapeId="0" xr:uid="{00000000-0006-0000-1D00-000001000000}">
      <text>
        <r>
          <rPr>
            <b/>
            <sz val="9"/>
            <color indexed="81"/>
            <rFont val="Tahoma"/>
            <family val="2"/>
          </rPr>
          <t>Sandeep Poudel:</t>
        </r>
        <r>
          <rPr>
            <sz val="9"/>
            <color indexed="81"/>
            <rFont val="Tahoma"/>
            <family val="2"/>
          </rPr>
          <t xml:space="preserve">
Sectional area</t>
        </r>
      </text>
    </comment>
    <comment ref="G33" authorId="1" shapeId="0" xr:uid="{00000000-0006-0000-1D00-000002000000}">
      <text>
        <r>
          <rPr>
            <b/>
            <sz val="9"/>
            <color indexed="81"/>
            <rFont val="Tahoma"/>
            <family val="2"/>
          </rPr>
          <t>Bishal Koirala:</t>
        </r>
        <r>
          <rPr>
            <sz val="9"/>
            <color indexed="81"/>
            <rFont val="Tahoma"/>
            <family val="2"/>
          </rPr>
          <t xml:space="preserve">
Average of two walls including cutoff in one</t>
        </r>
      </text>
    </comment>
    <comment ref="J34" authorId="1" shapeId="0" xr:uid="{00000000-0006-0000-1D00-000003000000}">
      <text>
        <r>
          <rPr>
            <b/>
            <sz val="9"/>
            <color indexed="81"/>
            <rFont val="Tahoma"/>
            <family val="2"/>
          </rPr>
          <t>Bishal Koirala:</t>
        </r>
        <r>
          <rPr>
            <sz val="9"/>
            <color indexed="81"/>
            <rFont val="Tahoma"/>
            <family val="2"/>
          </rPr>
          <t xml:space="preserve">
10% extra to account for slope and vertical areas </t>
        </r>
      </text>
    </comment>
    <comment ref="H39" authorId="0" shapeId="0" xr:uid="{00000000-0006-0000-1D00-000004000000}">
      <text>
        <r>
          <rPr>
            <b/>
            <sz val="9"/>
            <color indexed="81"/>
            <rFont val="Tahoma"/>
            <family val="2"/>
          </rPr>
          <t>Sandeep Poudel:</t>
        </r>
        <r>
          <rPr>
            <sz val="9"/>
            <color indexed="81"/>
            <rFont val="Tahoma"/>
            <family val="2"/>
          </rPr>
          <t xml:space="preserve">
Sectional Area</t>
        </r>
      </text>
    </comment>
    <comment ref="E50" authorId="0" shapeId="0" xr:uid="{00000000-0006-0000-1D00-000005000000}">
      <text>
        <r>
          <rPr>
            <b/>
            <sz val="9"/>
            <color indexed="81"/>
            <rFont val="Tahoma"/>
            <family val="2"/>
          </rPr>
          <t>Sandeep Poudel:</t>
        </r>
        <r>
          <rPr>
            <sz val="9"/>
            <color indexed="81"/>
            <rFont val="Tahoma"/>
            <family val="2"/>
          </rPr>
          <t xml:space="preserve">
all length considered, top bottom, height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Sandeep Poudel</author>
    <author>Bishal Koirala</author>
  </authors>
  <commentList>
    <comment ref="H69" authorId="0" shapeId="0" xr:uid="{00000000-0006-0000-1E00-000001000000}">
      <text>
        <r>
          <rPr>
            <b/>
            <sz val="9"/>
            <color indexed="81"/>
            <rFont val="Tahoma"/>
            <family val="2"/>
          </rPr>
          <t>Sandeep Poudel:</t>
        </r>
        <r>
          <rPr>
            <sz val="9"/>
            <color indexed="81"/>
            <rFont val="Tahoma"/>
            <family val="2"/>
          </rPr>
          <t xml:space="preserve">
Sectional Area</t>
        </r>
      </text>
    </comment>
    <comment ref="J104" authorId="1" shapeId="0" xr:uid="{00000000-0006-0000-1E00-000002000000}">
      <text>
        <r>
          <rPr>
            <b/>
            <sz val="9"/>
            <color indexed="81"/>
            <rFont val="Tahoma"/>
            <family val="2"/>
          </rPr>
          <t>Bishal Koirala:</t>
        </r>
        <r>
          <rPr>
            <sz val="9"/>
            <color indexed="81"/>
            <rFont val="Tahoma"/>
            <family val="2"/>
          </rPr>
          <t xml:space="preserve">
Isn't this too much?</t>
        </r>
      </text>
    </comment>
    <comment ref="D108" authorId="0" shapeId="0" xr:uid="{00000000-0006-0000-1E00-000003000000}">
      <text>
        <r>
          <rPr>
            <b/>
            <sz val="9"/>
            <color indexed="81"/>
            <rFont val="Tahoma"/>
            <family val="2"/>
          </rPr>
          <t>Sandeep Poudel:</t>
        </r>
        <r>
          <rPr>
            <sz val="9"/>
            <color indexed="81"/>
            <rFont val="Tahoma"/>
            <family val="2"/>
          </rPr>
          <t xml:space="preserve">
Considering 10m excavation height to be provided with soil nail</t>
        </r>
      </text>
    </comment>
    <comment ref="E108" authorId="0" shapeId="0" xr:uid="{00000000-0006-0000-1E00-000004000000}">
      <text>
        <r>
          <rPr>
            <b/>
            <sz val="9"/>
            <color indexed="81"/>
            <rFont val="Tahoma"/>
            <family val="2"/>
          </rPr>
          <t>Sandeep Poudel:</t>
        </r>
        <r>
          <rPr>
            <sz val="9"/>
            <color indexed="81"/>
            <rFont val="Tahoma"/>
            <family val="2"/>
          </rPr>
          <t xml:space="preserve">
Considering soil nailing is only required for half the stretch of settling basin main bay</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Bishal Koirala</author>
    <author/>
  </authors>
  <commentList>
    <comment ref="E43" authorId="0" shapeId="0" xr:uid="{00000000-0006-0000-2000-000001000000}">
      <text>
        <r>
          <rPr>
            <b/>
            <sz val="9"/>
            <color indexed="81"/>
            <rFont val="Tahoma"/>
            <family val="2"/>
          </rPr>
          <t>Bishal Koirala:</t>
        </r>
        <r>
          <rPr>
            <sz val="9"/>
            <color indexed="81"/>
            <rFont val="Tahoma"/>
            <family val="2"/>
          </rPr>
          <t xml:space="preserve">
</t>
        </r>
      </text>
    </comment>
    <comment ref="E56" authorId="0" shapeId="0" xr:uid="{00000000-0006-0000-2000-000002000000}">
      <text>
        <r>
          <rPr>
            <b/>
            <sz val="9"/>
            <color indexed="81"/>
            <rFont val="Tahoma"/>
            <family val="2"/>
          </rPr>
          <t>Bishal Koirala:</t>
        </r>
        <r>
          <rPr>
            <sz val="9"/>
            <color indexed="81"/>
            <rFont val="Tahoma"/>
            <family val="2"/>
          </rPr>
          <t xml:space="preserve">
length along center line considered to be average
</t>
        </r>
      </text>
    </comment>
    <comment ref="G57" authorId="0" shapeId="0" xr:uid="{00000000-0006-0000-2000-000003000000}">
      <text>
        <r>
          <rPr>
            <b/>
            <sz val="9"/>
            <color indexed="81"/>
            <rFont val="Tahoma"/>
            <family val="2"/>
          </rPr>
          <t>Bishal Koirala:</t>
        </r>
        <r>
          <rPr>
            <sz val="9"/>
            <color indexed="81"/>
            <rFont val="Tahoma"/>
            <family val="2"/>
          </rPr>
          <t xml:space="preserve">
c/s Area of Concrete -area of pipe</t>
        </r>
      </text>
    </comment>
    <comment ref="E64" authorId="0" shapeId="0" xr:uid="{00000000-0006-0000-2000-000004000000}">
      <text>
        <r>
          <rPr>
            <b/>
            <sz val="9"/>
            <color indexed="81"/>
            <rFont val="Tahoma"/>
            <family val="2"/>
          </rPr>
          <t>Bishal Koirala:</t>
        </r>
        <r>
          <rPr>
            <sz val="9"/>
            <color indexed="81"/>
            <rFont val="Tahoma"/>
            <family val="2"/>
          </rPr>
          <t xml:space="preserve">
These are included to account for site specific conditions </t>
        </r>
      </text>
    </comment>
    <comment ref="F108" authorId="1" shapeId="0" xr:uid="{00000000-0006-0000-2000-000005000000}">
      <text>
        <r>
          <rPr>
            <sz val="10"/>
            <color rgb="FF000000"/>
            <rFont val="Arial"/>
            <family val="2"/>
          </rPr>
          <t>======
ID#AAAAMXOGGkc
Sandeep Poudel    (2021-05-15 07:04:11)
From plan</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Ronit Kayastha</author>
  </authors>
  <commentList>
    <comment ref="E15" authorId="0" shapeId="0" xr:uid="{00000000-0006-0000-2100-000001000000}">
      <text>
        <r>
          <rPr>
            <b/>
            <sz val="9"/>
            <color indexed="81"/>
            <rFont val="Tahoma"/>
            <family val="2"/>
          </rPr>
          <t>Ronit Kayastha:</t>
        </r>
        <r>
          <rPr>
            <sz val="9"/>
            <color indexed="81"/>
            <rFont val="Tahoma"/>
            <family val="2"/>
          </rPr>
          <t xml:space="preserve">
average length</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F15" authorId="0" shapeId="0" xr:uid="{00000000-0006-0000-2200-000001000000}">
      <text>
        <r>
          <rPr>
            <b/>
            <sz val="9"/>
            <color indexed="81"/>
            <rFont val="Tahoma"/>
            <family val="2"/>
          </rPr>
          <t>Bishal Koirala:</t>
        </r>
        <r>
          <rPr>
            <sz val="9"/>
            <color indexed="81"/>
            <rFont val="Tahoma"/>
            <family val="2"/>
          </rPr>
          <t xml:space="preserve">
Average of width at top and bottom
</t>
        </r>
      </text>
    </comment>
    <comment ref="H19" authorId="0" shapeId="0" xr:uid="{00000000-0006-0000-2200-000002000000}">
      <text>
        <r>
          <rPr>
            <b/>
            <sz val="9"/>
            <color indexed="81"/>
            <rFont val="Tahoma"/>
            <family val="2"/>
          </rPr>
          <t>Bishal Koirala:</t>
        </r>
        <r>
          <rPr>
            <sz val="9"/>
            <color indexed="81"/>
            <rFont val="Tahoma"/>
            <family val="2"/>
          </rPr>
          <t xml:space="preserve">
=height of excavation x average width</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Nitish Sapkota</author>
  </authors>
  <commentList>
    <comment ref="J45" authorId="0" shapeId="0" xr:uid="{00000000-0006-0000-2400-000001000000}">
      <text>
        <r>
          <rPr>
            <b/>
            <sz val="9"/>
            <color indexed="81"/>
            <rFont val="Tahoma"/>
            <family val="2"/>
          </rPr>
          <t>Nitish Sapkota:</t>
        </r>
        <r>
          <rPr>
            <sz val="9"/>
            <color indexed="81"/>
            <rFont val="Tahoma"/>
            <family val="2"/>
          </rPr>
          <t xml:space="preserve">
15Kg/m ISMB Rib, Spacing 1.5m</t>
        </r>
      </text>
    </comment>
    <comment ref="K45" authorId="0" shapeId="0" xr:uid="{00000000-0006-0000-2400-000002000000}">
      <text>
        <r>
          <rPr>
            <b/>
            <sz val="9"/>
            <color indexed="81"/>
            <rFont val="Tahoma"/>
            <family val="2"/>
          </rPr>
          <t>Nitish Sapkota:</t>
        </r>
        <r>
          <rPr>
            <sz val="9"/>
            <color indexed="81"/>
            <rFont val="Tahoma"/>
            <family val="2"/>
          </rPr>
          <t xml:space="preserve">
15Kg/m ISMB Rib, Spacing 1.5m</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Bishal Koirala</author>
  </authors>
  <commentList>
    <comment ref="I41" authorId="0" shapeId="0" xr:uid="{00000000-0006-0000-2500-000001000000}">
      <text>
        <r>
          <rPr>
            <b/>
            <sz val="9"/>
            <color indexed="81"/>
            <rFont val="Tahoma"/>
            <family val="2"/>
          </rPr>
          <t>Bishal Koirala:</t>
        </r>
        <r>
          <rPr>
            <sz val="9"/>
            <color indexed="81"/>
            <rFont val="Tahoma"/>
            <family val="2"/>
          </rPr>
          <t xml:space="preserve">
20% in rock class 5 and 6</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F20" authorId="0" shapeId="0" xr:uid="{00000000-0006-0000-2F00-000001000000}">
      <text>
        <r>
          <rPr>
            <sz val="10"/>
            <color rgb="FF000000"/>
            <rFont val="Arial"/>
            <family val="2"/>
          </rPr>
          <t>======
ID#AAAAMXOGGoI
Saugat Joshi    (2021-05-15 07:04:11)
Average Width</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F28" authorId="0" shapeId="0" xr:uid="{00000000-0006-0000-3000-000001000000}">
      <text>
        <r>
          <rPr>
            <sz val="10"/>
            <color rgb="FF000000"/>
            <rFont val="Arial"/>
            <family val="2"/>
          </rPr>
          <t>======
ID#AAAAMXOGGoI
Saugat Joshi    (2021-05-15 07:04:11)
Average Width</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basantag</author>
  </authors>
  <commentList>
    <comment ref="E292" authorId="0" shapeId="0" xr:uid="{00000000-0006-0000-3300-000001000000}">
      <text>
        <r>
          <rPr>
            <b/>
            <sz val="8"/>
            <color indexed="81"/>
            <rFont val="Tahoma"/>
            <family val="2"/>
          </rPr>
          <t>basantag:</t>
        </r>
        <r>
          <rPr>
            <sz val="8"/>
            <color indexed="81"/>
            <rFont val="Tahoma"/>
            <family val="2"/>
          </rPr>
          <t xml:space="preserve">
Reference ; Rate Analysis Kabeli A HEP</t>
        </r>
      </text>
    </comment>
    <comment ref="E293" authorId="0" shapeId="0" xr:uid="{00000000-0006-0000-3300-000002000000}">
      <text>
        <r>
          <rPr>
            <b/>
            <sz val="8"/>
            <color indexed="81"/>
            <rFont val="Tahoma"/>
            <family val="2"/>
          </rPr>
          <t>basantag:</t>
        </r>
        <r>
          <rPr>
            <sz val="8"/>
            <color indexed="81"/>
            <rFont val="Tahoma"/>
            <family val="2"/>
          </rPr>
          <t xml:space="preserve">
Rate at Kathmandu</t>
        </r>
      </text>
    </comment>
    <comment ref="E294" authorId="0" shapeId="0" xr:uid="{00000000-0006-0000-3300-000003000000}">
      <text>
        <r>
          <rPr>
            <b/>
            <sz val="8"/>
            <color indexed="81"/>
            <rFont val="Tahoma"/>
            <family val="2"/>
          </rPr>
          <t>basantag:</t>
        </r>
        <r>
          <rPr>
            <sz val="8"/>
            <color indexed="81"/>
            <rFont val="Tahoma"/>
            <family val="2"/>
          </rPr>
          <t xml:space="preserve">
Reference ; Rate Analysis Kabeli A HEP</t>
        </r>
      </text>
    </comment>
    <comment ref="E295" authorId="0" shapeId="0" xr:uid="{00000000-0006-0000-3300-000004000000}">
      <text>
        <r>
          <rPr>
            <b/>
            <sz val="8"/>
            <color indexed="81"/>
            <rFont val="Tahoma"/>
            <family val="2"/>
          </rPr>
          <t>basantag:</t>
        </r>
        <r>
          <rPr>
            <sz val="8"/>
            <color indexed="81"/>
            <rFont val="Tahoma"/>
            <family val="2"/>
          </rPr>
          <t xml:space="preserve">
Reference ; Rate Analysis Kabeli A HEP</t>
        </r>
      </text>
    </comment>
    <comment ref="E297" authorId="0" shapeId="0" xr:uid="{00000000-0006-0000-3300-000005000000}">
      <text>
        <r>
          <rPr>
            <b/>
            <sz val="8"/>
            <color indexed="81"/>
            <rFont val="Tahoma"/>
            <family val="2"/>
          </rPr>
          <t>basantag:</t>
        </r>
        <r>
          <rPr>
            <sz val="8"/>
            <color indexed="81"/>
            <rFont val="Tahoma"/>
            <family val="2"/>
          </rPr>
          <t xml:space="preserve">
Rate used in Chilime</t>
        </r>
      </text>
    </comment>
    <comment ref="E298" authorId="0" shapeId="0" xr:uid="{00000000-0006-0000-3300-000006000000}">
      <text>
        <r>
          <rPr>
            <b/>
            <sz val="8"/>
            <color indexed="81"/>
            <rFont val="Tahoma"/>
            <family val="2"/>
          </rPr>
          <t>basantag:</t>
        </r>
        <r>
          <rPr>
            <sz val="8"/>
            <color indexed="81"/>
            <rFont val="Tahoma"/>
            <family val="2"/>
          </rPr>
          <t xml:space="preserve">
Reference ; Rate Analysis Kabeli A HEP</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Sajana Marahatta</author>
    <author>sumin</author>
  </authors>
  <commentList>
    <comment ref="D30" authorId="0" shapeId="0" xr:uid="{00000000-0006-0000-3400-000001000000}">
      <text>
        <r>
          <rPr>
            <b/>
            <sz val="9"/>
            <color indexed="81"/>
            <rFont val="Tahoma"/>
            <family val="2"/>
          </rPr>
          <t>Sajana Marahatta:</t>
        </r>
        <r>
          <rPr>
            <sz val="9"/>
            <color indexed="81"/>
            <rFont val="Tahoma"/>
            <family val="2"/>
          </rPr>
          <t xml:space="preserve">
From Ghar Khola (Increased by 10%)
</t>
        </r>
      </text>
    </comment>
    <comment ref="E40" authorId="1" shapeId="0" xr:uid="{00000000-0006-0000-3400-000002000000}">
      <text>
        <r>
          <rPr>
            <b/>
            <sz val="8"/>
            <color indexed="81"/>
            <rFont val="Tahoma"/>
            <family val="2"/>
          </rPr>
          <t>sumin:</t>
        </r>
        <r>
          <rPr>
            <sz val="8"/>
            <color indexed="81"/>
            <rFont val="Tahoma"/>
            <family val="2"/>
          </rPr>
          <t xml:space="preserve">
Incl. Stone filling</t>
        </r>
      </text>
    </comment>
    <comment ref="G40" authorId="1" shapeId="0" xr:uid="{00000000-0006-0000-3400-000003000000}">
      <text>
        <r>
          <rPr>
            <b/>
            <sz val="8"/>
            <color indexed="81"/>
            <rFont val="Tahoma"/>
            <family val="2"/>
          </rPr>
          <t>sumin:</t>
        </r>
        <r>
          <rPr>
            <sz val="8"/>
            <color indexed="81"/>
            <rFont val="Tahoma"/>
            <family val="2"/>
          </rPr>
          <t xml:space="preserve">
Incl. Stone filling</t>
        </r>
      </text>
    </comment>
    <comment ref="I40" authorId="1" shapeId="0" xr:uid="{00000000-0006-0000-3400-000004000000}">
      <text>
        <r>
          <rPr>
            <b/>
            <sz val="8"/>
            <color indexed="81"/>
            <rFont val="Tahoma"/>
            <family val="2"/>
          </rPr>
          <t>sumin:</t>
        </r>
        <r>
          <rPr>
            <sz val="8"/>
            <color indexed="81"/>
            <rFont val="Tahoma"/>
            <family val="2"/>
          </rPr>
          <t xml:space="preserve">
Incl. Stone filling</t>
        </r>
      </text>
    </comment>
    <comment ref="K40" authorId="1" shapeId="0" xr:uid="{00000000-0006-0000-3400-000005000000}">
      <text>
        <r>
          <rPr>
            <b/>
            <sz val="8"/>
            <color indexed="81"/>
            <rFont val="Tahoma"/>
            <family val="2"/>
          </rPr>
          <t>sumin:</t>
        </r>
        <r>
          <rPr>
            <sz val="8"/>
            <color indexed="81"/>
            <rFont val="Tahoma"/>
            <family val="2"/>
          </rPr>
          <t xml:space="preserve">
Incl. Stone filling</t>
        </r>
      </text>
    </comment>
    <comment ref="G47" authorId="1" shapeId="0" xr:uid="{00000000-0006-0000-3400-000006000000}">
      <text>
        <r>
          <rPr>
            <b/>
            <sz val="8"/>
            <color indexed="81"/>
            <rFont val="Tahoma"/>
            <family val="2"/>
          </rPr>
          <t>sumin:</t>
        </r>
        <r>
          <rPr>
            <sz val="8"/>
            <color indexed="81"/>
            <rFont val="Tahoma"/>
            <family val="2"/>
          </rPr>
          <t xml:space="preserve">
per sqm.</t>
        </r>
      </text>
    </comment>
    <comment ref="I47" authorId="1" shapeId="0" xr:uid="{00000000-0006-0000-3400-000007000000}">
      <text>
        <r>
          <rPr>
            <b/>
            <sz val="8"/>
            <color indexed="81"/>
            <rFont val="Tahoma"/>
            <family val="2"/>
          </rPr>
          <t>sumin:</t>
        </r>
        <r>
          <rPr>
            <sz val="8"/>
            <color indexed="81"/>
            <rFont val="Tahoma"/>
            <family val="2"/>
          </rPr>
          <t xml:space="preserve">
per sqm.</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Ranjita Khatri</author>
  </authors>
  <commentList>
    <comment ref="F3" authorId="0" shapeId="0" xr:uid="{00000000-0006-0000-3700-000001000000}">
      <text>
        <r>
          <rPr>
            <b/>
            <sz val="9"/>
            <color indexed="81"/>
            <rFont val="Tahoma"/>
            <family val="2"/>
          </rPr>
          <t>Ranjita Khatri:</t>
        </r>
        <r>
          <rPr>
            <sz val="9"/>
            <color indexed="81"/>
            <rFont val="Tahoma"/>
            <family val="2"/>
          </rPr>
          <t xml:space="preserve">
As per Nepal Rastra Bank Exchange rate of date 2018 17th September</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Saugat Joshi</author>
    <author>Susan Vaidya</author>
  </authors>
  <commentList>
    <comment ref="E12" authorId="0" shapeId="0" xr:uid="{00000000-0006-0000-3900-000001000000}">
      <text>
        <r>
          <rPr>
            <b/>
            <sz val="9"/>
            <color indexed="81"/>
            <rFont val="Tahoma"/>
            <family val="2"/>
          </rPr>
          <t>Saugat Joshi:</t>
        </r>
        <r>
          <rPr>
            <sz val="9"/>
            <color indexed="81"/>
            <rFont val="Tahoma"/>
            <family val="2"/>
          </rPr>
          <t xml:space="preserve">
Inclined length </t>
        </r>
      </text>
    </comment>
    <comment ref="F12" authorId="0" shapeId="0" xr:uid="{00000000-0006-0000-3900-000002000000}">
      <text>
        <r>
          <rPr>
            <b/>
            <sz val="9"/>
            <color indexed="81"/>
            <rFont val="Tahoma"/>
            <family val="2"/>
          </rPr>
          <t>Saugat Joshi:</t>
        </r>
        <r>
          <rPr>
            <sz val="9"/>
            <color indexed="81"/>
            <rFont val="Tahoma"/>
            <family val="2"/>
          </rPr>
          <t xml:space="preserve">
Average width
of audit portal</t>
        </r>
      </text>
    </comment>
    <comment ref="I16" authorId="0" shapeId="0" xr:uid="{00000000-0006-0000-3900-000003000000}">
      <text>
        <r>
          <rPr>
            <b/>
            <sz val="9"/>
            <color indexed="81"/>
            <rFont val="Tahoma"/>
            <family val="2"/>
          </rPr>
          <t>Saugat Joshi:</t>
        </r>
        <r>
          <rPr>
            <sz val="9"/>
            <color indexed="81"/>
            <rFont val="Tahoma"/>
            <family val="2"/>
          </rPr>
          <t xml:space="preserve">
Area fom profile</t>
        </r>
      </text>
    </comment>
    <comment ref="B19" authorId="1" shapeId="0" xr:uid="{00000000-0006-0000-3900-000004000000}">
      <text>
        <r>
          <rPr>
            <b/>
            <sz val="9"/>
            <color indexed="81"/>
            <rFont val="Tahoma"/>
            <family val="2"/>
          </rPr>
          <t>Susan Vaidya:</t>
        </r>
        <r>
          <rPr>
            <sz val="9"/>
            <color indexed="81"/>
            <rFont val="Tahoma"/>
            <family val="2"/>
          </rPr>
          <t xml:space="preserve">
1.5mc/c</t>
        </r>
      </text>
    </comment>
    <comment ref="E23" authorId="0" shapeId="0" xr:uid="{00000000-0006-0000-3900-000005000000}">
      <text>
        <r>
          <rPr>
            <b/>
            <sz val="9"/>
            <color indexed="81"/>
            <rFont val="Tahoma"/>
            <family val="2"/>
          </rPr>
          <t>Saugat Joshi:</t>
        </r>
        <r>
          <rPr>
            <sz val="9"/>
            <color indexed="81"/>
            <rFont val="Tahoma"/>
            <family val="2"/>
          </rPr>
          <t xml:space="preserve">
average length
</t>
        </r>
      </text>
    </comment>
    <comment ref="I27" authorId="0" shapeId="0" xr:uid="{00000000-0006-0000-3900-000006000000}">
      <text>
        <r>
          <rPr>
            <b/>
            <sz val="9"/>
            <color indexed="81"/>
            <rFont val="Tahoma"/>
            <family val="2"/>
          </rPr>
          <t>Saugat Joshi:</t>
        </r>
        <r>
          <rPr>
            <sz val="9"/>
            <color indexed="81"/>
            <rFont val="Tahoma"/>
            <family val="2"/>
          </rPr>
          <t xml:space="preserve">
Along perimeter </t>
        </r>
      </text>
    </comment>
    <comment ref="O27" authorId="1" shapeId="0" xr:uid="{00000000-0006-0000-3900-000007000000}">
      <text>
        <r>
          <rPr>
            <b/>
            <sz val="9"/>
            <color indexed="81"/>
            <rFont val="Tahoma"/>
            <family val="2"/>
          </rPr>
          <t>Susan Vaidya:</t>
        </r>
        <r>
          <rPr>
            <sz val="9"/>
            <color indexed="81"/>
            <rFont val="Tahoma"/>
            <family val="2"/>
          </rPr>
          <t xml:space="preserve">
for tunnel face area
for CAD</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Ranjita Khatri</author>
  </authors>
  <commentList>
    <comment ref="K36" authorId="0" shapeId="0" xr:uid="{00000000-0006-0000-3C00-000001000000}">
      <text>
        <r>
          <rPr>
            <b/>
            <sz val="9"/>
            <color indexed="81"/>
            <rFont val="Tahoma"/>
            <family val="2"/>
          </rPr>
          <t>Author:</t>
        </r>
        <r>
          <rPr>
            <sz val="9"/>
            <color indexed="81"/>
            <rFont val="Tahoma"/>
            <family val="2"/>
          </rPr>
          <t xml:space="preserve">
0.6% of Concrete Volume
</t>
        </r>
      </text>
    </comment>
    <comment ref="L41" authorId="1" shapeId="0" xr:uid="{00000000-0006-0000-3C00-000002000000}">
      <text>
        <r>
          <rPr>
            <b/>
            <sz val="9"/>
            <color indexed="81"/>
            <rFont val="Tahoma"/>
            <family val="2"/>
          </rPr>
          <t>Ranjita Khatri:</t>
        </r>
        <r>
          <rPr>
            <sz val="9"/>
            <color indexed="81"/>
            <rFont val="Tahoma"/>
            <family val="2"/>
          </rPr>
          <t xml:space="preserve">
Providing 1m Laping for 6m long 25mm dia spilling 
Providing 5m c/c spacing at longitudinal direction</t>
        </r>
      </text>
    </comment>
    <comment ref="O54" authorId="1" shapeId="0" xr:uid="{00000000-0006-0000-3C00-000003000000}">
      <text>
        <r>
          <rPr>
            <b/>
            <sz val="9"/>
            <color indexed="81"/>
            <rFont val="Tahoma"/>
            <family val="2"/>
          </rPr>
          <t>Ranjita Khatri:</t>
        </r>
        <r>
          <rPr>
            <sz val="9"/>
            <color indexed="81"/>
            <rFont val="Tahoma"/>
            <family val="2"/>
          </rPr>
          <t xml:space="preserve">
Perimeter of Excavation
</t>
        </r>
      </text>
    </comment>
    <comment ref="J90" authorId="1" shapeId="0" xr:uid="{00000000-0006-0000-3C00-000004000000}">
      <text>
        <r>
          <rPr>
            <b/>
            <sz val="9"/>
            <color indexed="81"/>
            <rFont val="Tahoma"/>
            <family val="2"/>
          </rPr>
          <t>Ranjita Khatri:</t>
        </r>
        <r>
          <rPr>
            <sz val="9"/>
            <color indexed="81"/>
            <rFont val="Tahoma"/>
            <family val="2"/>
          </rPr>
          <t xml:space="preserve">
Longitudinal Spacing 5m
cross sectional Spacing
0.4m</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Sandeep Poudel</author>
    <author>Tej Prakash Bhandari</author>
    <author>Anil Sapkota</author>
  </authors>
  <commentList>
    <comment ref="E17" authorId="0" shapeId="0" xr:uid="{00000000-0006-0000-3D00-000001000000}">
      <text>
        <r>
          <rPr>
            <b/>
            <sz val="9"/>
            <color indexed="81"/>
            <rFont val="Tahoma"/>
            <family val="2"/>
          </rPr>
          <t>Sandeep Poudel:</t>
        </r>
        <r>
          <rPr>
            <sz val="9"/>
            <color indexed="81"/>
            <rFont val="Tahoma"/>
            <family val="2"/>
          </rPr>
          <t xml:space="preserve">
From profile</t>
        </r>
      </text>
    </comment>
    <comment ref="K20" authorId="1" shapeId="0" xr:uid="{00000000-0006-0000-3D00-000002000000}">
      <text>
        <r>
          <rPr>
            <b/>
            <sz val="9"/>
            <color indexed="81"/>
            <rFont val="Tahoma"/>
            <family val="2"/>
          </rPr>
          <t>Tej Prakash Bhandari:</t>
        </r>
        <r>
          <rPr>
            <sz val="9"/>
            <color indexed="81"/>
            <rFont val="Tahoma"/>
            <family val="2"/>
          </rPr>
          <t xml:space="preserve">
Vol. of block excluding pipe vol.</t>
        </r>
      </text>
    </comment>
    <comment ref="K21" authorId="1" shapeId="0" xr:uid="{00000000-0006-0000-3D00-000003000000}">
      <text>
        <r>
          <rPr>
            <b/>
            <sz val="9"/>
            <color indexed="81"/>
            <rFont val="Tahoma"/>
            <family val="2"/>
          </rPr>
          <t>Tej Prakash Bhandari:</t>
        </r>
        <r>
          <rPr>
            <sz val="9"/>
            <color indexed="81"/>
            <rFont val="Tahoma"/>
            <family val="2"/>
          </rPr>
          <t xml:space="preserve">
Vol. of block excluding pipe vol.</t>
        </r>
      </text>
    </comment>
    <comment ref="K22" authorId="1" shapeId="0" xr:uid="{00000000-0006-0000-3D00-000004000000}">
      <text>
        <r>
          <rPr>
            <b/>
            <sz val="9"/>
            <color indexed="81"/>
            <rFont val="Tahoma"/>
            <family val="2"/>
          </rPr>
          <t>Tej Prakash Bhandari:</t>
        </r>
        <r>
          <rPr>
            <sz val="9"/>
            <color indexed="81"/>
            <rFont val="Tahoma"/>
            <family val="2"/>
          </rPr>
          <t xml:space="preserve">
Vol. of block excluding pipe vol.</t>
        </r>
      </text>
    </comment>
    <comment ref="K23" authorId="1" shapeId="0" xr:uid="{00000000-0006-0000-3D00-000005000000}">
      <text>
        <r>
          <rPr>
            <b/>
            <sz val="9"/>
            <color indexed="81"/>
            <rFont val="Tahoma"/>
            <family val="2"/>
          </rPr>
          <t>Tej Prakash Bhandari:</t>
        </r>
        <r>
          <rPr>
            <sz val="9"/>
            <color indexed="81"/>
            <rFont val="Tahoma"/>
            <family val="2"/>
          </rPr>
          <t xml:space="preserve">
Vol. of block excluding pipe vol.</t>
        </r>
      </text>
    </comment>
    <comment ref="K24" authorId="1" shapeId="0" xr:uid="{00000000-0006-0000-3D00-000006000000}">
      <text>
        <r>
          <rPr>
            <b/>
            <sz val="9"/>
            <color indexed="81"/>
            <rFont val="Tahoma"/>
            <family val="2"/>
          </rPr>
          <t>Tej Prakash Bhandari:</t>
        </r>
        <r>
          <rPr>
            <sz val="9"/>
            <color indexed="81"/>
            <rFont val="Tahoma"/>
            <family val="2"/>
          </rPr>
          <t xml:space="preserve">
Vol. of block excluding pipe vol.</t>
        </r>
      </text>
    </comment>
    <comment ref="G44" authorId="2" shapeId="0" xr:uid="{00000000-0006-0000-3D00-000007000000}">
      <text>
        <r>
          <rPr>
            <b/>
            <sz val="9"/>
            <color indexed="81"/>
            <rFont val="Tahoma"/>
            <family val="2"/>
          </rPr>
          <t>Anil Sapkota:</t>
        </r>
        <r>
          <rPr>
            <sz val="9"/>
            <color indexed="81"/>
            <rFont val="Tahoma"/>
            <family val="2"/>
          </rPr>
          <t xml:space="preserve">
Avg Height</t>
        </r>
      </text>
    </comment>
    <comment ref="H45" authorId="2" shapeId="0" xr:uid="{00000000-0006-0000-3D00-000008000000}">
      <text>
        <r>
          <rPr>
            <b/>
            <sz val="9"/>
            <color indexed="81"/>
            <rFont val="Tahoma"/>
            <family val="2"/>
          </rPr>
          <t>Anil Sapkota:</t>
        </r>
        <r>
          <rPr>
            <sz val="9"/>
            <color indexed="81"/>
            <rFont val="Tahoma"/>
            <family val="2"/>
          </rPr>
          <t xml:space="preserve">
Deduct Pipe</t>
        </r>
      </text>
    </comment>
    <comment ref="G46" authorId="2" shapeId="0" xr:uid="{00000000-0006-0000-3D00-000009000000}">
      <text>
        <r>
          <rPr>
            <b/>
            <sz val="9"/>
            <color indexed="81"/>
            <rFont val="Tahoma"/>
            <family val="2"/>
          </rPr>
          <t>Anil Sapkota:</t>
        </r>
        <r>
          <rPr>
            <sz val="9"/>
            <color indexed="81"/>
            <rFont val="Tahoma"/>
            <family val="2"/>
          </rPr>
          <t xml:space="preserve">
Avg Height</t>
        </r>
      </text>
    </comment>
    <comment ref="H47" authorId="2" shapeId="0" xr:uid="{00000000-0006-0000-3D00-00000A000000}">
      <text>
        <r>
          <rPr>
            <b/>
            <sz val="9"/>
            <color indexed="81"/>
            <rFont val="Tahoma"/>
            <family val="2"/>
          </rPr>
          <t>Anil Sapkota:</t>
        </r>
        <r>
          <rPr>
            <sz val="9"/>
            <color indexed="81"/>
            <rFont val="Tahoma"/>
            <family val="2"/>
          </rPr>
          <t xml:space="preserve">
Deduct Pipe</t>
        </r>
      </text>
    </comment>
    <comment ref="H49" authorId="2" shapeId="0" xr:uid="{00000000-0006-0000-3D00-00000B000000}">
      <text>
        <r>
          <rPr>
            <b/>
            <sz val="9"/>
            <color indexed="81"/>
            <rFont val="Tahoma"/>
            <family val="2"/>
          </rPr>
          <t>Anil Sapkota:</t>
        </r>
        <r>
          <rPr>
            <sz val="9"/>
            <color indexed="81"/>
            <rFont val="Tahoma"/>
            <family val="2"/>
          </rPr>
          <t xml:space="preserve">
Deduct Pipe</t>
        </r>
      </text>
    </comment>
    <comment ref="H51" authorId="2" shapeId="0" xr:uid="{00000000-0006-0000-3D00-00000C000000}">
      <text>
        <r>
          <rPr>
            <b/>
            <sz val="9"/>
            <color indexed="81"/>
            <rFont val="Tahoma"/>
            <family val="2"/>
          </rPr>
          <t>Anil Sapkota:</t>
        </r>
        <r>
          <rPr>
            <sz val="9"/>
            <color indexed="81"/>
            <rFont val="Tahoma"/>
            <family val="2"/>
          </rPr>
          <t xml:space="preserve">
Deduct Pipe</t>
        </r>
      </text>
    </comment>
    <comment ref="G52" authorId="2" shapeId="0" xr:uid="{00000000-0006-0000-3D00-00000D000000}">
      <text>
        <r>
          <rPr>
            <b/>
            <sz val="9"/>
            <color indexed="81"/>
            <rFont val="Tahoma"/>
            <family val="2"/>
          </rPr>
          <t>Anil Sapkota:</t>
        </r>
        <r>
          <rPr>
            <sz val="9"/>
            <color indexed="81"/>
            <rFont val="Tahoma"/>
            <family val="2"/>
          </rPr>
          <t xml:space="preserve">
Avg Height</t>
        </r>
      </text>
    </comment>
    <comment ref="H53" authorId="2" shapeId="0" xr:uid="{00000000-0006-0000-3D00-00000E000000}">
      <text>
        <r>
          <rPr>
            <b/>
            <sz val="9"/>
            <color indexed="81"/>
            <rFont val="Tahoma"/>
            <family val="2"/>
          </rPr>
          <t>Anil Sapkota:</t>
        </r>
        <r>
          <rPr>
            <sz val="9"/>
            <color indexed="81"/>
            <rFont val="Tahoma"/>
            <family val="2"/>
          </rPr>
          <t xml:space="preserve">
Deduct Pipe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Ranjita Khatri</author>
  </authors>
  <commentList>
    <comment ref="J41" authorId="0" shapeId="0" xr:uid="{00000000-0006-0000-4000-000001000000}">
      <text>
        <r>
          <rPr>
            <b/>
            <sz val="9"/>
            <color indexed="81"/>
            <rFont val="Tahoma"/>
            <family val="2"/>
          </rPr>
          <t>Ranjita Khatri:</t>
        </r>
        <r>
          <rPr>
            <sz val="9"/>
            <color indexed="81"/>
            <rFont val="Tahoma"/>
            <family val="2"/>
          </rPr>
          <t xml:space="preserve">
Assuming 6 nos of Saddle Support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Sandeep Poudel</author>
  </authors>
  <commentList>
    <comment ref="J12" authorId="0" shapeId="0" xr:uid="{00000000-0006-0000-4600-000001000000}">
      <text>
        <r>
          <rPr>
            <b/>
            <sz val="9"/>
            <color indexed="81"/>
            <rFont val="Tahoma"/>
            <family val="2"/>
          </rPr>
          <t>Author:</t>
        </r>
        <r>
          <rPr>
            <sz val="9"/>
            <color indexed="81"/>
            <rFont val="Tahoma"/>
            <family val="2"/>
          </rPr>
          <t xml:space="preserve">
From Auto cadd
</t>
        </r>
      </text>
    </comment>
    <comment ref="J32" authorId="0" shapeId="0" xr:uid="{00000000-0006-0000-4600-000002000000}">
      <text>
        <r>
          <rPr>
            <b/>
            <sz val="9"/>
            <color indexed="81"/>
            <rFont val="Tahoma"/>
            <family val="2"/>
          </rPr>
          <t>Author:</t>
        </r>
        <r>
          <rPr>
            <sz val="9"/>
            <color indexed="81"/>
            <rFont val="Tahoma"/>
            <family val="2"/>
          </rPr>
          <t xml:space="preserve">
0.5% of total volume of concrete is taken
</t>
        </r>
      </text>
    </comment>
    <comment ref="L44" authorId="1" shapeId="0" xr:uid="{00000000-0006-0000-4600-000003000000}">
      <text>
        <r>
          <rPr>
            <b/>
            <sz val="9"/>
            <color indexed="81"/>
            <rFont val="Tahoma"/>
            <family val="2"/>
          </rPr>
          <t>Sandeep Poudel:</t>
        </r>
        <r>
          <rPr>
            <sz val="9"/>
            <color indexed="81"/>
            <rFont val="Tahoma"/>
            <family val="2"/>
          </rPr>
          <t xml:space="preserve">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8" authorId="0" shapeId="0" xr:uid="{00000000-0006-0000-4700-000001000000}">
      <text>
        <r>
          <rPr>
            <sz val="9"/>
            <color indexed="81"/>
            <rFont val="Tahoma"/>
            <family val="2"/>
          </rPr>
          <t xml:space="preserve">Length is taken for the west and south face of the switchyard
</t>
        </r>
      </text>
    </comment>
    <comment ref="B109" authorId="0" shapeId="0" xr:uid="{00000000-0006-0000-4700-000002000000}">
      <text>
        <r>
          <rPr>
            <sz val="9"/>
            <color indexed="81"/>
            <rFont val="Tahoma"/>
            <family val="2"/>
          </rPr>
          <t xml:space="preserve">15 m is considered for the panel length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Sandeep Poudel</author>
    <author>Author</author>
  </authors>
  <commentList>
    <comment ref="H18" authorId="0" shapeId="0" xr:uid="{00000000-0006-0000-4800-000001000000}">
      <text>
        <r>
          <rPr>
            <b/>
            <sz val="9"/>
            <color indexed="81"/>
            <rFont val="Tahoma"/>
            <family val="2"/>
          </rPr>
          <t>Sandeep Poudel:</t>
        </r>
        <r>
          <rPr>
            <sz val="9"/>
            <color indexed="81"/>
            <rFont val="Tahoma"/>
            <family val="2"/>
          </rPr>
          <t xml:space="preserve">
Cumulative length for all side walls</t>
        </r>
      </text>
    </comment>
    <comment ref="E19" authorId="0" shapeId="0" xr:uid="{00000000-0006-0000-4800-000002000000}">
      <text>
        <r>
          <rPr>
            <b/>
            <sz val="9"/>
            <color indexed="81"/>
            <rFont val="Tahoma"/>
            <family val="2"/>
          </rPr>
          <t>Sandeep Poudel:</t>
        </r>
        <r>
          <rPr>
            <sz val="9"/>
            <color indexed="81"/>
            <rFont val="Tahoma"/>
            <family val="2"/>
          </rPr>
          <t xml:space="preserve">
Cumulative length</t>
        </r>
      </text>
    </comment>
    <comment ref="H20" authorId="0" shapeId="0" xr:uid="{00000000-0006-0000-4800-000003000000}">
      <text>
        <r>
          <rPr>
            <b/>
            <sz val="9"/>
            <color indexed="81"/>
            <rFont val="Tahoma"/>
            <family val="2"/>
          </rPr>
          <t>Sandeep Poudel:</t>
        </r>
        <r>
          <rPr>
            <sz val="9"/>
            <color indexed="81"/>
            <rFont val="Tahoma"/>
            <family val="2"/>
          </rPr>
          <t xml:space="preserve">
Culmulative of height and bottom support for slab</t>
        </r>
      </text>
    </comment>
    <comment ref="I24" authorId="1" shapeId="0" xr:uid="{00000000-0006-0000-4800-000004000000}">
      <text>
        <r>
          <rPr>
            <b/>
            <sz val="9"/>
            <color indexed="81"/>
            <rFont val="Tahoma"/>
            <family val="2"/>
          </rPr>
          <t>Author:</t>
        </r>
        <r>
          <rPr>
            <sz val="9"/>
            <color indexed="81"/>
            <rFont val="Tahoma"/>
            <family val="2"/>
          </rPr>
          <t xml:space="preserve">
From Plan</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Sandeep Poudel</author>
  </authors>
  <commentList>
    <comment ref="D25" authorId="0" shapeId="0" xr:uid="{00000000-0006-0000-4900-000001000000}">
      <text>
        <r>
          <rPr>
            <b/>
            <sz val="9"/>
            <color indexed="81"/>
            <rFont val="Tahoma"/>
            <family val="2"/>
          </rPr>
          <t>Sandeep Poudel:</t>
        </r>
        <r>
          <rPr>
            <sz val="9"/>
            <color indexed="81"/>
            <rFont val="Tahoma"/>
            <family val="2"/>
          </rPr>
          <t xml:space="preserve">
Considering joint placed at every 20m</t>
        </r>
      </text>
    </comment>
    <comment ref="D46" authorId="0" shapeId="0" xr:uid="{00000000-0006-0000-4900-000002000000}">
      <text>
        <r>
          <rPr>
            <b/>
            <sz val="9"/>
            <color indexed="81"/>
            <rFont val="Tahoma"/>
            <family val="2"/>
          </rPr>
          <t>Sandeep Poudel:</t>
        </r>
        <r>
          <rPr>
            <sz val="9"/>
            <color indexed="81"/>
            <rFont val="Tahoma"/>
            <family val="2"/>
          </rPr>
          <t xml:space="preserve">
Considering joint placed at every 20m</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Tej Prakash Bhandari</author>
    <author>Anil Sapkota</author>
    <author>Sandeep Poudel</author>
  </authors>
  <commentList>
    <comment ref="I56" authorId="0" shapeId="0" xr:uid="{00000000-0006-0000-4A00-000001000000}">
      <text>
        <r>
          <rPr>
            <b/>
            <sz val="9"/>
            <color indexed="81"/>
            <rFont val="Tahoma"/>
            <family val="2"/>
          </rPr>
          <t>Tej Prakash Bhandari:</t>
        </r>
        <r>
          <rPr>
            <sz val="9"/>
            <color indexed="81"/>
            <rFont val="Tahoma"/>
            <family val="2"/>
          </rPr>
          <t xml:space="preserve">
From 3d drawing of casing.</t>
        </r>
      </text>
    </comment>
    <comment ref="J125" authorId="1" shapeId="0" xr:uid="{00000000-0006-0000-4A00-000002000000}">
      <text>
        <r>
          <rPr>
            <b/>
            <sz val="9"/>
            <color indexed="81"/>
            <rFont val="Tahoma"/>
            <family val="2"/>
          </rPr>
          <t>Anil Sapkota:</t>
        </r>
        <r>
          <rPr>
            <sz val="9"/>
            <color indexed="81"/>
            <rFont val="Tahoma"/>
            <family val="2"/>
          </rPr>
          <t xml:space="preserve">
calculated by SP</t>
        </r>
      </text>
    </comment>
    <comment ref="E128" authorId="2" shapeId="0" xr:uid="{00000000-0006-0000-4A00-000003000000}">
      <text>
        <r>
          <rPr>
            <b/>
            <sz val="9"/>
            <color indexed="81"/>
            <rFont val="Tahoma"/>
            <family val="2"/>
          </rPr>
          <t>Sandeep Poudel:</t>
        </r>
        <r>
          <rPr>
            <sz val="9"/>
            <color indexed="81"/>
            <rFont val="Tahoma"/>
            <family val="2"/>
          </rPr>
          <t xml:space="preserve">
From section AA</t>
        </r>
      </text>
    </comment>
    <comment ref="E129" authorId="2" shapeId="0" xr:uid="{00000000-0006-0000-4A00-000004000000}">
      <text>
        <r>
          <rPr>
            <b/>
            <sz val="9"/>
            <color indexed="81"/>
            <rFont val="Tahoma"/>
            <family val="2"/>
          </rPr>
          <t>Sandeep Poudel:</t>
        </r>
        <r>
          <rPr>
            <sz val="9"/>
            <color indexed="81"/>
            <rFont val="Tahoma"/>
            <family val="2"/>
          </rPr>
          <t xml:space="preserve">
From section BB</t>
        </r>
      </text>
    </comment>
    <comment ref="D168" authorId="2" shapeId="0" xr:uid="{00000000-0006-0000-4A00-000005000000}">
      <text>
        <r>
          <rPr>
            <b/>
            <sz val="9"/>
            <color indexed="81"/>
            <rFont val="Tahoma"/>
            <family val="2"/>
          </rPr>
          <t>Sandeep Poudel:</t>
        </r>
        <r>
          <rPr>
            <sz val="9"/>
            <color indexed="81"/>
            <rFont val="Tahoma"/>
            <family val="2"/>
          </rPr>
          <t xml:space="preserve">
For both longitudional sides</t>
        </r>
      </text>
    </comment>
    <comment ref="D169" authorId="2" shapeId="0" xr:uid="{00000000-0006-0000-4A00-000006000000}">
      <text>
        <r>
          <rPr>
            <b/>
            <sz val="9"/>
            <color indexed="81"/>
            <rFont val="Tahoma"/>
            <family val="2"/>
          </rPr>
          <t>Sandeep Poudel:</t>
        </r>
        <r>
          <rPr>
            <sz val="9"/>
            <color indexed="81"/>
            <rFont val="Tahoma"/>
            <family val="2"/>
          </rPr>
          <t xml:space="preserve">
For both transverse sides
</t>
        </r>
      </text>
    </comment>
    <comment ref="D192" authorId="2" shapeId="0" xr:uid="{00000000-0006-0000-4A00-000007000000}">
      <text>
        <r>
          <rPr>
            <b/>
            <sz val="9"/>
            <color indexed="81"/>
            <rFont val="Tahoma"/>
            <family val="2"/>
          </rPr>
          <t>Sandeep Poudel:</t>
        </r>
        <r>
          <rPr>
            <sz val="9"/>
            <color indexed="81"/>
            <rFont val="Tahoma"/>
            <family val="2"/>
          </rPr>
          <t xml:space="preserve">
Both sides</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Anil Sapkota</author>
  </authors>
  <commentList>
    <comment ref="F10" authorId="0" shapeId="0" xr:uid="{00000000-0006-0000-4B00-000001000000}">
      <text>
        <r>
          <rPr>
            <b/>
            <sz val="9"/>
            <color indexed="81"/>
            <rFont val="Tahoma"/>
            <family val="2"/>
          </rPr>
          <t>Anil Sapkota:</t>
        </r>
        <r>
          <rPr>
            <sz val="9"/>
            <color indexed="81"/>
            <rFont val="Tahoma"/>
            <family val="2"/>
          </rPr>
          <t xml:space="preserve">
Canal+ average width for excavation</t>
        </r>
      </text>
    </comment>
    <comment ref="H10" authorId="0" shapeId="0" xr:uid="{00000000-0006-0000-4B00-000002000000}">
      <text>
        <r>
          <rPr>
            <b/>
            <sz val="9"/>
            <color indexed="81"/>
            <rFont val="Tahoma"/>
            <family val="2"/>
          </rPr>
          <t>Anil Sapkota:</t>
        </r>
        <r>
          <rPr>
            <sz val="9"/>
            <color indexed="81"/>
            <rFont val="Tahoma"/>
            <family val="2"/>
          </rPr>
          <t xml:space="preserve">
Sec B-B L-Section
</t>
        </r>
      </text>
    </comment>
  </commentList>
</comments>
</file>

<file path=xl/sharedStrings.xml><?xml version="1.0" encoding="utf-8"?>
<sst xmlns="http://schemas.openxmlformats.org/spreadsheetml/2006/main" count="13758" uniqueCount="3370">
  <si>
    <t>JOB TITLE :</t>
  </si>
  <si>
    <t>JOB NO. :</t>
  </si>
  <si>
    <t>SUBJECT :</t>
  </si>
  <si>
    <t>STRUCTURE :</t>
  </si>
  <si>
    <t>DWG NO. :</t>
  </si>
  <si>
    <t>Cal By :</t>
  </si>
  <si>
    <t>Date :</t>
  </si>
  <si>
    <t>SN</t>
  </si>
  <si>
    <t>DESCRIPTION</t>
  </si>
  <si>
    <t>UNIT</t>
  </si>
  <si>
    <t>NOS</t>
  </si>
  <si>
    <t>LENGTH</t>
  </si>
  <si>
    <t>BREADTH</t>
  </si>
  <si>
    <t>HEIGHT</t>
  </si>
  <si>
    <t>PERIMETER</t>
  </si>
  <si>
    <t>AREA</t>
  </si>
  <si>
    <t>QUANTITY</t>
  </si>
  <si>
    <t>REMARKS</t>
  </si>
  <si>
    <t>Site Clearance</t>
  </si>
  <si>
    <t>sqm</t>
  </si>
  <si>
    <t>TOTAL</t>
  </si>
  <si>
    <t>cum</t>
  </si>
  <si>
    <t>Backfilling (Compacted Earth)</t>
  </si>
  <si>
    <t>Formwork (Slabs and girders)</t>
  </si>
  <si>
    <t>Reinforcement</t>
  </si>
  <si>
    <t>ton</t>
  </si>
  <si>
    <t>Reinforcements</t>
  </si>
  <si>
    <t>m</t>
  </si>
  <si>
    <t>Boulder Breaking</t>
  </si>
  <si>
    <t>Structural Concrete (C25)</t>
  </si>
  <si>
    <t>HEADWORKS</t>
  </si>
  <si>
    <t>Backfilling</t>
  </si>
  <si>
    <t>S.N</t>
  </si>
  <si>
    <t xml:space="preserve">Description of Work </t>
  </si>
  <si>
    <t>Rate</t>
  </si>
  <si>
    <t xml:space="preserve">Site Clearance </t>
  </si>
  <si>
    <t xml:space="preserve">Base preparation work </t>
  </si>
  <si>
    <t>Stone Masonry Work (1:6 Cement mortar)</t>
  </si>
  <si>
    <t xml:space="preserve">Reinforcement </t>
  </si>
  <si>
    <t>Boulder Mix Soil Excavation</t>
  </si>
  <si>
    <t>Filter Material</t>
  </si>
  <si>
    <t xml:space="preserve">Formwork </t>
  </si>
  <si>
    <t>Water Bars</t>
  </si>
  <si>
    <t>Hydro cell</t>
  </si>
  <si>
    <t>Sealents</t>
  </si>
  <si>
    <t>Steel Railing</t>
  </si>
  <si>
    <t>rm</t>
  </si>
  <si>
    <t>kg</t>
  </si>
  <si>
    <t>Floor Finish</t>
  </si>
  <si>
    <t>CGI Sheet</t>
  </si>
  <si>
    <t>Stone Masonry Work (1:4 Cement mortar)</t>
  </si>
  <si>
    <t>Brick Masonary</t>
  </si>
  <si>
    <t>Roof Truss and sheeting</t>
  </si>
  <si>
    <t>no</t>
  </si>
  <si>
    <t>Ribs (Shape equivalent to ISMB 150)</t>
  </si>
  <si>
    <t>no.</t>
  </si>
  <si>
    <t xml:space="preserve">Drilling for Injection Grouting </t>
  </si>
  <si>
    <t>Tunnel Excavation</t>
  </si>
  <si>
    <t>50 mm thick steel fibre reinforced shotcrete</t>
  </si>
  <si>
    <t>100 mm thick steel fibre reinforced shotcrete</t>
  </si>
  <si>
    <t>75 mm thick steel fibre reinforced shotcrete</t>
  </si>
  <si>
    <t>150 mm thick steel fibre reinforced shotcrete</t>
  </si>
  <si>
    <t>6m long, 25 mm dia spiling</t>
  </si>
  <si>
    <t>Surface Rock Excavation</t>
  </si>
  <si>
    <t>Stone masonary with 1:6 cement mortar</t>
  </si>
  <si>
    <t>Common Soil excavation</t>
  </si>
  <si>
    <t>Boulder Rip-Rap (1.5 - 2 m Size)</t>
  </si>
  <si>
    <t>C20 structural concrete</t>
  </si>
  <si>
    <t>C25 structural concrete</t>
  </si>
  <si>
    <t>C35 Structural Concrete</t>
  </si>
  <si>
    <t>C15 Concrete Blinding</t>
  </si>
  <si>
    <t>Gabion</t>
  </si>
  <si>
    <t>0.3 m thick hard Stone Lining</t>
  </si>
  <si>
    <t>Boulder Rip-Rap (1.0 m Size)</t>
  </si>
  <si>
    <t>50 mm plain shotcrete</t>
  </si>
  <si>
    <t xml:space="preserve">100 mm plain shotcrete </t>
  </si>
  <si>
    <t xml:space="preserve"> Injection grouting</t>
  </si>
  <si>
    <t>C25 concrete for underground structures</t>
  </si>
  <si>
    <t xml:space="preserve">10 mm Plastering with 1:4 c/m </t>
  </si>
  <si>
    <t>Boulder Rip-Rap (0.5-0.75m)</t>
  </si>
  <si>
    <t>Boulder Rip-Rap (2m)</t>
  </si>
  <si>
    <t>2.0 m long 25 mm dia grouted rock bolt</t>
  </si>
  <si>
    <t>3.0 m long 25 mm dia grouted rock bolt</t>
  </si>
  <si>
    <t>4.0 m long 25 mm dia grouted rock bolt</t>
  </si>
  <si>
    <t>OK</t>
  </si>
  <si>
    <t>m2</t>
  </si>
  <si>
    <t>@</t>
  </si>
  <si>
    <t>of Volume of C25 concrete</t>
  </si>
  <si>
    <t>Formwork elevated structure</t>
  </si>
  <si>
    <t>Gabian Matresses (t=0.5m)</t>
  </si>
  <si>
    <t xml:space="preserve">Drainage Pipes HDP 300mm </t>
  </si>
  <si>
    <t>Compacted Backfill</t>
  </si>
  <si>
    <t>Rock bolts</t>
  </si>
  <si>
    <t>drainage pipe</t>
  </si>
  <si>
    <t>gabbion mattress</t>
  </si>
  <si>
    <t xml:space="preserve">LOWER HONGU KHOLA SMALL HYDROELECTRIC PROJECT </t>
  </si>
  <si>
    <t>SV</t>
  </si>
  <si>
    <t>Excavation in Boulder Mixed Soil</t>
  </si>
  <si>
    <t>30% Plum with C20 Concrete</t>
  </si>
  <si>
    <t>Boulder Rip-Rap(1.5m)</t>
  </si>
  <si>
    <t>Boulder Rip-Rap(2m)</t>
  </si>
  <si>
    <t>Formwork</t>
  </si>
  <si>
    <t>Piers</t>
  </si>
  <si>
    <t>Gabion wall(1m*1m)</t>
  </si>
  <si>
    <t>Calculation Form</t>
  </si>
  <si>
    <t>Job:</t>
  </si>
  <si>
    <t>Date:</t>
  </si>
  <si>
    <t>Calculated by:</t>
  </si>
  <si>
    <t>Subject:</t>
  </si>
  <si>
    <t>Costing for Powerhouse</t>
  </si>
  <si>
    <t>Job no:</t>
  </si>
  <si>
    <t>Checked by:</t>
  </si>
  <si>
    <t>Drg. No</t>
  </si>
  <si>
    <t>Approved By:</t>
  </si>
  <si>
    <t>S. N.</t>
  </si>
  <si>
    <t>Discription</t>
  </si>
  <si>
    <t>Quantity</t>
  </si>
  <si>
    <t>Units</t>
  </si>
  <si>
    <t>Rate/ Unit</t>
  </si>
  <si>
    <t>Amount (Rs)</t>
  </si>
  <si>
    <t>Remarks</t>
  </si>
  <si>
    <t>Site Clearence</t>
  </si>
  <si>
    <r>
      <t>m</t>
    </r>
    <r>
      <rPr>
        <vertAlign val="superscript"/>
        <sz val="11"/>
        <rFont val="Gill Sans MT"/>
        <family val="2"/>
      </rPr>
      <t>2</t>
    </r>
  </si>
  <si>
    <r>
      <t>m</t>
    </r>
    <r>
      <rPr>
        <vertAlign val="superscript"/>
        <sz val="11"/>
        <rFont val="Gill Sans MT"/>
        <family val="2"/>
      </rPr>
      <t>3</t>
    </r>
  </si>
  <si>
    <t xml:space="preserve">Backfill work </t>
  </si>
  <si>
    <t xml:space="preserve"> </t>
  </si>
  <si>
    <t>Stone Soling (200mm thickness)</t>
  </si>
  <si>
    <t xml:space="preserve">Formworks </t>
  </si>
  <si>
    <t>Blinding Work (100mm thickness C15 Concrete)</t>
  </si>
  <si>
    <t>Structural concrete C25 (Headworks)</t>
  </si>
  <si>
    <t>Structural concrete C35 (Headworks)</t>
  </si>
  <si>
    <t>Structural concrete C60 (Headworks)</t>
  </si>
  <si>
    <t>Reinforcement for  C25 (Headworks)</t>
  </si>
  <si>
    <t>Reinforcement for C35 (PowerHouse)</t>
  </si>
  <si>
    <t>Reinforcement for C60 (PowerHouse)</t>
  </si>
  <si>
    <t>Stone pitching</t>
  </si>
  <si>
    <t>HEADWORKS - APPROACH CANAL</t>
  </si>
  <si>
    <t>Approach Canal</t>
  </si>
  <si>
    <t>Excavation in Rock</t>
  </si>
  <si>
    <t>Between Culvert and rockfase</t>
  </si>
  <si>
    <t>Behind Weir protecction works</t>
  </si>
  <si>
    <t>Base where backfilled</t>
  </si>
  <si>
    <t>Roof</t>
  </si>
  <si>
    <t>Formwork (Walls - Height &lt; 3m)</t>
  </si>
  <si>
    <t>Canal Wall - Outer Face</t>
  </si>
  <si>
    <t>Canal Wall - Inner Face</t>
  </si>
  <si>
    <t>Settling Basin Inlet Gate House</t>
  </si>
  <si>
    <t>Formwork (Walls - Height = 3-6m)</t>
  </si>
  <si>
    <t>Base where on aqueduct</t>
  </si>
  <si>
    <t>Canal</t>
  </si>
  <si>
    <t>Retaining wall</t>
  </si>
  <si>
    <t>Stone Masonary (1:4 Cement Mortar)</t>
  </si>
  <si>
    <t xml:space="preserve">Retining wall </t>
  </si>
  <si>
    <t>Gabian Matresses</t>
  </si>
  <si>
    <t>Matress elements</t>
  </si>
  <si>
    <t>Water Bar</t>
  </si>
  <si>
    <t>in every 15 m</t>
  </si>
  <si>
    <t>Hydro Cell</t>
  </si>
  <si>
    <t>Sealants</t>
  </si>
  <si>
    <t>Steel Railings</t>
  </si>
  <si>
    <t>Along Canal</t>
  </si>
  <si>
    <t>Drainage Pipes</t>
  </si>
  <si>
    <t>Cross Pipes 300mm dia</t>
  </si>
  <si>
    <t>Longitudal Perforated 300mm dia</t>
  </si>
  <si>
    <t xml:space="preserve"> C20 Plum Concrete (30% plum)</t>
  </si>
  <si>
    <t>H</t>
  </si>
  <si>
    <t>RS</t>
  </si>
  <si>
    <t>HYDRO-CONSULT ENGINEERING LTD.</t>
  </si>
  <si>
    <t>CALCULATION FORM</t>
  </si>
  <si>
    <t>Job No.:</t>
  </si>
  <si>
    <t>Calculated By:</t>
  </si>
  <si>
    <t>Checked By:</t>
  </si>
  <si>
    <t>Unit</t>
  </si>
  <si>
    <t>A</t>
  </si>
  <si>
    <t>Seleant</t>
  </si>
  <si>
    <t>Hydrocell</t>
  </si>
  <si>
    <t>Water bars</t>
  </si>
  <si>
    <t>F</t>
  </si>
  <si>
    <t>G</t>
  </si>
  <si>
    <t>Site clearance</t>
  </si>
  <si>
    <t>Rate List</t>
  </si>
  <si>
    <t>930060</t>
  </si>
  <si>
    <t>A.1</t>
  </si>
  <si>
    <t>100 mm thick Blinding Concrete (C15)</t>
  </si>
  <si>
    <t>A.2</t>
  </si>
  <si>
    <t>Subject: Summary of Unit Rate of item for surface works</t>
  </si>
  <si>
    <t>NRs</t>
  </si>
  <si>
    <t>Comparision</t>
  </si>
  <si>
    <t>S No</t>
  </si>
  <si>
    <t>Item</t>
  </si>
  <si>
    <t>Rate, NRs.</t>
  </si>
  <si>
    <t>Lower Hongu</t>
  </si>
  <si>
    <t>Diff.</t>
  </si>
  <si>
    <t>Upper Mai</t>
  </si>
  <si>
    <t>Kabeli</t>
  </si>
  <si>
    <t>Bhim Khola</t>
  </si>
  <si>
    <t>Khare</t>
  </si>
  <si>
    <t>Earthwork Excavation</t>
  </si>
  <si>
    <t>Filling work</t>
  </si>
  <si>
    <t>3a</t>
  </si>
  <si>
    <t>Stone masonry, in ditch with 1: 3 C/S mortar</t>
  </si>
  <si>
    <t>3b</t>
  </si>
  <si>
    <t>Stone masonry, in ditch with 1: 6 C/S mortar</t>
  </si>
  <si>
    <t>300mm thick boulder pithicng on foundation incl. haulage up to 100m and lift 1.5m</t>
  </si>
  <si>
    <t>Brick Work</t>
  </si>
  <si>
    <t>Concrete Work</t>
  </si>
  <si>
    <t>1.1</t>
  </si>
  <si>
    <t>Machine Mixed Concrete grade C35</t>
  </si>
  <si>
    <t>Machine Mixed Concrete grade C25</t>
  </si>
  <si>
    <t>Machine Mixed Concrete grade C20</t>
  </si>
  <si>
    <t>Machine Mixed Concrete grade C15</t>
  </si>
  <si>
    <t>Steel Work</t>
  </si>
  <si>
    <t>t</t>
  </si>
  <si>
    <t>1.a</t>
  </si>
  <si>
    <t>3</t>
  </si>
  <si>
    <t>Gabion Work</t>
  </si>
  <si>
    <t>Gabion Box of Size 3mx1mx1m with Mesh Size 100mmx120mm using Mesh Wire 10SWG, Selvedge Wire 8SWG &amp; Tying Wire 12SWG and filling stones in the boxes</t>
  </si>
  <si>
    <t>2</t>
  </si>
  <si>
    <t>4</t>
  </si>
  <si>
    <t>5</t>
  </si>
  <si>
    <t>Cement Plaster Work</t>
  </si>
  <si>
    <t xml:space="preserve">Plastering 12.5 mm thick  1:4 cement sand mortar </t>
  </si>
  <si>
    <t>Roofing Works</t>
  </si>
  <si>
    <t>CGI Sheet roofing works with supply of materials complete</t>
  </si>
  <si>
    <t>Fixing and supply of steel tubular truss</t>
  </si>
  <si>
    <t>Filter material laying</t>
  </si>
  <si>
    <t>Laying of filter 300 mm thick</t>
  </si>
  <si>
    <t>Miscelleneous</t>
  </si>
  <si>
    <t>1</t>
  </si>
  <si>
    <t>Geotextile</t>
  </si>
  <si>
    <t>1.5 m dia Boulder riprap</t>
  </si>
  <si>
    <t>6</t>
  </si>
  <si>
    <t>1 m Boulder riprap</t>
  </si>
  <si>
    <t>7</t>
  </si>
  <si>
    <t>Hard stone lining</t>
  </si>
  <si>
    <t>8</t>
  </si>
  <si>
    <t>HDP pipes of 75 mm</t>
  </si>
  <si>
    <t>Item No.</t>
  </si>
  <si>
    <t>PROJECT COST ESTIMATE</t>
  </si>
  <si>
    <t>Installed capacity (kW)</t>
  </si>
  <si>
    <t>Detail</t>
  </si>
  <si>
    <t>%</t>
  </si>
  <si>
    <t>% Allocations</t>
  </si>
  <si>
    <t>B</t>
  </si>
  <si>
    <t>C</t>
  </si>
  <si>
    <t>D</t>
  </si>
  <si>
    <t>E</t>
  </si>
  <si>
    <t>Custom duty applicable in none VAT complying amount</t>
  </si>
  <si>
    <t>Unit cost</t>
  </si>
  <si>
    <t>NRs./kW</t>
  </si>
  <si>
    <t>Cost in NRs</t>
  </si>
  <si>
    <t>Base Cost of Civil</t>
  </si>
  <si>
    <t>Base Cost of EM,HM &amp; TL</t>
  </si>
  <si>
    <t>Total Infrastructure Cost</t>
  </si>
  <si>
    <t>VAT Complying %</t>
  </si>
  <si>
    <t>Total Base Cost (Total of A &amp; B)</t>
  </si>
  <si>
    <t xml:space="preserve">Hydro-mechanical Works </t>
  </si>
  <si>
    <t xml:space="preserve">Civil Underground Works </t>
  </si>
  <si>
    <t xml:space="preserve">Civil Surface Works </t>
  </si>
  <si>
    <t>Total of Other Cost</t>
  </si>
  <si>
    <t>Physical Contingencies</t>
  </si>
  <si>
    <t>Physical Contingency @ 5% for EM,HM &amp; TL</t>
  </si>
  <si>
    <t>Total of Physical Contingencies</t>
  </si>
  <si>
    <t>Price Contingency</t>
  </si>
  <si>
    <t>Total of Price Contingencies</t>
  </si>
  <si>
    <t>Total of Custom Tax</t>
  </si>
  <si>
    <t>Total VAT amount</t>
  </si>
  <si>
    <t>TOTAL TAX AND VAT (Total of G &amp; H)</t>
  </si>
  <si>
    <t>B.1</t>
  </si>
  <si>
    <t>B.2</t>
  </si>
  <si>
    <t>B.3</t>
  </si>
  <si>
    <t xml:space="preserve">Civil Works </t>
  </si>
  <si>
    <t xml:space="preserve">Electromechanical, Hydro-mechanical &amp; Transmission Line </t>
  </si>
  <si>
    <t>C.1</t>
  </si>
  <si>
    <t>C.2</t>
  </si>
  <si>
    <t xml:space="preserve">Other Costs </t>
  </si>
  <si>
    <t xml:space="preserve">Contingencies </t>
  </si>
  <si>
    <t>D.1</t>
  </si>
  <si>
    <t>E.1</t>
  </si>
  <si>
    <t>F.1</t>
  </si>
  <si>
    <t>F.2</t>
  </si>
  <si>
    <t>VAT Complying Amount      (NRs)</t>
  </si>
  <si>
    <t xml:space="preserve">Custom Tax </t>
  </si>
  <si>
    <t xml:space="preserve">VAT Amount </t>
  </si>
  <si>
    <t>TOTAL PROJECT COST EXCLUDING VAT &amp; TAX, NRs</t>
  </si>
  <si>
    <t>TOTAL PROJECT COST INCLUDING VAT &amp; TAX, NRs</t>
  </si>
  <si>
    <t>TOTAL PROJECT COST INCLUDING VAT, NRs (in millions)</t>
  </si>
  <si>
    <t>NRs.</t>
  </si>
  <si>
    <t xml:space="preserve">Conversion Rate: 1 USD = </t>
  </si>
  <si>
    <t>General Items</t>
  </si>
  <si>
    <t>Total of General Item Cost</t>
  </si>
  <si>
    <t>E.2</t>
  </si>
  <si>
    <t>MISTRI KHOLA 2 HYDROELECTRIC PROJECT</t>
  </si>
  <si>
    <t>Infrastructure Works</t>
  </si>
  <si>
    <t>Access Roads</t>
  </si>
  <si>
    <t>Environmental Mitigation and Land Acquisition Cost (2.5% of Base Cost)</t>
  </si>
  <si>
    <t>Insurance During Construction (@ 0.75% of Total of A &amp; B)</t>
  </si>
  <si>
    <t>USD/kW</t>
  </si>
  <si>
    <t>Surge Shaft</t>
  </si>
  <si>
    <t>Tailrace Canal</t>
  </si>
  <si>
    <t>Length</t>
  </si>
  <si>
    <t>E.3</t>
  </si>
  <si>
    <t>Component</t>
  </si>
  <si>
    <t>Items</t>
  </si>
  <si>
    <t>Cost</t>
  </si>
  <si>
    <t>LS</t>
  </si>
  <si>
    <t>m3</t>
  </si>
  <si>
    <t>nos</t>
  </si>
  <si>
    <t>Ton</t>
  </si>
  <si>
    <t>Formworks</t>
  </si>
  <si>
    <t>Rock Excavation</t>
  </si>
  <si>
    <t>Nos.</t>
  </si>
  <si>
    <t xml:space="preserve">Rock Excavation </t>
  </si>
  <si>
    <t>Earthwork in Excavation</t>
  </si>
  <si>
    <t>C15 Blinding Concrete</t>
  </si>
  <si>
    <t>C25 Concrete</t>
  </si>
  <si>
    <t>50mm thick Shotcrete</t>
  </si>
  <si>
    <t>2m long 20mm dia spot bolt</t>
  </si>
  <si>
    <t>Steel Ribs</t>
  </si>
  <si>
    <t>Camp and other Facilites</t>
  </si>
  <si>
    <t>Ghatte Diversion</t>
  </si>
  <si>
    <t>Connecting Pipe</t>
  </si>
  <si>
    <t>tons</t>
  </si>
  <si>
    <t>Headrace Pipe</t>
  </si>
  <si>
    <t>Steel Pipe</t>
  </si>
  <si>
    <t>Tons</t>
  </si>
  <si>
    <t>Penstock</t>
  </si>
  <si>
    <t>Increase by</t>
  </si>
  <si>
    <t>Rockbolts</t>
  </si>
  <si>
    <t>Concrete</t>
  </si>
  <si>
    <t xml:space="preserve">Headrace Tunnel </t>
  </si>
  <si>
    <t>ESTIMATE</t>
  </si>
  <si>
    <t>S.N.</t>
  </si>
  <si>
    <t>NOS.</t>
  </si>
  <si>
    <t>1.0% of C25 Concrete</t>
  </si>
  <si>
    <t>From 0+030 to 0+040</t>
  </si>
  <si>
    <t>Main Section</t>
  </si>
  <si>
    <t>1.2% of C25 Concrete</t>
  </si>
  <si>
    <t xml:space="preserve">m3 </t>
  </si>
  <si>
    <r>
      <t>m</t>
    </r>
    <r>
      <rPr>
        <vertAlign val="superscript"/>
        <sz val="10"/>
        <color theme="1"/>
        <rFont val="Gill Sans MT"/>
        <family val="2"/>
      </rPr>
      <t>3</t>
    </r>
  </si>
  <si>
    <t>WATERWAYS - HEADRACE TUNNEL</t>
  </si>
  <si>
    <t>Class I Excavation</t>
  </si>
  <si>
    <t>Class II Excavatio</t>
  </si>
  <si>
    <t>Class III Excavation</t>
  </si>
  <si>
    <t>Class IV Excavation</t>
  </si>
  <si>
    <t>Class V Excavation</t>
  </si>
  <si>
    <t>Class VI Excavaton</t>
  </si>
  <si>
    <t>Shotcrete</t>
  </si>
  <si>
    <t>50 mm thickness</t>
  </si>
  <si>
    <t>100 mm Thickness</t>
  </si>
  <si>
    <t>150 mm Thickness</t>
  </si>
  <si>
    <t>ISMB 75*150</t>
  </si>
  <si>
    <t>Concrete Lining</t>
  </si>
  <si>
    <t>Class VI</t>
  </si>
  <si>
    <t>Invert Lining</t>
  </si>
  <si>
    <t>Rebar</t>
  </si>
  <si>
    <t>0.6% of C25 Concrete</t>
  </si>
  <si>
    <t>VOLUME</t>
  </si>
  <si>
    <t>DIAMETER</t>
  </si>
  <si>
    <t>100mm thick Fiber Reinforced Shotcrete</t>
  </si>
  <si>
    <t>WATERWAYS - VENTILATION TUNNEL</t>
  </si>
  <si>
    <t>WATERWAYS - VERTICAL PENSTOCK SHAFT</t>
  </si>
  <si>
    <t>WATERWAYS - INCLINED PENSTOCK TUNNEL</t>
  </si>
  <si>
    <t>1.4m c/c spacing in cross section</t>
  </si>
  <si>
    <t>7 nos. of rockbolt in cross section</t>
  </si>
  <si>
    <t>1.4m c/c spacing in length</t>
  </si>
  <si>
    <t xml:space="preserve">Rockbolt </t>
  </si>
  <si>
    <t>Nos</t>
  </si>
  <si>
    <t xml:space="preserve">Invert Concrete Lining </t>
  </si>
  <si>
    <t>C25 Concreting for Saddle Support</t>
  </si>
  <si>
    <t>Formwork For Invert Concreting</t>
  </si>
  <si>
    <t>Invert Formwork at an interval of 20m</t>
  </si>
  <si>
    <t>Formwork For Saddle Support</t>
  </si>
  <si>
    <t>Reinforcement For Invert Concrete Lining</t>
  </si>
  <si>
    <t>0.4% of Invert Concrete Lining Concrete</t>
  </si>
  <si>
    <t>Reinforcement For Saddle Support</t>
  </si>
  <si>
    <t>GHATTE KHOLA DIVERSION</t>
  </si>
  <si>
    <t>POWERHOUSE - PROTECTION WORKS</t>
  </si>
  <si>
    <t>TAILRACE CANAL</t>
  </si>
  <si>
    <t>POWERHOUSE &amp; CONTROL BUILDING</t>
  </si>
  <si>
    <t>Diversion Weir</t>
  </si>
  <si>
    <t>Cutoff 1</t>
  </si>
  <si>
    <t>Cutoff 2</t>
  </si>
  <si>
    <t>Main Body</t>
  </si>
  <si>
    <t>Base Slab</t>
  </si>
  <si>
    <t>Side Walls</t>
  </si>
  <si>
    <t>Side Wall 1</t>
  </si>
  <si>
    <t>Side Wall 2</t>
  </si>
  <si>
    <t>Top Slab</t>
  </si>
  <si>
    <t>C15 with 30% plum</t>
  </si>
  <si>
    <t>For Plum Concrete</t>
  </si>
  <si>
    <t>Intake and Undersluice</t>
  </si>
  <si>
    <t>Base slab</t>
  </si>
  <si>
    <t>Intake Piers</t>
  </si>
  <si>
    <t>Piers 1</t>
  </si>
  <si>
    <t>Piers 2</t>
  </si>
  <si>
    <t>Undersluice Piers</t>
  </si>
  <si>
    <t>Top slab</t>
  </si>
  <si>
    <t>Undersluice Top Slab</t>
  </si>
  <si>
    <t>Intake Top Slab</t>
  </si>
  <si>
    <t>At 10m chainage interval</t>
  </si>
  <si>
    <t>From 0+020 to 0+030</t>
  </si>
  <si>
    <t>From 0+040 to 0+050</t>
  </si>
  <si>
    <t>Side Wall</t>
  </si>
  <si>
    <t>side wall</t>
  </si>
  <si>
    <t>0.8% of C25 Concrete</t>
  </si>
  <si>
    <t>Settling Basin</t>
  </si>
  <si>
    <t>Inlet Transition</t>
  </si>
  <si>
    <t>Outlet</t>
  </si>
  <si>
    <t>Flushing Canal</t>
  </si>
  <si>
    <t>Outlet Lateral Wall</t>
  </si>
  <si>
    <t>Outlet lateral wall</t>
  </si>
  <si>
    <t xml:space="preserve">Flushing Gate </t>
  </si>
  <si>
    <t>At 10m Chainage interval</t>
  </si>
  <si>
    <t>From 0+080 to 0+090</t>
  </si>
  <si>
    <t>From 0+090 to 0+100</t>
  </si>
  <si>
    <t>Spillway</t>
  </si>
  <si>
    <t>Anchor Block</t>
  </si>
  <si>
    <t>Anchor Block A1</t>
  </si>
  <si>
    <t>Anchor Block A2</t>
  </si>
  <si>
    <r>
      <t>m</t>
    </r>
    <r>
      <rPr>
        <vertAlign val="superscript"/>
        <sz val="10"/>
        <color theme="1"/>
        <rFont val="Gill Sans MT"/>
        <family val="2"/>
      </rPr>
      <t>2</t>
    </r>
  </si>
  <si>
    <t>Site Clearane</t>
  </si>
  <si>
    <t>Earthwork in Backfill</t>
  </si>
  <si>
    <t>Powerhouse</t>
  </si>
  <si>
    <t>Control Building</t>
  </si>
  <si>
    <t>Blinding work 150mm thikness C15 Concrete</t>
  </si>
  <si>
    <t>Reinforced Cement Concrete (C25)</t>
  </si>
  <si>
    <t>Control Building C25</t>
  </si>
  <si>
    <t>Slab</t>
  </si>
  <si>
    <t>Second Stage Concriting C35</t>
  </si>
  <si>
    <t>Ganty Girder and Crane Beam C30</t>
  </si>
  <si>
    <t>Pohourehouse along length</t>
  </si>
  <si>
    <t>Pohourehouse along width</t>
  </si>
  <si>
    <t>Control Building along length</t>
  </si>
  <si>
    <t>Control building along width</t>
  </si>
  <si>
    <t>Machine Foundation</t>
  </si>
  <si>
    <t>Super Structure</t>
  </si>
  <si>
    <t>Roof Truss</t>
  </si>
  <si>
    <t>Kg</t>
  </si>
  <si>
    <t>Total</t>
  </si>
  <si>
    <t>Inside sides</t>
  </si>
  <si>
    <t>Inside Top</t>
  </si>
  <si>
    <t>Outside Sides</t>
  </si>
  <si>
    <t>0.8% of C25 concrete</t>
  </si>
  <si>
    <t xml:space="preserve">1.0% of C25 Concrete </t>
  </si>
  <si>
    <t>0.5% of C25 Concrete</t>
  </si>
  <si>
    <t>1.8m c/c 5 nos. in cross section for Class II rock type</t>
  </si>
  <si>
    <t>1.6m c/c 6 nos. in cross section for Class III rock type</t>
  </si>
  <si>
    <t>1.4m c/c 7 nos. in cross section for Class IV rock type</t>
  </si>
  <si>
    <t>1.2m c/c 8 nos. in cross section for Class V rock type</t>
  </si>
  <si>
    <t>1.0m c/c 9 nos. in cross section for Class VI rock type</t>
  </si>
  <si>
    <t>For Class VI rock Type</t>
  </si>
  <si>
    <t>For Class II &amp; III rock type</t>
  </si>
  <si>
    <t>For Class IV &amp; V rock type</t>
  </si>
  <si>
    <t>For Class VI rock type</t>
  </si>
  <si>
    <t>Length of each rock class</t>
  </si>
  <si>
    <t>Class I</t>
  </si>
  <si>
    <t>Class II</t>
  </si>
  <si>
    <t>Class III</t>
  </si>
  <si>
    <t>Class IV</t>
  </si>
  <si>
    <t>Class V</t>
  </si>
  <si>
    <t>Rock Class Type</t>
  </si>
  <si>
    <t>Percentage of each rock class length</t>
  </si>
  <si>
    <t xml:space="preserve">Shotcrete Thickness in wall </t>
  </si>
  <si>
    <t>Shotcrete thickness in Crown</t>
  </si>
  <si>
    <t>Spot and Systematic Bolt Type Diameter And Spacing</t>
  </si>
  <si>
    <t xml:space="preserve">Diameter </t>
  </si>
  <si>
    <t>Transverse Spacing</t>
  </si>
  <si>
    <t>Longitudinal Spacing</t>
  </si>
  <si>
    <t>ISMB (75*150mm)</t>
  </si>
  <si>
    <t>Spiling</t>
  </si>
  <si>
    <t>Both Longitudinal &amp; Transverse Spacing</t>
  </si>
  <si>
    <t>Invert Concrete Lining</t>
  </si>
  <si>
    <t>At The invert of each rock class type</t>
  </si>
  <si>
    <t>150mm thick Fiber Reinforced Shotcrete</t>
  </si>
  <si>
    <t>2.2 m long 20 mm dia</t>
  </si>
  <si>
    <t>Spot and Systematic Bolting</t>
  </si>
  <si>
    <t>2.2m long 20mm dia spot Bolt @ 2.0*2.0m c/c spacing</t>
  </si>
  <si>
    <t>2.2m long 20mm dia systematic Bolt @1.8*1.8m c/c Spacing</t>
  </si>
  <si>
    <t>2.2m long 20mm dia systematic Bolt @ 1.6*1.6m c/c spacing</t>
  </si>
  <si>
    <t>2.2m long 20mm dia systematic Bolt @1.4*1.4m c/c Spacing</t>
  </si>
  <si>
    <t>2.2m long 20mm dia systematic Bolt @ 1.2*1.2m c/c spacing</t>
  </si>
  <si>
    <t>2.2m long 20mm dia systematic Bolt @1.0*1.0m c/c spacing</t>
  </si>
  <si>
    <t>Invert Concreting</t>
  </si>
  <si>
    <t>Rates</t>
  </si>
  <si>
    <t>Amount</t>
  </si>
  <si>
    <t>Perimeter</t>
  </si>
  <si>
    <t>Description</t>
  </si>
  <si>
    <t>Breadth</t>
  </si>
  <si>
    <t>Height</t>
  </si>
  <si>
    <t>Area</t>
  </si>
  <si>
    <t>Volume</t>
  </si>
  <si>
    <t>Excavation</t>
  </si>
  <si>
    <t>50mm thick Fiber Reinforced Shotcrete</t>
  </si>
  <si>
    <t>per m cost</t>
  </si>
  <si>
    <t>Finished Dimension of tunnel</t>
  </si>
  <si>
    <t>Including the cost upto payline</t>
  </si>
  <si>
    <t>3.9*3.95</t>
  </si>
  <si>
    <t>2.2m long Cement Grouted Rock Bolt @2.0*2.0m c/c Spacing</t>
  </si>
  <si>
    <t>2.2m long Cement Grouted Rock Bolt @1.8*1.8m c/c Spacing</t>
  </si>
  <si>
    <t>Including Cost upto payline</t>
  </si>
  <si>
    <t>Total length of Vertical Shaft</t>
  </si>
  <si>
    <t xml:space="preserve">m </t>
  </si>
  <si>
    <t>Shotcrete Thickness</t>
  </si>
  <si>
    <t>Concrete Thickness</t>
  </si>
  <si>
    <t>200mm thick Concrete Lining</t>
  </si>
  <si>
    <t>1.2m long 20mm dia Rockbolt @1.4*1.4m c/c spacing</t>
  </si>
  <si>
    <t>2m long 20mm dia Spot Bolt</t>
  </si>
  <si>
    <t>Outlet Portal at Powerhouse</t>
  </si>
  <si>
    <t>Outlet Portal at Outlet Adit Tunnel</t>
  </si>
  <si>
    <t>Considering 0.3m c/c Spacing</t>
  </si>
  <si>
    <t>Inlet portal at Headrace Tunnel</t>
  </si>
  <si>
    <t>Considering 0.3m c/c spacing</t>
  </si>
  <si>
    <t>PORTALS</t>
  </si>
  <si>
    <t>Summary</t>
  </si>
  <si>
    <t>Total Quantity</t>
  </si>
  <si>
    <t>Ventilation Tunnel Portal</t>
  </si>
  <si>
    <t>0.3m thick Sand Filling</t>
  </si>
  <si>
    <t>Reinforcement For Spillway</t>
  </si>
  <si>
    <t>Section A-A</t>
  </si>
  <si>
    <t>Section B-B</t>
  </si>
  <si>
    <t>Section C-C</t>
  </si>
  <si>
    <t>PCC C15</t>
  </si>
  <si>
    <t>Gabion Protection</t>
  </si>
  <si>
    <t>Boulder Riprap</t>
  </si>
  <si>
    <t>2.0 m dia. toe boulder</t>
  </si>
  <si>
    <t>1.5-2.0 m dia. boulder on slope</t>
  </si>
  <si>
    <t>Section 1</t>
  </si>
  <si>
    <t>Section 2</t>
  </si>
  <si>
    <t>Section 3</t>
  </si>
  <si>
    <t>Left flood wall</t>
  </si>
  <si>
    <t>Plan &amp; Sec A-A</t>
  </si>
  <si>
    <t>Sec A &amp; B</t>
  </si>
  <si>
    <t>Divide Wall</t>
  </si>
  <si>
    <t>Surge Shaft and Ventilation Tunnel</t>
  </si>
  <si>
    <t>Surge Tunnel</t>
  </si>
  <si>
    <t>Difference</t>
  </si>
  <si>
    <t>Sec B-B</t>
  </si>
  <si>
    <t>U/S Cutoff along width of weir</t>
  </si>
  <si>
    <t>D/S Cutoff along width of weir</t>
  </si>
  <si>
    <t>Plan, Sec B-B</t>
  </si>
  <si>
    <t>Plum Concrete</t>
  </si>
  <si>
    <t>Main section</t>
  </si>
  <si>
    <t>Sides</t>
  </si>
  <si>
    <t>Flood Wall</t>
  </si>
  <si>
    <t>D/S section, At elev. 1304</t>
  </si>
  <si>
    <t>U/S section, At elev. 1306</t>
  </si>
  <si>
    <t>U/S to weir</t>
  </si>
  <si>
    <t>Along Length</t>
  </si>
  <si>
    <t>At ends</t>
  </si>
  <si>
    <t>plan, Sec B-B</t>
  </si>
  <si>
    <t>Undersluice</t>
  </si>
  <si>
    <t>Sec C-C</t>
  </si>
  <si>
    <t>U/s slab</t>
  </si>
  <si>
    <t>Undersluice piers</t>
  </si>
  <si>
    <t>At Elev. 1306</t>
  </si>
  <si>
    <t>Sec D-D</t>
  </si>
  <si>
    <t>At Elev. 1304</t>
  </si>
  <si>
    <t xml:space="preserve">Gate support </t>
  </si>
  <si>
    <t>Gate Support</t>
  </si>
  <si>
    <t>Intake and Gravel Trap</t>
  </si>
  <si>
    <t>Sec A-A</t>
  </si>
  <si>
    <t>Intake upto GT transition</t>
  </si>
  <si>
    <t>Intake pier</t>
  </si>
  <si>
    <t>Intake gate support</t>
  </si>
  <si>
    <t>Transition wall</t>
  </si>
  <si>
    <t>Uniform section of GT</t>
  </si>
  <si>
    <t>GT Flushing</t>
  </si>
  <si>
    <t>Gate support</t>
  </si>
  <si>
    <t xml:space="preserve">Base </t>
  </si>
  <si>
    <t>Top of culvert</t>
  </si>
  <si>
    <t>Walls</t>
  </si>
  <si>
    <t>Intake base slab front</t>
  </si>
  <si>
    <t>Intake Gate Support</t>
  </si>
  <si>
    <t>Start &amp; End</t>
  </si>
  <si>
    <t>Outside walls</t>
  </si>
  <si>
    <t>Inside walls</t>
  </si>
  <si>
    <t>Side walls</t>
  </si>
  <si>
    <t xml:space="preserve">Top </t>
  </si>
  <si>
    <t>Sec F-F</t>
  </si>
  <si>
    <t>Top slab (covered stretch)</t>
  </si>
  <si>
    <t>Side wall</t>
  </si>
  <si>
    <t>SB inlet gate</t>
  </si>
  <si>
    <t>Uniform section</t>
  </si>
  <si>
    <t>Plan</t>
  </si>
  <si>
    <t>Divide wall</t>
  </si>
  <si>
    <t>Uniform Section</t>
  </si>
  <si>
    <t>Outlet Gate Area</t>
  </si>
  <si>
    <t>Outlet Section</t>
  </si>
  <si>
    <t>Flushing Pipe</t>
  </si>
  <si>
    <t>Protection over flushing pipe</t>
  </si>
  <si>
    <t>d/s cutoff</t>
  </si>
  <si>
    <t>SB Inlet gate</t>
  </si>
  <si>
    <t xml:space="preserve">Along width </t>
  </si>
  <si>
    <t>Side walls (outside)</t>
  </si>
  <si>
    <t>Side walls (inside)</t>
  </si>
  <si>
    <t>Along width</t>
  </si>
  <si>
    <t>Outlet section</t>
  </si>
  <si>
    <t>Platform support</t>
  </si>
  <si>
    <t xml:space="preserve">Cascade Spill Canal </t>
  </si>
  <si>
    <t>1st step</t>
  </si>
  <si>
    <t>crosssection</t>
  </si>
  <si>
    <t>top slab</t>
  </si>
  <si>
    <t>baffle wall</t>
  </si>
  <si>
    <t>2nd to 5th steps</t>
  </si>
  <si>
    <t>6th step</t>
  </si>
  <si>
    <t>Base</t>
  </si>
  <si>
    <t xml:space="preserve">crosssection </t>
  </si>
  <si>
    <t>Inner and outer walls</t>
  </si>
  <si>
    <t>2nd to 5th steps, side walls</t>
  </si>
  <si>
    <t>drop</t>
  </si>
  <si>
    <t>walls</t>
  </si>
  <si>
    <t>Support Piers</t>
  </si>
  <si>
    <t>Stone Masonary</t>
  </si>
  <si>
    <t>C15 Concrete</t>
  </si>
  <si>
    <t>Rock Class III</t>
  </si>
  <si>
    <t xml:space="preserve">Rock Bolt </t>
  </si>
  <si>
    <t>2.2 m Long @ 1.6m c/c 20mm dia</t>
  </si>
  <si>
    <t xml:space="preserve">shotcrete </t>
  </si>
  <si>
    <t>Crown (8 cm)</t>
  </si>
  <si>
    <t>Walls (5 cm)</t>
  </si>
  <si>
    <t>set</t>
  </si>
  <si>
    <t>20cm Concrete Lining 5 m from portal</t>
  </si>
  <si>
    <t>Portal</t>
  </si>
  <si>
    <t>Shotcrete (5cm)</t>
  </si>
  <si>
    <t>3 m Long @ 1.5m c/c 20mm dia</t>
  </si>
  <si>
    <t>SURGE TUNNEL</t>
  </si>
  <si>
    <t>0.5% of C25 concrete</t>
  </si>
  <si>
    <t xml:space="preserve">0.8% of C25 Concrete </t>
  </si>
  <si>
    <t xml:space="preserve">Providing, preparing and installing formwork including necessary supports and removing after completion for foundation and walls </t>
  </si>
  <si>
    <t>Providing and laying brick masonry in machine mixed cement mortar (cement : sand=1:3) including preparation of mortar as per specification (for powerhouse)</t>
  </si>
  <si>
    <t>Transmission Line (@0.78million USD per Km)</t>
  </si>
  <si>
    <t>Physical Contingency @ 10% for Surface Civil Works</t>
  </si>
  <si>
    <t>0.8% of C25 Saddle Support Concrete</t>
  </si>
  <si>
    <t>Physical Contingency @ 15% for Underground Civil Works</t>
  </si>
  <si>
    <t>Total Length of inclined penstock tunnel = 108.5m</t>
  </si>
  <si>
    <t>0.4m thick</t>
  </si>
  <si>
    <t>20mm dia 1.2m long @1.4m c/c spacing</t>
  </si>
  <si>
    <t>8.9535 perimeter of the Cross section</t>
  </si>
  <si>
    <t>32 nos. of rockbolt in longitudinal direction</t>
  </si>
  <si>
    <t>Engineering Management Cost (@5% of Total of A &amp; B)</t>
  </si>
  <si>
    <t>Project Development Cost (@4.0% of Total of A &amp; B)</t>
  </si>
  <si>
    <t>Price Contingency @ 10% of Civil base cost A</t>
  </si>
  <si>
    <t>Price Contingency @ 10% of (EM,HM &amp; TL) base cost B</t>
  </si>
  <si>
    <t>Penstock Excavation</t>
  </si>
  <si>
    <t>VAB1</t>
  </si>
  <si>
    <t>VAB2</t>
  </si>
  <si>
    <t>HAB1</t>
  </si>
  <si>
    <t>VAB3</t>
  </si>
  <si>
    <t>Reinforcement in AB</t>
  </si>
  <si>
    <t>0.4% Concrete Volume</t>
  </si>
  <si>
    <t>Gabion box in 2 levels</t>
  </si>
  <si>
    <t>Formwork in Anchor Block</t>
  </si>
  <si>
    <t xml:space="preserve">Bulkhead </t>
  </si>
  <si>
    <t>Powerhouse and Control Building</t>
  </si>
  <si>
    <t>River Protection Work at Powerhouse</t>
  </si>
  <si>
    <t>New Counterfort Wall</t>
  </si>
  <si>
    <t xml:space="preserve">1.5-2.0 m dia. boulder </t>
  </si>
  <si>
    <t>Cantilever wall Ghar Khola</t>
  </si>
  <si>
    <t>Counterfort wall KG River(Stem and Base)</t>
  </si>
  <si>
    <t>Counterfort</t>
  </si>
  <si>
    <t>Stem</t>
  </si>
  <si>
    <t>Counterfort wall KG River</t>
  </si>
  <si>
    <t>Retaining walls (Concrte structure)</t>
  </si>
  <si>
    <t>Old stone masonry walls</t>
  </si>
  <si>
    <t>From longitudinal sec</t>
  </si>
  <si>
    <t>Total Surface Civil Works</t>
  </si>
  <si>
    <t>Total Underground Civil Works</t>
  </si>
  <si>
    <t>Electro-mechanical Works including Accessories (@16 million INR/MW)</t>
  </si>
  <si>
    <t>Total Project Cost including VAT, mill.NRs</t>
  </si>
  <si>
    <t>CAB1(Bifurcation)</t>
  </si>
  <si>
    <t>Total concrete in Anchor Block</t>
  </si>
  <si>
    <t>Total concrete in Bifurcation block</t>
  </si>
  <si>
    <t>40% Plum with C15 concrete</t>
  </si>
  <si>
    <t>C20 Concrete in Anchor Block</t>
  </si>
  <si>
    <t>60% C20 Concrete</t>
  </si>
  <si>
    <t>RAHUGHAT MANGALE HYDROELECTRIC PROJECT</t>
  </si>
  <si>
    <t>Project: Rahughat Mangale Hydroelectric Project</t>
  </si>
  <si>
    <t>Note:</t>
  </si>
  <si>
    <t>River Crossing from the tailrace is considered in URHEP</t>
  </si>
  <si>
    <t>Additional height of culvert at starting</t>
  </si>
  <si>
    <t>Culvert Section</t>
  </si>
  <si>
    <t>Along B-B</t>
  </si>
  <si>
    <t xml:space="preserve"> Control Building</t>
  </si>
  <si>
    <t>Along A-A:</t>
  </si>
  <si>
    <t>Sum</t>
  </si>
  <si>
    <t>Corbel Beams</t>
  </si>
  <si>
    <t>Crane Beam A and B</t>
  </si>
  <si>
    <t xml:space="preserve">Powerhouse </t>
  </si>
  <si>
    <t>Machine Foundation(Below Staircase)</t>
  </si>
  <si>
    <t>Floor Slab</t>
  </si>
  <si>
    <t>Front &amp; Back face</t>
  </si>
  <si>
    <t>Side faces</t>
  </si>
  <si>
    <t>Concrete(Column) between machines</t>
  </si>
  <si>
    <t>Concrete(column) alongside machine</t>
  </si>
  <si>
    <t>Internal wall(face)</t>
  </si>
  <si>
    <t>External wall(face)</t>
  </si>
  <si>
    <t>Concrete between sum pit and machine</t>
  </si>
  <si>
    <t>Concrete between machne and tailrace</t>
  </si>
  <si>
    <t>Bottom supporting formwork</t>
  </si>
  <si>
    <t>Bay between Machine &amp; end wall</t>
  </si>
  <si>
    <t>Concrete(Column) between service bay &amp; Machine</t>
  </si>
  <si>
    <t>Left face(toward floodwall)</t>
  </si>
  <si>
    <t>Right face(toward machine)</t>
  </si>
  <si>
    <t>Service Bay floor</t>
  </si>
  <si>
    <t>Machine(Above Staircase)</t>
  </si>
  <si>
    <t>Outer wall</t>
  </si>
  <si>
    <t>Inner wall</t>
  </si>
  <si>
    <t>bottom wall (1)</t>
  </si>
  <si>
    <t>inclined wall (2)</t>
  </si>
  <si>
    <t>Bottom support (3)</t>
  </si>
  <si>
    <t>Wall(4)</t>
  </si>
  <si>
    <t>Wall(5)</t>
  </si>
  <si>
    <t>Wall(6)</t>
  </si>
  <si>
    <t>Column Along transerve(shorter) axix</t>
  </si>
  <si>
    <t>From machine foundation</t>
  </si>
  <si>
    <t>from Service bay</t>
  </si>
  <si>
    <t>Column along Longitudional (longer) axix</t>
  </si>
  <si>
    <t>Longitudional floor beam- 1st,2nd &amp;3rd grid height</t>
  </si>
  <si>
    <t>Transverse floor beam- 1st,2nd &amp;3rd grid height</t>
  </si>
  <si>
    <t>Sump Pit</t>
  </si>
  <si>
    <t>Vertical wall</t>
  </si>
  <si>
    <t>Staircase</t>
  </si>
  <si>
    <t>Column -1st &amp; 2nd Floor</t>
  </si>
  <si>
    <t>Longitudional Beam</t>
  </si>
  <si>
    <t>Transverse Beam</t>
  </si>
  <si>
    <t>Slab ground floor(side face)</t>
  </si>
  <si>
    <t>Slab First floor</t>
  </si>
  <si>
    <t>Bottom support</t>
  </si>
  <si>
    <t>Slab top floor</t>
  </si>
  <si>
    <t>Foundation</t>
  </si>
  <si>
    <t>Foundation of outer wall</t>
  </si>
  <si>
    <t>Foundation of inner wall(near to power house)</t>
  </si>
  <si>
    <t xml:space="preserve">For C35 </t>
  </si>
  <si>
    <t>Outlet Portal at Surge shaft</t>
  </si>
  <si>
    <t xml:space="preserve">Adit Tunnel Portal </t>
  </si>
  <si>
    <t>Headrace Pipe and Kholsi Crossing</t>
  </si>
  <si>
    <t>gravel flushing canal</t>
  </si>
  <si>
    <t>Intake and gravel trap</t>
  </si>
  <si>
    <t>Breast Wall</t>
  </si>
  <si>
    <t xml:space="preserve">Providing and placing the expansion/ contraction joints all in position as per the  drawings and all complete as per the specifications </t>
  </si>
  <si>
    <t>Hydroseal</t>
  </si>
  <si>
    <t>Section AA and BB</t>
  </si>
  <si>
    <t>Section BB and CC</t>
  </si>
  <si>
    <t>Section CC and DD</t>
  </si>
  <si>
    <t>Section DD to inlet portal</t>
  </si>
  <si>
    <t>Sandfilling</t>
  </si>
  <si>
    <t>Section D-D</t>
  </si>
  <si>
    <t>Rahughat Mangale HEP</t>
  </si>
  <si>
    <t>At Headworks</t>
  </si>
  <si>
    <t>Plan Area</t>
  </si>
  <si>
    <t>U/S area</t>
  </si>
  <si>
    <t>D/S area</t>
  </si>
  <si>
    <t>U/S &amp; D/S Glacis</t>
  </si>
  <si>
    <t>D/S Glacis &amp; Stilling end</t>
  </si>
  <si>
    <t>Stilling end</t>
  </si>
  <si>
    <t>75 mm thick Blinding Concrete (C15)</t>
  </si>
  <si>
    <t>B from plan</t>
  </si>
  <si>
    <t>Reinforcements for C25</t>
  </si>
  <si>
    <t>@ 0.4% of Volume of C20 concrete</t>
  </si>
  <si>
    <t>@ 1.1% of Volume of C25 concrete</t>
  </si>
  <si>
    <t>Clay Blanket</t>
  </si>
  <si>
    <t>Along Length wise</t>
  </si>
  <si>
    <t>Along width wise</t>
  </si>
  <si>
    <t>Weir and Stilling Basin</t>
  </si>
  <si>
    <t>Approach Culvert</t>
  </si>
  <si>
    <t xml:space="preserve">Earthwork in Excavation </t>
  </si>
  <si>
    <t>Over all structure</t>
  </si>
  <si>
    <t xml:space="preserve">Approach culvert  </t>
  </si>
  <si>
    <t>side wall total</t>
  </si>
  <si>
    <t>upper slab</t>
  </si>
  <si>
    <t>RK</t>
  </si>
  <si>
    <t>Inlet transition zone</t>
  </si>
  <si>
    <t>Main settling zone</t>
  </si>
  <si>
    <t>Headpond</t>
  </si>
  <si>
    <t>Main settling basin zone</t>
  </si>
  <si>
    <t>Closing face</t>
  </si>
  <si>
    <t>Sealant</t>
  </si>
  <si>
    <t>Settling Basin, Headpond and Spillway</t>
  </si>
  <si>
    <t>Total C20</t>
  </si>
  <si>
    <t>Total Plum</t>
  </si>
  <si>
    <t>For Undersluice</t>
  </si>
  <si>
    <t>Excavation of various types of the materials  including disposal etc. all complete as per the specifications and the drawings</t>
  </si>
  <si>
    <t>Intermediate wall</t>
  </si>
  <si>
    <t>Trash Passage</t>
  </si>
  <si>
    <t xml:space="preserve">Reinforcements for C25 concrete </t>
  </si>
  <si>
    <t>0.4 m Hard Stone Lining</t>
  </si>
  <si>
    <t>`</t>
  </si>
  <si>
    <t>L</t>
  </si>
  <si>
    <t>I</t>
  </si>
  <si>
    <t>V</t>
  </si>
  <si>
    <t>Flood wall</t>
  </si>
  <si>
    <t>Upstream</t>
  </si>
  <si>
    <t>Downstream</t>
  </si>
  <si>
    <t>Floodwall</t>
  </si>
  <si>
    <t>Inlet Portal</t>
  </si>
  <si>
    <t>0+020</t>
  </si>
  <si>
    <t>0+030</t>
  </si>
  <si>
    <t>FOR ROCKBOLTS</t>
  </si>
  <si>
    <t>0+040</t>
  </si>
  <si>
    <t>3m rockbolt@1.5m c/c(staggered position)</t>
  </si>
  <si>
    <t>0+050</t>
  </si>
  <si>
    <t>0+060</t>
  </si>
  <si>
    <t>Excavation (Rock excavation)</t>
  </si>
  <si>
    <t>Rock excavation</t>
  </si>
  <si>
    <t>0+070</t>
  </si>
  <si>
    <t>0+080</t>
  </si>
  <si>
    <t>m^2</t>
  </si>
  <si>
    <t>Inlet portal</t>
  </si>
  <si>
    <t>Front face</t>
  </si>
  <si>
    <t>0+120</t>
  </si>
  <si>
    <t>0+130</t>
  </si>
  <si>
    <t>0+140</t>
  </si>
  <si>
    <t>Roof 0.3</t>
  </si>
  <si>
    <t>Front Face</t>
  </si>
  <si>
    <t>Deduction</t>
  </si>
  <si>
    <t>Nearly 3 times multiple of staggered calculation is considered</t>
  </si>
  <si>
    <t>1.5m</t>
  </si>
  <si>
    <t>2.5m</t>
  </si>
  <si>
    <t>3.5m</t>
  </si>
  <si>
    <t>4.5m</t>
  </si>
  <si>
    <t>TOTAL RETAINING WALL VOLUME</t>
  </si>
  <si>
    <t>Pier Concrete calcualtion</t>
  </si>
  <si>
    <t>Pillars</t>
  </si>
  <si>
    <t>Pillar heights</t>
  </si>
  <si>
    <t>Beam volume</t>
  </si>
  <si>
    <t>Pillar (0.78m2)</t>
  </si>
  <si>
    <t>Cross pipe length</t>
  </si>
  <si>
    <t>12.5*4</t>
  </si>
  <si>
    <t>Outlet Portal</t>
  </si>
  <si>
    <t>Audit Tunnel Portal</t>
  </si>
  <si>
    <t>S.joshi</t>
  </si>
  <si>
    <t>20/01/2020</t>
  </si>
  <si>
    <t>audit portal</t>
  </si>
  <si>
    <t>Heading 1</t>
  </si>
  <si>
    <t>Heading 2</t>
  </si>
  <si>
    <t xml:space="preserve">Audit Portal </t>
  </si>
  <si>
    <t>Adit Tunnel</t>
  </si>
  <si>
    <t>20mm dia 2.2m long Rockbolts @1.5m C/C</t>
  </si>
  <si>
    <t xml:space="preserve">50 mm thick Fibre reinforced Shotcrete </t>
  </si>
  <si>
    <t>Penstock (civil cost)</t>
  </si>
  <si>
    <t>Switchyard</t>
  </si>
  <si>
    <t>NO.</t>
  </si>
  <si>
    <t xml:space="preserve">Switchyard including access road within </t>
  </si>
  <si>
    <t xml:space="preserve">cum </t>
  </si>
  <si>
    <t>Fencing</t>
  </si>
  <si>
    <t>Gravel Pitch 0.3m thick</t>
  </si>
  <si>
    <t>Headworks River Training and Protection Works</t>
  </si>
  <si>
    <t>Adit Tunnel portal</t>
  </si>
  <si>
    <t xml:space="preserve">over all settling basin area </t>
  </si>
  <si>
    <t>Hydro seal</t>
  </si>
  <si>
    <t>Fish ladder</t>
  </si>
  <si>
    <t>Undersluice,Trashpassage and Fishladder</t>
  </si>
  <si>
    <t>20% Common Soil</t>
  </si>
  <si>
    <t>80% Hard Soil</t>
  </si>
  <si>
    <t>Earthwork in Excavation in common soil including disposal using equipments  all complete as per specification</t>
  </si>
  <si>
    <t>COMPONENT</t>
  </si>
  <si>
    <t>AMOUNT</t>
  </si>
  <si>
    <t>NR</t>
  </si>
  <si>
    <t>BILL OF QUANTITIES</t>
  </si>
  <si>
    <t>SL NO</t>
  </si>
  <si>
    <t>ESTIMATED QTY</t>
  </si>
  <si>
    <t>IN FIGURES</t>
  </si>
  <si>
    <t>IN WORDS</t>
  </si>
  <si>
    <t xml:space="preserve"> L.S.</t>
  </si>
  <si>
    <t>Rate in Figures</t>
  </si>
  <si>
    <t>(NRs)</t>
  </si>
  <si>
    <t>Rate in Words</t>
  </si>
  <si>
    <t>Remarks (if any)</t>
  </si>
  <si>
    <t>( NRs)</t>
  </si>
  <si>
    <t>LABOUR</t>
  </si>
  <si>
    <t>Foreman, skilled labour</t>
  </si>
  <si>
    <t>hr</t>
  </si>
  <si>
    <t>Foreman, unskilled labour</t>
  </si>
  <si>
    <t>Labourer, highly-skilled:</t>
  </si>
  <si>
    <t>Skilled labourer:</t>
  </si>
  <si>
    <t>Medium equipment operator</t>
  </si>
  <si>
    <t>-Truck driver from 10 to 25 t</t>
  </si>
  <si>
    <t>Semi-skilled labourer:</t>
  </si>
  <si>
    <t>- Light equipment operator</t>
  </si>
  <si>
    <t>- Motor vehicle driver, less than 10 t</t>
  </si>
  <si>
    <t>Unskilled labourer:</t>
  </si>
  <si>
    <t>md</t>
  </si>
  <si>
    <t>Mason</t>
  </si>
  <si>
    <t>Carpenter</t>
  </si>
  <si>
    <t>Steel fixer</t>
  </si>
  <si>
    <t>PLANT AND EQUIPMENT</t>
  </si>
  <si>
    <t>Dozer with ripper, 132 kV</t>
  </si>
  <si>
    <t>Dozer ripper, 160 kW</t>
  </si>
  <si>
    <t>Dozer ripper, 212 kW</t>
  </si>
  <si>
    <t>Dump Truck, rigid; 38 t, 340 kW</t>
  </si>
  <si>
    <t>Dump Truck, rigid; 32 t, 280 kW</t>
  </si>
  <si>
    <t>Dump Truck, artic.; 35 t, 240 kW</t>
  </si>
  <si>
    <t>Lorry, 4-wheel drive; 19 t, 200 kW</t>
  </si>
  <si>
    <t>Lorry, 4-wheel drive; 12 t, 150 KW</t>
  </si>
  <si>
    <t>Truck tractor; 300 kW</t>
  </si>
  <si>
    <t>Trailer; 80 t</t>
  </si>
  <si>
    <t>Forklift all terrain; 4 t. 50 kW</t>
  </si>
  <si>
    <t>CONCRETE EQUIPMENT</t>
  </si>
  <si>
    <t>Concrete pumping equipment, incl. pressure pipe elbow, bends and fittings; DN 125, Length: 100 m</t>
  </si>
  <si>
    <t>Grader; 3 m, 50 kW</t>
  </si>
  <si>
    <t>Roller; 8 t, 38 kW</t>
  </si>
  <si>
    <t>Vibro-roller; 10 t, 80 kW</t>
  </si>
  <si>
    <t>Soil compactor; 75 cm, 60 kW</t>
  </si>
  <si>
    <t>Mobile crane; 30 X 3 m, 109 KW</t>
  </si>
  <si>
    <t>Mobile crane; 60 X 3 in, 188 kW</t>
  </si>
  <si>
    <t>Air compressor; 10 m3, 7 bar</t>
  </si>
  <si>
    <t>Air compressor; 21 m3, 7 bar</t>
  </si>
  <si>
    <t>mon</t>
  </si>
  <si>
    <t>Water pump, (Electrical 5HP)</t>
  </si>
  <si>
    <t>Water pump, (Electrical 7.5HP)</t>
  </si>
  <si>
    <t>DRILLING AND GROUTING</t>
  </si>
  <si>
    <t>Hand operated rock drill</t>
  </si>
  <si>
    <t>Cement Portland, type I, bulk</t>
  </si>
  <si>
    <t>Cement Portland, type II, bulk</t>
  </si>
  <si>
    <t>Cement Portland, type V, bulk</t>
  </si>
  <si>
    <t>Fly ash</t>
  </si>
  <si>
    <t>Pozzolana</t>
  </si>
  <si>
    <t>Bentonite</t>
  </si>
  <si>
    <t>Accelerator</t>
  </si>
  <si>
    <t>Retarder</t>
  </si>
  <si>
    <t>Superplasticiser</t>
  </si>
  <si>
    <t>Reinforcement bars Fe 415</t>
  </si>
  <si>
    <t>Reinforcement bars Fe 500</t>
  </si>
  <si>
    <t>Crushed aggregate coarse</t>
  </si>
  <si>
    <t>Crushed aggregate fine</t>
  </si>
  <si>
    <t>River bed sand</t>
  </si>
  <si>
    <t>First class brick</t>
  </si>
  <si>
    <t>Crawler loader, 1.5 m3, 80 kW</t>
  </si>
  <si>
    <t>Crawler loader, 2.8 m3, 157 kW</t>
  </si>
  <si>
    <t>Wheel loader, 2.0 m3, 90 kW</t>
  </si>
  <si>
    <t>Wheel loader, 3.0 m3, 115 kW</t>
  </si>
  <si>
    <t>Wheel Loader, 4.0 m3, 235 kW</t>
  </si>
  <si>
    <t>Excavator, backhoe, 1.7 m3, 150 kW</t>
  </si>
  <si>
    <t>Excavator, backhoe, 1.0 m3, 100 kW</t>
  </si>
  <si>
    <t>Excavator, rock shovel; 2.0 m3, 150 kW</t>
  </si>
  <si>
    <t>Excavator, rock shovel; 4.0 m3, 200 kW</t>
  </si>
  <si>
    <t>Transit mix truck. (5 m3 concrete)</t>
  </si>
  <si>
    <t>Transit mix truck. (2 m3 concrete)</t>
  </si>
  <si>
    <t>Concrete pump; 20 m3/h, 75 bar, 38 kW</t>
  </si>
  <si>
    <t>Heavy equipment operator, more than 25 t</t>
  </si>
  <si>
    <t>Guard, Porter, Cleaner, general support labourer</t>
  </si>
  <si>
    <t>EARTH MOVING (CAPACITY. ENGINE)</t>
  </si>
  <si>
    <t>Excavator, backhoe, 4.0 m3, 280 kW</t>
  </si>
  <si>
    <t>VEHICLES (PAYLOAD. ENGINE)</t>
  </si>
  <si>
    <t>Truck with auxiliary crane; 11 t, 177 kW</t>
  </si>
  <si>
    <t>Concrete pump; 80 m3/h, 100 bar, 90kW</t>
  </si>
  <si>
    <t>Concrete internal vibrator, pneumatic; DN 50</t>
  </si>
  <si>
    <t>Concrete internal vibrator, Electro; DN 50</t>
  </si>
  <si>
    <t>Generator, water cooled, portable; 30 kVa</t>
  </si>
  <si>
    <t>Generator, water cooled, portable; 90 kVa</t>
  </si>
  <si>
    <t>Generator, water cooled, portable; 225 kVa</t>
  </si>
  <si>
    <t>Grouting equipment, with automatic quantity pressure and time recorder, including setting up and moving on site</t>
  </si>
  <si>
    <t>CONSTRUCTION MATERIALS</t>
  </si>
  <si>
    <t>Steel wire mesh for reinforcement, DIN 500/550</t>
  </si>
  <si>
    <t>Per 1000 no.</t>
  </si>
  <si>
    <t>ROAD CONSTRUCTION EQUIPMENT</t>
  </si>
  <si>
    <t>MISCELLANEOUS EQUIPMENT</t>
  </si>
  <si>
    <t>General Items (Contractual Requirements)</t>
  </si>
  <si>
    <t>Surface Excavation</t>
  </si>
  <si>
    <t>Insurance</t>
  </si>
  <si>
    <t>Insurance  of Works,  Materials,  Equipments as per the Conditions of Contract</t>
  </si>
  <si>
    <t>Insurance  of Contractor's Plant and Equipments as per the Conditions of Contract</t>
  </si>
  <si>
    <t>Third Party Insurance  as per the Conditions of Contract</t>
  </si>
  <si>
    <t>Insurance  of Contractor's personnel  and employees involved  with the project and labors working  at Site as per the Conditions of Contract</t>
  </si>
  <si>
    <t>DAY WORK SCHEDULE</t>
  </si>
  <si>
    <t>Earthwork in Excavation in hard soil/Gravels/Boulder mixed soil including disposal of all complete as per specification</t>
  </si>
  <si>
    <t>Gravel Flushing canal</t>
  </si>
  <si>
    <t>Common Backfill</t>
  </si>
  <si>
    <t>Common back filling  with compaction including the haulage etc. all complete as per the specifications and the drawings</t>
  </si>
  <si>
    <t>Compacted Backfll</t>
  </si>
  <si>
    <t>Excavation of Hard rock with blast (Mechanical drill) including disposal using equipments as per specification.</t>
  </si>
  <si>
    <t>Earthwork in Backfilling</t>
  </si>
  <si>
    <t>Common Backfilling</t>
  </si>
  <si>
    <t>Draining, dewatering of surface works construction including pumping, pipe works and other associated cost as per specifications. (Note: The dewatering of underground works shall be deemed to be included with the rates of underground excavation)</t>
  </si>
  <si>
    <t>Dewater works required in the project</t>
  </si>
  <si>
    <t>Compacted back fill with specified material including the haulage etc. all complete as per the specifications and the drawings</t>
  </si>
  <si>
    <t>SUMMARY OF RATES</t>
  </si>
  <si>
    <t>SUB ITEM</t>
  </si>
  <si>
    <t>ITEM</t>
  </si>
  <si>
    <t>TOTAL RATE
NRs</t>
  </si>
  <si>
    <t>TOTAL RATE
US$</t>
  </si>
  <si>
    <t>%
NRs</t>
  </si>
  <si>
    <t>%
US$</t>
  </si>
  <si>
    <t>NRs
Component
Rate</t>
  </si>
  <si>
    <t>US$
Component
Rate</t>
  </si>
  <si>
    <t>SITE CLEARANCE AND PREPARATION</t>
  </si>
  <si>
    <t>EXCAVATION</t>
  </si>
  <si>
    <t>FILLING</t>
  </si>
  <si>
    <t>FORMWORK</t>
  </si>
  <si>
    <t>Height between 9 - 10m</t>
  </si>
  <si>
    <t>Height between 10 - 11m</t>
  </si>
  <si>
    <t>Height between 11 - 12m</t>
  </si>
  <si>
    <t>Height between 12 - 13m</t>
  </si>
  <si>
    <t>Height between 13 - 14m</t>
  </si>
  <si>
    <t>Height between 14 - 15m</t>
  </si>
  <si>
    <t>Height between 15 - 16m</t>
  </si>
  <si>
    <t>Height between 16 - 17m</t>
  </si>
  <si>
    <t>Height between 17 - 18m</t>
  </si>
  <si>
    <t>Height between 18 - 19m</t>
  </si>
  <si>
    <t>Height between 19 - 20m</t>
  </si>
  <si>
    <t>Height between 20 - 21m</t>
  </si>
  <si>
    <t>CONCRETING WORKS</t>
  </si>
  <si>
    <t>REINFORCEMENT BARS</t>
  </si>
  <si>
    <t>BRICKWORK</t>
  </si>
  <si>
    <t>PLASTER</t>
  </si>
  <si>
    <t>MASONRY WORKS</t>
  </si>
  <si>
    <t>J</t>
  </si>
  <si>
    <t>GABION WORKS</t>
  </si>
  <si>
    <t>K</t>
  </si>
  <si>
    <t>GROUTING</t>
  </si>
  <si>
    <t>PROTECTION WORKS</t>
  </si>
  <si>
    <t>M</t>
  </si>
  <si>
    <t>GEOTEXTILE</t>
  </si>
  <si>
    <t>N</t>
  </si>
  <si>
    <t>ROOFING</t>
  </si>
  <si>
    <t>O</t>
  </si>
  <si>
    <t>PAINTING</t>
  </si>
  <si>
    <t>P</t>
  </si>
  <si>
    <t>DOORS &amp; WINDOWS</t>
  </si>
  <si>
    <t>Q</t>
  </si>
  <si>
    <t>SCREEDING &amp; PUNNING</t>
  </si>
  <si>
    <t>R</t>
  </si>
  <si>
    <t>UNDERGROUND ITEMS</t>
  </si>
  <si>
    <t>for t = 50mm</t>
  </si>
  <si>
    <t>for t = 100mm</t>
  </si>
  <si>
    <t>for t = 150mm</t>
  </si>
  <si>
    <t>for t = 200mm</t>
  </si>
  <si>
    <t>items</t>
  </si>
  <si>
    <t>Addopted by NHP</t>
  </si>
  <si>
    <t>Addopted by UTH</t>
  </si>
  <si>
    <t>Shotcrete (Plain)</t>
  </si>
  <si>
    <t>Shotcrete (Steel fibre reinforced)</t>
  </si>
  <si>
    <t>S</t>
  </si>
  <si>
    <t>ADDITIONALS</t>
  </si>
  <si>
    <t>T</t>
  </si>
  <si>
    <t>MISCELLANEOUS</t>
  </si>
  <si>
    <r>
      <t xml:space="preserve">Mild Steel Pipe ( </t>
    </r>
    <r>
      <rPr>
        <sz val="9"/>
        <color indexed="8"/>
        <rFont val="Calibri"/>
        <family val="2"/>
      </rPr>
      <t xml:space="preserve">φ </t>
    </r>
    <r>
      <rPr>
        <sz val="9"/>
        <color indexed="8"/>
        <rFont val="Gill Sans MT"/>
        <family val="2"/>
      </rPr>
      <t>0.40m &amp; thickness 1cm)</t>
    </r>
  </si>
  <si>
    <t>PVC Sheet</t>
  </si>
  <si>
    <t>Perforated Pipe</t>
  </si>
  <si>
    <r>
      <t xml:space="preserve">Mild Steel Pipe ( </t>
    </r>
    <r>
      <rPr>
        <sz val="9"/>
        <color indexed="8"/>
        <rFont val="Calibri"/>
        <family val="2"/>
      </rPr>
      <t xml:space="preserve">φ </t>
    </r>
    <r>
      <rPr>
        <sz val="9"/>
        <color indexed="8"/>
        <rFont val="Gill Sans MT"/>
        <family val="2"/>
      </rPr>
      <t>0.30m &amp; thickness 1cm)</t>
    </r>
  </si>
  <si>
    <t>Invert cleaning and additional scaling</t>
  </si>
  <si>
    <t>U</t>
  </si>
  <si>
    <t>Dry Stone Soling</t>
  </si>
  <si>
    <t>Water Stopper</t>
  </si>
  <si>
    <t>W</t>
  </si>
  <si>
    <t>Surface Shotcrete</t>
  </si>
  <si>
    <t>X</t>
  </si>
  <si>
    <t>Surface Rock bolting</t>
  </si>
  <si>
    <t>Y</t>
  </si>
  <si>
    <t>EXPLORATORY DRILLING</t>
  </si>
  <si>
    <t>CGI sheet</t>
  </si>
  <si>
    <t>Aluminium Door and Window</t>
  </si>
  <si>
    <t>CB Door</t>
  </si>
  <si>
    <t>CB window</t>
  </si>
  <si>
    <t>PH Door</t>
  </si>
  <si>
    <t>PH Window</t>
  </si>
  <si>
    <t>12.5mm thick Cement Plaster in 1:4 cement and sand mortar</t>
  </si>
  <si>
    <t>Two Coat Water Proof Cement Painting on plastered surface.</t>
  </si>
  <si>
    <t>Monkey ladder</t>
  </si>
  <si>
    <t>Earthing mat</t>
  </si>
  <si>
    <t>Steel railing 1 meter high</t>
  </si>
  <si>
    <t>Steel railing in CB</t>
  </si>
  <si>
    <t>Shutter</t>
  </si>
  <si>
    <t>Powerhouse main Entrance</t>
  </si>
  <si>
    <t xml:space="preserve">at powerhouse </t>
  </si>
  <si>
    <t>At Control Building</t>
  </si>
  <si>
    <t>Stone Soling (300mm thickness)</t>
  </si>
  <si>
    <t>PCC</t>
  </si>
  <si>
    <t>Site clearance by cutting thick vegetation, grubing their roots &amp; disposal.</t>
  </si>
  <si>
    <t>Plum Concrete grade C20, 40% plum</t>
  </si>
  <si>
    <t>Machine Mixed Concrete grade C30</t>
  </si>
  <si>
    <t>Tunneling</t>
  </si>
  <si>
    <t>Excavation of soft rock with blast (Mechanical drill) including disposal using equipments as per specification.</t>
  </si>
  <si>
    <t>Tunnel Excavation in Good Rock</t>
  </si>
  <si>
    <t>Tunnel Excavation in Poor to Very Poor Rock</t>
  </si>
  <si>
    <t>Grouted Rockbolts (25Φ)   Length = 2.0m</t>
  </si>
  <si>
    <t>Machine Mixed Concrete works (Supply of materials &amp; haulage dist up to 30 m) in tunnel lining Concrete Grade C25</t>
  </si>
  <si>
    <t xml:space="preserve">Providing and placing steel ribs   ( SAIL MA-ISHB 150)   </t>
  </si>
  <si>
    <t>nos.</t>
  </si>
  <si>
    <t>Stone filling</t>
  </si>
  <si>
    <t>9</t>
  </si>
  <si>
    <t>sand Filling</t>
  </si>
  <si>
    <t>10</t>
  </si>
  <si>
    <t>Stone Masonary in 1:3 cement sand mortar (Usinf Machine)</t>
  </si>
  <si>
    <t>Spilling Bolts 6m long</t>
  </si>
  <si>
    <t>Shaft Excavation</t>
  </si>
  <si>
    <t>11</t>
  </si>
  <si>
    <t>12</t>
  </si>
  <si>
    <t>Brick Soiling</t>
  </si>
  <si>
    <t>13</t>
  </si>
  <si>
    <t>14</t>
  </si>
  <si>
    <t>15</t>
  </si>
  <si>
    <t>16</t>
  </si>
  <si>
    <t>17</t>
  </si>
  <si>
    <t>18</t>
  </si>
  <si>
    <t>19</t>
  </si>
  <si>
    <t>20</t>
  </si>
  <si>
    <t>Mobilization and Demobiliztion Cost</t>
  </si>
  <si>
    <t>LS.</t>
  </si>
  <si>
    <t>The rate is based on preliminary calculations and assumptions only. The final rate will be worked out in detail</t>
  </si>
  <si>
    <t>Note</t>
  </si>
  <si>
    <t>21</t>
  </si>
  <si>
    <t>22</t>
  </si>
  <si>
    <r>
      <t>m</t>
    </r>
    <r>
      <rPr>
        <vertAlign val="superscript"/>
        <sz val="11"/>
        <color indexed="8"/>
        <rFont val="Gill Sans MT"/>
        <family val="2"/>
      </rPr>
      <t>3</t>
    </r>
  </si>
  <si>
    <r>
      <t>m</t>
    </r>
    <r>
      <rPr>
        <vertAlign val="superscript"/>
        <sz val="11"/>
        <color indexed="8"/>
        <rFont val="Gill Sans MT"/>
        <family val="2"/>
      </rPr>
      <t>2</t>
    </r>
  </si>
  <si>
    <t>Health, Saftey and First aid</t>
  </si>
  <si>
    <t>Provision of saftey clothing and equipment and other saftey issues for labourer's and contractor's other employees or the entire period of construction and its extension, if any.</t>
  </si>
  <si>
    <t>Environmental Management</t>
  </si>
  <si>
    <t>Environmental management of te quarry site including stability of the slopes,minimization of soil erosion and sedimentation.</t>
  </si>
  <si>
    <t>Enviromental management of spoil tip including top soil saving, drainage management, levelling, rolling, compaction, protection for stability and re-vegetation for stability of the slope and reinstatement.</t>
  </si>
  <si>
    <t>Environmental management of the work area,camp area and other environmental and social measures not and meeting the requirements of specifications.</t>
  </si>
  <si>
    <t>NRS</t>
  </si>
  <si>
    <t>lump sump</t>
  </si>
  <si>
    <t>Cost per uit length</t>
  </si>
  <si>
    <t xml:space="preserve">Access Road </t>
  </si>
  <si>
    <t>Underground Excavation</t>
  </si>
  <si>
    <t>Reference to  Specification Clauses</t>
  </si>
  <si>
    <t>Operation and maintainance of health services station including all Personal (health assistant, Staff nurse) and medical services (medicine,consumables etc.) as specified in specification for the entire period of constructon and its extenion if any.</t>
  </si>
  <si>
    <t>1.8, 1.9</t>
  </si>
  <si>
    <t>Project: Rahughat Mangale HEP</t>
  </si>
  <si>
    <t>Headworks</t>
  </si>
  <si>
    <t xml:space="preserve">Note: </t>
  </si>
  <si>
    <t>1. All the rates stated below are mandatory even if the quantites are not specified in BOQ.</t>
  </si>
  <si>
    <t>Gutter</t>
  </si>
  <si>
    <r>
      <t>m</t>
    </r>
    <r>
      <rPr>
        <vertAlign val="superscript"/>
        <sz val="11"/>
        <rFont val="Gill Sans MT"/>
        <family val="2"/>
      </rPr>
      <t>3</t>
    </r>
    <r>
      <rPr>
        <sz val="11"/>
        <color theme="1"/>
        <rFont val="Calibri"/>
        <family val="2"/>
        <scheme val="minor"/>
      </rPr>
      <t/>
    </r>
  </si>
  <si>
    <t>Machine Mixed concrete grade C60</t>
  </si>
  <si>
    <t>Total civil Cost</t>
  </si>
  <si>
    <t>In %</t>
  </si>
  <si>
    <t>WaterWays</t>
  </si>
  <si>
    <t>Million</t>
  </si>
  <si>
    <t>1.b</t>
  </si>
  <si>
    <t>Providing, preparing and installing formwork including necessary supports and removing after completion for foundation and walls in Powerhouse areas.</t>
  </si>
  <si>
    <t>Making Shutter in 38 mm thick salwood frame (shutter size 1.07m x 1.982 m)</t>
  </si>
  <si>
    <t>5% common Soil</t>
  </si>
  <si>
    <t>5% hard soil</t>
  </si>
  <si>
    <t>90% Hard Rock with blast</t>
  </si>
  <si>
    <t>0.15m thick fiber reinforced shotcrete</t>
  </si>
  <si>
    <t>25mm dia. Fully grouted 6m long rockbolt @ 1.2m c/c spacing in staggered position</t>
  </si>
  <si>
    <t>C25 Plum concrete</t>
  </si>
  <si>
    <t>AAC Block</t>
  </si>
  <si>
    <t>Machine Hall</t>
  </si>
  <si>
    <t>Machine Foundation(Below Staircase)upto Turbine axis level</t>
  </si>
  <si>
    <t>Deductions (Machine foundation below staircase)</t>
  </si>
  <si>
    <t>Tailwater Trench</t>
  </si>
  <si>
    <t>MIV unit</t>
  </si>
  <si>
    <t>Turbine Transport shaft</t>
  </si>
  <si>
    <t>Shear Wall (below Generator top floor level)</t>
  </si>
  <si>
    <t>1m thick</t>
  </si>
  <si>
    <t>0.6m thick</t>
  </si>
  <si>
    <t>Deduction for stair in floor slab</t>
  </si>
  <si>
    <t>Concrete casing around Generator</t>
  </si>
  <si>
    <t>Column</t>
  </si>
  <si>
    <t>Beam (along longitudinal side)</t>
  </si>
  <si>
    <t>Beam (along transverse side)</t>
  </si>
  <si>
    <t>Corbel beam</t>
  </si>
  <si>
    <t>Service Bay</t>
  </si>
  <si>
    <t>Shear Wall(0.4m thick)</t>
  </si>
  <si>
    <t>Deduction of shear wall for main gate opening</t>
  </si>
  <si>
    <t xml:space="preserve">Column </t>
  </si>
  <si>
    <t>Corbel Beam</t>
  </si>
  <si>
    <t>1.5% of C25 Concrete</t>
  </si>
  <si>
    <t>Final Tender Cost</t>
  </si>
  <si>
    <t>DESCRIPTION OF COMPONENT</t>
  </si>
  <si>
    <t>U. PROVISIONAL SUM</t>
  </si>
  <si>
    <t>A. GENERAL ITEMS (CONTRACTUAL REQUIREMENTS)</t>
  </si>
  <si>
    <t>National Grid Electricity</t>
  </si>
  <si>
    <t>KWhr</t>
  </si>
  <si>
    <t>Electricity generated from Disel generator set</t>
  </si>
  <si>
    <t>L.S.</t>
  </si>
  <si>
    <t>Provisional Sum</t>
  </si>
  <si>
    <t>Provisional Sum allocated for Geological uncertainities in tunnel</t>
  </si>
  <si>
    <t xml:space="preserve">Provisional Sum for uncertainities of  Powerhouse slope protection </t>
  </si>
  <si>
    <t>Provisional sum for quantity update during detail design and minor items that may arise during construction</t>
  </si>
  <si>
    <t>A1</t>
  </si>
  <si>
    <t>Establishment, operation and maintenance of labs as required by the contract including testing of all materials such as rebars, sands, aggregates, stones, various type of steels, concrete mix design, cube test, testing of shotcrete etc.</t>
  </si>
  <si>
    <t>Supply of electricity to the Employer and the Engineer's to their office and accomodation at agreed rate with metering at accomodation and office</t>
  </si>
  <si>
    <r>
      <rPr>
        <b/>
        <sz val="12"/>
        <rFont val="Gill Sans MT"/>
        <family val="2"/>
      </rPr>
      <t xml:space="preserve">Mobilization cost </t>
    </r>
    <r>
      <rPr>
        <sz val="12"/>
        <rFont val="Gill Sans MT"/>
        <family val="2"/>
      </rPr>
      <t>including temporary Construction camps for contractor's staff, labour with required facilities of sanitation (Toilets, bathrooms, sewage treatments and disposal, storm water drainage networks), ventilation, lighting, living, cooking, recreation, waste collection and treatment (solid and liquid), grocery shop, canteen etc their maintainance and rehabilittion and all other related generalitems covered by General and technical Specification as well as other activities related to the Contractor's mobilization cost</t>
    </r>
  </si>
  <si>
    <r>
      <t>Demobilization cost</t>
    </r>
    <r>
      <rPr>
        <sz val="12"/>
        <rFont val="Gill Sans MT"/>
        <family val="2"/>
      </rPr>
      <t xml:space="preserve"> including demolition of all temporary structures as approved by the Engineer, clean up and rehabilitation of the camp sites</t>
    </r>
  </si>
  <si>
    <t>Construction of Diversion roads required for construcion in site, and Repair and Maintainance of the access road constructed by the Employer throughout the project duration.</t>
  </si>
  <si>
    <t>Establishment of Health Service units including all furniture and appliances for medical treatment, medical equipments, beds, utilitiy installations and other facilities as per specification.</t>
  </si>
  <si>
    <t>UNIT RATE (NRs.)</t>
  </si>
  <si>
    <t>Provisional Sum for the supply of electricity to the Employer and the Engineer's office and accomodation</t>
  </si>
  <si>
    <t>Grouted Rockbolts (20Φ)   Length = 2.2m</t>
  </si>
  <si>
    <t>Machine Mixed Concrete works (Supply of materials &amp; haulage dist up to 30 m) in tunnel lining Concrete Grade C20</t>
  </si>
  <si>
    <t>Item added</t>
  </si>
  <si>
    <t>Cost updated</t>
  </si>
  <si>
    <t>Spillway side wall</t>
  </si>
  <si>
    <t>Spillway base slab</t>
  </si>
  <si>
    <t>cascade portion (side wall)</t>
  </si>
  <si>
    <t>cascade portion (bottom slab and cutoff)</t>
  </si>
  <si>
    <t>Weep Holes</t>
  </si>
  <si>
    <t>From Profile</t>
  </si>
  <si>
    <t>Downstream Site Clearance</t>
  </si>
  <si>
    <t>1.5m Dia. Boulder Riprap</t>
  </si>
  <si>
    <t>Upstream Site Clearance</t>
  </si>
  <si>
    <t>Formwork Along Width</t>
  </si>
  <si>
    <t>Formwork For Cross section</t>
  </si>
  <si>
    <t>Formwork for sides</t>
  </si>
  <si>
    <t>Weir Body</t>
  </si>
  <si>
    <t>U/S Cutoff</t>
  </si>
  <si>
    <t>D/S Cutoff</t>
  </si>
  <si>
    <t>Stilling Basin</t>
  </si>
  <si>
    <t>For Trashpassage and Fish Ladder</t>
  </si>
  <si>
    <t>Fish Ladder</t>
  </si>
  <si>
    <t>Formwork on side face</t>
  </si>
  <si>
    <t>Wall near Weir</t>
  </si>
  <si>
    <t>Formwork on side and top</t>
  </si>
  <si>
    <t>Gate Operating Platform</t>
  </si>
  <si>
    <t>Undersluice floor including cutoffs</t>
  </si>
  <si>
    <t>Undersluice Wall (Near weir)</t>
  </si>
  <si>
    <t>Undersluice Wall (Intermediate)</t>
  </si>
  <si>
    <t>Breast Wall with Operating Platform</t>
  </si>
  <si>
    <t>Bottom Slab</t>
  </si>
  <si>
    <t>Undersluice Floor including u/s sloping glacis</t>
  </si>
  <si>
    <t>Undersluice wall</t>
  </si>
  <si>
    <t>Intake And Gravel Trap</t>
  </si>
  <si>
    <t>Gravel Flushing Canal</t>
  </si>
  <si>
    <t>Formwork on faces</t>
  </si>
  <si>
    <t xml:space="preserve">Breast wall and gate operating platform </t>
  </si>
  <si>
    <t>Gravel flushing gate structure</t>
  </si>
  <si>
    <t>Intake, gravel trap &amp; Flushing</t>
  </si>
  <si>
    <t>Internal wall (inside)</t>
  </si>
  <si>
    <t>External wall (Hill &amp; river side)</t>
  </si>
  <si>
    <t>1 in 4 Stone Masonry</t>
  </si>
  <si>
    <t>Inlet Transition Zone</t>
  </si>
  <si>
    <t>Main settling basin bay</t>
  </si>
  <si>
    <t>Gabion wall Works</t>
  </si>
  <si>
    <t>Surface Drainage works</t>
  </si>
  <si>
    <t>Sub-Surface Drainage works</t>
  </si>
  <si>
    <t>Unit Rate</t>
  </si>
  <si>
    <t>50% Common Soil</t>
  </si>
  <si>
    <t>50% hard soil</t>
  </si>
  <si>
    <t>UNIT RATE</t>
  </si>
  <si>
    <t>COST</t>
  </si>
  <si>
    <t>Providing and placing 0.4m HDPE pipe</t>
  </si>
  <si>
    <t>50% Hard Soil</t>
  </si>
  <si>
    <t>Seven Crore Six Lakh</t>
  </si>
  <si>
    <t>Twenty Six Crores Fifty Seven Lakhs</t>
  </si>
  <si>
    <t>Eleven Crores Twenty Six Lakhs</t>
  </si>
  <si>
    <t>Three Crore Fifty Six Lakhs</t>
  </si>
  <si>
    <t>Thirty Eight Crores Twenty Lakhs</t>
  </si>
  <si>
    <t>Total Excavation</t>
  </si>
  <si>
    <t>Total Backfilling</t>
  </si>
  <si>
    <t>Concrete Works</t>
  </si>
  <si>
    <t xml:space="preserve">Concrete Blocks for 9" walls </t>
  </si>
  <si>
    <t>C35 concrete</t>
  </si>
  <si>
    <t>Reinforcement @80 kg/cum</t>
  </si>
  <si>
    <t>Providing and placing of steel reinforcement of grade Fe 500 including cutting, bending, binding, fixing in position and all complete works as per the  Specifications and Drawings</t>
  </si>
  <si>
    <t xml:space="preserve">Providing, preparing and installing of formwork including necessary supports and removing after completion and all complete works as per the Specifications and Drawings  </t>
  </si>
  <si>
    <t>Roofing works</t>
  </si>
  <si>
    <t>Steel roof truss</t>
  </si>
  <si>
    <t>CGI sheet for ridging</t>
  </si>
  <si>
    <t>Gutter around roof</t>
  </si>
  <si>
    <t>Providing and applying 12.5mm thick cement paster of 1:3 c/s mortar including mortar mixing, scaffolding, curing, etc. complete as per the specifications and the drawings</t>
  </si>
  <si>
    <t xml:space="preserve">Punning works </t>
  </si>
  <si>
    <t>Wooden works for doors and windows</t>
  </si>
  <si>
    <t>Painting</t>
  </si>
  <si>
    <t xml:space="preserve">Fencing </t>
  </si>
  <si>
    <t>Rock Bolt (3-4 m length and 25mm dia)</t>
  </si>
  <si>
    <t>Rock Bolt (6 m length and 32mm dia)</t>
  </si>
  <si>
    <t>Shortcrete works</t>
  </si>
  <si>
    <t>Providing and placing 100mm thick steel fibre shortcrete</t>
  </si>
  <si>
    <t>Supplying and installing of wire mesh of 6mm diameter @ 50mmc/c</t>
  </si>
  <si>
    <t xml:space="preserve">Grouting Works </t>
  </si>
  <si>
    <t>Providing and applying grout for the fondation including drilling works required for grouting</t>
  </si>
  <si>
    <t>UNIT RATES</t>
  </si>
  <si>
    <t>Plan area</t>
  </si>
  <si>
    <t>Switchyard Excavation</t>
  </si>
  <si>
    <t>Total Rock Excavation</t>
  </si>
  <si>
    <t>Exavation in BMS</t>
  </si>
  <si>
    <t>For switchyard base</t>
  </si>
  <si>
    <t>Structural Concrete (M25)</t>
  </si>
  <si>
    <t>Station Supply transformer</t>
  </si>
  <si>
    <t>Distribution Transformer</t>
  </si>
  <si>
    <t>Spare Transormer</t>
  </si>
  <si>
    <t>Main Transformer</t>
  </si>
  <si>
    <t>Lightning Arrester (LA)</t>
  </si>
  <si>
    <t>Bottom slab</t>
  </si>
  <si>
    <t>Top pillar</t>
  </si>
  <si>
    <t>Current Tranformer (CT)</t>
  </si>
  <si>
    <t>Voltage Tranformer (VT)</t>
  </si>
  <si>
    <t>Disconnecting Switch (DS)</t>
  </si>
  <si>
    <t>Top pillar ( 4 nos of DS)</t>
  </si>
  <si>
    <t>Circuit Breaker (CB)</t>
  </si>
  <si>
    <t>Gantry Tower</t>
  </si>
  <si>
    <t xml:space="preserve">Cable Trench between isolators </t>
  </si>
  <si>
    <t>North</t>
  </si>
  <si>
    <t xml:space="preserve">Middle </t>
  </si>
  <si>
    <t>South</t>
  </si>
  <si>
    <t>Cable Culvert around main transformer</t>
  </si>
  <si>
    <t>West</t>
  </si>
  <si>
    <t>Drainage Around Switchyard</t>
  </si>
  <si>
    <t>Reinforcement @ 0.8% of total concrete volume</t>
  </si>
  <si>
    <t>Reinforcement @ 0.12% of total concrete volume for drainage</t>
  </si>
  <si>
    <t>Switchyard Floor</t>
  </si>
  <si>
    <t>a)</t>
  </si>
  <si>
    <t>formwork for base</t>
  </si>
  <si>
    <t>formwork for sides</t>
  </si>
  <si>
    <t>other sides</t>
  </si>
  <si>
    <t>b)</t>
  </si>
  <si>
    <t>base</t>
  </si>
  <si>
    <t>sides</t>
  </si>
  <si>
    <t>face</t>
  </si>
  <si>
    <t>c)</t>
  </si>
  <si>
    <t>d)</t>
  </si>
  <si>
    <t>above base</t>
  </si>
  <si>
    <t>e)</t>
  </si>
  <si>
    <t>f)</t>
  </si>
  <si>
    <t>g)</t>
  </si>
  <si>
    <t>h)</t>
  </si>
  <si>
    <t>West Level</t>
  </si>
  <si>
    <t>Inside ht</t>
  </si>
  <si>
    <t>outside ht</t>
  </si>
  <si>
    <t>East Level</t>
  </si>
  <si>
    <t>inside length</t>
  </si>
  <si>
    <t>Formation</t>
  </si>
  <si>
    <t>Drainage around switchyard</t>
  </si>
  <si>
    <t>faces</t>
  </si>
  <si>
    <t>Tailrace Culvert</t>
  </si>
  <si>
    <t>Note: Site clearance and Excavation has been included within powerhouse.</t>
  </si>
  <si>
    <t>Side wall support</t>
  </si>
  <si>
    <t>Top slab support</t>
  </si>
  <si>
    <t>Formworks for gate</t>
  </si>
  <si>
    <t xml:space="preserve">TOTAL </t>
  </si>
  <si>
    <t>Tailrace culvert</t>
  </si>
  <si>
    <t>Tailrace Culvert Transition</t>
  </si>
  <si>
    <t>Tailrace Gates</t>
  </si>
  <si>
    <t>Transition</t>
  </si>
  <si>
    <t>Floodwall and access road</t>
  </si>
  <si>
    <t>For floodwall across myagdi river and kholsi</t>
  </si>
  <si>
    <t>Side vertical walls</t>
  </si>
  <si>
    <t>Sectional face</t>
  </si>
  <si>
    <t>Boulder Rip-Rap Protection for floodwall</t>
  </si>
  <si>
    <t>1-2 m high Boulder Rip-Rapping</t>
  </si>
  <si>
    <t>Stone Pitching</t>
  </si>
  <si>
    <t>0.3m Stone pitching for access road &amp; Floodwall</t>
  </si>
  <si>
    <t>INLET PORTAL</t>
  </si>
  <si>
    <t>Excavation in Boulder Mixed and Common Soil</t>
  </si>
  <si>
    <t>considering 70% BMS</t>
  </si>
  <si>
    <t>Excavation in Hard Rock</t>
  </si>
  <si>
    <t>considering 30% rock</t>
  </si>
  <si>
    <r>
      <t>no per m</t>
    </r>
    <r>
      <rPr>
        <vertAlign val="superscript"/>
        <sz val="10"/>
        <rFont val="Gill Sans MT"/>
        <family val="2"/>
      </rPr>
      <t>2</t>
    </r>
  </si>
  <si>
    <t xml:space="preserve">100 mm thick plainShotcrete </t>
  </si>
  <si>
    <t>Wiremesh</t>
  </si>
  <si>
    <t>sq.m</t>
  </si>
  <si>
    <t>Length of Stretch I</t>
  </si>
  <si>
    <t>Length of Stretch II</t>
  </si>
  <si>
    <t>Length of Stretch III</t>
  </si>
  <si>
    <t>Dia.</t>
  </si>
  <si>
    <t>Length of Stretch IV</t>
  </si>
  <si>
    <t>Ht</t>
  </si>
  <si>
    <t>Length of Stretch V</t>
  </si>
  <si>
    <t>Total Length of Tunnel</t>
  </si>
  <si>
    <t>Rock types</t>
  </si>
  <si>
    <t>Steel fibre Reinforced Shotcrete (m)</t>
  </si>
  <si>
    <t>Cement Grouted Rock Bolts Spacing</t>
  </si>
  <si>
    <t>Concrete lining at Crown and wall Area (m3)</t>
  </si>
  <si>
    <t>Area for excavation (m2)</t>
  </si>
  <si>
    <t xml:space="preserve"> Perimeter of Crown &amp; Wall for Shotcrete (m)</t>
  </si>
  <si>
    <t xml:space="preserve"> Perimeter for Formwork (m)</t>
  </si>
  <si>
    <t>Invet level m2</t>
  </si>
  <si>
    <t>S1</t>
  </si>
  <si>
    <t>S2</t>
  </si>
  <si>
    <t>S3</t>
  </si>
  <si>
    <t>S4</t>
  </si>
  <si>
    <t>S5</t>
  </si>
  <si>
    <t>Class VI B</t>
  </si>
  <si>
    <t>S6</t>
  </si>
  <si>
    <t>Particulars</t>
  </si>
  <si>
    <t>S.No</t>
  </si>
  <si>
    <t>Length of Tunnel</t>
  </si>
  <si>
    <t xml:space="preserve">Fibre Reinforced Shotcrete </t>
  </si>
  <si>
    <t xml:space="preserve">Final Concrete Lining </t>
  </si>
  <si>
    <t>Formwork around concrete lining</t>
  </si>
  <si>
    <t xml:space="preserve">Reinforcement in the structural concrete lining </t>
  </si>
  <si>
    <t>Spilling Bolts, 6m long, 25mm dia 40cm spacing</t>
  </si>
  <si>
    <t xml:space="preserve">Steel Ribs (ISMB 150) at 1m/1.5m spacing </t>
  </si>
  <si>
    <t>Cleaning invert</t>
  </si>
  <si>
    <t>concrete at invert</t>
  </si>
  <si>
    <t>wire mesh</t>
  </si>
  <si>
    <t>Soft tunneling</t>
  </si>
  <si>
    <t xml:space="preserve">length </t>
  </si>
  <si>
    <t>cost / m</t>
  </si>
  <si>
    <t>Total cost</t>
  </si>
  <si>
    <t>Total ht</t>
  </si>
  <si>
    <t>Dia</t>
  </si>
  <si>
    <t>AERATION TUNNEL</t>
  </si>
  <si>
    <t>Diameter of tunnel</t>
  </si>
  <si>
    <t>Total height</t>
  </si>
  <si>
    <t>Size of Horse Shoe Shaped Tunnel</t>
  </si>
  <si>
    <t>ht</t>
  </si>
  <si>
    <t>Percentage of total length</t>
  </si>
  <si>
    <t>Reinforced Shotcrete (m)</t>
  </si>
  <si>
    <t xml:space="preserve"> Rock Bolts Spacing</t>
  </si>
  <si>
    <t>Invert level m2</t>
  </si>
  <si>
    <t>Wire mesh for shortcrete</t>
  </si>
  <si>
    <t xml:space="preserve">    </t>
  </si>
  <si>
    <t>Cleaning Invert</t>
  </si>
  <si>
    <t>Reinforcement at invert</t>
  </si>
  <si>
    <t>SURGE SHAFT</t>
  </si>
  <si>
    <t>Underground surge shaft excavation</t>
  </si>
  <si>
    <t>excavation for dome</t>
  </si>
  <si>
    <t>Surface Rock Excavation for aeration</t>
  </si>
  <si>
    <t>Excavation for retaining wall</t>
  </si>
  <si>
    <t>50 cm thick portion</t>
  </si>
  <si>
    <t>100 cm thick portion</t>
  </si>
  <si>
    <t>150 cm thick portion</t>
  </si>
  <si>
    <t>Rock trap</t>
  </si>
  <si>
    <t>Baffle walls</t>
  </si>
  <si>
    <t>Reinforcement @ 1% of concrete Volume</t>
  </si>
  <si>
    <t>Bolt</t>
  </si>
  <si>
    <t>25 mm dia 3 m long at 1.5m c/c</t>
  </si>
  <si>
    <t>Stone masonry Retaining wall</t>
  </si>
  <si>
    <t>retaining wall aeration tunnel accessibility</t>
  </si>
  <si>
    <t>spacing</t>
  </si>
  <si>
    <t>Dia. Of tunnel</t>
  </si>
  <si>
    <t xml:space="preserve">100 mm thick Shotcrete </t>
  </si>
  <si>
    <t>Wiremesh of shortcrete</t>
  </si>
  <si>
    <t>Invert Concrete (M20) 25cm thick</t>
  </si>
  <si>
    <t>Reinforcement at Invert</t>
  </si>
  <si>
    <t>ISMB Steel Rib (150*75*6)mm</t>
  </si>
  <si>
    <r>
      <rPr>
        <sz val="10"/>
        <color theme="1"/>
        <rFont val="Gill Sans"/>
      </rPr>
      <t>m</t>
    </r>
    <r>
      <rPr>
        <vertAlign val="superscript"/>
        <sz val="10"/>
        <color theme="1"/>
        <rFont val="Gill Sans MT"/>
        <family val="2"/>
      </rPr>
      <t>3</t>
    </r>
  </si>
  <si>
    <t>HAB Concreting Casing at bends</t>
  </si>
  <si>
    <t>Headrace Pipe Casing</t>
  </si>
  <si>
    <t>Type 1</t>
  </si>
  <si>
    <t>Type II</t>
  </si>
  <si>
    <t>Manhole Walls (Masonry)</t>
  </si>
  <si>
    <t>Gabion Walls Protection</t>
  </si>
  <si>
    <t>( 1m x 1m units)</t>
  </si>
  <si>
    <t>Basepads</t>
  </si>
  <si>
    <t xml:space="preserve">Total </t>
  </si>
  <si>
    <t>Stone masonry abutment for kholsi crossing</t>
  </si>
  <si>
    <t>Section 00-20</t>
  </si>
  <si>
    <t>20-120</t>
  </si>
  <si>
    <t>120-200</t>
  </si>
  <si>
    <t>200-360</t>
  </si>
  <si>
    <t>360-464.43</t>
  </si>
  <si>
    <t>CH 00-200</t>
  </si>
  <si>
    <t>CH 200-360</t>
  </si>
  <si>
    <t>CH 360-464.43</t>
  </si>
  <si>
    <t>Catch Drain</t>
  </si>
  <si>
    <t>Small</t>
  </si>
  <si>
    <t>Large</t>
  </si>
  <si>
    <t xml:space="preserve">canal </t>
  </si>
  <si>
    <t xml:space="preserve"> canal outer side</t>
  </si>
  <si>
    <t xml:space="preserve"> canal inner side</t>
  </si>
  <si>
    <t>canal bottom</t>
  </si>
  <si>
    <t xml:space="preserve"> culvert  </t>
  </si>
  <si>
    <t>bottom slab</t>
  </si>
  <si>
    <t>CH 20-120</t>
  </si>
  <si>
    <t>CH 120-200</t>
  </si>
  <si>
    <t>(1m x 1m square meshed unit)</t>
  </si>
  <si>
    <t>CH 00-20</t>
  </si>
  <si>
    <t>CH 20-40</t>
  </si>
  <si>
    <t>CH 40-60</t>
  </si>
  <si>
    <t>CH 60-80</t>
  </si>
  <si>
    <t>CH 80-100</t>
  </si>
  <si>
    <t>CH 100-120</t>
  </si>
  <si>
    <t>CH 120-140</t>
  </si>
  <si>
    <t>CH 140-160</t>
  </si>
  <si>
    <t>CH 160-180</t>
  </si>
  <si>
    <t>CH 180-200</t>
  </si>
  <si>
    <t>CH 200-220</t>
  </si>
  <si>
    <t>CH 220-240</t>
  </si>
  <si>
    <t>CH 240-260</t>
  </si>
  <si>
    <t>CH 260-280</t>
  </si>
  <si>
    <t>CH 280-300</t>
  </si>
  <si>
    <t>Ch 300-320</t>
  </si>
  <si>
    <t>CH 320-340</t>
  </si>
  <si>
    <t>CH 340-350</t>
  </si>
  <si>
    <t>CH 370-380</t>
  </si>
  <si>
    <t>CH 380-398.31</t>
  </si>
  <si>
    <t>base slab top</t>
  </si>
  <si>
    <t>CH 140-350</t>
  </si>
  <si>
    <t>Aqueduct (Kholsi Crossing)</t>
  </si>
  <si>
    <t>Pier with foundation</t>
  </si>
  <si>
    <t>Girder</t>
  </si>
  <si>
    <t>Gabion Boxes</t>
  </si>
  <si>
    <t>Canal, CH 00-200</t>
  </si>
  <si>
    <t>Thirteen Crores Eighty One Lakhs</t>
  </si>
  <si>
    <t>Eight Crore Fifty Six Lakhs Sixty</t>
  </si>
  <si>
    <t>Nine Crore Forty Two Lakhs</t>
  </si>
  <si>
    <t>SUB-TOTAL</t>
  </si>
  <si>
    <t xml:space="preserve">50 mm dia. 1m long Weep Holes </t>
  </si>
  <si>
    <t>Headrace Tunnel</t>
  </si>
  <si>
    <t>Wire mesh for shotcrete</t>
  </si>
  <si>
    <t>Aeration Tunnel</t>
  </si>
  <si>
    <t>Vertical Drop Shaft</t>
  </si>
  <si>
    <t>Cleaning and Scaling</t>
  </si>
  <si>
    <t>Total Cost of Civil Works(Option 2 settling basin)</t>
  </si>
  <si>
    <t>River Training works at Powerhouse</t>
  </si>
  <si>
    <t>@ 1% of Volume of C25 concrete</t>
  </si>
  <si>
    <t>1% of C25 Concrete</t>
  </si>
  <si>
    <t>BMS Excavation(65%)</t>
  </si>
  <si>
    <t>Hard Rock Excavation(35%)</t>
  </si>
  <si>
    <t>BMS EXCAVATION (85%)</t>
  </si>
  <si>
    <t>ROCK EXCAVATION(15%)</t>
  </si>
  <si>
    <t>BMS Excavation(85%)</t>
  </si>
  <si>
    <t>Hard Rock Excavation (15%)</t>
  </si>
  <si>
    <t>80% Common Soil</t>
  </si>
  <si>
    <t>20% Hard Soil</t>
  </si>
  <si>
    <t>CH 0-120</t>
  </si>
  <si>
    <t>Total Rock Excavation(60%)</t>
  </si>
  <si>
    <t>Exavation in BMS(40%)</t>
  </si>
  <si>
    <t>Total Rock Excavation(20%)</t>
  </si>
  <si>
    <t>Exavation in BMS(80%)</t>
  </si>
  <si>
    <t>Thickness</t>
  </si>
  <si>
    <t>Weight</t>
  </si>
  <si>
    <t>Steel Pipe of 10mm thickness</t>
  </si>
  <si>
    <t>Size of Shaft</t>
  </si>
  <si>
    <t>Size of Pipe</t>
  </si>
  <si>
    <t>Wiremesh For Shotcrete</t>
  </si>
  <si>
    <t>Butterfly Valve Chamber</t>
  </si>
  <si>
    <t xml:space="preserve">Crane Beam </t>
  </si>
  <si>
    <t xml:space="preserve">Foundation Including Pedestal </t>
  </si>
  <si>
    <t>Outlet portal</t>
  </si>
  <si>
    <t>Front and side</t>
  </si>
  <si>
    <t>Wiremesh for shotcrete</t>
  </si>
  <si>
    <t>Formwork for Anchor Blocks</t>
  </si>
  <si>
    <t>Reinforcement for Anchor Blocks</t>
  </si>
  <si>
    <t>Butterfly Valve Access Portal</t>
  </si>
  <si>
    <t>Access Valve Portal</t>
  </si>
  <si>
    <t>VALVE HOUSE ACCESS TUNNEL</t>
  </si>
  <si>
    <t>POWERHOUSE ADIT PORTAL</t>
  </si>
  <si>
    <t>POWERHOUSE ADIT TUNNEL</t>
  </si>
  <si>
    <t>Butterfly Valve Access Tunnel</t>
  </si>
  <si>
    <t>Powerhouse Adit Tunnel</t>
  </si>
  <si>
    <t>Powerhouse Adit Portal</t>
  </si>
  <si>
    <t>M-20 Backfill Concrete</t>
  </si>
  <si>
    <t>Size of D  Shaped Tunnel</t>
  </si>
  <si>
    <t>Rate (Nrs)</t>
  </si>
  <si>
    <t>U/S Earthern dam Phase 1</t>
  </si>
  <si>
    <t>U/S Stone masonry Phase 1</t>
  </si>
  <si>
    <t>u/s of weir crest</t>
  </si>
  <si>
    <t>D/S Stone masonry Phase 1</t>
  </si>
  <si>
    <t>d/s of weir crest</t>
  </si>
  <si>
    <t>U/S Earthern dam Phase 1I</t>
  </si>
  <si>
    <t>D/S Earthern dam Phase 1I</t>
  </si>
  <si>
    <t>Compacted backfill in dam</t>
  </si>
  <si>
    <t>Clay Core</t>
  </si>
  <si>
    <t>U/S Stone masonry Phase 1I</t>
  </si>
  <si>
    <t>D/S Stone masonry Phase 1I</t>
  </si>
  <si>
    <t>Stone Masonry</t>
  </si>
  <si>
    <t>0.3 m  deep boulders</t>
  </si>
  <si>
    <t xml:space="preserve">TOTAL COST </t>
  </si>
  <si>
    <t>25mm dia. 3m long Rock Bolts</t>
  </si>
  <si>
    <t>C20 Structural Concrete for Anchor Blocks</t>
  </si>
  <si>
    <t>Fixed Glaze with 3mm thick Shutter</t>
  </si>
  <si>
    <t>25mm dia. Rock Bolt  3m in Length</t>
  </si>
  <si>
    <t>Settling Basin Mechnical Flushing arrangement (S4)</t>
  </si>
  <si>
    <t>Invert Concrete</t>
  </si>
  <si>
    <t>Dome</t>
  </si>
  <si>
    <t>Concrete lining of C25</t>
  </si>
  <si>
    <t>Wire Mesh</t>
  </si>
  <si>
    <t>Total Cost of Civil Surface Works (A+B+D)</t>
  </si>
  <si>
    <t>Total Cost of Civil Underground Works (C)</t>
  </si>
  <si>
    <t>SUB-TOTAL OF B</t>
  </si>
  <si>
    <t>SUB-TOTAL OF D</t>
  </si>
  <si>
    <t>Total Cost of Whole Civil Works (A+B+C+D)</t>
  </si>
  <si>
    <t>Steel Rib of ISMB150</t>
  </si>
  <si>
    <t>Cal. By:</t>
  </si>
  <si>
    <t>S.P</t>
  </si>
  <si>
    <t>S.L</t>
  </si>
  <si>
    <t>MYAGDI KHOLA HPP (57.3 MW)</t>
  </si>
  <si>
    <t>MYAGDI DIVERSION WORKS</t>
  </si>
  <si>
    <t>B.K</t>
  </si>
  <si>
    <t>KUNABAN DIVERSION WORKS</t>
  </si>
  <si>
    <t>HM PIPE</t>
  </si>
  <si>
    <t>CONNECTING CANAL</t>
  </si>
  <si>
    <t>KUNABAN HEADWORKS RIVER PROTECTION</t>
  </si>
  <si>
    <t>KUNABAN WEIR AND STILLING BASIN</t>
  </si>
  <si>
    <t>KUNABAN UNDERSLUICE TRASHPASSAGE &amp; FISH LADDER</t>
  </si>
  <si>
    <t>INTAKE AND GRAVEL TRAP</t>
  </si>
  <si>
    <t>SETTLING BASIN, HEADPOND AND SPILLWAY</t>
  </si>
  <si>
    <t>HEADRACE PIPE</t>
  </si>
  <si>
    <t>APPROACH CANAL (OPTION 2)</t>
  </si>
  <si>
    <t>HEAD RACE TUNEL</t>
  </si>
  <si>
    <t>AERATIONTUNNEL</t>
  </si>
  <si>
    <t>DROP SHAFT OUTLET PORTAL</t>
  </si>
  <si>
    <t>VERTICAL DROP SHAFT</t>
  </si>
  <si>
    <t>VALVE HOUSE ACCESS PORTAL</t>
  </si>
  <si>
    <t>HORIZONTAL SHAFT 1</t>
  </si>
  <si>
    <t>POWERHOUSE</t>
  </si>
  <si>
    <t>SWITCHYARD</t>
  </si>
  <si>
    <t>TAILRACE CULVERT</t>
  </si>
  <si>
    <t>POWRHOUSE RIVER TRAINING WORKS</t>
  </si>
  <si>
    <t>Myagdi Khola HPP (57.3 MW)</t>
  </si>
  <si>
    <t>VALVE CHAMBER TUNNEL</t>
  </si>
  <si>
    <t>RATE</t>
  </si>
  <si>
    <t xml:space="preserve"> COST</t>
  </si>
  <si>
    <t>25mm dia 2m long Rockbolts (1.5m x 1.5m)</t>
  </si>
  <si>
    <t>Section 403.33 - 423.00</t>
  </si>
  <si>
    <t>Section 403.33- 423.00</t>
  </si>
  <si>
    <t xml:space="preserve">Access road </t>
  </si>
  <si>
    <t>Section 0.00-80.00</t>
  </si>
  <si>
    <t>Section 80.00 - 160.00</t>
  </si>
  <si>
    <t>Section 160.00 -240.00</t>
  </si>
  <si>
    <t>Section 240.00 - 308.00</t>
  </si>
  <si>
    <t>BMS Excavation(50%)</t>
  </si>
  <si>
    <t>Hard Rock Excavation(50%)</t>
  </si>
  <si>
    <t>Connecting Tunnel</t>
  </si>
  <si>
    <t>Connecting Tunnel Inlet Portal</t>
  </si>
  <si>
    <t>Connecting Tunnel Outlet Portal</t>
  </si>
  <si>
    <t>Length of Adit I</t>
  </si>
  <si>
    <t>Length of Adit II</t>
  </si>
  <si>
    <t>ID</t>
  </si>
  <si>
    <t>CW.01</t>
  </si>
  <si>
    <t>Reference to the Specifications Clauses</t>
  </si>
  <si>
    <t>CW.01.001</t>
  </si>
  <si>
    <t>11.2, 11.12</t>
  </si>
  <si>
    <t>CW.01.01</t>
  </si>
  <si>
    <r>
      <t xml:space="preserve"> Earthworks: </t>
    </r>
    <r>
      <rPr>
        <sz val="10"/>
        <rFont val="Gill Sans MT"/>
        <family val="2"/>
      </rPr>
      <t>Excavation of various types of  materials  including necessary haulage, disposal and management of excavated materials etc., compacted backfilling as required  and  all complete as per the Specifications and the Drawings</t>
    </r>
  </si>
  <si>
    <t>CW.03.02.001</t>
  </si>
  <si>
    <t>Lower Hongu Khola Small Hydropower Project</t>
  </si>
  <si>
    <t xml:space="preserve">Bill of Quantities for Construction of Civil Works </t>
  </si>
  <si>
    <t>Description of item</t>
  </si>
  <si>
    <t>Unit Price excluding VAT(NPR.)</t>
  </si>
  <si>
    <t>Total Price excluding VAT(NPR.)</t>
  </si>
  <si>
    <t>In Figure</t>
  </si>
  <si>
    <t>In Words</t>
  </si>
  <si>
    <t>River diversion during Construction</t>
  </si>
  <si>
    <t>Design, construction, restoration, maintenance and repair of all the damages to the coffer dams and the permannet structures during the entire construction period as per the Specifications and Basic Drawings provided</t>
  </si>
  <si>
    <t>Total cost of River Diversion Works (CW.01)</t>
  </si>
  <si>
    <t>CW.02</t>
  </si>
  <si>
    <t xml:space="preserve">Weir and Stilling Basin </t>
  </si>
  <si>
    <t>CW.02.01</t>
  </si>
  <si>
    <t>CW.02.01.001</t>
  </si>
  <si>
    <r>
      <t>m</t>
    </r>
    <r>
      <rPr>
        <vertAlign val="superscript"/>
        <sz val="10"/>
        <rFont val="Gill Sans MT"/>
        <family val="2"/>
      </rPr>
      <t>2</t>
    </r>
  </si>
  <si>
    <t>CW.02.02</t>
  </si>
  <si>
    <r>
      <t>m</t>
    </r>
    <r>
      <rPr>
        <vertAlign val="superscript"/>
        <sz val="10"/>
        <rFont val="Gill Sans MT"/>
        <family val="2"/>
      </rPr>
      <t>3</t>
    </r>
  </si>
  <si>
    <t>CW.02.02.001</t>
  </si>
  <si>
    <t>Boulder mixed and common soil</t>
  </si>
  <si>
    <t>CW.02.02.002</t>
  </si>
  <si>
    <t>Surface Rock excavation</t>
  </si>
  <si>
    <t>CW.02.03</t>
  </si>
  <si>
    <t>CW.02.03.001</t>
  </si>
  <si>
    <t xml:space="preserve">Providing, preparing and installing formwork including necessary supports and removing after completion and all complete works as per the Specifications and Drawings  </t>
  </si>
  <si>
    <t>CW.02.04</t>
  </si>
  <si>
    <r>
      <rPr>
        <b/>
        <sz val="10"/>
        <rFont val="Gill Sans MT"/>
        <family val="2"/>
      </rPr>
      <t>Concrete Works:</t>
    </r>
    <r>
      <rPr>
        <sz val="10"/>
        <rFont val="Gill Sans MT"/>
        <family val="2"/>
      </rPr>
      <t xml:space="preserve"> Providing and placing of various grades of the concrete including compaction, curing , testing etc. and all complete as per the Specifications and the Drawings</t>
    </r>
  </si>
  <si>
    <t>CW.02.04.001</t>
  </si>
  <si>
    <t xml:space="preserve">Blinding concrete of C15 grade </t>
  </si>
  <si>
    <t>CW.02.04.002</t>
  </si>
  <si>
    <t xml:space="preserve"> Plum Concrete of C20 with 30% Plum </t>
  </si>
  <si>
    <t>CW.02.04.003</t>
  </si>
  <si>
    <t>Concrete of grade C25</t>
  </si>
  <si>
    <t>CW.02.04.004</t>
  </si>
  <si>
    <t>Concrete of grade C35</t>
  </si>
  <si>
    <t>CW.02.05</t>
  </si>
  <si>
    <t>Steel Reinforcement</t>
  </si>
  <si>
    <t>CW.02.05.001</t>
  </si>
  <si>
    <t>CW.02.06</t>
  </si>
  <si>
    <r>
      <rPr>
        <b/>
        <sz val="10"/>
        <rFont val="Gill Sans MT"/>
        <family val="2"/>
      </rPr>
      <t>Boulder Rip-Rap</t>
    </r>
    <r>
      <rPr>
        <sz val="10"/>
        <rFont val="Gill Sans MT"/>
        <family val="2"/>
      </rPr>
      <t>:Providing and placing boulder lining / rip-rap of the specified size with all complete as per Specifications and the Drawings</t>
    </r>
  </si>
  <si>
    <t>CW.02.06.001</t>
  </si>
  <si>
    <t>Boulder Rip-Rap of 1.5m dia</t>
  </si>
  <si>
    <t>CW.02.06.002</t>
  </si>
  <si>
    <t>Boulder Rip-Rap of 2m dia</t>
  </si>
  <si>
    <t>CW.02.07</t>
  </si>
  <si>
    <t>CW.02.07.001</t>
  </si>
  <si>
    <t xml:space="preserve">Providing and placing 0.5m thick Clay Blanket with compaction and all complete as per the Specifications and Drawings </t>
  </si>
  <si>
    <t>CW.02.08</t>
  </si>
  <si>
    <t>Gravel, sand mix layer</t>
  </si>
  <si>
    <t>CW.02.08.001</t>
  </si>
  <si>
    <t>Providing and placing 0.4m thick Sand &amp; river Gravel Layer as per the Specificaitons and the Drawings</t>
  </si>
  <si>
    <t>CW.02.09</t>
  </si>
  <si>
    <r>
      <rPr>
        <b/>
        <sz val="10"/>
        <rFont val="Gill Sans MT"/>
        <family val="2"/>
      </rPr>
      <t>Joints:</t>
    </r>
    <r>
      <rPr>
        <sz val="10"/>
        <rFont val="Gill Sans MT"/>
        <family val="2"/>
      </rPr>
      <t xml:space="preserve"> Providing and placing the expansion/ contraction joints at all in position as per the  Drawings and all complete as per the Sspecifications </t>
    </r>
  </si>
  <si>
    <t>CW.02.09.001</t>
  </si>
  <si>
    <t>CW.02.09.002</t>
  </si>
  <si>
    <t>CW.02.09.003</t>
  </si>
  <si>
    <t>CW.02.09.004</t>
  </si>
  <si>
    <t>ISA 75 mm x 75 mm full set</t>
  </si>
  <si>
    <t>Total cost of Weir &amp; Stilling Basins (CW.02)</t>
  </si>
  <si>
    <t>CW.03</t>
  </si>
  <si>
    <t>Undersluice &amp; Trash Passage including DS Flood Wall</t>
  </si>
  <si>
    <t>CW.03.01</t>
  </si>
  <si>
    <t>CW.03.01.001</t>
  </si>
  <si>
    <t xml:space="preserve">Preparation of construction area by clearing, grubbing, uprroting and  cutting of trees, removing the roots, carrying and disposal of the uncerviceable materials and stockpiling of serviceable materials at specified area </t>
  </si>
  <si>
    <t>CW.03.02</t>
  </si>
  <si>
    <r>
      <t xml:space="preserve"> Excavation: </t>
    </r>
    <r>
      <rPr>
        <sz val="10"/>
        <rFont val="Gill Sans MT"/>
        <family val="2"/>
      </rPr>
      <t>Excavation of various types of  materials  including necessary haulage, disposal and management of excavated materials etc., and  all complete as per the Specifications and the Drawings</t>
    </r>
  </si>
  <si>
    <t>CW.03.03</t>
  </si>
  <si>
    <t>CW.03.03.001</t>
  </si>
  <si>
    <t>Compacted back filing with non-cohesive materials as per the Drawings and the Specifications</t>
  </si>
  <si>
    <t>CW.03.04</t>
  </si>
  <si>
    <t>CW.03.04.001</t>
  </si>
  <si>
    <t>CW.03.05</t>
  </si>
  <si>
    <t>CW.03.05.001</t>
  </si>
  <si>
    <t>CW.03.05.002</t>
  </si>
  <si>
    <t>CW.03.05.003</t>
  </si>
  <si>
    <t>CW.03.05.004</t>
  </si>
  <si>
    <t>Concrete of grade C60</t>
  </si>
  <si>
    <t>CW.03.06</t>
  </si>
  <si>
    <t>CW.03.06.001</t>
  </si>
  <si>
    <t>CW.03.07</t>
  </si>
  <si>
    <t>Hardstone Lining</t>
  </si>
  <si>
    <t>CW.03.07.001</t>
  </si>
  <si>
    <t>Providing and laying of 400 mm thick Hard Stone Linning with non shrinkable rich mortar including curing and all complete as per the Specifications and the Drawings</t>
  </si>
  <si>
    <t>CW.03.08</t>
  </si>
  <si>
    <t>Steel Lining</t>
  </si>
  <si>
    <t>CW.03.08.001</t>
  </si>
  <si>
    <t>25.3.5,18.9.5</t>
  </si>
  <si>
    <t>Providing, placing, anchoring, fixing with necessary grouting of 16 mm thick steel lining</t>
  </si>
  <si>
    <t>CW.03.09</t>
  </si>
  <si>
    <t xml:space="preserve">Gabion Works </t>
  </si>
  <si>
    <t>CW.03.09.001</t>
  </si>
  <si>
    <t>Gabion Works with all materials and all complete as per the Specifications and the Drawings</t>
  </si>
  <si>
    <t>CW.03.10</t>
  </si>
  <si>
    <t>Stone masonry Works</t>
  </si>
  <si>
    <t>CW.03.10.001</t>
  </si>
  <si>
    <t>Stone masonry Works in 1:6 cement mortar with all materials and all complete as per the Specifications and the Drawings</t>
  </si>
  <si>
    <t>CW.03.10.002</t>
  </si>
  <si>
    <t>Stone masonry Works in 1:4 cement mortar with all materials and all complete as per the Specifications and the Drawings</t>
  </si>
  <si>
    <t>CW.03.11</t>
  </si>
  <si>
    <r>
      <rPr>
        <b/>
        <sz val="10"/>
        <rFont val="Gill Sans MT"/>
        <family val="2"/>
      </rPr>
      <t xml:space="preserve">Joints: </t>
    </r>
    <r>
      <rPr>
        <sz val="10"/>
        <rFont val="Gill Sans MT"/>
        <family val="2"/>
      </rPr>
      <t xml:space="preserve">Providing and placing the expansion/ contraction joints all in position as per the  drawings and all complete as per the specifications </t>
    </r>
  </si>
  <si>
    <t>CW.03.11.001</t>
  </si>
  <si>
    <t>CW.03.11.002</t>
  </si>
  <si>
    <t>CW.03.11.003</t>
  </si>
  <si>
    <t>CW.03.11.004</t>
  </si>
  <si>
    <t>ISA 75 * 75 full set</t>
  </si>
  <si>
    <t>CW.03.12</t>
  </si>
  <si>
    <t>23.2.2</t>
  </si>
  <si>
    <t>Providing and laying graded Filter materials with all complete as per the specifications and the drawings</t>
  </si>
  <si>
    <t>CW.03.13</t>
  </si>
  <si>
    <t>23.2.3</t>
  </si>
  <si>
    <t>Providing and placing geotextile as per the specification and the drawings</t>
  </si>
  <si>
    <t>CW.03.14</t>
  </si>
  <si>
    <r>
      <t xml:space="preserve">Providing and laying </t>
    </r>
    <r>
      <rPr>
        <b/>
        <sz val="10"/>
        <rFont val="Gill Sans MT"/>
        <family val="2"/>
      </rPr>
      <t xml:space="preserve">300 mm dia </t>
    </r>
    <r>
      <rPr>
        <sz val="10"/>
        <rFont val="Gill Sans MT"/>
        <family val="2"/>
      </rPr>
      <t>Perforated HDPE pipes</t>
    </r>
  </si>
  <si>
    <t>Total cost of Undersluice &amp; Trash Passage including DS Flood Wall (CW.03)</t>
  </si>
  <si>
    <t>CW.04</t>
  </si>
  <si>
    <t>Intake, gravel trap and gravel flushing</t>
  </si>
  <si>
    <t>CW.04.01</t>
  </si>
  <si>
    <t>CW.04.01.001</t>
  </si>
  <si>
    <t>CW.04.02</t>
  </si>
  <si>
    <t>CW.04.02.001</t>
  </si>
  <si>
    <t>CW.04.03</t>
  </si>
  <si>
    <t>CW.04.03.001</t>
  </si>
  <si>
    <t>CW.04.04</t>
  </si>
  <si>
    <t>CW.04.04.001</t>
  </si>
  <si>
    <t>CW.04.05</t>
  </si>
  <si>
    <t>CW.04.05.001</t>
  </si>
  <si>
    <t>CW.04.05.002</t>
  </si>
  <si>
    <t>CW.04.05.003</t>
  </si>
  <si>
    <t>CW.04.05.004</t>
  </si>
  <si>
    <t>CW.04.06</t>
  </si>
  <si>
    <t>CW.04.06.001</t>
  </si>
  <si>
    <t>CW.04.07</t>
  </si>
  <si>
    <t>CW.04.07.001</t>
  </si>
  <si>
    <t>CW.04.08</t>
  </si>
  <si>
    <t>Steel lining</t>
  </si>
  <si>
    <t>CW.04.09</t>
  </si>
  <si>
    <t>CW.04.09.001</t>
  </si>
  <si>
    <t>CW.04.09.002</t>
  </si>
  <si>
    <t>CW.04.10.</t>
  </si>
  <si>
    <t>CW.04.10.001</t>
  </si>
  <si>
    <t>CW.04.10.002</t>
  </si>
  <si>
    <t>CW.04.10.003</t>
  </si>
  <si>
    <t>CW.04.11</t>
  </si>
  <si>
    <t>CW.04.12</t>
  </si>
  <si>
    <t>CW.04.13</t>
  </si>
  <si>
    <t>Total cost of Intake, gravel trap and gravel flushing (CW.04)</t>
  </si>
  <si>
    <t>CW.05</t>
  </si>
  <si>
    <t>CW.05.01</t>
  </si>
  <si>
    <t>CW.05.01.001</t>
  </si>
  <si>
    <t>CW.05.02</t>
  </si>
  <si>
    <t>CW.05.02.001</t>
  </si>
  <si>
    <t>CW.05.02.002</t>
  </si>
  <si>
    <t>CW.05.03</t>
  </si>
  <si>
    <t>CW.05.03.001</t>
  </si>
  <si>
    <t>CW.05.04</t>
  </si>
  <si>
    <t>CW.05.04.001</t>
  </si>
  <si>
    <t>CW.05.05</t>
  </si>
  <si>
    <t>CW.05.05.001</t>
  </si>
  <si>
    <t>CW.05.05.002</t>
  </si>
  <si>
    <t>CW.05.06</t>
  </si>
  <si>
    <t>CW.05.06.001</t>
  </si>
  <si>
    <t>CW.05.07</t>
  </si>
  <si>
    <t>CW.05.07.001</t>
  </si>
  <si>
    <t>CW.05.08</t>
  </si>
  <si>
    <t>CW.05.08.001</t>
  </si>
  <si>
    <t>CW.05.08.002</t>
  </si>
  <si>
    <t>CW.05.08.003</t>
  </si>
  <si>
    <t>Total cost of approach canal (CW.05)</t>
  </si>
  <si>
    <t>CW.06</t>
  </si>
  <si>
    <t>Settling basin and Flushing Culvert</t>
  </si>
  <si>
    <t>CW.06.01</t>
  </si>
  <si>
    <t>CW.06.01.001</t>
  </si>
  <si>
    <t>CW.06.02</t>
  </si>
  <si>
    <t>CW.06.02.001</t>
  </si>
  <si>
    <t>CW.06.02.002</t>
  </si>
  <si>
    <t>CW.06.03</t>
  </si>
  <si>
    <t>CW.06.03.001</t>
  </si>
  <si>
    <t>CW.06.04</t>
  </si>
  <si>
    <t>CW.06.04.001</t>
  </si>
  <si>
    <t>CW.06.05</t>
  </si>
  <si>
    <t>CW.06.05.001</t>
  </si>
  <si>
    <t>CW.06.05.002</t>
  </si>
  <si>
    <t>CW.06.05.003</t>
  </si>
  <si>
    <t>CW.06.06</t>
  </si>
  <si>
    <t>CW.06.06.001</t>
  </si>
  <si>
    <t>CW.06.07</t>
  </si>
  <si>
    <t>CW.06.07.001</t>
  </si>
  <si>
    <t>Stone masonry Works with all materials and all complete as per the Specifications and the Drawings</t>
  </si>
  <si>
    <t>CW.06.08</t>
  </si>
  <si>
    <t>Rock Bolt</t>
  </si>
  <si>
    <t>CW.06.08.001</t>
  </si>
  <si>
    <t>Supplying and Installing of rock bolt (L= 2.5 m and 20 mm dia ) including drilling and grouting etc. all complete as per the specifications and the drawings</t>
  </si>
  <si>
    <t>CW.06.09</t>
  </si>
  <si>
    <t>CW.06.09.001</t>
  </si>
  <si>
    <t>Providing and placing 100 mm thick plain shortcrete including compaction, curing , testing etc. all complete as per the specifications and the drawings</t>
  </si>
  <si>
    <t>CW.06.10</t>
  </si>
  <si>
    <t>CW.06.10.001</t>
  </si>
  <si>
    <t>Providing and laying wire mesh for shotcrete</t>
  </si>
  <si>
    <t>CW.06.11</t>
  </si>
  <si>
    <t>Drainage works</t>
  </si>
  <si>
    <t>CW.06.11.001</t>
  </si>
  <si>
    <t>100mm dia PVC Perforated pipe for drainage hole</t>
  </si>
  <si>
    <t>CW.06.11.002</t>
  </si>
  <si>
    <t>200mm dia Drainage pipe(Perforated)</t>
  </si>
  <si>
    <t>CW.06.11.003</t>
  </si>
  <si>
    <t>Providing and laying gravel sand filter  with all complete as per the specifications and the drawings</t>
  </si>
  <si>
    <t>CW.06.11.004</t>
  </si>
  <si>
    <t>CW.06.12</t>
  </si>
  <si>
    <t>CW.06.12.001</t>
  </si>
  <si>
    <t>CW.06.12.002</t>
  </si>
  <si>
    <t>CW.06.12.003</t>
  </si>
  <si>
    <t>Total cost of Settling basin (CW.06)</t>
  </si>
  <si>
    <t>CW.07</t>
  </si>
  <si>
    <t>Power culvert</t>
  </si>
  <si>
    <t>CW.07.01</t>
  </si>
  <si>
    <t>CW.07.01.001</t>
  </si>
  <si>
    <t>CW.07.02</t>
  </si>
  <si>
    <t>CW.07.02.001</t>
  </si>
  <si>
    <t>CW.07.03</t>
  </si>
  <si>
    <t>CW.07.03.001</t>
  </si>
  <si>
    <t>CW.07.04</t>
  </si>
  <si>
    <t>CW.07.04.001</t>
  </si>
  <si>
    <t>CW.07.05</t>
  </si>
  <si>
    <t>CW.07.05.001</t>
  </si>
  <si>
    <t>CW.07.05.002</t>
  </si>
  <si>
    <t>CW.07.06</t>
  </si>
  <si>
    <t>CW.07.06.001</t>
  </si>
  <si>
    <t>CW.07.11</t>
  </si>
  <si>
    <t>CW.07.11.001</t>
  </si>
  <si>
    <t>CW.07.11.002</t>
  </si>
  <si>
    <t>CW.07.11.003</t>
  </si>
  <si>
    <t>Total cost of Power culvert (CW.07)</t>
  </si>
  <si>
    <t>CW.08</t>
  </si>
  <si>
    <t>CW.08.01</t>
  </si>
  <si>
    <t>CW.08.01.001</t>
  </si>
  <si>
    <t>CW.08.02</t>
  </si>
  <si>
    <t>CW.08.02.001</t>
  </si>
  <si>
    <t>CW.08.02.002</t>
  </si>
  <si>
    <t>Boulder mixed soil excavation</t>
  </si>
  <si>
    <t>CW.08.03</t>
  </si>
  <si>
    <t>CW.08.03.001</t>
  </si>
  <si>
    <t>CW.08.04</t>
  </si>
  <si>
    <t>Supplying and Installing of rock bolt (L= 2.5 m and 20 mm dia ) in fractured rock  including drilling and grouting etc. all complete as per the specifications and the drawings</t>
  </si>
  <si>
    <t>CW.08.05</t>
  </si>
  <si>
    <t>Supplying and Installing of Spiling bolt (L= 6 m and 20 mm dia ) in fractured rock  including drilling and grouting etc. all complete as per the specifications and the drawings</t>
  </si>
  <si>
    <t>nos,</t>
  </si>
  <si>
    <t>CW.08.06</t>
  </si>
  <si>
    <t>Shotcrete work</t>
  </si>
  <si>
    <t>CW.08.06.001</t>
  </si>
  <si>
    <t>Providing and placing 100 mm thick  steel fibre shortcrete including compaction, curing , testing etc. all complete as per the specifications and the drawings</t>
  </si>
  <si>
    <t>Total cost of Inlet Portal (CW.08)</t>
  </si>
  <si>
    <t>CW.09</t>
  </si>
  <si>
    <t>CW.09.01</t>
  </si>
  <si>
    <t>Rock exavation in tunnel including cost of explosive and all materials, blasting, mucking, provision of air,ventilation , lighting, water, dewatering,  pumping, disposal and management of muck within the project site at the location provided by the Employer and all complete as per the specifications.</t>
  </si>
  <si>
    <t>CW.09.01.001</t>
  </si>
  <si>
    <t>Underground Rock Excavation in rock class I to III</t>
  </si>
  <si>
    <t>CW.09.01.002</t>
  </si>
  <si>
    <t>Underground Rock Excavation  in rock class IV to VI</t>
  </si>
  <si>
    <t>CW.09.02</t>
  </si>
  <si>
    <t>Shotcrete Work</t>
  </si>
  <si>
    <t>CW.09.02.001</t>
  </si>
  <si>
    <t>Providing and placing 50 mm thick plain shortcrete including compaction, curing , testing etc. all complete as per the specifications and the drawings</t>
  </si>
  <si>
    <t>CW.09.02.002</t>
  </si>
  <si>
    <t>Providing and placing 75 mm thick plain shortcrete including compaction, curing , testing etc. all complete as per the specifications and the drawings</t>
  </si>
  <si>
    <t>CW.09.02.003</t>
  </si>
  <si>
    <t>Providing and placing 75 mm thick  steel fibre shortcrete including compaction, curing , testing etc. all complete as per the specifications and the drawings</t>
  </si>
  <si>
    <t>CW.09.02.004</t>
  </si>
  <si>
    <t>CW.09.02.005</t>
  </si>
  <si>
    <t>Providing and placing 120 mm thick  steel fibre shortcrete including compaction, curing , testing etc. all complete as per the specifications and the drawings</t>
  </si>
  <si>
    <t>CW.09.02.006</t>
  </si>
  <si>
    <t>Providing and placing 150 mm thick  steel fibre shortcrete including compaction, curing , testing etc. all complete as per the specifications and the drawings</t>
  </si>
  <si>
    <t>CW.09.03</t>
  </si>
  <si>
    <t>CW.09.03.001</t>
  </si>
  <si>
    <t>CW.09.04</t>
  </si>
  <si>
    <t>CW.09.04.001</t>
  </si>
  <si>
    <t>CW.09.05</t>
  </si>
  <si>
    <t>CW.09.05.001</t>
  </si>
  <si>
    <t>CW.09.06</t>
  </si>
  <si>
    <t>Supplying and Installing of rock bolt (L= 2.5 m and 20 mm dia  including drilling and grouting etc. all complete as per the specifications and the drawings</t>
  </si>
  <si>
    <t>CW.09.07</t>
  </si>
  <si>
    <t>CW.09.08</t>
  </si>
  <si>
    <t>Providing and installing steel ribs  ISMB 150 including fixing materials, tie bars etc.</t>
  </si>
  <si>
    <t>CW.09.09</t>
  </si>
  <si>
    <t>Providing and laying wire mesh for tunneling works including fixing and all complete as per specifications and drawing</t>
  </si>
  <si>
    <t>CW.09.10</t>
  </si>
  <si>
    <t xml:space="preserve">Grouting </t>
  </si>
  <si>
    <t>CW.09.10.001</t>
  </si>
  <si>
    <t>Contact and/or injection grouting  works inclusive of all materials and admixtures but except drilling works required for grouting</t>
  </si>
  <si>
    <t>CW.09.10.002</t>
  </si>
  <si>
    <t xml:space="preserve">Drilling for grouting including the grout pipe </t>
  </si>
  <si>
    <t>Total cost of headrace Tunnel (CW.09)</t>
  </si>
  <si>
    <t>CW.10</t>
  </si>
  <si>
    <t>Surge Shaft &amp; Surge shaft Access tunnel</t>
  </si>
  <si>
    <t>CW.10.01</t>
  </si>
  <si>
    <t>CW.10.01.001</t>
  </si>
  <si>
    <t>CW.10.02</t>
  </si>
  <si>
    <t>CW.10.02.001</t>
  </si>
  <si>
    <t xml:space="preserve">Excavation of surface rock including cost of explosive and all materials, necessary haulage, disposal and management of excavated materials etc., </t>
  </si>
  <si>
    <t>CW.10.02.002</t>
  </si>
  <si>
    <t xml:space="preserve">Surface excavation of boulder mixed soil  including necessary haulage, disposal and management of excavated materials etc., </t>
  </si>
  <si>
    <t>CW.10.02.003</t>
  </si>
  <si>
    <r>
      <t xml:space="preserve">Underground Rock exavation in </t>
    </r>
    <r>
      <rPr>
        <b/>
        <sz val="10"/>
        <rFont val="Gill Sans MT"/>
        <family val="2"/>
      </rPr>
      <t>Access tunnel</t>
    </r>
    <r>
      <rPr>
        <sz val="10"/>
        <rFont val="Gill Sans MT"/>
        <family val="2"/>
      </rPr>
      <t>, irrespective of rock type in tunnel, including the cost of explosive and all materials, blasting, mucking, provision of air,ventilation , lighting, water, dewatering,  pumping, disposal and management of muck within the project Site in the location as specified by the Employer and all complete as per the specifications.</t>
    </r>
  </si>
  <si>
    <t>CW.10.02.004</t>
  </si>
  <si>
    <r>
      <t>Underground Rock exavation in</t>
    </r>
    <r>
      <rPr>
        <b/>
        <sz val="10"/>
        <rFont val="Gill Sans MT"/>
        <family val="2"/>
      </rPr>
      <t xml:space="preserve"> surge shaft,</t>
    </r>
    <r>
      <rPr>
        <sz val="10"/>
        <rFont val="Gill Sans MT"/>
        <family val="2"/>
      </rPr>
      <t xml:space="preserve"> irrespective of encountered rock type, including the cost of explosive and all materials, blasting, mucking, provision of air,ventilation , lighting, water, dewatering,  pumping, disposal and management of muck within the  the project site at the location provided by the Employer and all complete as per the specifications.</t>
    </r>
  </si>
  <si>
    <t>CW.10.03</t>
  </si>
  <si>
    <t>CW.10.03.001</t>
  </si>
  <si>
    <t>CW.10.04</t>
  </si>
  <si>
    <t>CW.10.04.001</t>
  </si>
  <si>
    <t>CW.10.05</t>
  </si>
  <si>
    <t>CW.10.05.001</t>
  </si>
  <si>
    <t xml:space="preserve">Providing, preparing and installing of steel formwork including necessary supports and removing after completion and all complete works as per the Specifications and Drawings  </t>
  </si>
  <si>
    <t>CW.10.06</t>
  </si>
  <si>
    <t>CW.10.06.001</t>
  </si>
  <si>
    <t>CW.10.06.002</t>
  </si>
  <si>
    <t>Providing and placing 150 mm thick plain shortcrete including compaction, curing , testing etc. all complete as per the specifications and the drawings</t>
  </si>
  <si>
    <t>CW.10.07</t>
  </si>
  <si>
    <t>Rock bolt</t>
  </si>
  <si>
    <t>CW.10.07.001</t>
  </si>
  <si>
    <t>Supplying and Installing of rock bolt (L= 2 m and 20 mm dia ) in fractured rock  including drilling and grouting etc. all complete as per the specifications and the drawings</t>
  </si>
  <si>
    <t>CW.10.07.002</t>
  </si>
  <si>
    <t>Supplying and Installing of rock bolt (L= 3.5 m and 20 mm dia ) in fractured rock  including drilling and grouting etc. all complete as per the specifications and the drawings</t>
  </si>
  <si>
    <t>CW.10.08</t>
  </si>
  <si>
    <t>CW.10.08.001</t>
  </si>
  <si>
    <t>CW.10.08.002</t>
  </si>
  <si>
    <t>Total cost of Surgeshaft (CW.10)</t>
  </si>
  <si>
    <t>CW.11</t>
  </si>
  <si>
    <t>Vertical Drop shaft and horizontal shaft</t>
  </si>
  <si>
    <t>CW.11.01</t>
  </si>
  <si>
    <t>Underground Excavation works</t>
  </si>
  <si>
    <t>CW.11.01.001</t>
  </si>
  <si>
    <t>Underground Rock exavation in horizontal tunnel, irrespective of encountered rock type,  including the cost of explosive and all materials,  blasting, mucking, provision of air ventilation , lighting, water, dewatering,  pumping, disposal and management of muck within the project site at the location provided by the Employer and all complete as per the specifications.</t>
  </si>
  <si>
    <t>CW.11.01.002</t>
  </si>
  <si>
    <t>Underground Rock exavation in vertical drop shaft, irrespective of encountered rock type,  including the cost of explosive and all materials, blasting, mucking, provision of air,ventilation , lighting, water, dewatering,  pumping, disposal and management of muck within the project site at the location provided by the Employer and all complete as per the specifications.</t>
  </si>
  <si>
    <t>CW.11.02</t>
  </si>
  <si>
    <t>CW.11.02.001</t>
  </si>
  <si>
    <t>CW.11.03</t>
  </si>
  <si>
    <t>CW.11.03.001</t>
  </si>
  <si>
    <t>CW.11.04</t>
  </si>
  <si>
    <t>CW.11.04.001</t>
  </si>
  <si>
    <t>CW.11.05</t>
  </si>
  <si>
    <t>CW.11.06</t>
  </si>
  <si>
    <t>CW.11.06.001</t>
  </si>
  <si>
    <t>Supplying and Installing of rock bolt (L= 6 m and 25 mm dia ) in fractured rock  including drilling and grouting etc. all complete as per the specifications and the drawings</t>
  </si>
  <si>
    <t>CW.11.06.002</t>
  </si>
  <si>
    <t>Supplying and Installing of rock bolt (L= 2.5 m and 25 mm dia ) in fractured rock  including drilling and grouting etc. all complete as per the specifications and the drawings</t>
  </si>
  <si>
    <t>Total cost of Vertical drop shaft and horizontal shaft (CW.11)</t>
  </si>
  <si>
    <t>CW.12</t>
  </si>
  <si>
    <t>CW.12.01</t>
  </si>
  <si>
    <t>Excavation works</t>
  </si>
  <si>
    <t>CW.12.01.001</t>
  </si>
  <si>
    <t>Underground Rock exavation of powerhouse cavern, irrespective of encountered rock type, including the cost of explosive and all materials, blasting, mucking, provision of air,ventilation , lighting, water, dewatering,  pumping, disposal and management of muck within  the project site at the location provided by the Employer and all complete as per the specifications.</t>
  </si>
  <si>
    <t>CW.12.02</t>
  </si>
  <si>
    <t>CW.12.02.001</t>
  </si>
  <si>
    <t>CW.12.02.002</t>
  </si>
  <si>
    <t>Concrete of grade C30</t>
  </si>
  <si>
    <t>CW.12.03</t>
  </si>
  <si>
    <t>CW.12.03.001</t>
  </si>
  <si>
    <t>CW.12.04</t>
  </si>
  <si>
    <t>CW.12.04.001</t>
  </si>
  <si>
    <t>CW.12.05</t>
  </si>
  <si>
    <t>CW.12.05.001</t>
  </si>
  <si>
    <t>CW.12.05.002</t>
  </si>
  <si>
    <t xml:space="preserve">Providing and Placing CGI sheet </t>
  </si>
  <si>
    <t>CW.12.06</t>
  </si>
  <si>
    <t>Brick masonry works with 1:4 c/s mortar</t>
  </si>
  <si>
    <t>CW.12.07</t>
  </si>
  <si>
    <t>Providing and fixing window of glazed pannel</t>
  </si>
  <si>
    <t>CW.12.08</t>
  </si>
  <si>
    <t>Temporary Supports</t>
  </si>
  <si>
    <t>CW.12.08.001</t>
  </si>
  <si>
    <t>Supplying and Installing of rock bolt (L= 3 m and 25 mm dia ) including drilling and grouting etc. all complete as per the specifications and the drawings</t>
  </si>
  <si>
    <t>CW.12.08.002</t>
  </si>
  <si>
    <t>Supplying and Installing of Spiling bolt (L= 6 m and 28 mm dia ) including drilling and grouting etc. all complete as per the specifications and the drawings</t>
  </si>
  <si>
    <t>CW.12.08.003</t>
  </si>
  <si>
    <t>Providing and placing 150 mm thick fibre reinforced shortcrete including compaction, curing , testing etc. all complete as per the specifications and the drawings</t>
  </si>
  <si>
    <t>CW.12.09</t>
  </si>
  <si>
    <t>Permanent Supports</t>
  </si>
  <si>
    <t>CW.12.09.001</t>
  </si>
  <si>
    <t>CW.12.09.002</t>
  </si>
  <si>
    <t>13,21</t>
  </si>
  <si>
    <r>
      <t xml:space="preserve">Providing and installing of </t>
    </r>
    <r>
      <rPr>
        <b/>
        <sz val="10"/>
        <rFont val="Gill Sans MT"/>
        <family val="2"/>
      </rPr>
      <t>steel Lattice Girder</t>
    </r>
    <r>
      <rPr>
        <sz val="10"/>
        <rFont val="Gill Sans MT"/>
        <family val="2"/>
      </rPr>
      <t xml:space="preserve"> at Crown including the cost of binding, welding, fixing, tying etc. and all complete as per the drawings and the specifications</t>
    </r>
  </si>
  <si>
    <t>CW.12.09.003</t>
  </si>
  <si>
    <t>Providing and placing 160 mm thick plain shortcrete including compaction, curing , testing etc. all complete as per the specifications and the drawings</t>
  </si>
  <si>
    <t>CW.12.09.004</t>
  </si>
  <si>
    <t>Providing and placing 200 mm thick plain shortcrete including compaction, curing , testing etc. all complete as per the specifications and the drawings</t>
  </si>
  <si>
    <t>CW.12.09.005</t>
  </si>
  <si>
    <t>Supply and placing of wire mesh with 6 mm dia bars including tying all complete as per the specifications and the Drawings</t>
  </si>
  <si>
    <t>CW.12.10</t>
  </si>
  <si>
    <t>CW.12.10.001</t>
  </si>
  <si>
    <t>CW.12.10.002</t>
  </si>
  <si>
    <t>Total cost of Powerhouse  (CW.12)</t>
  </si>
  <si>
    <t>CW.13</t>
  </si>
  <si>
    <t>Powerhouse access tunnel and tailrace tunnel</t>
  </si>
  <si>
    <t>CW.13.01</t>
  </si>
  <si>
    <t>CW.13.01.001</t>
  </si>
  <si>
    <t>Underground Rock exavation in tunnel, irrespective of encountered rock type, including the cost of explosive and all materials, blasting, mucking, provision of air,ventilation , lighting, water, dewatering,  pumping, disposal and management of muck within  the project site at the location provided by the Employer and all complete as per the specifications.</t>
  </si>
  <si>
    <t>CW.13.02</t>
  </si>
  <si>
    <t>CW.13.02.001</t>
  </si>
  <si>
    <t>Concrete of grade C15</t>
  </si>
  <si>
    <t>CW.13.02.002</t>
  </si>
  <si>
    <t>Concrete of grade C20</t>
  </si>
  <si>
    <t>CW.13.03</t>
  </si>
  <si>
    <t>CW.13.03.001</t>
  </si>
  <si>
    <t>CW.13.04</t>
  </si>
  <si>
    <t>CW.13.04.001</t>
  </si>
  <si>
    <t>CW.13.05</t>
  </si>
  <si>
    <t>CW.13.06</t>
  </si>
  <si>
    <t>CW.13.07</t>
  </si>
  <si>
    <t>CW.13.08</t>
  </si>
  <si>
    <t>CW.13.08.001</t>
  </si>
  <si>
    <t>CW.13.08.002</t>
  </si>
  <si>
    <t>Total cost of Powerhouse Access and tailrace Tunnel (CW.13)</t>
  </si>
  <si>
    <t>CW.14</t>
  </si>
  <si>
    <t>CW.14.01</t>
  </si>
  <si>
    <t>CW.14.01.001</t>
  </si>
  <si>
    <t>11.2,11.12</t>
  </si>
  <si>
    <t>CW.14.02</t>
  </si>
  <si>
    <t>CW.14.02.001</t>
  </si>
  <si>
    <t>Excavation of surface rock  including necessary haulage, disposal and management of excavated materials etc., and all complete as per the Specifications and the Drawings</t>
  </si>
  <si>
    <t>CW.14.03</t>
  </si>
  <si>
    <t>CW.14.03.001</t>
  </si>
  <si>
    <t>CW.14.04</t>
  </si>
  <si>
    <t>CW.14.04.001</t>
  </si>
  <si>
    <t>CW.14.05</t>
  </si>
  <si>
    <t>CW.14.05.001</t>
  </si>
  <si>
    <t xml:space="preserve">Providing, preparing and installing of  formwork including necessary supports and removing after completion and all complete works as per the Specifications and Drawings  </t>
  </si>
  <si>
    <t>CW.14.06</t>
  </si>
  <si>
    <t>Providing and placing 100 mm thick fibre reinforced shortcrete including compaction, curing , testing etc. all complete as per the specifications and the drawings</t>
  </si>
  <si>
    <t>CW.14.07</t>
  </si>
  <si>
    <t>Supplying and Installing of rock bolt (L= 2.5 m and 25 mm dia ) including drilling and grouting etc. all complete as per the specifications and the drawings</t>
  </si>
  <si>
    <t>Total cost of Powerhouse Access portal, tailrace portal and tailrace end culvert (CW.14)</t>
  </si>
  <si>
    <t>CW.15</t>
  </si>
  <si>
    <t>CW.15.01</t>
  </si>
  <si>
    <t>CW.15.01.001</t>
  </si>
  <si>
    <t>CW.15.02</t>
  </si>
  <si>
    <t>CW.15.02.001</t>
  </si>
  <si>
    <t>CW.15.02.002</t>
  </si>
  <si>
    <t>CW.15.03</t>
  </si>
  <si>
    <t>CW.15.03.001</t>
  </si>
  <si>
    <t>CW.15.04</t>
  </si>
  <si>
    <t>CW.15.04.001</t>
  </si>
  <si>
    <t>CW.15.05</t>
  </si>
  <si>
    <t>CW.15.05.001</t>
  </si>
  <si>
    <t>CW.15.06</t>
  </si>
  <si>
    <t>CW.15.07</t>
  </si>
  <si>
    <t>CW.15.07.001</t>
  </si>
  <si>
    <t>Total cost of switchyard (CW.15)</t>
  </si>
  <si>
    <t>CW.16</t>
  </si>
  <si>
    <t xml:space="preserve">Draining and dewatering of surface works construction </t>
  </si>
  <si>
    <t>CW.16.01.001</t>
  </si>
  <si>
    <r>
      <t>Draining, dewatering of surface works construction including pumping, pipe works and other associated cost as per specifications. (</t>
    </r>
    <r>
      <rPr>
        <b/>
        <sz val="10"/>
        <rFont val="Gill Sans MT"/>
        <family val="2"/>
      </rPr>
      <t>Note: The dewatering of underground works shall be deemed to be included with the rates of underground excavation)</t>
    </r>
  </si>
  <si>
    <t>Total cost of draining and dewatering of surface works (CW.16)</t>
  </si>
  <si>
    <t>CW.17</t>
  </si>
  <si>
    <t xml:space="preserve">General Items </t>
  </si>
  <si>
    <t>CW.17.01</t>
  </si>
  <si>
    <t xml:space="preserve">Insurance </t>
  </si>
  <si>
    <t>CW.17.01.001</t>
  </si>
  <si>
    <t>Clause 18 of Conditions of Contract</t>
  </si>
  <si>
    <t>Insurance of Works, Materials, Equipments as per the Conditions of Contract</t>
  </si>
  <si>
    <t>CW.17.01.002</t>
  </si>
  <si>
    <t>Insurance of Contractor's Plant and Equipments as per the Conditions of Contract</t>
  </si>
  <si>
    <t>CW.17.01.003</t>
  </si>
  <si>
    <t>Third Party Insurance as per the Conditions of Contract</t>
  </si>
  <si>
    <t>CW.17.01.004</t>
  </si>
  <si>
    <t>Insurance of Contractor's personnel and employees involved with the project and labors working at Site as per the Conditions of Contract</t>
  </si>
  <si>
    <t>Total cost of  Insurance  (CW.16.01)</t>
  </si>
  <si>
    <t>CW.17.02</t>
  </si>
  <si>
    <t>Mobilization and Demobilization</t>
  </si>
  <si>
    <t>CW.17.02.001</t>
  </si>
  <si>
    <r>
      <rPr>
        <b/>
        <sz val="10"/>
        <rFont val="Gill Sans MT"/>
        <family val="2"/>
      </rPr>
      <t xml:space="preserve">Mobilization Cost </t>
    </r>
    <r>
      <rPr>
        <sz val="10"/>
        <rFont val="Gill Sans MT"/>
        <family val="2"/>
      </rPr>
      <t xml:space="preserve"> including Temporary construction camps for contractor’s staff, labours with required facilities of sanitation (Toilets, bathrooms, sewage treatment and disposal, storm water drainage networks), ventilation, lighting, living, cooking, recreation, waste collection and treatment (solid and liquid), grocery shop, canteen etc their  maintenance and rehabilitation and all other related general items covered by General and Technical Specification as well as other activities related to the Contractor’s mobilization to the Site.</t>
    </r>
  </si>
  <si>
    <t>CW.17.02.002</t>
  </si>
  <si>
    <r>
      <rPr>
        <b/>
        <sz val="10"/>
        <rFont val="Gill Sans MT"/>
        <family val="2"/>
      </rPr>
      <t>Demobilization Cost</t>
    </r>
    <r>
      <rPr>
        <sz val="10"/>
        <rFont val="Gill Sans MT"/>
        <family val="2"/>
      </rPr>
      <t xml:space="preserve"> including demolition of all temporary structures as approved by the Engineer, clean up and rehabilitation of the camp sites</t>
    </r>
  </si>
  <si>
    <t>Total cost of  mobilization and demobilization  (CW.16.02)</t>
  </si>
  <si>
    <t>CW.17.03</t>
  </si>
  <si>
    <t xml:space="preserve">Health, safety and first aid </t>
  </si>
  <si>
    <t>CW.17.03.001</t>
  </si>
  <si>
    <t xml:space="preserve">Establishment  of Health Service units including  all furniture and appliances for medical treatments, medical equipments, beds, utility installations, and other facilities as per specifications </t>
  </si>
  <si>
    <t>CW.17.03.002</t>
  </si>
  <si>
    <t>Operation and maintenance of health service stations including all Personnel (Health assistant, Staff nurse) and medical services (medicines, consumables etc.) as specified in specification  for the entire period of contsruction and its extension, if any</t>
  </si>
  <si>
    <t>CW.17.03.003</t>
  </si>
  <si>
    <t>Provision of safety clothing and equipment and other safety issues for labourers and contractor's other employees or the entire period of contsruction and its extension, if any.</t>
  </si>
  <si>
    <t>CW.17.04</t>
  </si>
  <si>
    <t xml:space="preserve">Environment management </t>
  </si>
  <si>
    <t>CW.17.04.001</t>
  </si>
  <si>
    <t>Environmental management of the quarry site including stability of the slopes, minimization of soil erosion and sedimentation.</t>
  </si>
  <si>
    <t>CW.17.04.002</t>
  </si>
  <si>
    <t xml:space="preserve">Environmental management of spoil tip including top soil saving, drainage management, leveling, rolling, compaction, protection for stability and re-vegetation for stability of the slope and reinstatement. </t>
  </si>
  <si>
    <t>CW.17.04.003</t>
  </si>
  <si>
    <t>Environmental management of the work area, camp area and other environmental and social measures not  and  meeting the requirements of specifications</t>
  </si>
  <si>
    <t>Boulder Rip-Rap of 1.0m dia</t>
  </si>
  <si>
    <t>Barbed Wire Fencing Works</t>
  </si>
  <si>
    <t>Spilling Bolts</t>
  </si>
  <si>
    <t>Blinding concrete of C15 grade (75mm thick)</t>
  </si>
  <si>
    <t>CW.06.04.002</t>
  </si>
  <si>
    <t>CW.06.04.003</t>
  </si>
  <si>
    <t>CW.04.04.002</t>
  </si>
  <si>
    <t>CW.04.04.003</t>
  </si>
  <si>
    <t>CW.04.08.001</t>
  </si>
  <si>
    <t>CW.05.04.002</t>
  </si>
  <si>
    <t>CW.03.02.002</t>
  </si>
  <si>
    <t>CW.07.02.002</t>
  </si>
  <si>
    <t>CW.07.02.003</t>
  </si>
  <si>
    <t>CW.07.02.004</t>
  </si>
  <si>
    <t>Concrete of grade C25 (Concrete Lining)</t>
  </si>
  <si>
    <t>Concrete of grade C20 (Concrete at Invert)</t>
  </si>
  <si>
    <t>CW.07.07</t>
  </si>
  <si>
    <t>CW.07.08</t>
  </si>
  <si>
    <t>CW.07.09</t>
  </si>
  <si>
    <t>CW.07.10</t>
  </si>
  <si>
    <t>CW.07.03.002</t>
  </si>
  <si>
    <t>CW.07.07.001</t>
  </si>
  <si>
    <t>CW.07.08.001</t>
  </si>
  <si>
    <t>CW.07.10.001</t>
  </si>
  <si>
    <t>CW.08.04.001</t>
  </si>
  <si>
    <t>CW.08.05.001</t>
  </si>
  <si>
    <t>CW.10.09</t>
  </si>
  <si>
    <t>CW.10.04.002</t>
  </si>
  <si>
    <t>CW.11.02.002</t>
  </si>
  <si>
    <t>CW.11.05.001</t>
  </si>
  <si>
    <t>Kunaban River diversion works</t>
  </si>
  <si>
    <t>CW.12.06.001</t>
  </si>
  <si>
    <t>CW.14.02.002</t>
  </si>
  <si>
    <t>CW.14.06.001</t>
  </si>
  <si>
    <t>CW.15.09</t>
  </si>
  <si>
    <t>CW.15.06.001</t>
  </si>
  <si>
    <t>CW.16.01</t>
  </si>
  <si>
    <t>CW.16.02</t>
  </si>
  <si>
    <t>CW.16.03</t>
  </si>
  <si>
    <t>CW.16.04</t>
  </si>
  <si>
    <t>CW.16.05</t>
  </si>
  <si>
    <t>CW.16.06</t>
  </si>
  <si>
    <t>CW.16.07</t>
  </si>
  <si>
    <t>CW.16.08</t>
  </si>
  <si>
    <t>CW.16.02.001</t>
  </si>
  <si>
    <t>CW.16.02.002</t>
  </si>
  <si>
    <t>CW.16.03.001</t>
  </si>
  <si>
    <t>CW.16.04.001</t>
  </si>
  <si>
    <t>CW.16.05.001</t>
  </si>
  <si>
    <t>CW.16.06.001</t>
  </si>
  <si>
    <t>CW.16.07.001</t>
  </si>
  <si>
    <t>CW.16.08.001</t>
  </si>
  <si>
    <t>CW.17.05</t>
  </si>
  <si>
    <t>CW.17.06</t>
  </si>
  <si>
    <t>CW.17.07</t>
  </si>
  <si>
    <t>CW.17.08</t>
  </si>
  <si>
    <t>CW.17.08.001</t>
  </si>
  <si>
    <t>CW.17.07.001</t>
  </si>
  <si>
    <t>CW.17.06.001</t>
  </si>
  <si>
    <t>CW.17.05.001</t>
  </si>
  <si>
    <t>CW.18</t>
  </si>
  <si>
    <t>CW.18.01</t>
  </si>
  <si>
    <t>CW.18.02</t>
  </si>
  <si>
    <t>CW.18.03</t>
  </si>
  <si>
    <t>CW.18.04</t>
  </si>
  <si>
    <t>CW.18.05</t>
  </si>
  <si>
    <t>CW.18.06</t>
  </si>
  <si>
    <t>CW.18.07</t>
  </si>
  <si>
    <t>CW.18.08</t>
  </si>
  <si>
    <t>CW.18.01.001</t>
  </si>
  <si>
    <t>CW.18.02.001</t>
  </si>
  <si>
    <t>CW.18.03.001</t>
  </si>
  <si>
    <t>CW.18.04.001</t>
  </si>
  <si>
    <t>CW.18.05.001</t>
  </si>
  <si>
    <t>CW.18.06.001</t>
  </si>
  <si>
    <t>CW.18.07.001</t>
  </si>
  <si>
    <t>CW.18.08.001</t>
  </si>
  <si>
    <t>CW.18.02.002</t>
  </si>
  <si>
    <t>CW.18.04.002</t>
  </si>
  <si>
    <t>CW.19</t>
  </si>
  <si>
    <t>CW.19.01</t>
  </si>
  <si>
    <t>CW.19.01.001</t>
  </si>
  <si>
    <t>CW.19.02</t>
  </si>
  <si>
    <t>CW.19.03</t>
  </si>
  <si>
    <t>CW.19.04</t>
  </si>
  <si>
    <t>CW.19.02.001</t>
  </si>
  <si>
    <t>CW.19.02.002</t>
  </si>
  <si>
    <t>CW.19.03.001</t>
  </si>
  <si>
    <t>CW.19.04.001</t>
  </si>
  <si>
    <t>CW.19.05</t>
  </si>
  <si>
    <t>CW.19.06</t>
  </si>
  <si>
    <t>CW.19.05.001</t>
  </si>
  <si>
    <t>CW.20</t>
  </si>
  <si>
    <t>CW.20.01</t>
  </si>
  <si>
    <t>CW.20.02</t>
  </si>
  <si>
    <t>CW.20.04</t>
  </si>
  <si>
    <t>CW.20.05</t>
  </si>
  <si>
    <t>CW.20.06</t>
  </si>
  <si>
    <t>CW.20.01.001</t>
  </si>
  <si>
    <t>CW.20.02.001</t>
  </si>
  <si>
    <t>CW.20.02.002</t>
  </si>
  <si>
    <t>CW.20.04.001</t>
  </si>
  <si>
    <t>CW.20.05.001</t>
  </si>
  <si>
    <t>CW.21</t>
  </si>
  <si>
    <t>CW.21.02</t>
  </si>
  <si>
    <t>CW.21.04</t>
  </si>
  <si>
    <t>CW.21.05</t>
  </si>
  <si>
    <t>CW.21.06</t>
  </si>
  <si>
    <t>CW.21.07</t>
  </si>
  <si>
    <t>CW.21.04.001</t>
  </si>
  <si>
    <t>CW.21.05.001</t>
  </si>
  <si>
    <t>CW.21.08</t>
  </si>
  <si>
    <t>Concrete Lining (C25)</t>
  </si>
  <si>
    <t>CW.22</t>
  </si>
  <si>
    <t>CW.22.02</t>
  </si>
  <si>
    <t>CW.22.03</t>
  </si>
  <si>
    <t>CW.22.04</t>
  </si>
  <si>
    <t>CW.22.05</t>
  </si>
  <si>
    <t>CW.22.06</t>
  </si>
  <si>
    <t>Concrete grade of C20 (Invert Concrete)</t>
  </si>
  <si>
    <t>CW.23</t>
  </si>
  <si>
    <t>CW.23.01</t>
  </si>
  <si>
    <t>CW.22.04.001</t>
  </si>
  <si>
    <t>CW.23.02</t>
  </si>
  <si>
    <t>CW.23.03</t>
  </si>
  <si>
    <t>CW.23.04</t>
  </si>
  <si>
    <t>CW.23.05</t>
  </si>
  <si>
    <t>CW.23.06</t>
  </si>
  <si>
    <t>CW.23.05.001</t>
  </si>
  <si>
    <t>CW.23.03.001</t>
  </si>
  <si>
    <t>CW.23.04.001</t>
  </si>
  <si>
    <t>CW.24</t>
  </si>
  <si>
    <t>CW.24.01</t>
  </si>
  <si>
    <t>CW.24.02</t>
  </si>
  <si>
    <t>CW.24.03</t>
  </si>
  <si>
    <t>CW.24.04</t>
  </si>
  <si>
    <t>CW.24.05</t>
  </si>
  <si>
    <t>CW.24.06</t>
  </si>
  <si>
    <t>CW.24.06.001</t>
  </si>
  <si>
    <t>CW.24.04.001</t>
  </si>
  <si>
    <t>CW.24.03.001</t>
  </si>
  <si>
    <t>Underground Rock exavation in vertical shaft, irrespective of encountered rock type,  including the cost of explosive and all materials,  blasting, mucking, provision of air ventilation , lighting, water, dewatering,  pumping, disposal and management of muck within the project site at the location provided by the Employer and all complete as per the specifications.</t>
  </si>
  <si>
    <t>CW.25</t>
  </si>
  <si>
    <t>CW.26</t>
  </si>
  <si>
    <t>CW.27</t>
  </si>
  <si>
    <t>CW.28</t>
  </si>
  <si>
    <t>CW.29</t>
  </si>
  <si>
    <t>CW.30</t>
  </si>
  <si>
    <t>CW.31</t>
  </si>
  <si>
    <t>CW.32</t>
  </si>
  <si>
    <t>CW.33</t>
  </si>
  <si>
    <t>CW.34</t>
  </si>
  <si>
    <t>CW.35</t>
  </si>
  <si>
    <t>CW.35.01</t>
  </si>
  <si>
    <t>CW.35.01.01</t>
  </si>
  <si>
    <t>CW.35.02</t>
  </si>
  <si>
    <t>CW.35.03</t>
  </si>
  <si>
    <t>CW.35.04</t>
  </si>
  <si>
    <t>CW.35.05</t>
  </si>
  <si>
    <t>CW.35.02.01</t>
  </si>
  <si>
    <t>CW.35.05.01</t>
  </si>
  <si>
    <t>CW.35.05.02</t>
  </si>
  <si>
    <t>CW.34.01</t>
  </si>
  <si>
    <t>CW.34.01.01</t>
  </si>
  <si>
    <t>CW.34.02</t>
  </si>
  <si>
    <t>CW.34.03</t>
  </si>
  <si>
    <t>CW.34.04</t>
  </si>
  <si>
    <t>CW.34.05</t>
  </si>
  <si>
    <t>CW.34.02.01</t>
  </si>
  <si>
    <t>CW.34.03.01</t>
  </si>
  <si>
    <t>CW.34.04.01</t>
  </si>
  <si>
    <t>CW.34.05.01</t>
  </si>
  <si>
    <t>CW.25.01</t>
  </si>
  <si>
    <t>CW.25.02</t>
  </si>
  <si>
    <t>CW.25.02.001</t>
  </si>
  <si>
    <t>CW.25.03</t>
  </si>
  <si>
    <t>CW.25.03.001</t>
  </si>
  <si>
    <t>CW.25.04</t>
  </si>
  <si>
    <t>CW.25.05</t>
  </si>
  <si>
    <t>CW.25.06</t>
  </si>
  <si>
    <t>CW.25.06.001</t>
  </si>
  <si>
    <t>CW.26.01</t>
  </si>
  <si>
    <t>CW.26.02</t>
  </si>
  <si>
    <t>CW.26.02.001</t>
  </si>
  <si>
    <t>Concrete of grade C20 for anchor blocks</t>
  </si>
  <si>
    <t>Concrete of grade C20 as backfill concrete</t>
  </si>
  <si>
    <t>CW.26.03</t>
  </si>
  <si>
    <t>CW.26.04</t>
  </si>
  <si>
    <t>CW.26.05</t>
  </si>
  <si>
    <t>CW.26.06</t>
  </si>
  <si>
    <t>CW.26.07</t>
  </si>
  <si>
    <t>CW.26.08</t>
  </si>
  <si>
    <t>CW.26.09</t>
  </si>
  <si>
    <t>CW.26.03.001</t>
  </si>
  <si>
    <t>CW.26.08.001</t>
  </si>
  <si>
    <t>CW.27.01</t>
  </si>
  <si>
    <t>CW.27.02</t>
  </si>
  <si>
    <t>CW.27.03</t>
  </si>
  <si>
    <t>CW.27.04</t>
  </si>
  <si>
    <t>CW.27.05</t>
  </si>
  <si>
    <t>CW.27.06</t>
  </si>
  <si>
    <t>CW.27.03.001</t>
  </si>
  <si>
    <t>CW.27.04.001</t>
  </si>
  <si>
    <t>Concrete grade of C25 (Butterfly Valve Chamber)</t>
  </si>
  <si>
    <t xml:space="preserve">Providing and placing of steel reinforcement of grade Fe 500 including cutting, bending, binding, fixing in position and all complete works as per the  Specifications and Drawings </t>
  </si>
  <si>
    <t>CW.33.01</t>
  </si>
  <si>
    <t>CW.33.01.01</t>
  </si>
  <si>
    <t>CW.33.02</t>
  </si>
  <si>
    <t>CW.33.03</t>
  </si>
  <si>
    <t>CW.33.04</t>
  </si>
  <si>
    <t>CW.33.05</t>
  </si>
  <si>
    <t>CW.33.06</t>
  </si>
  <si>
    <t>CW.33.06.01</t>
  </si>
  <si>
    <t>CW.33.05.01</t>
  </si>
  <si>
    <t>CW.33.04.01</t>
  </si>
  <si>
    <t>CW.33.04.02</t>
  </si>
  <si>
    <t>CW.33.03.01</t>
  </si>
  <si>
    <t>CW.33.02.01</t>
  </si>
  <si>
    <t>CW.33.02.02</t>
  </si>
  <si>
    <t>CW.28.01</t>
  </si>
  <si>
    <t>CW.28.01.001</t>
  </si>
  <si>
    <t>CW.28.02</t>
  </si>
  <si>
    <t>CW.28.02.001</t>
  </si>
  <si>
    <t>CW.28.03</t>
  </si>
  <si>
    <t>CW.28.04</t>
  </si>
  <si>
    <t>CW.28.05</t>
  </si>
  <si>
    <t>CW.28.06</t>
  </si>
  <si>
    <t>CW.28.03.001</t>
  </si>
  <si>
    <t>CW.28.04.001</t>
  </si>
  <si>
    <t>CW.28.06.001</t>
  </si>
  <si>
    <t>CW.29.01</t>
  </si>
  <si>
    <t>CW.29.01.001</t>
  </si>
  <si>
    <t>Concrete of C25 grade (concrete Lining)</t>
  </si>
  <si>
    <t>Concrete of C20 grade (invert concrete)</t>
  </si>
  <si>
    <t>CW.30.01</t>
  </si>
  <si>
    <t>CW.30.01.001</t>
  </si>
  <si>
    <t>CW.30.02</t>
  </si>
  <si>
    <t>CW.30.03</t>
  </si>
  <si>
    <t>CW.30.04</t>
  </si>
  <si>
    <t>CW.30.05</t>
  </si>
  <si>
    <t>CW.30.06</t>
  </si>
  <si>
    <t>CW.30.02.001</t>
  </si>
  <si>
    <t>CW.30.03.001</t>
  </si>
  <si>
    <t>CW.30.04.001</t>
  </si>
  <si>
    <t>CW.31.01</t>
  </si>
  <si>
    <t>CW.31.01.001</t>
  </si>
  <si>
    <t>CW.31.02</t>
  </si>
  <si>
    <t>CW.31.03</t>
  </si>
  <si>
    <t>CW.31.04</t>
  </si>
  <si>
    <t>CW.31.05</t>
  </si>
  <si>
    <t>CW.31.06</t>
  </si>
  <si>
    <t>CW.31.02.001</t>
  </si>
  <si>
    <t>CW.31.03.001</t>
  </si>
  <si>
    <t>CW.31.04.001</t>
  </si>
  <si>
    <t>CW.31.06.001</t>
  </si>
  <si>
    <t>CW.32.01</t>
  </si>
  <si>
    <t>CW.32.02</t>
  </si>
  <si>
    <t>CW.32.03</t>
  </si>
  <si>
    <t>CW.32.04</t>
  </si>
  <si>
    <t>CW.32.05</t>
  </si>
  <si>
    <t>CW.32.06</t>
  </si>
  <si>
    <t>CW.32.07</t>
  </si>
  <si>
    <t>CW.32.08</t>
  </si>
  <si>
    <t>CW.32.09</t>
  </si>
  <si>
    <t>CW.15.09.001</t>
  </si>
  <si>
    <t>CW.29.02</t>
  </si>
  <si>
    <t>CW.29.03</t>
  </si>
  <si>
    <t>CW.29.04</t>
  </si>
  <si>
    <t>CW.29.05</t>
  </si>
  <si>
    <t>CW.29.06</t>
  </si>
  <si>
    <t>CW.29.07</t>
  </si>
  <si>
    <t>CW.29.08</t>
  </si>
  <si>
    <t>CW.29.09</t>
  </si>
  <si>
    <t>CW.29.02.001</t>
  </si>
  <si>
    <t>CW.29.03.001</t>
  </si>
  <si>
    <t>CW.29.03.002</t>
  </si>
  <si>
    <t>CW.29.04.001</t>
  </si>
  <si>
    <t>CW.29.09.001</t>
  </si>
  <si>
    <t>Providing and fixing wooden doors and windows including frame, shutters, necessary fittings all complete</t>
  </si>
  <si>
    <t>Supply and Fixing of steel truss (including nut bolts, primer paints)</t>
  </si>
  <si>
    <t>Providing and applying two coats of white wash on the external walls including scaffolding etc all complete as per the specification and instruction</t>
  </si>
  <si>
    <t>Providing and applying two coats of water proof cement paints on the external walls including scaffolding etc all complete as per the specification and instruction</t>
  </si>
  <si>
    <t>Providing and Placing 12.5mm thick cement plaster 1:4 cement and sand as per drawing and specification</t>
  </si>
  <si>
    <t>Punning works as per specifications</t>
  </si>
  <si>
    <t xml:space="preserve">Preparation of construction area by clearing, grubbing, uprooting and  cutting of trees, removing the roots, carrying and disposal of the unserviceable materials and stockpiling of serviceable materials at specified area </t>
  </si>
  <si>
    <t>S. Bhusal</t>
  </si>
  <si>
    <t>S. Lamichhane</t>
  </si>
  <si>
    <t>MYAGDI KHOLA HPP (65 MW)</t>
  </si>
  <si>
    <t>Hydroseal/joint filler</t>
  </si>
  <si>
    <t>Supply and placing 4.7 mm thick Wire mesh (100*100) mm including fixing and anchorage as specified.</t>
  </si>
  <si>
    <t>CW.08.05.002</t>
  </si>
  <si>
    <t>Supply and placing 3.5 mm thick Wire mesh (50*50) mm including fixing and anchorage as specified.</t>
  </si>
  <si>
    <t>Supply and placing of 4.7 mm thick Wire mesh (100*100) mm including fixing and anchorage as specified.</t>
  </si>
  <si>
    <t>Supply and placing of 3.5 mm thick Wire mesh (50*50) mm including fixing and anchorage as specified.</t>
  </si>
  <si>
    <t>CW.05.04.003</t>
  </si>
  <si>
    <t xml:space="preserve">Ordinary Cement Grouting </t>
  </si>
  <si>
    <t>Cement / sand grouting (1:1)</t>
  </si>
  <si>
    <t xml:space="preserve">Micro Fine Cement grouting </t>
  </si>
  <si>
    <t>CW.15.09.002</t>
  </si>
  <si>
    <t>CW.15.09.003</t>
  </si>
  <si>
    <t>CW.04.10</t>
  </si>
  <si>
    <t>Drilling for grouting</t>
  </si>
  <si>
    <t>C50 concrete with steel fibre @ 50 kg /m3 for hard stone lining grid cross beams</t>
  </si>
  <si>
    <t>CW.07.02.005</t>
  </si>
  <si>
    <t>CW.07.02.006</t>
  </si>
  <si>
    <t>Providing and placing 100 mm thick  Steel fiber reinforced shortcrete including compaction, curing , testing etc. all complete as per the specifications and the drawings</t>
  </si>
  <si>
    <t>Providing and placing 4.7 mm thick Wire mesh (100*100) mm including fixing and anchorage as specified.</t>
  </si>
  <si>
    <t>Shortcrete Works</t>
  </si>
  <si>
    <t>CW.08.04.002</t>
  </si>
  <si>
    <t>CW.08.04.003</t>
  </si>
  <si>
    <t>Providing and placing 100 mm thick  plain shortcrete including compaction, curing , testing etc. all complete as per the specifications and the drawings</t>
  </si>
  <si>
    <t>CW.09.04.002</t>
  </si>
  <si>
    <t xml:space="preserve">Wire mesh </t>
  </si>
  <si>
    <t>CW.04.10.004</t>
  </si>
  <si>
    <t>0.3 m thick selected gravel filling around the pipe</t>
  </si>
  <si>
    <t>CW.21.04.002</t>
  </si>
  <si>
    <t>Supplying and fixing of  additional tie rods, not covered under rib section, as instructed by the Engineer depending on the site condition</t>
  </si>
  <si>
    <t>Additional mucking  for geological overbreak</t>
  </si>
  <si>
    <t>Mucking of geological overbreak</t>
  </si>
  <si>
    <t>Supply and placing of 4.7 mm thick Wire mesh (100*100)mm including fixing and anchorage as specified.</t>
  </si>
  <si>
    <t>Supplly and placing of 4.7 mm thick Wire mesh (100*100)mm including fixing and anchorage as specified.</t>
  </si>
  <si>
    <t>Supply and placing 4.7 mm thick Wiremesh (100*100) mm including fixing and anchorage as specified.</t>
  </si>
  <si>
    <t xml:space="preserve">Wiremesh </t>
  </si>
  <si>
    <t>2.2m long, 20mm dia Rock Bolts</t>
  </si>
  <si>
    <t>2.5 m long, 20mm dia Rock Bolts</t>
  </si>
  <si>
    <t xml:space="preserve">Steel Ribs (ISMB 150) at 1m spacing </t>
  </si>
  <si>
    <t>Fiber Reinforced Shotcrete (100mm)</t>
  </si>
  <si>
    <t>Fiber Reinforced Shotcrete (120mm)</t>
  </si>
  <si>
    <t>Fiber Reinforced Shotcrete (150mm)</t>
  </si>
  <si>
    <t>25mm dia 3.5m long Rockbolts (1.5m x 1.5m)</t>
  </si>
  <si>
    <t>Side Face</t>
  </si>
  <si>
    <t>2.5m long, 20mm dia Rock Bolts</t>
  </si>
  <si>
    <t>Fiber Reinforced Concrete (100mm)</t>
  </si>
  <si>
    <t>Fiber Reinforced Concrete (120mm)</t>
  </si>
  <si>
    <t>Fibre Reinforced Shotcrete (150mm)</t>
  </si>
  <si>
    <t>Between U/S Cutoff 2 &amp; 3</t>
  </si>
  <si>
    <t>Between D/S Cutoff 1 &amp; 2</t>
  </si>
  <si>
    <t>Between Central Cutoff &amp; D/S Cutoff 1</t>
  </si>
  <si>
    <t>Between U/S Cutoff 2 &amp; Central Cutoff</t>
  </si>
  <si>
    <t>Between U/S Cutoff 1 &amp; 2</t>
  </si>
  <si>
    <t>0.5m Thick Clay Blanket</t>
  </si>
  <si>
    <t>0.5m Thick Filter Layer</t>
  </si>
  <si>
    <t>Weir-Undersluice Divide Wall</t>
  </si>
  <si>
    <t>D/S Cutoff 3</t>
  </si>
  <si>
    <t>D/S Cutoff 2</t>
  </si>
  <si>
    <t>D/S Cutoff 1</t>
  </si>
  <si>
    <t>Central Cutoff</t>
  </si>
  <si>
    <t>U/S Cutoff 2</t>
  </si>
  <si>
    <t>U/S Cutoff 1</t>
  </si>
  <si>
    <t>1.25-1.5m dia boulder riprap (d/s of weir axis)</t>
  </si>
  <si>
    <t>1.0-1.25m dia boulder packing at d/s cutoff</t>
  </si>
  <si>
    <t>1.0-1.25m dia boulder riprap (u/s of weir axis)</t>
  </si>
  <si>
    <t>U/S and D/s Cutoff</t>
  </si>
  <si>
    <t>U/S Areaof Undersluice</t>
  </si>
  <si>
    <t>Vertical Formwork (along width)</t>
  </si>
  <si>
    <t xml:space="preserve"> Fish Passage</t>
  </si>
  <si>
    <t>U/S Area</t>
  </si>
  <si>
    <t>Stilling Basin Floor</t>
  </si>
  <si>
    <t>16mm Steel Lining</t>
  </si>
  <si>
    <t>Gravel Flushing canal (minor)</t>
  </si>
  <si>
    <t>Gravel Flushing canal (major)</t>
  </si>
  <si>
    <t>30 cm thick Hard stone lining</t>
  </si>
  <si>
    <t>Collection Pond</t>
  </si>
  <si>
    <t>Formwork on vertical faces</t>
  </si>
  <si>
    <t>Formwork on sides</t>
  </si>
  <si>
    <t>Gravel flushing canal (minor)</t>
  </si>
  <si>
    <t>Gravel flushing canal (major)</t>
  </si>
  <si>
    <t>Gravel flushing gate structure (minor)</t>
  </si>
  <si>
    <t>Gravel flushing gate structure (major)</t>
  </si>
  <si>
    <t>Gate operating platform before collection pond</t>
  </si>
  <si>
    <t>Gate operating platform before intake</t>
  </si>
  <si>
    <t>Intake and Gravel Trap Side Walls</t>
  </si>
  <si>
    <t>Gravel flushing canal (Minor)</t>
  </si>
  <si>
    <t>Gravel flushing canal (Major)</t>
  </si>
  <si>
    <t>Gravel Flushing Canal (Major)</t>
  </si>
  <si>
    <t>Intake, Gravel Trap and Collection Pond</t>
  </si>
  <si>
    <t>Intake, Gravel Trap, Flushing Culvert and Collection Pond</t>
  </si>
  <si>
    <t>CH 230-320</t>
  </si>
  <si>
    <t>CH 110-230</t>
  </si>
  <si>
    <t>CH 40-110</t>
  </si>
  <si>
    <t>At HAB ends</t>
  </si>
  <si>
    <t xml:space="preserve">HAB side wall </t>
  </si>
  <si>
    <t>(2 side walls  )</t>
  </si>
  <si>
    <t>Headrace Pipe casing type 2</t>
  </si>
  <si>
    <t>Headrace Pipe casing type 1</t>
  </si>
  <si>
    <t xml:space="preserve">C25 Concreting </t>
  </si>
  <si>
    <t>HAB Casing at bends</t>
  </si>
  <si>
    <t>CH 430-434.66</t>
  </si>
  <si>
    <t>CH 320-430</t>
  </si>
  <si>
    <t>MYAGDI HEADWORKS RIVER PROTECTION</t>
  </si>
  <si>
    <t>Upstream RipRap area</t>
  </si>
  <si>
    <t>Downstream Riprap area</t>
  </si>
  <si>
    <t xml:space="preserve">                    </t>
  </si>
  <si>
    <t>1m Dia. Boulder Riprap</t>
  </si>
  <si>
    <t>MYAGDI WEIR AND STILLING BASIN</t>
  </si>
  <si>
    <t>Weir</t>
  </si>
  <si>
    <t>Upstream Apron</t>
  </si>
  <si>
    <t>Vertical Wall</t>
  </si>
  <si>
    <t>Side face</t>
  </si>
  <si>
    <t>US cutoff</t>
  </si>
  <si>
    <t>DS cutoff</t>
  </si>
  <si>
    <t>Weir body (edges)</t>
  </si>
  <si>
    <t>Stilling Basin(edges)</t>
  </si>
  <si>
    <t>C20 Plum concrete (40% plum)</t>
  </si>
  <si>
    <t>Along Width</t>
  </si>
  <si>
    <t>MYAGDI UNDERSLUICE &amp; TRASH PASSAGE</t>
  </si>
  <si>
    <t>Undersluice Body</t>
  </si>
  <si>
    <t>Wall near weir</t>
  </si>
  <si>
    <t>Middle Wall</t>
  </si>
  <si>
    <t>Wall near trashpassage</t>
  </si>
  <si>
    <t>Undersluice Gate</t>
  </si>
  <si>
    <t>Top slab bottom support</t>
  </si>
  <si>
    <t>Trash Passage Wall</t>
  </si>
  <si>
    <t>U/S Area of Undersluice</t>
  </si>
  <si>
    <t xml:space="preserve">Undersluice Body </t>
  </si>
  <si>
    <t>Middle wall</t>
  </si>
  <si>
    <t>Middle wall (addition for 1.5m)</t>
  </si>
  <si>
    <t>Wall near trash passage</t>
  </si>
  <si>
    <t>Breast wall and top slab</t>
  </si>
  <si>
    <t>U/S area of Undersluice</t>
  </si>
  <si>
    <t>MYAGDI INTAKE AND GRAVEL TRAP</t>
  </si>
  <si>
    <t>Gravel flushing</t>
  </si>
  <si>
    <t>Inlet Portal Gate Area</t>
  </si>
  <si>
    <t>Gravel flushing canal</t>
  </si>
  <si>
    <t>Inlet Portal Gate</t>
  </si>
  <si>
    <t>End wall</t>
  </si>
  <si>
    <t>End wall opening deduction</t>
  </si>
  <si>
    <t>Intake Gate operating Platform</t>
  </si>
  <si>
    <t>Gravel Flushig Gate Structure</t>
  </si>
  <si>
    <t>Slabs and breast wall</t>
  </si>
  <si>
    <t>Vertifcal wall</t>
  </si>
  <si>
    <t>Slab bottom support</t>
  </si>
  <si>
    <t>Breast wall</t>
  </si>
  <si>
    <t>Flushing gate structure</t>
  </si>
  <si>
    <t>Inlet Portal Gate structure</t>
  </si>
  <si>
    <t>Settling basin</t>
  </si>
  <si>
    <t>Headpond and spillway</t>
  </si>
  <si>
    <t>Headpond and Spillway</t>
  </si>
  <si>
    <t>Spillway Channel</t>
  </si>
  <si>
    <t>Settling basin orifice outlet gate</t>
  </si>
  <si>
    <t>Breast wall (bottom and top)</t>
  </si>
  <si>
    <t>Flushing Gate structure</t>
  </si>
  <si>
    <t>Side walls including breast wall</t>
  </si>
  <si>
    <t>Type A</t>
  </si>
  <si>
    <t>Type B</t>
  </si>
  <si>
    <t>Type C</t>
  </si>
  <si>
    <t>Type D</t>
  </si>
  <si>
    <t>Type E</t>
  </si>
  <si>
    <t>Settling basin Orifice Outlet gate</t>
  </si>
  <si>
    <t>Breast wall (top and bottom)</t>
  </si>
  <si>
    <t>Floowall face support</t>
  </si>
  <si>
    <t>0.5m thick gabion mattress at inlet transition</t>
  </si>
  <si>
    <t>0.5m thick gabion mattress at main settling zone</t>
  </si>
  <si>
    <t>0.5m thick gabion mattress at headpond</t>
  </si>
  <si>
    <t>Gabion Retaining wall at hillside of headpond</t>
  </si>
  <si>
    <t>Slope Protection work</t>
  </si>
  <si>
    <t>Soil nailing @ 1.5mC/C</t>
  </si>
  <si>
    <t>Catch drainage</t>
  </si>
  <si>
    <t>20mm dia 3.5m long Rockbolts (1.5m x 1.5m)</t>
  </si>
  <si>
    <t>Front face and sides</t>
  </si>
  <si>
    <t>Front and sides</t>
  </si>
  <si>
    <t>Fibre Reinforced Shotcrete  (100mm)</t>
  </si>
  <si>
    <t>20mm dia. 2.5m long Rock Bolts</t>
  </si>
  <si>
    <t>Fiber Reinforced Shotcrete (m)</t>
  </si>
  <si>
    <t>25mm dia 2.5 m long Rock Bolt</t>
  </si>
  <si>
    <t>ISMB 150 Steel rib</t>
  </si>
  <si>
    <t xml:space="preserve">150mm thick Fiber Reinforced Shotcrete </t>
  </si>
  <si>
    <t>120mm thick Fiber Reinforced Shotcrete</t>
  </si>
  <si>
    <t>200mm thick concrete at invert</t>
  </si>
  <si>
    <t>Formwork for Cross section</t>
  </si>
  <si>
    <t>Formwork along Width</t>
  </si>
  <si>
    <t>Formwork for bottom</t>
  </si>
  <si>
    <t>Rockbolt 25mm dia and 2.5m length</t>
  </si>
  <si>
    <t xml:space="preserve"> Rock Excavation and Mucking For Vertical Shaft in Support Class 3</t>
  </si>
  <si>
    <t xml:space="preserve"> Rock Excavation and Mucking For Vertical Shaft in Support Class 4</t>
  </si>
  <si>
    <t>length of shaft</t>
  </si>
  <si>
    <t>120 mm thick Fiber Reinforced Shortcrete</t>
  </si>
  <si>
    <t>150 mm thick Fiber Reinforced Shortcrete</t>
  </si>
  <si>
    <t xml:space="preserve">Quantity </t>
  </si>
  <si>
    <t>Front face ans side face</t>
  </si>
  <si>
    <t xml:space="preserve">120 mm thick plainShotcrete </t>
  </si>
  <si>
    <t>Front face and Side face</t>
  </si>
  <si>
    <t>CW.2.01</t>
  </si>
  <si>
    <t>CW.2.01.001</t>
  </si>
  <si>
    <t>CW.2.02</t>
  </si>
  <si>
    <t>CW.2.02.001</t>
  </si>
  <si>
    <t>CW.2.03</t>
  </si>
  <si>
    <t>CW.2.03.001</t>
  </si>
  <si>
    <t>CW.2.04</t>
  </si>
  <si>
    <t>CW.2.05</t>
  </si>
  <si>
    <t>CW.2.05.001</t>
  </si>
  <si>
    <t>CW.2.06</t>
  </si>
  <si>
    <t>CW.2.06.001</t>
  </si>
  <si>
    <t>CW.2.07</t>
  </si>
  <si>
    <t>CW.2.08</t>
  </si>
  <si>
    <t>CW.2.08.001</t>
  </si>
  <si>
    <t>C50 structural concrete for 0.4 X 0.5 Beam @ 2.4m C/C Spacing</t>
  </si>
  <si>
    <t>Reinforcements for C50</t>
  </si>
  <si>
    <t>@ 1% of Volume of C50 concrete</t>
  </si>
  <si>
    <t>Providing and laying of 300 mm thick Hard Stone Linning with non shrinkable rich mortar including curing and all complete as per the Specifications and the Drawings</t>
  </si>
  <si>
    <t>Settling Basin, Headpond, Spillway and Floodwall</t>
  </si>
  <si>
    <t>75mm thick Blinding Concrete (C15)</t>
  </si>
  <si>
    <t>75mm C15 Blinding Concrete</t>
  </si>
  <si>
    <t xml:space="preserve">Steel Ribs (ISMB 150) at 1.5m spacing </t>
  </si>
  <si>
    <t>Providing and placing 50 mm thick  plain shortcrete including compaction, curing , testing etc. all complete as per the specifications and the drawings</t>
  </si>
  <si>
    <t>Providing and placing 75 mm thick  plain shortcrete including compaction, curing , testing etc. all complete as per the specifications and the drawings</t>
  </si>
  <si>
    <t>Concrete of C20 grade (backfill)</t>
  </si>
  <si>
    <t>C20 Backfill Concrete</t>
  </si>
  <si>
    <t>C20 Concrete at Invert</t>
  </si>
  <si>
    <t xml:space="preserve">150 mm thick FR Shotcrete </t>
  </si>
  <si>
    <t>Providing and placing 150 mm thick  steel fibre reinforced shortcrete including compaction, curing , testing etc. all complete as per the specifications and the drawings</t>
  </si>
  <si>
    <t>25 mm dia 3.5 m long Rock Bolt</t>
  </si>
  <si>
    <t xml:space="preserve">sqm </t>
  </si>
  <si>
    <t>Providing and placing 50 mm thick  steel fibre shortcrete including compaction, curing , testing etc. all complete as per the specifications and the drawings</t>
  </si>
  <si>
    <t>2.5 m long, 25mm dia Rock Bolts</t>
  </si>
  <si>
    <t>CW.27.02.001</t>
  </si>
  <si>
    <t>CW.24.02.001</t>
  </si>
  <si>
    <t>CW.24.06.002</t>
  </si>
  <si>
    <t>Concrete of grade C25 (including basepads)</t>
  </si>
  <si>
    <t xml:space="preserve">Shortcrete </t>
  </si>
  <si>
    <t xml:space="preserve"> 2.5m long 20mm dia Rock Bolts</t>
  </si>
  <si>
    <t>Fibre Reinforced Shotcrete (100mm)</t>
  </si>
  <si>
    <t>Fibre Reinforced Shotcrete (120mm)</t>
  </si>
  <si>
    <t>Boulder Rip-Rap of 1.0-1.25m dia</t>
  </si>
  <si>
    <t>Boulder Rip-Rap of 1.25-1.50 m dia</t>
  </si>
  <si>
    <t>Filter layer of thickness 0.5m</t>
  </si>
  <si>
    <t>Clay blanket of thickness 0.5m</t>
  </si>
  <si>
    <t xml:space="preserve"> Soft Soil (80%)</t>
  </si>
  <si>
    <t>Surface Rock Excavation (20%)</t>
  </si>
  <si>
    <t>C15with 40% Plum</t>
  </si>
  <si>
    <t>CW.3.01</t>
  </si>
  <si>
    <t>CW.3.01.001</t>
  </si>
  <si>
    <t>Concrete of grade C50 (for grid beams in hardstone lining)</t>
  </si>
  <si>
    <t>CW.04.08.002</t>
  </si>
  <si>
    <t>CW.04.08.003</t>
  </si>
  <si>
    <t>Providing and placing 50mm thick plain shortcrete including compaction, curing , testing etc. all complete as per the specifications and the drawings</t>
  </si>
  <si>
    <t>Providing and placing 100 mm thick shortcrete including compaction, curing , testing etc. all complete as per the specifications and the drawings</t>
  </si>
  <si>
    <t xml:space="preserve">100 mm thick Plain Shotcrete </t>
  </si>
  <si>
    <t>Providing and placing 75 mm thick  plain  shortcrete including compaction, curing , testing etc. all complete as per the specifications and the drawings</t>
  </si>
  <si>
    <t xml:space="preserve">100 mm thick plain Shotcrete </t>
  </si>
  <si>
    <t>SYPHON and CULVERT</t>
  </si>
  <si>
    <t xml:space="preserve">Syphon </t>
  </si>
  <si>
    <t>Syphon</t>
  </si>
  <si>
    <t>Syphon (Backfill in sides)</t>
  </si>
  <si>
    <t>Formwork on inner sides (vertical face)</t>
  </si>
  <si>
    <t>Formwork on outer sides (vertical face)</t>
  </si>
  <si>
    <t>Formwork on base (top side)</t>
  </si>
  <si>
    <t>Catch Drains</t>
  </si>
  <si>
    <t>Section 308.00 - 400.00</t>
  </si>
  <si>
    <t>Section 400.00 - 453.00</t>
  </si>
  <si>
    <t>Throughout the length</t>
  </si>
  <si>
    <t>Surface Drainage Works</t>
  </si>
  <si>
    <t>Slope protection Works</t>
  </si>
  <si>
    <t>3.5 mm thick Wire mesh (50*50) cm including fixing and anchorage as specified.</t>
  </si>
  <si>
    <t>4.7 mm thick Wire mesh (100*100) cm including fixing and anchorage as specified.</t>
  </si>
  <si>
    <t>Supplly and placing of 3.5 mm thick Wire mesh (50*50)mm including fixing and anchorage as specified.</t>
  </si>
  <si>
    <t>100mm thick fiber reinforced shotcrete</t>
  </si>
  <si>
    <t>150mm thick fiber reinforced shotcrete</t>
  </si>
  <si>
    <t>CW.13.04.002</t>
  </si>
  <si>
    <t>CW.13.05.001</t>
  </si>
  <si>
    <t>CW.13.06.001</t>
  </si>
  <si>
    <t>CW.14.06.002</t>
  </si>
  <si>
    <t>CW.14.07.001</t>
  </si>
  <si>
    <t>CW.14.08</t>
  </si>
  <si>
    <t>CW.14.08.001</t>
  </si>
  <si>
    <t>CW.14.09</t>
  </si>
  <si>
    <t>CW.14.10</t>
  </si>
  <si>
    <t>CW.14.11</t>
  </si>
  <si>
    <t>CW.14.09.001</t>
  </si>
  <si>
    <t>CW.15.05.002</t>
  </si>
  <si>
    <t>CW.16.04.002</t>
  </si>
  <si>
    <t>CW.16.04.003</t>
  </si>
  <si>
    <t>CW.16.08.002</t>
  </si>
  <si>
    <t>CW.16.08.003</t>
  </si>
  <si>
    <t>CW.17.09</t>
  </si>
  <si>
    <t>CW.17.09.001</t>
  </si>
  <si>
    <t>CW.17.10</t>
  </si>
  <si>
    <t>CW.17.10.001</t>
  </si>
  <si>
    <t>CW.17.11</t>
  </si>
  <si>
    <t>CW.17.12</t>
  </si>
  <si>
    <t>CW.17.12.001</t>
  </si>
  <si>
    <t>CW.17.12.002</t>
  </si>
  <si>
    <t>CW.17.12.003</t>
  </si>
  <si>
    <t>CW.17.13</t>
  </si>
  <si>
    <t>CW.18.03.002</t>
  </si>
  <si>
    <t>CW.20.01.002</t>
  </si>
  <si>
    <t>CW.20.02.003</t>
  </si>
  <si>
    <t>CW.20.02.004</t>
  </si>
  <si>
    <t>CW.20.02.005</t>
  </si>
  <si>
    <t>CW.20.04.002</t>
  </si>
  <si>
    <t>CW.20.07</t>
  </si>
  <si>
    <t>CW.20.08</t>
  </si>
  <si>
    <t>CW.20.10</t>
  </si>
  <si>
    <t>CW.20.10.001</t>
  </si>
  <si>
    <t>CW.20.11</t>
  </si>
  <si>
    <t>CW.20.12</t>
  </si>
  <si>
    <t>CW.21.03</t>
  </si>
  <si>
    <t>CW.22.01</t>
  </si>
  <si>
    <t>CW.22.03.001</t>
  </si>
  <si>
    <t>CW.23.02.001</t>
  </si>
  <si>
    <t>CW.23.06.001</t>
  </si>
  <si>
    <t>CW.27.06.001</t>
  </si>
  <si>
    <t>CW.29.02.002</t>
  </si>
  <si>
    <t>CW.29.02.003</t>
  </si>
  <si>
    <t>CW.29.02.004</t>
  </si>
  <si>
    <t>CW.30.06.001</t>
  </si>
  <si>
    <t>Provisional sum for site specific new items</t>
  </si>
  <si>
    <t>Provisional sum for price adjustment as per the provision of Clause 13.8 [Price Adjustment] of the Conditions of Contract</t>
  </si>
  <si>
    <t>CW.00</t>
  </si>
  <si>
    <t>CW.00.01</t>
  </si>
  <si>
    <t>CW.00.01.001</t>
  </si>
  <si>
    <t>CW.00.01.002</t>
  </si>
  <si>
    <t>CW.00.01.003</t>
  </si>
  <si>
    <t>CW.00.01.004</t>
  </si>
  <si>
    <t>CW.00.02</t>
  </si>
  <si>
    <t>CW.00.02.001</t>
  </si>
  <si>
    <t>CW.00.03</t>
  </si>
  <si>
    <t>CW.00.04</t>
  </si>
  <si>
    <t>CW.00.05</t>
  </si>
  <si>
    <t>CW.00.02.002</t>
  </si>
  <si>
    <t>CW.00.03.001</t>
  </si>
  <si>
    <t>CW.00.04.001</t>
  </si>
  <si>
    <t>CW.00.04.002</t>
  </si>
  <si>
    <t>CW.00.04.003</t>
  </si>
  <si>
    <t>CW.00.05.001</t>
  </si>
  <si>
    <t>CW.00.05.002</t>
  </si>
  <si>
    <t>CW.00.05.003</t>
  </si>
  <si>
    <t>CW.00.06</t>
  </si>
  <si>
    <t>CW.00.07</t>
  </si>
  <si>
    <t>CW.00.08</t>
  </si>
  <si>
    <t>CW.00.07.001</t>
  </si>
  <si>
    <t>CW.00.07.002</t>
  </si>
  <si>
    <t>CW.00.06.001</t>
  </si>
  <si>
    <r>
      <rPr>
        <b/>
        <sz val="11"/>
        <rFont val="Gill Sans MT"/>
        <family val="2"/>
      </rPr>
      <t>Concrete Works:</t>
    </r>
    <r>
      <rPr>
        <sz val="11"/>
        <rFont val="Gill Sans MT"/>
        <family val="2"/>
      </rPr>
      <t xml:space="preserve"> Providing and placing of various grades of the concrete including compaction, curing , testing etc. and all complete as per the Specifications and the Drawings</t>
    </r>
  </si>
  <si>
    <r>
      <t>Expansion Joint Material</t>
    </r>
    <r>
      <rPr>
        <sz val="11"/>
        <rFont val="Gill Sans MT"/>
        <family val="2"/>
      </rPr>
      <t xml:space="preserve"> (Providing and placing the expansion/ contraction joints all in position as per the  drawings and all complete as per the specifications)</t>
    </r>
  </si>
  <si>
    <r>
      <rPr>
        <b/>
        <sz val="11"/>
        <rFont val="Gill Sans MT"/>
        <family val="2"/>
      </rPr>
      <t>Boulder Rip-Rap</t>
    </r>
    <r>
      <rPr>
        <sz val="11"/>
        <rFont val="Gill Sans MT"/>
        <family val="2"/>
      </rPr>
      <t>:Providing and placing boulder lining / rip-rap of the specified size with all complete as per Specifications and the Drawings</t>
    </r>
  </si>
  <si>
    <r>
      <rPr>
        <b/>
        <sz val="11"/>
        <rFont val="Gill Sans MT"/>
        <family val="2"/>
      </rPr>
      <t>Filter Layer:</t>
    </r>
    <r>
      <rPr>
        <sz val="11"/>
        <rFont val="Gill Sans MT"/>
        <family val="2"/>
      </rPr>
      <t xml:space="preserve"> Providing and placing of filter layer as per the Specifications and the Drawings</t>
    </r>
  </si>
  <si>
    <r>
      <rPr>
        <b/>
        <sz val="11"/>
        <rFont val="Gill Sans MT"/>
        <family val="2"/>
      </rPr>
      <t>Clay Blanket:</t>
    </r>
    <r>
      <rPr>
        <sz val="11"/>
        <rFont val="Gill Sans MT"/>
        <family val="2"/>
      </rPr>
      <t xml:space="preserve"> Providing and placing of clay blanket  as per the Specifications and the Drawings</t>
    </r>
  </si>
  <si>
    <r>
      <rPr>
        <b/>
        <sz val="11"/>
        <rFont val="Gill Sans MT"/>
        <family val="2"/>
      </rPr>
      <t xml:space="preserve">Joints: </t>
    </r>
    <r>
      <rPr>
        <sz val="11"/>
        <rFont val="Gill Sans MT"/>
        <family val="2"/>
      </rPr>
      <t xml:space="preserve">Providing and placing the expansion/ contraction joints all in position as per the  drawings and all complete as per the specifications </t>
    </r>
  </si>
  <si>
    <r>
      <rPr>
        <b/>
        <sz val="11"/>
        <rFont val="Gill Sans MT"/>
        <family val="2"/>
      </rPr>
      <t>Joints:</t>
    </r>
    <r>
      <rPr>
        <sz val="11"/>
        <rFont val="Gill Sans MT"/>
        <family val="2"/>
      </rPr>
      <t xml:space="preserve"> Providing and placing the expansion/ contraction joints at all in position as per the  Drawings and all complete as per the Sspecifications </t>
    </r>
  </si>
  <si>
    <r>
      <t xml:space="preserve">Grouting </t>
    </r>
    <r>
      <rPr>
        <sz val="11"/>
        <rFont val="Gill Sans MT"/>
        <family val="2"/>
      </rPr>
      <t>(Contact and/or injection grouting  works inclusive of all materials and admixtures but except drilling works required for grouting)</t>
    </r>
  </si>
  <si>
    <t>Supply and placing of 3.5 mm thick Wire meshed @ 50mm c/c  including fixing and anchorage as specified.</t>
  </si>
  <si>
    <t>Supply and placing of 4.7 mm thick Wire meshed @ 100mm c/c  including fixing and anchorage as specified.</t>
  </si>
  <si>
    <t>Providing and placing 100 mm thick steel fibre shortcrete including compaction, curing , testing etc. all complete as per the specifications and the drawings</t>
  </si>
  <si>
    <t>Providing and placing 120 mm thick  steel fibre reinforced shortcrete including compaction, curing , testing etc. all complete as per the specifications and the drawings</t>
  </si>
  <si>
    <t>Providing and placing 100 mm thick  steel fibre reinforced shortcrete including compaction, curing , testing etc. all complete as per the specifications and the drawings</t>
  </si>
  <si>
    <t>Supply and placing 3.5 mm thick Wiremesh (50*50) mm including fixing and anchorage as specified.</t>
  </si>
  <si>
    <t>Supply and placing of 3.5 mm thick Wire mesh (50*50)mm including fixing and anchorage as specified.</t>
  </si>
  <si>
    <t>Providing and placing 75mm thick plain shortcrete including compaction, curing , testing etc. all complete as per the specifications and the drawings</t>
  </si>
  <si>
    <t>CW.04.04.004</t>
  </si>
  <si>
    <t>CW.07.06.002</t>
  </si>
  <si>
    <t>CW.09.05.002</t>
  </si>
  <si>
    <t>CW.10.09.001</t>
  </si>
  <si>
    <t>CW.10.09.002</t>
  </si>
  <si>
    <t>CW.10.09.003</t>
  </si>
  <si>
    <t>CW.14.05.002</t>
  </si>
  <si>
    <t>CW.17.11.001</t>
  </si>
  <si>
    <t>CW.19.04.002</t>
  </si>
  <si>
    <t>CW.19.05.002</t>
  </si>
  <si>
    <t>CW.22.02.001</t>
  </si>
  <si>
    <t>CW.26.03.002</t>
  </si>
  <si>
    <t>CW.25.06.002</t>
  </si>
  <si>
    <t>CW.29.02.005</t>
  </si>
  <si>
    <t>CW.29.02.006</t>
  </si>
  <si>
    <t xml:space="preserve">AMOUNT </t>
  </si>
  <si>
    <t xml:space="preserve">120 mm thick plain Shotcrete </t>
  </si>
  <si>
    <t>U/S Stone masonry Phase II</t>
  </si>
  <si>
    <t>Supply and Placing of 4.7 mm thick Wire mesh (150*150) cm including fixing and anchorage as specified.</t>
  </si>
  <si>
    <t xml:space="preserve"> Spiling bolts</t>
  </si>
  <si>
    <t>CW.26.06.001</t>
  </si>
  <si>
    <t>CW.26.09.001</t>
  </si>
  <si>
    <t>Spiling bolts</t>
  </si>
  <si>
    <t>CW.29.06.001</t>
  </si>
  <si>
    <t>CW.29.09.002</t>
  </si>
  <si>
    <t>CW.29.10.001</t>
  </si>
  <si>
    <t>CW.22.06.001</t>
  </si>
  <si>
    <t>CW.21.05.002</t>
  </si>
  <si>
    <t>CW.21.01</t>
  </si>
  <si>
    <t>CW.21.03.001</t>
  </si>
  <si>
    <t>CW.21.03.002</t>
  </si>
  <si>
    <t>CW.21.08.001</t>
  </si>
  <si>
    <t>CW.20.02.006</t>
  </si>
  <si>
    <t>Spiling Bolts</t>
  </si>
  <si>
    <r>
      <rPr>
        <b/>
        <sz val="11"/>
        <rFont val="Gill Sans MT"/>
        <family val="2"/>
      </rPr>
      <t>Grouting</t>
    </r>
    <r>
      <rPr>
        <sz val="11"/>
        <rFont val="Gill Sans MT"/>
        <family val="2"/>
      </rPr>
      <t xml:space="preserve">: Supply and  application of consolidated grouting works    as required and all complete as per the specifications but excluding the drilling for grouting </t>
    </r>
  </si>
  <si>
    <t>CW.14.10.001</t>
  </si>
  <si>
    <t>CW.14.10.002</t>
  </si>
  <si>
    <t>CW.14.10.003</t>
  </si>
  <si>
    <t>CW.14.11.001</t>
  </si>
  <si>
    <t>CW.14.11.002</t>
  </si>
  <si>
    <t>CW.14.11.003</t>
  </si>
  <si>
    <t>CW.14.11.004</t>
  </si>
  <si>
    <t>B.K., S.P.</t>
  </si>
  <si>
    <t>2.5m long, 20mm dia anchor rods for CGI sheet nachoring at crown of the cavern</t>
  </si>
  <si>
    <t xml:space="preserve"> Providing and laying steel angle plates of ISA 75x75 along the powerhouse access tunnel for carrying cables as per the drawings and the specifications including fixing and all complete</t>
  </si>
  <si>
    <t>Powerhouse Access  tunnel portal, Tailrace Portals and  tailrace end Culvert</t>
  </si>
  <si>
    <t>Switchyard and Switchyard area flood walls</t>
  </si>
  <si>
    <t>Summary of Bill of Quantities for Construction of Civil Works</t>
  </si>
  <si>
    <t>UNIT RATE (NPR)</t>
  </si>
  <si>
    <t>CW.01.01.001</t>
  </si>
  <si>
    <t>CW.01.01.002</t>
  </si>
  <si>
    <t>CW.01.01.003</t>
  </si>
  <si>
    <t>Mobilization and Demobiliztion</t>
  </si>
  <si>
    <t>Months</t>
  </si>
  <si>
    <t>Insurance  of Works,  Materials, Plant, Equipments as per the Conditions of Contract</t>
  </si>
  <si>
    <t>CW.01.02.001</t>
  </si>
  <si>
    <t>CW.01.02.002</t>
  </si>
  <si>
    <t>CW.01.02.003</t>
  </si>
  <si>
    <t>Construction of Diversion roads required for construcion in site.</t>
  </si>
  <si>
    <t>Repair and Maintainance of the access road constructed by the Employer throughout the project duration.</t>
  </si>
  <si>
    <t>CW.01.03.02</t>
  </si>
  <si>
    <t>CW.01.03.01</t>
  </si>
  <si>
    <t>CW.01.03</t>
  </si>
  <si>
    <t>CW.01.02</t>
  </si>
  <si>
    <t>Operation and maintainance of health services station including all Personal (health assistant, Staff nurse) and medical services (medicine,consumables etc.) as specified in specification for the entire period of constructon and its extenion, if any.</t>
  </si>
  <si>
    <t>CW.01.04</t>
  </si>
  <si>
    <t>CW.01.04.01</t>
  </si>
  <si>
    <t>Surveying</t>
  </si>
  <si>
    <t>General surveying, traversing, establishing, control points and bench marks, checking, maintaining, repairing and replacement of survey points</t>
  </si>
  <si>
    <t>Establishment and maintenance of fire-extinguishers in all the camps and working sites and a mobile fire-fighting facility.</t>
  </si>
  <si>
    <t>CW.01.05</t>
  </si>
  <si>
    <t>CW.01.05.001</t>
  </si>
  <si>
    <t>CW.01.05.002</t>
  </si>
  <si>
    <t>CW.01.05.003</t>
  </si>
  <si>
    <t>CW.01.05.004</t>
  </si>
  <si>
    <t>CW.01.05.005</t>
  </si>
  <si>
    <t>CW.01.05.006</t>
  </si>
  <si>
    <t>Supply one new 4 wheel drive ambulance service vehicle including all emergency medical facilities in the ambulance.</t>
  </si>
  <si>
    <t>Operation and maintenance of ambulance service including emergency medical facilities, spare parts, fuel, driver's salary and other related incidentals and all complete related cost of ambulance service.</t>
  </si>
  <si>
    <t>CW.01.06</t>
  </si>
  <si>
    <t>CW.01.06.001</t>
  </si>
  <si>
    <t>Environmental management of the quarry site including stability of the slopes,minimization of soil erosion and sedimentation.</t>
  </si>
  <si>
    <t>CW.01.07</t>
  </si>
  <si>
    <t>Site Establishment</t>
  </si>
  <si>
    <t>Establishment of site including earthworks, landscaping, road works, surface of various potential site, administration offices, labour camps, storage yards, warehouses, workshops, bunker houses etc. construction of including fencing and security, establishment of spoil tip area.</t>
  </si>
  <si>
    <t>CW.01.07.001</t>
  </si>
  <si>
    <t>CW.01.06.002</t>
  </si>
  <si>
    <t>CW.01.06.003</t>
  </si>
  <si>
    <t>CW.01.08</t>
  </si>
  <si>
    <t>CW.01.08.001</t>
  </si>
  <si>
    <t>CW.01.09</t>
  </si>
  <si>
    <t>CW.01.09.001</t>
  </si>
  <si>
    <t>CW.01.09.002</t>
  </si>
  <si>
    <t>Dewatering of Surface works</t>
  </si>
  <si>
    <t>Supply of electricity to the Employer and the Engineer's office and accomodation with metering</t>
  </si>
  <si>
    <t>Preparation of construction area by clearing, grubbing, uprooting and  cutting of bushes, trees, removing the roots, carrying and disposal of the uncerviceable materials and stockpiling of serviceable materials at specified area</t>
  </si>
  <si>
    <t>Preparation of construction area by clearing, grubbing, uprooting and  cutting of trees, removing the roots, carrying and disposal of the uncerviceable materials and stockpiling of serviceable materials at specified area</t>
  </si>
  <si>
    <t>CW.04.02.002</t>
  </si>
  <si>
    <r>
      <t xml:space="preserve">Excavation: </t>
    </r>
    <r>
      <rPr>
        <sz val="11"/>
        <rFont val="Gill Sans MT"/>
        <family val="2"/>
      </rPr>
      <t>Excavation of various types of  materials  including necessary haulage, disposal and management of excavated materials etc. all complete as per the Specifications and the Drawings</t>
    </r>
  </si>
  <si>
    <t>Cement Plaster</t>
  </si>
  <si>
    <r>
      <rPr>
        <b/>
        <sz val="11"/>
        <rFont val="Gill Sans MT"/>
        <family val="2"/>
      </rPr>
      <t xml:space="preserve">Mobilization cost </t>
    </r>
    <r>
      <rPr>
        <sz val="11"/>
        <rFont val="Gill Sans MT"/>
        <family val="2"/>
      </rPr>
      <t>including movement of personnel, Contractor's Equipment, Materials, Plant, supplies to the Project site; establishment of test labs required as per the specification and its operation, establishment of Contractor's camps/offices with required facilities of sanitation as per the specification and other facilities necessary for starting the Contractor's operation at the site.</t>
    </r>
  </si>
  <si>
    <r>
      <rPr>
        <b/>
        <sz val="11"/>
        <rFont val="Gill Sans MT"/>
        <family val="2"/>
      </rPr>
      <t>Operating Cost</t>
    </r>
    <r>
      <rPr>
        <sz val="11"/>
        <rFont val="Gill Sans MT"/>
        <family val="2"/>
      </rPr>
      <t xml:space="preserve"> of Construction camps and work place including facilities</t>
    </r>
  </si>
  <si>
    <r>
      <t>Demobilization cost</t>
    </r>
    <r>
      <rPr>
        <sz val="11"/>
        <rFont val="Gill Sans MT"/>
        <family val="2"/>
      </rPr>
      <t xml:space="preserve"> including demolition of all temporary structures as approved by the Engineer, clean up, restoration and rehabilitation of the camp sites as per the specification.</t>
    </r>
  </si>
  <si>
    <t>Provision of saftey clothing, safety boots and other personal protective equipment for labour and contractor's other employees for the entire period of construction and its extension, if any.</t>
  </si>
  <si>
    <t>Preparation of construction area by clearing, grubbing, uprooting and  cutting of trees, removing the roots, carrying and disposal of the unserviceable materials and stockpiling of serviceable materials at specified area</t>
  </si>
  <si>
    <r>
      <t>Grouting:</t>
    </r>
    <r>
      <rPr>
        <sz val="11"/>
        <rFont val="Gill Sans MT"/>
        <family val="2"/>
      </rPr>
      <t xml:space="preserve"> Supply and  application of consolidation/curtain grouting works    as required and all complete as per the specifications but excluding the drilling for grouting </t>
    </r>
  </si>
  <si>
    <r>
      <t>Expansion Joint Material</t>
    </r>
    <r>
      <rPr>
        <sz val="11"/>
        <rFont val="Gill Sans MT"/>
        <family val="2"/>
      </rPr>
      <t xml:space="preserve"> (Providing and placing of expansion/contraction joints all in position as per the  drawings and all complete as per the specifications)</t>
    </r>
  </si>
  <si>
    <t>Supplying and Installing of rock bolt (L= 2.2 m and 20 mm dia.) including drilling and grouting etc. all complete as per the specifications and the drawings and testing as per the specifications</t>
  </si>
  <si>
    <t>Supplying and Installing of rock bolt (L= 2.5 m and 20 mm dia.) including drilling and grouting etc. all complete as per the specifications and the drawings and testing as per the specifications</t>
  </si>
  <si>
    <t>Rock exavation in tunnel including cost of explosive and all materials, surveying and marking, blasting, mucking, ventilation, lighting, water management, dewatering,  pumping, disposal and management of muck within the project area at the location instructed by the Employer/Engineer and all complete as per the specifications.</t>
  </si>
  <si>
    <t>Supplying and Installing of rock bolt (L= 3.5 m and 25 mm dia.) in fractured rock including drilling and grouting etc. all complete as per the specifications and the drawings</t>
  </si>
  <si>
    <t>Compacted back filling with non-cohesive materials in layers not exceeding 150mm with watering and haulage etc. all complete as per the Drawings and Specification.</t>
  </si>
  <si>
    <t>Supplying and Installing of rock bolt (L= 3.5 m and 25 mm dia.) in fractured rock including drilling and grouting etc. all complete as per the Specifications and the Drawings</t>
  </si>
  <si>
    <t>Supplying and Installing of rock bolt (L= 2.2m and 20 mm dia.) in fractured rock including drilling and grouting etc. all complete as per the specifications and the drawings</t>
  </si>
  <si>
    <t>Supplying and Installing of rock bolt (L= 3.5 m and 25 mm dia.) in fractured rock  including drilling and grouting etc. all complete as per the specifications and the drawings</t>
  </si>
  <si>
    <t>Supplying and Installing of rock bolt (L= 2.2m and 20 mm dia.) in fractured rock  including drilling and grouting etc. all complete as per the specifications and the drawings</t>
  </si>
  <si>
    <t>Supplying and Installing of rock bolt (L= 2.5 m and 20 mm dia.) in fractured rock  including drilling and grouting etc. all complete as per the specifications and the drawings</t>
  </si>
  <si>
    <t>Supplying and Installing of rock bolt (L= 2.2 m and 20 mm dia.) in fractured rock  including drilling and grouting etc. all complete as per the specifications and the drawings</t>
  </si>
  <si>
    <t>Supplying and Installing of rock bolt (L= 3 m and 25 mm dia.) in fractured rock  including drilling and grouting etc. all complete as per the specifications and the drawings</t>
  </si>
  <si>
    <t>Supplying and Installing of rock bolt (L= 2.5m and 25 mm dia.) in fractured rock  including drilling and grouting etc. all complete as per the specifications and the drawings</t>
  </si>
  <si>
    <t>Providing and placing of Spiling bolts 6 m long 25mm dia. including drilling, grouting, etc. all complete as per the Specification and the Drawings</t>
  </si>
  <si>
    <t>Supplying and Installing of rock bolt (L=2.5m and 20 mm dia.) in fractured rock  including drilling and grouting etc. all complete as per the specifications and the drawings</t>
  </si>
  <si>
    <t>Supplying and Installing of rock bolt (L=2.2m and 20 mm dia.)  in fractured rock  including drilling and grouting etc. all complete as per the specifications and the drawings</t>
  </si>
  <si>
    <t>Supplying and Installing of rock bolt (L=3m and 25 mm dia.) in fractured rock  including drilling and grouting etc. all complete as per the specifications and the drawings</t>
  </si>
  <si>
    <r>
      <rPr>
        <b/>
        <sz val="11"/>
        <rFont val="Gill Sans MT"/>
        <family val="2"/>
      </rPr>
      <t>Boulder Rip-Rap</t>
    </r>
    <r>
      <rPr>
        <sz val="11"/>
        <rFont val="Gill Sans MT"/>
        <family val="2"/>
      </rPr>
      <t>: Providing and placing boulder lining / rip-rap of the specified size with all complete as per Specifications and the Drawings</t>
    </r>
  </si>
  <si>
    <t xml:space="preserve">Plum Concrete of C15 with 40% Plum </t>
  </si>
  <si>
    <t>Supply and placing 3.5 mm thick Wire mesh (50x50) mm including fixing and anchorage as specified.</t>
  </si>
  <si>
    <t>Supply and placing 4.7 mm thick Wire mesh (100x100) mm including fixing and anchorage as specified.</t>
  </si>
  <si>
    <t>Supply and placing of 4.7 mm thick Wire mesh (100x100) mm including fixing and anchorage as specified.</t>
  </si>
  <si>
    <r>
      <rPr>
        <b/>
        <sz val="11"/>
        <rFont val="Gill Sans MT"/>
        <family val="2"/>
      </rPr>
      <t>Rock exavation in tunnel</t>
    </r>
    <r>
      <rPr>
        <sz val="11"/>
        <rFont val="Gill Sans MT"/>
        <family val="2"/>
      </rPr>
      <t xml:space="preserve"> including cost of explosive and all materials, blasting, mucking, provision of air,ventilation , lighting, water management, dewatering,  pumping, disposal and management of muck within the project site at the location provided by the Employer and all complete as per the specifications.</t>
    </r>
  </si>
  <si>
    <t>Providing and placing of Spiling bolts 6 m long 25mm dia. including drilling, grouting, etc. all complete as per the Specifications and the Drawings.</t>
  </si>
  <si>
    <t>CW.20.03</t>
  </si>
  <si>
    <t>CW.20.03.001</t>
  </si>
  <si>
    <t>CW.20.03.002</t>
  </si>
  <si>
    <t>CW.20.06.001</t>
  </si>
  <si>
    <t>CW.20.06.002</t>
  </si>
  <si>
    <t>CW.20.06.003</t>
  </si>
  <si>
    <t>CW.20.06.004</t>
  </si>
  <si>
    <t>CW.20.10.002</t>
  </si>
  <si>
    <r>
      <t>Cleaning of Invert</t>
    </r>
    <r>
      <rPr>
        <sz val="11"/>
        <rFont val="Gill Sans MT"/>
        <family val="2"/>
      </rPr>
      <t xml:space="preserve"> with transportation and disposal of spoil to the satisfaction of the Engineer</t>
    </r>
  </si>
  <si>
    <t>Supply and placing of 3.5 mm thick Wire mesh (50x50) mm including fixing and anchorage as specified.</t>
  </si>
  <si>
    <t>Providing and installing steel ribs or strut of ISMB 150 including fixing materials, tie bars, concrete footing, etc. all complete as per the Specifications and the Drawings.</t>
  </si>
  <si>
    <t>Providing and installing steel ribs or strut of ISMB 200 or higher grade Steel Sections including fixing materials, tie bars, concrete footing, etc. all complete as per the Specifications and the Drawings.</t>
  </si>
  <si>
    <t>CW.26.06.002</t>
  </si>
  <si>
    <t>Providing of clay core in the center of the embankment for seepage control, with compaction and all complete</t>
  </si>
  <si>
    <t>Supplying and Installing of rock bolt (L= 4 m and 25 mm dia.) in fractured rock  including drilling and grouting etc. all complete as per the specifications and the drawings</t>
  </si>
  <si>
    <t>Providing and placing 100 mm thick steel fiber shortcrete including compaction, curing , testing etc. all complete as per the specifications and the drawings</t>
  </si>
  <si>
    <r>
      <t>PVC Sheet:</t>
    </r>
    <r>
      <rPr>
        <sz val="11"/>
        <rFont val="Gill Sans MT"/>
        <family val="2"/>
      </rPr>
      <t xml:space="preserve"> Providing, placing and lapping of PVC sheets all complete while protecting from puncture during placing and backfilling</t>
    </r>
  </si>
  <si>
    <r>
      <t>Weep Holes:</t>
    </r>
    <r>
      <rPr>
        <sz val="11"/>
        <rFont val="Gill Sans MT"/>
        <family val="2"/>
      </rPr>
      <t xml:space="preserve"> Providing and Placing of weep holes of polyethne pipes of 100mm dia. as per the specificications and the drawings.</t>
    </r>
  </si>
  <si>
    <t xml:space="preserve">Providing and placing of expansion/ contraction joints all in position as per the  drawings and all complete as per the specifications </t>
  </si>
  <si>
    <t>Myagdi River diversion during Construction</t>
  </si>
  <si>
    <r>
      <t>Catch Drain:</t>
    </r>
    <r>
      <rPr>
        <sz val="11"/>
        <rFont val="Gill Sans MT"/>
        <family val="2"/>
      </rPr>
      <t xml:space="preserve"> Providing and placing of stone masonry works for rectangular channel section of 0.3 m x 0.3 m or as per the drawings and the specifications</t>
    </r>
  </si>
  <si>
    <t>Underground Rock Excavation in rock class I to IV</t>
  </si>
  <si>
    <t>Underground Rock Excavation  in rock class V to VI</t>
  </si>
  <si>
    <t>BOQ</t>
  </si>
  <si>
    <t>Change</t>
  </si>
  <si>
    <t xml:space="preserve">Plum Concrete of C20 with 40% Plum </t>
  </si>
  <si>
    <t>A. CONTRACTUAL REQUIREMENT</t>
  </si>
  <si>
    <t>B. MYAGDI HEADWORKS CIVIL WORKS</t>
  </si>
  <si>
    <t>C. KUNABAN HEADWORKS CIVIL WORKS</t>
  </si>
  <si>
    <t>D. WATERWAY AND UNDERGROUND STRUCTURES CIVIL WORKS</t>
  </si>
  <si>
    <t>E. POWERHOUSE AND APPURTENANCES CIVIL WORKS</t>
  </si>
  <si>
    <t>CW.36</t>
  </si>
  <si>
    <t>SUB-TOTAL OF B.7</t>
  </si>
  <si>
    <t>CW.06.09.002</t>
  </si>
  <si>
    <t>CW.06.09.003</t>
  </si>
  <si>
    <t>40% Common Soil</t>
  </si>
  <si>
    <t>60% Hard Soil</t>
  </si>
  <si>
    <t>Beams for Hardstone Lining (C50)</t>
  </si>
  <si>
    <t>Due to Lesser Rock Cutting</t>
  </si>
  <si>
    <t>Blinding concrerte of C15 grade</t>
  </si>
  <si>
    <t>Blinding Concrete (C15)</t>
  </si>
  <si>
    <t>Due to change in boulder weir</t>
  </si>
  <si>
    <t>Due to increase in size of undersluice</t>
  </si>
  <si>
    <t>Culvert and Syphon</t>
  </si>
  <si>
    <t>Providing and placing of 4m long and 25mm dia. soil nail with drilling, grouting, face plates, nuts, etc. all complete</t>
  </si>
  <si>
    <t>Portal for Adit Tunnel 1 &amp; 2 (HRT)</t>
  </si>
  <si>
    <r>
      <t xml:space="preserve"> Earthworks: </t>
    </r>
    <r>
      <rPr>
        <sz val="11"/>
        <rFont val="Gill Sans MT"/>
        <family val="2"/>
      </rPr>
      <t>Excavation of various types of  materials  including necessary haulage, disposal and management of excavated materials etc., compacted backfilling as required  and  all complete as per the Specifications and the Drawings</t>
    </r>
  </si>
  <si>
    <t>Supplying and Installing of rock bolt (L= 3.5 m and 25 mm dia ) in fractured rock  including drilling and grouting etc. all complete as per the specifications and the drawings</t>
  </si>
  <si>
    <t>ADIT PORTAL 1</t>
  </si>
  <si>
    <t>Adit 1 and Adit 2 for Headrace Tunnel</t>
  </si>
  <si>
    <t>CW.22.01.001</t>
  </si>
  <si>
    <t>CW.22.04.003</t>
  </si>
  <si>
    <t>CW.22.04.002</t>
  </si>
  <si>
    <t>CW.22.06.002</t>
  </si>
  <si>
    <t>CW.21.02.001</t>
  </si>
  <si>
    <t>CW.21.02.002</t>
  </si>
  <si>
    <t>CW.21.02.003</t>
  </si>
  <si>
    <t>CW.21.07.001</t>
  </si>
  <si>
    <t>CW.21.9</t>
  </si>
  <si>
    <t>Rock exavation in surge shaft including cost of explosive and all materials, blasting, mucking, provision of air, ventilation, lighting, water, dewatering,  pumping, disposal and management of muck within the project site at the location provided by the Employer and all complete as per the specifications.</t>
  </si>
  <si>
    <t>Preparation of construction area by clearing, grubbing, uprooting and  cutting of trees, removing the roots, carrying and disposal of the unserviceable materials and stockpiling of serviceable materials at specified area.</t>
  </si>
  <si>
    <t>CW.20.09</t>
  </si>
  <si>
    <t>Underground Rock exavation in Cavern, irrespective of encountered rock type,  including the cost of explosive and all materials,  blasting, mucking, provision of air ventilation , lighting, water, dewatering,  pumping, disposal and management of muck within the project site at the location provided by the Employer and all complete as per the specifications.</t>
  </si>
  <si>
    <t>Supplying and Installing of rock bolt (L=3.5m  and 25 mm dia.) in fractured rock  including drilling and grouting etc. all complete as per the specifications and the drawings</t>
  </si>
  <si>
    <t>Blinding Concrete C15 grade</t>
  </si>
  <si>
    <t>CW.20.07.001</t>
  </si>
  <si>
    <t>CW.20.07.002</t>
  </si>
  <si>
    <t>CW.208.001</t>
  </si>
  <si>
    <t>CW.20.09.001</t>
  </si>
  <si>
    <t>CW.20.13</t>
  </si>
  <si>
    <t>CW.20.13.001</t>
  </si>
  <si>
    <t>CW.23.02.002</t>
  </si>
  <si>
    <t>CW.23.02.003</t>
  </si>
  <si>
    <t>CW.23.02.004</t>
  </si>
  <si>
    <t>CW.23.02.005</t>
  </si>
  <si>
    <t>CW.23.03.002</t>
  </si>
  <si>
    <t>CW.23.07</t>
  </si>
  <si>
    <t>CW.23.08</t>
  </si>
  <si>
    <t>CW.24.05.001</t>
  </si>
  <si>
    <t>CW.25.01.001</t>
  </si>
  <si>
    <t>CW.25.04.001</t>
  </si>
  <si>
    <t>CW.25.04.002</t>
  </si>
  <si>
    <t>CW.25.04.003</t>
  </si>
  <si>
    <t>CW.26.03.003</t>
  </si>
  <si>
    <t>CW.26.03.004</t>
  </si>
  <si>
    <t>CW.26.05.001</t>
  </si>
  <si>
    <t>CW.26.07.001</t>
  </si>
  <si>
    <t>CW.26.07.002</t>
  </si>
  <si>
    <t>CW.27.02.002</t>
  </si>
  <si>
    <t>CW.27.02.003</t>
  </si>
  <si>
    <t>CW.27.03.002</t>
  </si>
  <si>
    <t>CW.27.05.002</t>
  </si>
  <si>
    <t>CW.27.06.002</t>
  </si>
  <si>
    <t>CW.27.07</t>
  </si>
  <si>
    <t>CW.27.08</t>
  </si>
  <si>
    <t>CW.27.08.001</t>
  </si>
  <si>
    <t>CW.27.08.002</t>
  </si>
  <si>
    <t>CW.27.09</t>
  </si>
  <si>
    <t>CW.27.09.001</t>
  </si>
  <si>
    <t>CW.27.10</t>
  </si>
  <si>
    <t>CW.28.04.002</t>
  </si>
  <si>
    <t>CW.28.04.003</t>
  </si>
  <si>
    <t>CW.29.05.001</t>
  </si>
  <si>
    <t>CW.29.07.001</t>
  </si>
  <si>
    <t>CW.29.10</t>
  </si>
  <si>
    <t>CW.30.02.002</t>
  </si>
  <si>
    <t>CW.30.02.003</t>
  </si>
  <si>
    <t>CW.30.02.004</t>
  </si>
  <si>
    <t>CW.30.02.005</t>
  </si>
  <si>
    <t>CW.30.02.006</t>
  </si>
  <si>
    <t>CW.30.03.002</t>
  </si>
  <si>
    <t>CW.30.05.002</t>
  </si>
  <si>
    <t>CW.30.07</t>
  </si>
  <si>
    <t>CW.30.08</t>
  </si>
  <si>
    <t>CW.30.09</t>
  </si>
  <si>
    <t>CW.30.09.001</t>
  </si>
  <si>
    <t>CW.30.09.002</t>
  </si>
  <si>
    <t>CW.30.10.001</t>
  </si>
  <si>
    <t>CW.31.04.002</t>
  </si>
  <si>
    <t>CW.31.04.003</t>
  </si>
  <si>
    <t>CW.31.06.002</t>
  </si>
  <si>
    <t>CW.32.01.001</t>
  </si>
  <si>
    <t>CW.32.02.001</t>
  </si>
  <si>
    <t>CW.32.02.002</t>
  </si>
  <si>
    <t>CW.32.02.003</t>
  </si>
  <si>
    <t>CW.32.02.004</t>
  </si>
  <si>
    <t>CW.32.02.005</t>
  </si>
  <si>
    <t>CW.32.03.001</t>
  </si>
  <si>
    <t>CW.32.04.001</t>
  </si>
  <si>
    <t>CW.32.06.001</t>
  </si>
  <si>
    <t>CW.32.07.001</t>
  </si>
  <si>
    <t>CW.32.08.001</t>
  </si>
  <si>
    <t>CW.32.08.002</t>
  </si>
  <si>
    <t>CW.32.09.001</t>
  </si>
  <si>
    <t>CW.33.04.03</t>
  </si>
  <si>
    <t>CW.33.04.04</t>
  </si>
  <si>
    <t>CW.33.04.05</t>
  </si>
  <si>
    <t>CW.33.07</t>
  </si>
  <si>
    <t>CW.33.07.01</t>
  </si>
  <si>
    <t>CW.33.07.02</t>
  </si>
  <si>
    <t>CW.33.07.03</t>
  </si>
  <si>
    <t>CW.33.07.04</t>
  </si>
  <si>
    <t>CW.33.08</t>
  </si>
  <si>
    <t>CW.33.09</t>
  </si>
  <si>
    <t>CW.33.10</t>
  </si>
  <si>
    <t>CW.33.11</t>
  </si>
  <si>
    <t>CW.33.12</t>
  </si>
  <si>
    <t>CW.33.12.01</t>
  </si>
  <si>
    <t>CW.33.12.02</t>
  </si>
  <si>
    <t>CW.33.13</t>
  </si>
  <si>
    <t>CW.33.14</t>
  </si>
  <si>
    <t>CW.33.14.01</t>
  </si>
  <si>
    <t>CW.33.15</t>
  </si>
  <si>
    <t>CW.33.15.01</t>
  </si>
  <si>
    <t>CW.33.16</t>
  </si>
  <si>
    <t>CW.33.16.01</t>
  </si>
  <si>
    <t>CW.33.16.02</t>
  </si>
  <si>
    <t>CW.33.17</t>
  </si>
  <si>
    <t>CW.33.17.01</t>
  </si>
  <si>
    <t>CW.33.17.02</t>
  </si>
  <si>
    <t>CW.33.17.03</t>
  </si>
  <si>
    <t>CW.34.02.02</t>
  </si>
  <si>
    <t>CW.34.04.02</t>
  </si>
  <si>
    <t>CW.34.06</t>
  </si>
  <si>
    <t>CW.34.06.01</t>
  </si>
  <si>
    <t>CW.35.03.01</t>
  </si>
  <si>
    <t>CW.35.03.02</t>
  </si>
  <si>
    <t>CW.35.04.01</t>
  </si>
  <si>
    <t>CW.35.05.03</t>
  </si>
  <si>
    <t>CW.36.01</t>
  </si>
  <si>
    <t>CW.36.01.01</t>
  </si>
  <si>
    <t>CW.36.02</t>
  </si>
  <si>
    <t>CW.36.02.01</t>
  </si>
  <si>
    <t>CW.36.02.02</t>
  </si>
  <si>
    <t>CW.36.03</t>
  </si>
  <si>
    <t>CW.36.04</t>
  </si>
  <si>
    <t>CW.36.05</t>
  </si>
  <si>
    <t>CW.36.05.01</t>
  </si>
  <si>
    <t>CW.36.05.02</t>
  </si>
  <si>
    <t>CW.36.06</t>
  </si>
  <si>
    <t>CW.36.07</t>
  </si>
  <si>
    <t>CW.36.07.01</t>
  </si>
  <si>
    <t>CW.36.08</t>
  </si>
  <si>
    <t>CW.36.09</t>
  </si>
  <si>
    <t>CW.36.09.01</t>
  </si>
  <si>
    <t>CW.36.09.02</t>
  </si>
  <si>
    <t>CW.36.09.03</t>
  </si>
  <si>
    <t>T1</t>
  </si>
  <si>
    <t>T2</t>
  </si>
  <si>
    <t>T3</t>
  </si>
  <si>
    <t>GT</t>
  </si>
  <si>
    <t>Value Added Tax  (VAT) @13% of T1</t>
  </si>
  <si>
    <t>Total Contract Amount Including  VAT (T1+T3)</t>
  </si>
  <si>
    <t>MYAGDI KHOLA HYDROPOWER PROJECT</t>
  </si>
  <si>
    <t>NPR</t>
  </si>
  <si>
    <t>Flood Protection Works in Myagdi Headworks Area</t>
  </si>
  <si>
    <t>Myagdi Weir and Stilling Basin</t>
  </si>
  <si>
    <t>Myagdi Undersluice and Trash Passage</t>
  </si>
  <si>
    <t>Myagdi Intake and Gravel Trap</t>
  </si>
  <si>
    <t>Access Road from Kunaban HW to Myagdi HW</t>
  </si>
  <si>
    <t>Flood Protection Works in Kunaban Headworks Area</t>
  </si>
  <si>
    <t>Kunaban Weir and Stilling Basin</t>
  </si>
  <si>
    <t>Kunaban Undersluice, Trash Passage and Fish Ladder</t>
  </si>
  <si>
    <t>Kunaban Intake and Gravel trap</t>
  </si>
  <si>
    <t>Horizontal Penstock Shaft I, II, III &amp; IV</t>
  </si>
  <si>
    <t>A.1.General Items</t>
  </si>
  <si>
    <t>CW.01.02.004</t>
  </si>
  <si>
    <t>A.1.GENERAL ITEMS</t>
  </si>
  <si>
    <t xml:space="preserve">A.2.RIVER DIVERSION AND DRAINING,PUMPING AND DEWATERING OF SURFACE WORKS DURING CONSTRUCTION </t>
  </si>
  <si>
    <r>
      <rPr>
        <b/>
        <sz val="11"/>
        <rFont val="Gill Sans MT"/>
        <family val="2"/>
      </rPr>
      <t xml:space="preserve">Mobilization cost </t>
    </r>
    <r>
      <rPr>
        <sz val="11"/>
        <rFont val="Gill Sans MT"/>
        <family val="2"/>
      </rPr>
      <t>including movement of personnel, Contractor's Equipment, Materials, Plant, supplies to the Project site; establishment of test labs required as per the specification and its operation, establishment of Contractor's camps/offices with required facilities of sanitation as per the specification and other facilities necessary for starting the Contractor's operation at the site,  establishment of construction yard,  test labs, material storage yard, laboratory and  mechanical works yard ,installation of required nos of crusher plants, material testing and any other services and facilities required  as per the  General and Technical Specifications.</t>
    </r>
  </si>
  <si>
    <t>Repair and Maintainance of the access road constructed by the Employer throughout the project duration including sprinking of water when required for the dust control within the project site .</t>
  </si>
  <si>
    <t>Supply of electricity to the Employer and the Engineer's office and accomodation with metering (Rates only)</t>
  </si>
  <si>
    <t>TOTAL OF A.2</t>
  </si>
  <si>
    <t>SUB-TOTAL (Total of A.1)</t>
  </si>
  <si>
    <t>Access Road Repair and Maintenance</t>
  </si>
  <si>
    <r>
      <rPr>
        <b/>
        <sz val="11"/>
        <rFont val="Gill Sans MT"/>
        <family val="2"/>
      </rPr>
      <t>Operating Cost</t>
    </r>
    <r>
      <rPr>
        <sz val="11"/>
        <rFont val="Gill Sans MT"/>
        <family val="2"/>
      </rPr>
      <t xml:space="preserve"> of Construction camps and work place including facilities, laboratories etc.</t>
    </r>
  </si>
  <si>
    <t>CW.01.07.002</t>
  </si>
  <si>
    <t>Insurance  of Works,  Materials, Plant, Equipments as per the Conditions of Contract. Off-Site transportation Insurance</t>
  </si>
  <si>
    <t>Insurance of Employer's Risk as per the Conditions of Contract</t>
  </si>
  <si>
    <t>CW.03.04.002</t>
  </si>
  <si>
    <t>Concrete of C25 grade</t>
  </si>
  <si>
    <t>Boulder Rip-Rap of 1.5-2.0 m dia</t>
  </si>
  <si>
    <t>A. GENERAL ITEMS &amp; DIVERSION DURING CONSTRUCTION</t>
  </si>
  <si>
    <t xml:space="preserve">A.1.General Items </t>
  </si>
  <si>
    <t xml:space="preserve">A.2. Temporary river Diversion During Construction for Surface Works </t>
  </si>
  <si>
    <t>CW.02.1</t>
  </si>
  <si>
    <r>
      <rPr>
        <b/>
        <sz val="10"/>
        <rFont val="Gill Sans MT"/>
        <family val="2"/>
      </rPr>
      <t xml:space="preserve"> Diversion,draining, pumping and Dewatering  during construction of Myagdi Headworks</t>
    </r>
    <r>
      <rPr>
        <sz val="10"/>
        <rFont val="Gill Sans MT"/>
        <family val="2"/>
      </rPr>
      <t xml:space="preserve">                                       Design, construction, restoration of the temporary river diversion structures (coffer dams) and also the diversion of the small streams, creecks as required for the construction works  and repair of all the damages to the structures during the entire construction period and extensions thereof as well as the demolition of the temporary diversion structures as per the instruction of the Engineer</t>
    </r>
  </si>
  <si>
    <t>CW.02.2</t>
  </si>
  <si>
    <t>CW.02.3</t>
  </si>
  <si>
    <r>
      <rPr>
        <b/>
        <sz val="11"/>
        <rFont val="Gill Sans MT"/>
        <family val="2"/>
      </rPr>
      <t xml:space="preserve">Dewatering of  other Surface works of the Project   </t>
    </r>
    <r>
      <rPr>
        <sz val="11"/>
        <rFont val="Gill Sans MT"/>
        <family val="2"/>
      </rPr>
      <t xml:space="preserve">    Draining, dewatering of other surface works construction including pumping, diversion of kholshis, rivers, creeks,  and other associated cost as per specifications. </t>
    </r>
    <r>
      <rPr>
        <b/>
        <sz val="11"/>
        <rFont val="Gill Sans MT"/>
        <family val="2"/>
      </rPr>
      <t>(Note: The dewatering of underground works shall be deemed to be included with the rates of underground excavation)</t>
    </r>
  </si>
  <si>
    <t>Total of Item CW.01 to CW.36</t>
  </si>
  <si>
    <t xml:space="preserve">Temporary river Diversion, draining, dewatering, pumping  During Construction of Myagdi Headworks </t>
  </si>
  <si>
    <t xml:space="preserve">Temporary river Diversion, draining, dewatering, pumping  During Construction of Kunaban Headworks </t>
  </si>
  <si>
    <r>
      <t>Temporary river Diversion, draining, dewatering, pumping  During Construction of other surface works of the Project (</t>
    </r>
    <r>
      <rPr>
        <b/>
        <sz val="11"/>
        <rFont val="Gill Sans MT"/>
        <family val="2"/>
      </rPr>
      <t>Note: The dewatering of underground works shall be deemed to be included with the rates of underground excavation)</t>
    </r>
    <r>
      <rPr>
        <sz val="11"/>
        <rFont val="Gill Sans MT"/>
        <family val="2"/>
      </rPr>
      <t xml:space="preserve"> </t>
    </r>
  </si>
  <si>
    <r>
      <rPr>
        <b/>
        <sz val="11"/>
        <rFont val="Gill Sans MT"/>
        <family val="2"/>
      </rPr>
      <t>Rock exavation in tunnel</t>
    </r>
    <r>
      <rPr>
        <sz val="11"/>
        <rFont val="Gill Sans MT"/>
        <family val="2"/>
      </rPr>
      <t xml:space="preserve"> including cost of explosive and all materials, blasting, mucking, provision of air,ventilation , lighting, water management, draining, dewatering,  pumping, disposal and management of muck within the project site at the location provided by the Employer and all complete as per the specifications.</t>
    </r>
  </si>
  <si>
    <t>DAYWORK SCHEDULE</t>
  </si>
  <si>
    <t>Rate in Figures (NRs)</t>
  </si>
  <si>
    <t>P.1</t>
  </si>
  <si>
    <t>P.2</t>
  </si>
  <si>
    <t>P.3</t>
  </si>
  <si>
    <t xml:space="preserve">Labourer, highly-skilled:  </t>
  </si>
  <si>
    <t>P.4</t>
  </si>
  <si>
    <t>- Heavy equipment operator, more than 25 t</t>
  </si>
  <si>
    <t>P.5</t>
  </si>
  <si>
    <t xml:space="preserve">Skilled labourer:  </t>
  </si>
  <si>
    <t>P.6</t>
  </si>
  <si>
    <t>P.7</t>
  </si>
  <si>
    <t>P.8</t>
  </si>
  <si>
    <t>P.9</t>
  </si>
  <si>
    <t>P.10</t>
  </si>
  <si>
    <t>P.11</t>
  </si>
  <si>
    <t>P.12</t>
  </si>
  <si>
    <t>- Guard, Porter, Cleaner, general support labourer</t>
  </si>
  <si>
    <t>P.13</t>
  </si>
  <si>
    <t>P.14</t>
  </si>
  <si>
    <t xml:space="preserve">Carpenter </t>
  </si>
  <si>
    <t>P.15</t>
  </si>
  <si>
    <t>Q.1</t>
  </si>
  <si>
    <t>Q.2</t>
  </si>
  <si>
    <t>Q.3</t>
  </si>
  <si>
    <t>Q.4</t>
  </si>
  <si>
    <r>
      <t>Crawler loader, 1.5 m</t>
    </r>
    <r>
      <rPr>
        <vertAlign val="superscript"/>
        <sz val="11"/>
        <color theme="1"/>
        <rFont val="Gill Sans MT"/>
        <family val="2"/>
      </rPr>
      <t>3</t>
    </r>
    <r>
      <rPr>
        <sz val="11"/>
        <color theme="1"/>
        <rFont val="Gill Sans MT"/>
        <family val="2"/>
      </rPr>
      <t>, 80 kW</t>
    </r>
  </si>
  <si>
    <t>Q.5</t>
  </si>
  <si>
    <r>
      <t>Crawler loader, 2.8 m</t>
    </r>
    <r>
      <rPr>
        <vertAlign val="superscript"/>
        <sz val="11"/>
        <color theme="1"/>
        <rFont val="Gill Sans MT"/>
        <family val="2"/>
      </rPr>
      <t>3</t>
    </r>
    <r>
      <rPr>
        <sz val="11"/>
        <color theme="1"/>
        <rFont val="Gill Sans MT"/>
        <family val="2"/>
      </rPr>
      <t>, 157 kW</t>
    </r>
  </si>
  <si>
    <t>Q.6</t>
  </si>
  <si>
    <r>
      <t>Wheel loader, 2.0 m</t>
    </r>
    <r>
      <rPr>
        <vertAlign val="superscript"/>
        <sz val="11"/>
        <color theme="1"/>
        <rFont val="Gill Sans MT"/>
        <family val="2"/>
      </rPr>
      <t>3</t>
    </r>
    <r>
      <rPr>
        <sz val="11"/>
        <color theme="1"/>
        <rFont val="Gill Sans MT"/>
        <family val="2"/>
      </rPr>
      <t>, 90 kW</t>
    </r>
  </si>
  <si>
    <t>Q.7</t>
  </si>
  <si>
    <r>
      <t>Wheel loader, 3.0 m</t>
    </r>
    <r>
      <rPr>
        <vertAlign val="superscript"/>
        <sz val="11"/>
        <color theme="1"/>
        <rFont val="Gill Sans MT"/>
        <family val="2"/>
      </rPr>
      <t>3</t>
    </r>
    <r>
      <rPr>
        <sz val="11"/>
        <color theme="1"/>
        <rFont val="Gill Sans MT"/>
        <family val="2"/>
      </rPr>
      <t>, 115 kW</t>
    </r>
  </si>
  <si>
    <t>Q.8</t>
  </si>
  <si>
    <r>
      <t>Wheel Loader, 4.0 m</t>
    </r>
    <r>
      <rPr>
        <vertAlign val="superscript"/>
        <sz val="11"/>
        <color theme="1"/>
        <rFont val="Gill Sans MT"/>
        <family val="2"/>
      </rPr>
      <t>3</t>
    </r>
    <r>
      <rPr>
        <sz val="11"/>
        <color theme="1"/>
        <rFont val="Gill Sans MT"/>
        <family val="2"/>
      </rPr>
      <t>, 235 kW</t>
    </r>
  </si>
  <si>
    <t>Q.9</t>
  </si>
  <si>
    <t>Excavator, backhoe, 4.0 m, 280 kW</t>
  </si>
  <si>
    <t>Q.10</t>
  </si>
  <si>
    <r>
      <t>Excavator, backhoe, 1.7 m</t>
    </r>
    <r>
      <rPr>
        <vertAlign val="superscript"/>
        <sz val="11"/>
        <color theme="1"/>
        <rFont val="Gill Sans MT"/>
        <family val="2"/>
      </rPr>
      <t>3</t>
    </r>
    <r>
      <rPr>
        <sz val="11"/>
        <color theme="1"/>
        <rFont val="Gill Sans MT"/>
        <family val="2"/>
      </rPr>
      <t>, 150 kW</t>
    </r>
  </si>
  <si>
    <t>Q.11</t>
  </si>
  <si>
    <r>
      <t>Excavator, backhoe, 1.0 m</t>
    </r>
    <r>
      <rPr>
        <vertAlign val="superscript"/>
        <sz val="11"/>
        <color theme="1"/>
        <rFont val="Gill Sans MT"/>
        <family val="2"/>
      </rPr>
      <t>3</t>
    </r>
    <r>
      <rPr>
        <sz val="11"/>
        <color theme="1"/>
        <rFont val="Gill Sans MT"/>
        <family val="2"/>
      </rPr>
      <t>, 100 kW</t>
    </r>
  </si>
  <si>
    <t>Q.12</t>
  </si>
  <si>
    <r>
      <t>Excavator, rock shovel; 2.0 m</t>
    </r>
    <r>
      <rPr>
        <vertAlign val="superscript"/>
        <sz val="11"/>
        <color theme="1"/>
        <rFont val="Gill Sans MT"/>
        <family val="2"/>
      </rPr>
      <t>3</t>
    </r>
    <r>
      <rPr>
        <sz val="11"/>
        <color theme="1"/>
        <rFont val="Gill Sans MT"/>
        <family val="2"/>
      </rPr>
      <t>, 150 kW</t>
    </r>
  </si>
  <si>
    <t>Q.13</t>
  </si>
  <si>
    <r>
      <t>Excavator, rock shovel; 4.0 m</t>
    </r>
    <r>
      <rPr>
        <vertAlign val="superscript"/>
        <sz val="11"/>
        <color theme="1"/>
        <rFont val="Gill Sans MT"/>
        <family val="2"/>
      </rPr>
      <t>3</t>
    </r>
    <r>
      <rPr>
        <sz val="11"/>
        <color theme="1"/>
        <rFont val="Gill Sans MT"/>
        <family val="2"/>
      </rPr>
      <t>, 200 kW</t>
    </r>
  </si>
  <si>
    <t>R.1</t>
  </si>
  <si>
    <t>R.2</t>
  </si>
  <si>
    <t>R.3</t>
  </si>
  <si>
    <t>R.4</t>
  </si>
  <si>
    <t>R.5</t>
  </si>
  <si>
    <t>R.6</t>
  </si>
  <si>
    <t>R.7</t>
  </si>
  <si>
    <t>R.8</t>
  </si>
  <si>
    <t>R.9</t>
  </si>
  <si>
    <t>S.1</t>
  </si>
  <si>
    <r>
      <t>Transit mix truck. (5 m</t>
    </r>
    <r>
      <rPr>
        <vertAlign val="superscript"/>
        <sz val="11"/>
        <color theme="1"/>
        <rFont val="Gill Sans MT"/>
        <family val="2"/>
      </rPr>
      <t>3</t>
    </r>
    <r>
      <rPr>
        <sz val="11"/>
        <color theme="1"/>
        <rFont val="Gill Sans MT"/>
        <family val="2"/>
      </rPr>
      <t xml:space="preserve"> concrete)</t>
    </r>
  </si>
  <si>
    <t>S.2</t>
  </si>
  <si>
    <r>
      <t>Transit mix truck. (2 m</t>
    </r>
    <r>
      <rPr>
        <vertAlign val="superscript"/>
        <sz val="11"/>
        <color theme="1"/>
        <rFont val="Gill Sans MT"/>
        <family val="2"/>
      </rPr>
      <t>3</t>
    </r>
    <r>
      <rPr>
        <sz val="11"/>
        <color theme="1"/>
        <rFont val="Gill Sans MT"/>
        <family val="2"/>
      </rPr>
      <t xml:space="preserve"> concrete)</t>
    </r>
  </si>
  <si>
    <t>S.3</t>
  </si>
  <si>
    <r>
      <t>Concrete pump; 20 m</t>
    </r>
    <r>
      <rPr>
        <vertAlign val="superscript"/>
        <sz val="11"/>
        <color theme="1"/>
        <rFont val="Gill Sans MT"/>
        <family val="2"/>
      </rPr>
      <t>3</t>
    </r>
    <r>
      <rPr>
        <sz val="11"/>
        <color theme="1"/>
        <rFont val="Gill Sans MT"/>
        <family val="2"/>
      </rPr>
      <t>/h, 75 bar, 38 kW</t>
    </r>
  </si>
  <si>
    <t>S.4</t>
  </si>
  <si>
    <r>
      <t>Concrete pump; 80 m</t>
    </r>
    <r>
      <rPr>
        <vertAlign val="superscript"/>
        <sz val="11"/>
        <color theme="1"/>
        <rFont val="Gill Sans MT"/>
        <family val="2"/>
      </rPr>
      <t>3</t>
    </r>
    <r>
      <rPr>
        <sz val="11"/>
        <color theme="1"/>
        <rFont val="Gill Sans MT"/>
        <family val="2"/>
      </rPr>
      <t>/h, 100 bar, 90 kW</t>
    </r>
  </si>
  <si>
    <t>S.5</t>
  </si>
  <si>
    <t>S.6</t>
  </si>
  <si>
    <t>S.7</t>
  </si>
  <si>
    <t>T.1</t>
  </si>
  <si>
    <t>T.2</t>
  </si>
  <si>
    <t>T.3</t>
  </si>
  <si>
    <t>T.4</t>
  </si>
  <si>
    <t>U.1</t>
  </si>
  <si>
    <t>U.2</t>
  </si>
  <si>
    <t>U.3</t>
  </si>
  <si>
    <t>U.4</t>
  </si>
  <si>
    <t>U.5</t>
  </si>
  <si>
    <t>U.6</t>
  </si>
  <si>
    <t xml:space="preserve"> mon</t>
  </si>
  <si>
    <t>U.7</t>
  </si>
  <si>
    <t>U.8</t>
  </si>
  <si>
    <t>U.9</t>
  </si>
  <si>
    <t>V.1</t>
  </si>
  <si>
    <t>V.2</t>
  </si>
  <si>
    <t>W.1</t>
  </si>
  <si>
    <t>W.2</t>
  </si>
  <si>
    <t>W.3</t>
  </si>
  <si>
    <t>W.4</t>
  </si>
  <si>
    <t>W.5</t>
  </si>
  <si>
    <t>W.6</t>
  </si>
  <si>
    <t>W.7</t>
  </si>
  <si>
    <t>W.8</t>
  </si>
  <si>
    <t>W.9</t>
  </si>
  <si>
    <t>W.10</t>
  </si>
  <si>
    <t>W.11</t>
  </si>
  <si>
    <t>W.12</t>
  </si>
  <si>
    <t>W.13</t>
  </si>
  <si>
    <t>W.14</t>
  </si>
  <si>
    <t>W.15</t>
  </si>
  <si>
    <t xml:space="preserve">River bed sand </t>
  </si>
  <si>
    <t>W.16</t>
  </si>
  <si>
    <t>Myagdi  Khola Hydropower Project</t>
  </si>
  <si>
    <t xml:space="preserve">Dayworks Schedule </t>
  </si>
  <si>
    <t>CW.20.02.007</t>
  </si>
  <si>
    <t>CW.20.04.003</t>
  </si>
  <si>
    <t>CW.20.04.004</t>
  </si>
  <si>
    <t>Supplying and Installing of rock bolt (L= 2.2m and 20 mm dia.)   including drilling and grouting etc. all complete as per the specifications and the drawings</t>
  </si>
  <si>
    <t>Supplying and Installing of rock bolt (L= 2.5 m and 20 mm dia.)  including drilling and grouting etc. all complete as per the specifications and the drawings</t>
  </si>
  <si>
    <t xml:space="preserve">Supplying and Installing of 20mm dia  2.2 m long rock bolt with resin capsule including drilling, grouting and all complete works of rock bolting as per the specifications and the drawings </t>
  </si>
  <si>
    <t xml:space="preserve">Supplying and Installing of 20mm dia  2.5 m long rock bolt with resin capsule including drilling, grouting and all complete works of rock bolting as per the specifications and the drawings </t>
  </si>
  <si>
    <t>Providing and installing steel ribs or strut of ISMB 200 including fixing materials, tie bars, concrete footing, etc. all complete as per the Specifications and the Drawings.</t>
  </si>
  <si>
    <t>Supplying and Installing of fully grouted 25mm dia rock anchor of varying length (3.5-8m) including drilling, grouting and all complete works of rock anchoring as per the specifications and the drawings</t>
  </si>
  <si>
    <t>CW.33.18</t>
  </si>
  <si>
    <t>CW.33.18.01</t>
  </si>
  <si>
    <t>Anchor Bar</t>
  </si>
  <si>
    <t>Providing and installing steel ribs or strut of ISMB 200 Steel Sections including fixing materials, tie bars, concrete footing, etc. all complete as per the Specifications and the Drawings.</t>
  </si>
  <si>
    <t>CW.27.11</t>
  </si>
  <si>
    <t xml:space="preserve">Rib Section Details </t>
  </si>
  <si>
    <t>D-shaped</t>
  </si>
  <si>
    <t>Section Type:</t>
  </si>
  <si>
    <t>For Pay line</t>
  </si>
  <si>
    <t>Beyond excavation line</t>
  </si>
  <si>
    <t>Invet level              m2</t>
  </si>
  <si>
    <t xml:space="preserve">Remarks </t>
  </si>
  <si>
    <t xml:space="preserve">Per meter weight </t>
  </si>
  <si>
    <t xml:space="preserve">Shotcrete face finish Diameter </t>
  </si>
  <si>
    <t>Shotcrete face finish Height</t>
  </si>
  <si>
    <t xml:space="preserve">Rib spacing in Class V </t>
  </si>
  <si>
    <t xml:space="preserve">(Rib provided in lower Q value of this class) </t>
  </si>
  <si>
    <t xml:space="preserve">Rib spacing in Class VI </t>
  </si>
  <si>
    <t>Rib Size (ISMB 150)</t>
  </si>
  <si>
    <t>CW.20.14</t>
  </si>
  <si>
    <t>Probe hole drilling without core recovery as per specifications</t>
  </si>
  <si>
    <t>Probe hole drilling with core recovery as per specifications</t>
  </si>
  <si>
    <t>CW.20.15</t>
  </si>
  <si>
    <t>CW.20.16</t>
  </si>
  <si>
    <t>CW.20.17</t>
  </si>
  <si>
    <t>Instrumentation and monitoring of tunnel</t>
  </si>
  <si>
    <t>Waterloss measurement test (Lugeon Test)</t>
  </si>
  <si>
    <r>
      <rPr>
        <b/>
        <sz val="10"/>
        <rFont val="Gill Sans MT"/>
        <family val="2"/>
      </rPr>
      <t xml:space="preserve"> Diversion,draining, pumping and Dewatering  during construction of Kunaban Headworks</t>
    </r>
    <r>
      <rPr>
        <sz val="10"/>
        <rFont val="Gill Sans MT"/>
        <family val="2"/>
      </rPr>
      <t xml:space="preserve">                                       Design, construction, restoration of the temporary river diversion structures (coffer dams) and also the diversion of the small streams, creecks as required for the construction works  and repair of all the damages to the structures during the entire construction period and extensions thereof as well as the demolition of the temporary diversion structures as per the instruction of the Engineer</t>
    </r>
  </si>
  <si>
    <t>Invert concrete with 200mm thickness (Grade C25)</t>
  </si>
  <si>
    <t>Invert Concrete (C25)</t>
  </si>
  <si>
    <t xml:space="preserve">Total reinforcement </t>
  </si>
  <si>
    <t>Final Concrete Lining (70% stretch of ClassV &amp; 100% stretch of VI)</t>
  </si>
  <si>
    <t xml:space="preserve">Invert lining thickness </t>
  </si>
  <si>
    <t>Concrete lining thickness</t>
  </si>
  <si>
    <t>Final Concrete lining at Crown and wall Area &amp; Invert (m3)</t>
  </si>
  <si>
    <t>Steel Ribs (ISMB 150) in 100% of Class V + in 100% of Class VI</t>
  </si>
  <si>
    <t>CW.33.04.06</t>
  </si>
  <si>
    <t xml:space="preserve">High strength(minimum strength of C60) none shrink grout/concrete with small size agreegates </t>
  </si>
  <si>
    <t>C15 plum concrete with 30% plum</t>
  </si>
  <si>
    <t>Ok</t>
  </si>
  <si>
    <t>ok</t>
  </si>
  <si>
    <t>CW.26.02.002</t>
  </si>
  <si>
    <t>Vertical Drop Shaft &amp; Anchor Blocks</t>
  </si>
  <si>
    <t>Concrete of C15 grade (backfill)</t>
  </si>
  <si>
    <t>CW.26.10</t>
  </si>
  <si>
    <t>CW.26.10.001</t>
  </si>
  <si>
    <t>Supplying and Installing of fully grouted 25mm dia rock anchor of varying length (3.5-5m) including drilling, grouting and all complete works of rock anchoring as per the specifications and the drawings</t>
  </si>
  <si>
    <t>Grade changed to C15</t>
  </si>
  <si>
    <t>CW.26.00</t>
  </si>
  <si>
    <t>Surface rock excavation including necessary haulage, disposal and management of excavated materials etc. all complete as per the Specifications and the Drawings</t>
  </si>
  <si>
    <t>CW.27.11.001</t>
  </si>
  <si>
    <t>CW.37</t>
  </si>
  <si>
    <t>Bridge Crossing at Kunaban Head Works</t>
  </si>
  <si>
    <t>CW.37.01</t>
  </si>
  <si>
    <t>CW.37.01.001</t>
  </si>
  <si>
    <t>CW.37.02</t>
  </si>
  <si>
    <t>CW.37.02.001</t>
  </si>
  <si>
    <t>CW.37.02.002</t>
  </si>
  <si>
    <t>CW.37.03</t>
  </si>
  <si>
    <t>CW.37.03.001</t>
  </si>
  <si>
    <t>CW.037.04</t>
  </si>
  <si>
    <t>CW.37.04.001</t>
  </si>
  <si>
    <t>CW.37.04.002</t>
  </si>
  <si>
    <t>CW.37.05</t>
  </si>
  <si>
    <t>CW.37.05.001</t>
  </si>
  <si>
    <t>CW.37.06</t>
  </si>
  <si>
    <t>CW.37.06.001</t>
  </si>
  <si>
    <t>CW.37.07</t>
  </si>
  <si>
    <t>CW.37.07.001</t>
  </si>
  <si>
    <t>CW.37.08</t>
  </si>
  <si>
    <t>CW.37.08.001</t>
  </si>
  <si>
    <t>CW.37.09</t>
  </si>
  <si>
    <t>CW.37.09.001</t>
  </si>
  <si>
    <t>CW.37.09.002</t>
  </si>
  <si>
    <t>CW.37.09.003</t>
  </si>
  <si>
    <t>CW.37.10</t>
  </si>
  <si>
    <t>Guard Railings</t>
  </si>
  <si>
    <t>Supplying and Installing of railings of ISNB 40M as per the specifications and the drawing.</t>
  </si>
  <si>
    <t>CW.37.11</t>
  </si>
  <si>
    <t>Elastomeric Bearing</t>
  </si>
  <si>
    <t>CW.37.11.001</t>
  </si>
  <si>
    <t>Supplying and Installing of elastomeric bearing (neoprene) of thickness 25mm to 40mm and load requirement as specified in the construction drawing designed as per IRC:83 (part II) - 2018</t>
  </si>
  <si>
    <t>Expansion Joint Material (Providing and placing the expansion/ contraction joints all in position as per the  drawings and all complete as per the specifications)</t>
  </si>
  <si>
    <t>Concrete Works: Providing and placing of various grades of the concrete including compaction, curing , testing etc. and all complete as per the Specifications and the Drawings</t>
  </si>
  <si>
    <t>Excavation: Excavation of various types of  materials  including necessary haulage, disposal and management of excavated materials etc. all complete as per the Specifications and the Drawings</t>
  </si>
  <si>
    <t>CW.33.19</t>
  </si>
  <si>
    <t>CW.33.19.001</t>
  </si>
  <si>
    <t>Total Cost of Powerhouse</t>
  </si>
  <si>
    <t>CW.27.12</t>
  </si>
  <si>
    <t>length of valve chamber</t>
  </si>
  <si>
    <t>length of transition</t>
  </si>
  <si>
    <t>Lattice Girder</t>
  </si>
  <si>
    <t xml:space="preserve">Perimeter of tunnel section </t>
  </si>
  <si>
    <t>Perimeter of Valve chamber</t>
  </si>
  <si>
    <t>C/c Spacing of Lattice Girder</t>
  </si>
  <si>
    <t>No of lattice Girder at Valve Chamber</t>
  </si>
  <si>
    <t>No of lattice Girder at transition</t>
  </si>
  <si>
    <t>Total Len. of lattice girder at valve chamber</t>
  </si>
  <si>
    <t>Total Len. of lattice girder at transition</t>
  </si>
  <si>
    <t>Total length of lattice girder</t>
  </si>
  <si>
    <t xml:space="preserve">Wt per unit length </t>
  </si>
  <si>
    <t>kg/m</t>
  </si>
  <si>
    <t>Total wt of Lattice girder</t>
  </si>
  <si>
    <t>tonnes</t>
  </si>
  <si>
    <t>CW.20.06.005</t>
  </si>
  <si>
    <t>Epoxy resin grout</t>
  </si>
  <si>
    <t>CW.20.06.006</t>
  </si>
  <si>
    <t>Polyurethane grout (Both structural / Non-Structural)</t>
  </si>
  <si>
    <t>Supply, placing and fixing of the triangular lattice girder as specified in the drawings including the main members i.e, upper chord, lower chords, the tie bars, the base plate, splice plates, bolts, other connection members and all required accessories. (Note: The base plate, splice plates, bolts, etc. shall be not be measured for payment and shall deemed to be included in the rate of the lattice girder.)</t>
  </si>
  <si>
    <t>SUB-TOTAL OF B &amp;C</t>
  </si>
  <si>
    <t>SUB-TOTAL OF C</t>
  </si>
  <si>
    <t>SUB-TOTAL OF E</t>
  </si>
  <si>
    <t>Total of Item CW.01 to CW.37</t>
  </si>
  <si>
    <t>SUB-TOTAL OF A</t>
  </si>
  <si>
    <t>CW.35.06</t>
  </si>
  <si>
    <t>CW.35.06.01</t>
  </si>
  <si>
    <t>CW.04.11.001</t>
  </si>
  <si>
    <t>Excavation (BMS)</t>
  </si>
  <si>
    <t>Mistake in drawing leader</t>
  </si>
  <si>
    <t>Added</t>
  </si>
  <si>
    <t>only 10% of surface area</t>
  </si>
  <si>
    <t>Changed , however will be removed (Not considered in concrete lining)</t>
  </si>
  <si>
    <t>kept same</t>
  </si>
  <si>
    <t>CW.18.09</t>
  </si>
  <si>
    <t>Boulder Riprap 1-1.25m thick</t>
  </si>
  <si>
    <t xml:space="preserve">Boulder riprap 1-1.25m thick </t>
  </si>
  <si>
    <t>CW.15.10</t>
  </si>
  <si>
    <t>CW.15.10.001</t>
  </si>
  <si>
    <t>CW.05.09</t>
  </si>
  <si>
    <t>CW.05.09.001</t>
  </si>
  <si>
    <t>Supplying and Installing of fully grouted 20mm dia rock anchor of varying length (3-8m) including drilling, grouting and all complete works of rock anchoring as per the specifications and the drawings</t>
  </si>
  <si>
    <t>CW.38</t>
  </si>
  <si>
    <t>Settling Basin Flushing Arrangement</t>
  </si>
  <si>
    <t>CW.38a</t>
  </si>
  <si>
    <t>Provisional Sum (total of item CW.38a and CW.38b)</t>
  </si>
  <si>
    <t>CW.38b</t>
  </si>
  <si>
    <t>CW.39</t>
  </si>
  <si>
    <r>
      <t>Temporary river Diversion, draining, dewatering, pumping  During Construction of other surface works of the Project (</t>
    </r>
    <r>
      <rPr>
        <b/>
        <sz val="12"/>
        <rFont val="Gill Sans MT"/>
        <family val="2"/>
      </rPr>
      <t>Note: The dewatering of underground works shall be deemed to be included with the rates of underground excavation)</t>
    </r>
    <r>
      <rPr>
        <sz val="12"/>
        <rFont val="Gill Sans MT"/>
        <family val="2"/>
      </rPr>
      <t xml:space="preserve"> </t>
    </r>
  </si>
  <si>
    <t>Total Underground Works</t>
  </si>
  <si>
    <t>Total Sorface Works</t>
  </si>
  <si>
    <t>S3-1</t>
  </si>
  <si>
    <t>S4--1</t>
  </si>
  <si>
    <t>S4-1</t>
  </si>
  <si>
    <t>Supplying and Installing of fully grouted 20mm dia rock anchor of varying length (3.5-5m) including drilling, grouting and all complete works of rock anchoring as per the specifications and the drawings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</si>
</sst>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0.000"/>
    <numFmt numFmtId="165" formatCode="[$-F800]dddd\,\ mmmm\ dd\,\ yyyy"/>
    <numFmt numFmtId="166" formatCode="_(* #,##0.000_);_(* \(#,##0.000\);_(* &quot;-&quot;??_);_(@_)"/>
    <numFmt numFmtId="167" formatCode="0.0%"/>
    <numFmt numFmtId="168" formatCode="0.00000000"/>
    <numFmt numFmtId="169" formatCode="0.0"/>
    <numFmt numFmtId="170" formatCode="_-* #,##0.00_-;\-* #,##0.00_-;_-* &quot;-&quot;??_-;_-@_-"/>
    <numFmt numFmtId="171" formatCode="_-* #,##0_-;\-* #,##0_-;_-* &quot;-&quot;??_-;_-@_-"/>
    <numFmt numFmtId="172" formatCode="0.00_);\(0.00\)"/>
    <numFmt numFmtId="173" formatCode="#,##0;[Red]#,##0"/>
    <numFmt numFmtId="174" formatCode="_-* #,##0.000_-;\-* #,##0.000_-;_-* &quot;-&quot;??_-;_-@_-"/>
    <numFmt numFmtId="175" formatCode="_(* #,##0_);_(* \(#,##0\);_(* &quot;-&quot;??_);_(@_)"/>
    <numFmt numFmtId="176" formatCode="0.0000"/>
    <numFmt numFmtId="177" formatCode="_(* #,##0.0_);_(* \(#,##0.0\);_(* &quot;-&quot;??_);_(@_)"/>
    <numFmt numFmtId="178" formatCode="_(* #,##0.000_);_(* \(#,##0.000\);_(* &quot;-&quot;???_);_(@_)"/>
    <numFmt numFmtId="179" formatCode="&quot;Height = &quot;0&quot;m&quot;"/>
  </numFmts>
  <fonts count="104">
    <font>
      <sz val="10"/>
      <name val="Arial"/>
    </font>
    <font>
      <sz val="11"/>
      <color theme="1"/>
      <name val="Calibri"/>
      <family val="2"/>
      <scheme val="minor"/>
    </font>
    <font>
      <sz val="11"/>
      <color theme="1"/>
      <name val="Calibri"/>
      <family val="2"/>
      <scheme val="minor"/>
    </font>
    <font>
      <sz val="11"/>
      <color theme="1"/>
      <name val="Gill Sans MT"/>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Gill Sans MT"/>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Gill Sans MT"/>
      <family val="2"/>
    </font>
    <font>
      <b/>
      <sz val="10"/>
      <color theme="1"/>
      <name val="Gill Sans MT"/>
      <family val="2"/>
    </font>
    <font>
      <sz val="10"/>
      <color theme="1"/>
      <name val="Gill Sans MT"/>
      <family val="2"/>
    </font>
    <font>
      <b/>
      <sz val="10"/>
      <name val="Gill Sans MT"/>
      <family val="2"/>
    </font>
    <font>
      <sz val="10"/>
      <name val="Arial"/>
      <family val="2"/>
    </font>
    <font>
      <i/>
      <sz val="10"/>
      <name val="Gill Sans MT"/>
      <family val="2"/>
    </font>
    <font>
      <b/>
      <i/>
      <sz val="10"/>
      <name val="Gill Sans MT"/>
      <family val="2"/>
    </font>
    <font>
      <sz val="12"/>
      <color indexed="24"/>
      <name val="Arial"/>
      <family val="2"/>
    </font>
    <font>
      <b/>
      <sz val="12"/>
      <color indexed="24"/>
      <name val="Times New Roman"/>
      <family val="1"/>
    </font>
    <font>
      <b/>
      <sz val="11"/>
      <name val="Gill Sans MT"/>
      <family val="2"/>
    </font>
    <font>
      <sz val="11"/>
      <name val="Gill Sans MT"/>
      <family val="2"/>
    </font>
    <font>
      <b/>
      <sz val="13"/>
      <name val="Gill Sans MT"/>
      <family val="2"/>
    </font>
    <font>
      <sz val="9"/>
      <name val="Gill Sans MT"/>
      <family val="2"/>
    </font>
    <font>
      <sz val="10"/>
      <name val="Courier New"/>
      <family val="3"/>
    </font>
    <font>
      <sz val="11"/>
      <color theme="1"/>
      <name val="Gill Sans MT"/>
      <family val="2"/>
    </font>
    <font>
      <vertAlign val="superscript"/>
      <sz val="11"/>
      <name val="Gill Sans MT"/>
      <family val="2"/>
    </font>
    <font>
      <b/>
      <sz val="11"/>
      <color theme="1"/>
      <name val="Gill Sans MT"/>
      <family val="2"/>
    </font>
    <font>
      <vertAlign val="superscript"/>
      <sz val="10"/>
      <name val="Gill Sans MT"/>
      <family val="2"/>
    </font>
    <font>
      <sz val="9"/>
      <color theme="1"/>
      <name val="Gill Sans MT"/>
      <family val="2"/>
    </font>
    <font>
      <sz val="12"/>
      <name val="Gill Sans MT"/>
      <family val="2"/>
    </font>
    <font>
      <b/>
      <sz val="12"/>
      <name val="Gill Sans MT"/>
      <family val="2"/>
    </font>
    <font>
      <sz val="10"/>
      <color indexed="8"/>
      <name val="Gill Sans MT"/>
      <family val="2"/>
    </font>
    <font>
      <b/>
      <sz val="8"/>
      <color indexed="81"/>
      <name val="Tahoma"/>
      <family val="2"/>
    </font>
    <font>
      <sz val="8"/>
      <color indexed="81"/>
      <name val="Tahoma"/>
      <family val="2"/>
    </font>
    <font>
      <b/>
      <u/>
      <sz val="10"/>
      <name val="Gill Sans MT"/>
      <family val="2"/>
    </font>
    <font>
      <b/>
      <sz val="9"/>
      <name val="Gill Sans MT"/>
      <family val="2"/>
    </font>
    <font>
      <sz val="9"/>
      <color indexed="81"/>
      <name val="Tahoma"/>
      <family val="2"/>
    </font>
    <font>
      <b/>
      <sz val="9"/>
      <color indexed="81"/>
      <name val="Tahoma"/>
      <family val="2"/>
    </font>
    <font>
      <sz val="8"/>
      <name val="Arial"/>
      <family val="2"/>
    </font>
    <font>
      <b/>
      <sz val="10"/>
      <name val="Arial"/>
      <family val="2"/>
    </font>
    <font>
      <i/>
      <sz val="11"/>
      <color theme="1"/>
      <name val="Gill Sans MT"/>
      <family val="2"/>
    </font>
    <font>
      <i/>
      <sz val="10"/>
      <color theme="1"/>
      <name val="Gill Sans MT"/>
      <family val="2"/>
    </font>
    <font>
      <vertAlign val="superscript"/>
      <sz val="10"/>
      <color theme="1"/>
      <name val="Gill Sans MT"/>
      <family val="2"/>
    </font>
    <font>
      <i/>
      <sz val="11"/>
      <name val="Gill Sans MT"/>
      <family val="2"/>
    </font>
    <font>
      <b/>
      <sz val="11"/>
      <color theme="1"/>
      <name val="Calibri"/>
      <family val="2"/>
      <scheme val="minor"/>
    </font>
    <font>
      <sz val="10"/>
      <color theme="1"/>
      <name val="Arial"/>
      <family val="2"/>
    </font>
    <font>
      <u/>
      <sz val="10"/>
      <name val="Gill Sans MT"/>
      <family val="2"/>
    </font>
    <font>
      <sz val="10"/>
      <color theme="8" tint="0.79998168889431442"/>
      <name val="Gill Sans MT"/>
      <family val="2"/>
    </font>
    <font>
      <sz val="13"/>
      <name val="Gill Sans MT"/>
      <family val="2"/>
    </font>
    <font>
      <b/>
      <sz val="9"/>
      <color theme="1"/>
      <name val="Gill Sans MT"/>
      <family val="2"/>
    </font>
    <font>
      <sz val="9"/>
      <color rgb="FF000000"/>
      <name val="Arial"/>
      <family val="2"/>
    </font>
    <font>
      <sz val="9"/>
      <color indexed="8"/>
      <name val="Calibri"/>
      <family val="2"/>
    </font>
    <font>
      <sz val="9"/>
      <color indexed="8"/>
      <name val="Gill Sans MT"/>
      <family val="2"/>
    </font>
    <font>
      <sz val="9"/>
      <color rgb="FF0070C0"/>
      <name val="Gill Sans MT"/>
      <family val="2"/>
    </font>
    <font>
      <sz val="10"/>
      <name val="Calibri"/>
      <family val="2"/>
      <scheme val="minor"/>
    </font>
    <font>
      <b/>
      <i/>
      <sz val="11"/>
      <name val="Gill Sans MT"/>
      <family val="2"/>
    </font>
    <font>
      <sz val="11"/>
      <color indexed="12"/>
      <name val="Gill Sans MT"/>
      <family val="2"/>
    </font>
    <font>
      <vertAlign val="superscript"/>
      <sz val="11"/>
      <color indexed="8"/>
      <name val="Gill Sans MT"/>
      <family val="2"/>
    </font>
    <font>
      <b/>
      <sz val="11"/>
      <name val="Arial"/>
      <family val="2"/>
    </font>
    <font>
      <sz val="11"/>
      <name val="Arial"/>
      <family val="2"/>
    </font>
    <font>
      <b/>
      <sz val="11"/>
      <color rgb="FFFF0000"/>
      <name val="Gill Sans MT"/>
      <family val="2"/>
    </font>
    <font>
      <b/>
      <sz val="10"/>
      <color rgb="FFFF0000"/>
      <name val="Gill Sans MT"/>
      <family val="2"/>
    </font>
    <font>
      <b/>
      <i/>
      <sz val="10"/>
      <color theme="1"/>
      <name val="Gill Sans MT"/>
      <family val="2"/>
    </font>
    <font>
      <sz val="10"/>
      <color rgb="FF000000"/>
      <name val="Arial"/>
      <family val="2"/>
    </font>
    <font>
      <b/>
      <sz val="10"/>
      <color theme="1"/>
      <name val="Gill Sans"/>
    </font>
    <font>
      <sz val="10"/>
      <color theme="1"/>
      <name val="Gill Sans"/>
    </font>
    <font>
      <i/>
      <sz val="11"/>
      <color theme="1"/>
      <name val="Gill Sans"/>
    </font>
    <font>
      <sz val="11"/>
      <color theme="1"/>
      <name val="Calibri"/>
      <family val="2"/>
    </font>
    <font>
      <sz val="11"/>
      <color theme="1"/>
      <name val="Gill Sans"/>
    </font>
    <font>
      <i/>
      <sz val="10"/>
      <color theme="1"/>
      <name val="Gill Sans"/>
    </font>
    <font>
      <b/>
      <i/>
      <sz val="10"/>
      <color theme="1"/>
      <name val="Gill Sans"/>
    </font>
    <font>
      <b/>
      <sz val="11"/>
      <color rgb="FF000000"/>
      <name val="Gill Sans MT"/>
      <family val="2"/>
    </font>
    <font>
      <b/>
      <sz val="10"/>
      <color rgb="FF000000"/>
      <name val="Gill Sans MT"/>
      <family val="2"/>
    </font>
    <font>
      <sz val="10"/>
      <color indexed="10"/>
      <name val="Gill Sans MT"/>
      <family val="2"/>
    </font>
    <font>
      <b/>
      <sz val="12"/>
      <color theme="1"/>
      <name val="Gill Sans MT"/>
      <family val="2"/>
    </font>
    <font>
      <sz val="12"/>
      <color theme="1"/>
      <name val="Gill Sans MT"/>
      <family val="2"/>
    </font>
    <font>
      <b/>
      <sz val="10"/>
      <color theme="0"/>
      <name val="Gill Sans MT"/>
      <family val="2"/>
    </font>
    <font>
      <i/>
      <sz val="10"/>
      <color rgb="FFFF0000"/>
      <name val="Gill Sans MT"/>
      <family val="2"/>
    </font>
    <font>
      <b/>
      <sz val="10"/>
      <color rgb="FFFF0000"/>
      <name val="Gill Sans"/>
    </font>
    <font>
      <sz val="10"/>
      <color rgb="FFFF0000"/>
      <name val="Gill Sans MT"/>
      <family val="2"/>
    </font>
    <font>
      <b/>
      <sz val="14"/>
      <name val="Gill Sans MT"/>
      <family val="2"/>
    </font>
    <font>
      <b/>
      <sz val="14"/>
      <name val="Times New Roman"/>
      <family val="1"/>
    </font>
    <font>
      <vertAlign val="superscript"/>
      <sz val="11"/>
      <color theme="1"/>
      <name val="Gill Sans MT"/>
      <family val="2"/>
    </font>
    <font>
      <sz val="11"/>
      <name val="Calibri"/>
      <family val="2"/>
      <scheme val="minor"/>
    </font>
  </fonts>
  <fills count="44">
    <fill>
      <patternFill patternType="none"/>
    </fill>
    <fill>
      <patternFill patternType="gray125"/>
    </fill>
    <fill>
      <patternFill patternType="solid">
        <fgColor theme="0" tint="-0.249977111117893"/>
        <bgColor indexed="64"/>
      </patternFill>
    </fill>
    <fill>
      <patternFill patternType="solid">
        <fgColor theme="9"/>
        <bgColor indexed="64"/>
      </patternFill>
    </fill>
    <fill>
      <patternFill patternType="solid">
        <fgColor rgb="FF92D050"/>
        <bgColor indexed="64"/>
      </patternFill>
    </fill>
    <fill>
      <patternFill patternType="solid">
        <fgColor theme="0"/>
        <bgColor indexed="64"/>
      </patternFill>
    </fill>
    <fill>
      <patternFill patternType="solid">
        <fgColor theme="5" tint="0.59999389629810485"/>
        <bgColor indexed="64"/>
      </patternFill>
    </fill>
    <fill>
      <patternFill patternType="solid">
        <fgColor indexed="22"/>
      </patternFill>
    </fill>
    <fill>
      <patternFill patternType="solid">
        <fgColor rgb="FFFFFF00"/>
        <bgColor indexed="64"/>
      </patternFill>
    </fill>
    <fill>
      <patternFill patternType="solid">
        <fgColor indexed="42"/>
        <bgColor indexed="64"/>
      </patternFill>
    </fill>
    <fill>
      <patternFill patternType="solid">
        <fgColor indexed="13"/>
        <bgColor indexed="64"/>
      </patternFill>
    </fill>
    <fill>
      <patternFill patternType="solid">
        <fgColor indexed="10"/>
        <bgColor indexed="64"/>
      </patternFill>
    </fill>
    <fill>
      <patternFill patternType="solid">
        <fgColor indexed="9"/>
        <bgColor indexed="64"/>
      </patternFill>
    </fill>
    <fill>
      <patternFill patternType="solid">
        <fgColor theme="4" tint="0.59999389629810485"/>
        <bgColor indexed="64"/>
      </patternFill>
    </fill>
    <fill>
      <patternFill patternType="solid">
        <fgColor rgb="FF00B0F0"/>
        <bgColor indexed="64"/>
      </patternFill>
    </fill>
    <fill>
      <patternFill patternType="solid">
        <fgColor theme="8" tint="0.3999755851924192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0000"/>
        <bgColor indexed="64"/>
      </patternFill>
    </fill>
    <fill>
      <patternFill patternType="solid">
        <fgColor theme="3" tint="0.79998168889431442"/>
        <bgColor indexed="64"/>
      </patternFill>
    </fill>
    <fill>
      <patternFill patternType="solid">
        <fgColor rgb="FF00B050"/>
        <bgColor indexed="64"/>
      </patternFill>
    </fill>
    <fill>
      <patternFill patternType="solid">
        <fgColor theme="9" tint="0.59999389629810485"/>
        <bgColor indexed="64"/>
      </patternFill>
    </fill>
    <fill>
      <patternFill patternType="solid">
        <fgColor rgb="FFFF9900"/>
        <bgColor indexed="64"/>
      </patternFill>
    </fill>
    <fill>
      <patternFill patternType="solid">
        <fgColor theme="8" tint="0.59999389629810485"/>
        <bgColor indexed="64"/>
      </patternFill>
    </fill>
    <fill>
      <patternFill patternType="solid">
        <fgColor theme="5"/>
        <bgColor indexed="64"/>
      </patternFill>
    </fill>
    <fill>
      <patternFill patternType="solid">
        <fgColor theme="4"/>
        <bgColor indexed="64"/>
      </patternFill>
    </fill>
    <fill>
      <patternFill patternType="solid">
        <fgColor theme="6" tint="0.39997558519241921"/>
        <bgColor indexed="64"/>
      </patternFill>
    </fill>
    <fill>
      <patternFill patternType="solid">
        <fgColor rgb="FFFFFF00"/>
        <bgColor rgb="FFFFFF00"/>
      </patternFill>
    </fill>
    <fill>
      <patternFill patternType="solid">
        <fgColor theme="0"/>
        <bgColor theme="0"/>
      </patternFill>
    </fill>
    <fill>
      <patternFill patternType="solid">
        <fgColor theme="9"/>
        <bgColor theme="0"/>
      </patternFill>
    </fill>
    <fill>
      <patternFill patternType="solid">
        <fgColor theme="0" tint="-0.249977111117893"/>
        <bgColor theme="0"/>
      </patternFill>
    </fill>
    <fill>
      <patternFill patternType="solid">
        <fgColor rgb="FFFF9900"/>
        <bgColor theme="0"/>
      </patternFill>
    </fill>
    <fill>
      <patternFill patternType="solid">
        <fgColor theme="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6" tint="-0.249977111117893"/>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FF6600"/>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2" tint="-0.499984740745262"/>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style="thin">
        <color indexed="64"/>
      </top>
      <bottom style="double">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medium">
        <color indexed="64"/>
      </right>
      <top style="thin">
        <color indexed="64"/>
      </top>
      <bottom/>
      <diagonal/>
    </border>
    <border>
      <left style="thin">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top/>
      <bottom style="thin">
        <color indexed="64"/>
      </bottom>
      <diagonal/>
    </border>
    <border>
      <left style="medium">
        <color indexed="64"/>
      </left>
      <right/>
      <top style="thin">
        <color indexed="64"/>
      </top>
      <bottom/>
      <diagonal/>
    </border>
  </borders>
  <cellStyleXfs count="98">
    <xf numFmtId="0" fontId="0"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7" borderId="2" applyNumberFormat="0" applyFill="0" applyBorder="0" applyAlignment="0" applyProtection="0"/>
    <xf numFmtId="43" fontId="29" fillId="0" borderId="0" applyFont="0" applyFill="0" applyBorder="0" applyAlignment="0" applyProtection="0"/>
    <xf numFmtId="43" fontId="34" fillId="0" borderId="0" applyFont="0" applyFill="0" applyBorder="0" applyAlignment="0" applyProtection="0"/>
    <xf numFmtId="2" fontId="37" fillId="0" borderId="0" applyFont="0" applyFill="0" applyBorder="0" applyAlignment="0" applyProtection="0"/>
    <xf numFmtId="0" fontId="34" fillId="0" borderId="0"/>
    <xf numFmtId="0" fontId="29" fillId="0" borderId="0"/>
    <xf numFmtId="0" fontId="29" fillId="0" borderId="0"/>
    <xf numFmtId="0" fontId="29" fillId="0" borderId="0"/>
    <xf numFmtId="0" fontId="34" fillId="0" borderId="0"/>
    <xf numFmtId="0" fontId="34" fillId="0" borderId="0"/>
    <xf numFmtId="0" fontId="37" fillId="0" borderId="0" applyFont="0" applyFill="0" applyBorder="0" applyAlignment="0" applyProtection="0"/>
    <xf numFmtId="0" fontId="38" fillId="0" borderId="3" applyNumberFormat="0" applyFill="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0" fontId="26" fillId="0" borderId="0"/>
    <xf numFmtId="43" fontId="26" fillId="0" borderId="0" applyFont="0" applyFill="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0" fontId="43" fillId="0" borderId="0"/>
    <xf numFmtId="0" fontId="48" fillId="0" borderId="0"/>
    <xf numFmtId="0" fontId="34" fillId="0" borderId="0"/>
    <xf numFmtId="43" fontId="48" fillId="0" borderId="0" applyFont="0" applyFill="0" applyBorder="0" applyAlignment="0" applyProtection="0"/>
    <xf numFmtId="0" fontId="24" fillId="0" borderId="0"/>
    <xf numFmtId="0" fontId="34" fillId="0" borderId="0"/>
    <xf numFmtId="0" fontId="44" fillId="0" borderId="0"/>
    <xf numFmtId="170" fontId="34" fillId="0" borderId="0" applyFont="0" applyFill="0" applyBorder="0" applyAlignment="0" applyProtection="0"/>
    <xf numFmtId="43" fontId="34" fillId="0" borderId="0" applyFont="0" applyFill="0" applyBorder="0" applyAlignment="0" applyProtection="0"/>
    <xf numFmtId="0" fontId="23" fillId="0" borderId="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0" fontId="22" fillId="0" borderId="0"/>
    <xf numFmtId="166" fontId="34" fillId="0" borderId="0" applyFont="0" applyFill="0" applyBorder="0" applyAlignment="0" applyProtection="0"/>
    <xf numFmtId="0" fontId="21" fillId="0" borderId="0"/>
    <xf numFmtId="43" fontId="21" fillId="0" borderId="0" applyFont="0" applyFill="0" applyBorder="0" applyAlignment="0" applyProtection="0"/>
    <xf numFmtId="0" fontId="20" fillId="0" borderId="0"/>
    <xf numFmtId="9" fontId="20"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34" fillId="0" borderId="0"/>
    <xf numFmtId="0" fontId="18" fillId="0" borderId="0"/>
    <xf numFmtId="0" fontId="34" fillId="0" borderId="0"/>
    <xf numFmtId="0" fontId="17" fillId="0" borderId="0"/>
    <xf numFmtId="43" fontId="34" fillId="0" borderId="0" applyFont="0" applyFill="0" applyBorder="0" applyAlignment="0" applyProtection="0"/>
    <xf numFmtId="9" fontId="17" fillId="0" borderId="0" applyFont="0" applyFill="0" applyBorder="0" applyAlignment="0" applyProtection="0"/>
    <xf numFmtId="43" fontId="58"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5" fillId="0" borderId="0"/>
    <xf numFmtId="0" fontId="15"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43" fontId="13" fillId="0" borderId="0" applyFont="0" applyFill="0" applyBorder="0" applyAlignment="0" applyProtection="0"/>
    <xf numFmtId="0" fontId="13"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83"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7" fillId="0" borderId="0"/>
    <xf numFmtId="0" fontId="7" fillId="0" borderId="0"/>
    <xf numFmtId="0" fontId="34"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0" fontId="48" fillId="0" borderId="0"/>
  </cellStyleXfs>
  <cellXfs count="2443">
    <xf numFmtId="0" fontId="0" fillId="0" borderId="0" xfId="0"/>
    <xf numFmtId="0" fontId="30" fillId="0" borderId="0" xfId="0" applyFont="1"/>
    <xf numFmtId="0" fontId="33" fillId="3" borderId="1" xfId="3" applyFont="1" applyFill="1" applyBorder="1" applyAlignment="1">
      <alignment horizontal="center" vertical="center"/>
    </xf>
    <xf numFmtId="164" fontId="33" fillId="3" borderId="1" xfId="3" applyNumberFormat="1" applyFont="1" applyFill="1" applyBorder="1" applyAlignment="1">
      <alignment horizontal="center" vertical="center"/>
    </xf>
    <xf numFmtId="0" fontId="30" fillId="0" borderId="0" xfId="3" applyFont="1"/>
    <xf numFmtId="0" fontId="30" fillId="2" borderId="1" xfId="3" applyFont="1" applyFill="1" applyBorder="1" applyAlignment="1">
      <alignment horizontal="center"/>
    </xf>
    <xf numFmtId="0" fontId="30" fillId="2" borderId="1" xfId="3" applyFont="1" applyFill="1" applyBorder="1"/>
    <xf numFmtId="0" fontId="30" fillId="2" borderId="1" xfId="3" applyFont="1" applyFill="1" applyBorder="1" applyAlignment="1">
      <alignment horizontal="center" vertical="center"/>
    </xf>
    <xf numFmtId="164" fontId="30" fillId="2" borderId="1" xfId="3" applyNumberFormat="1" applyFont="1" applyFill="1" applyBorder="1"/>
    <xf numFmtId="10" fontId="30" fillId="2" borderId="1" xfId="3" applyNumberFormat="1" applyFont="1" applyFill="1" applyBorder="1"/>
    <xf numFmtId="0" fontId="30" fillId="0" borderId="1" xfId="3" applyFont="1" applyBorder="1" applyAlignment="1">
      <alignment horizontal="center"/>
    </xf>
    <xf numFmtId="0" fontId="35" fillId="0" borderId="1" xfId="3" applyFont="1" applyBorder="1" applyAlignment="1">
      <alignment horizontal="left" indent="1"/>
    </xf>
    <xf numFmtId="0" fontId="30" fillId="0" borderId="1" xfId="3" applyFont="1" applyBorder="1" applyAlignment="1">
      <alignment horizontal="center" vertical="center"/>
    </xf>
    <xf numFmtId="164" fontId="30" fillId="0" borderId="1" xfId="3" applyNumberFormat="1" applyFont="1" applyBorder="1"/>
    <xf numFmtId="0" fontId="30" fillId="0" borderId="1" xfId="3" applyFont="1" applyBorder="1"/>
    <xf numFmtId="164" fontId="30" fillId="0" borderId="1" xfId="3" applyNumberFormat="1" applyFont="1" applyBorder="1" applyAlignment="1">
      <alignment horizontal="center"/>
    </xf>
    <xf numFmtId="10" fontId="30" fillId="0" borderId="1" xfId="3" applyNumberFormat="1" applyFont="1" applyBorder="1"/>
    <xf numFmtId="43" fontId="30" fillId="0" borderId="1" xfId="3" applyNumberFormat="1" applyFont="1" applyBorder="1"/>
    <xf numFmtId="0" fontId="35" fillId="0" borderId="1" xfId="3" applyFont="1" applyBorder="1" applyAlignment="1">
      <alignment horizontal="left" indent="2"/>
    </xf>
    <xf numFmtId="0" fontId="30" fillId="0" borderId="0" xfId="3" applyFont="1" applyAlignment="1">
      <alignment horizontal="center" vertical="center"/>
    </xf>
    <xf numFmtId="164" fontId="30" fillId="0" borderId="0" xfId="3" applyNumberFormat="1" applyFont="1"/>
    <xf numFmtId="0" fontId="30" fillId="5" borderId="0" xfId="3" applyFont="1" applyFill="1"/>
    <xf numFmtId="164" fontId="30" fillId="5" borderId="1" xfId="3" applyNumberFormat="1" applyFont="1" applyFill="1" applyBorder="1"/>
    <xf numFmtId="1" fontId="30" fillId="0" borderId="1" xfId="3" applyNumberFormat="1" applyFont="1" applyBorder="1"/>
    <xf numFmtId="0" fontId="30" fillId="0" borderId="1" xfId="3" applyFont="1" applyBorder="1" applyAlignment="1">
      <alignment horizontal="left"/>
    </xf>
    <xf numFmtId="0" fontId="30" fillId="8" borderId="1" xfId="3" applyFont="1" applyFill="1" applyBorder="1"/>
    <xf numFmtId="0" fontId="30" fillId="0" borderId="1" xfId="3" applyFont="1" applyBorder="1" applyAlignment="1">
      <alignment horizontal="left" wrapText="1"/>
    </xf>
    <xf numFmtId="0" fontId="34" fillId="0" borderId="1" xfId="3" applyBorder="1"/>
    <xf numFmtId="0" fontId="30" fillId="2" borderId="0" xfId="27" applyFont="1" applyFill="1" applyAlignment="1">
      <alignment horizontal="right"/>
    </xf>
    <xf numFmtId="0" fontId="32" fillId="2" borderId="0" xfId="27" applyFont="1" applyFill="1" applyAlignment="1">
      <alignment horizontal="center" vertical="center"/>
    </xf>
    <xf numFmtId="164" fontId="32" fillId="2" borderId="0" xfId="27" applyNumberFormat="1" applyFont="1" applyFill="1"/>
    <xf numFmtId="0" fontId="32" fillId="2" borderId="0" xfId="27" applyFont="1" applyFill="1"/>
    <xf numFmtId="0" fontId="32" fillId="0" borderId="0" xfId="27" applyFont="1"/>
    <xf numFmtId="0" fontId="30" fillId="0" borderId="0" xfId="27" applyFont="1" applyAlignment="1">
      <alignment horizontal="right"/>
    </xf>
    <xf numFmtId="0" fontId="32" fillId="0" borderId="0" xfId="27" applyFont="1" applyAlignment="1">
      <alignment horizontal="center" vertical="center"/>
    </xf>
    <xf numFmtId="164" fontId="32" fillId="0" borderId="0" xfId="27" applyNumberFormat="1" applyFont="1"/>
    <xf numFmtId="0" fontId="30" fillId="0" borderId="0" xfId="27" applyFont="1"/>
    <xf numFmtId="0" fontId="31" fillId="0" borderId="0" xfId="27" applyFont="1"/>
    <xf numFmtId="165" fontId="32" fillId="0" borderId="0" xfId="27" applyNumberFormat="1" applyFont="1" applyAlignment="1">
      <alignment horizontal="center" vertical="center"/>
    </xf>
    <xf numFmtId="164" fontId="32" fillId="0" borderId="0" xfId="27" applyNumberFormat="1" applyFont="1" applyAlignment="1">
      <alignment vertical="center"/>
    </xf>
    <xf numFmtId="166" fontId="33" fillId="2" borderId="1" xfId="28" applyNumberFormat="1" applyFont="1" applyFill="1" applyBorder="1"/>
    <xf numFmtId="10" fontId="30" fillId="2" borderId="1" xfId="29" applyNumberFormat="1" applyFont="1" applyFill="1" applyBorder="1"/>
    <xf numFmtId="43" fontId="30" fillId="0" borderId="0" xfId="1" applyFont="1" applyFill="1" applyBorder="1"/>
    <xf numFmtId="0" fontId="33" fillId="6" borderId="5" xfId="3" applyFont="1" applyFill="1" applyBorder="1"/>
    <xf numFmtId="0" fontId="30" fillId="0" borderId="1" xfId="0" applyFont="1" applyBorder="1"/>
    <xf numFmtId="0" fontId="30" fillId="5" borderId="1" xfId="3" applyFont="1" applyFill="1" applyBorder="1" applyAlignment="1">
      <alignment horizontal="center" vertical="center"/>
    </xf>
    <xf numFmtId="166" fontId="33" fillId="5" borderId="1" xfId="28" applyNumberFormat="1" applyFont="1" applyFill="1" applyBorder="1"/>
    <xf numFmtId="0" fontId="30" fillId="5" borderId="1" xfId="3" applyFont="1" applyFill="1" applyBorder="1" applyAlignment="1">
      <alignment horizontal="right" vertical="center"/>
    </xf>
    <xf numFmtId="10" fontId="30" fillId="5" borderId="1" xfId="29" applyNumberFormat="1" applyFont="1" applyFill="1" applyBorder="1" applyAlignment="1">
      <alignment horizontal="center" vertical="center"/>
    </xf>
    <xf numFmtId="0" fontId="30" fillId="5" borderId="1" xfId="3" applyFont="1" applyFill="1" applyBorder="1" applyAlignment="1">
      <alignment horizontal="left" vertical="center"/>
    </xf>
    <xf numFmtId="0" fontId="30" fillId="2" borderId="0" xfId="3" applyFont="1" applyFill="1" applyAlignment="1">
      <alignment horizontal="right"/>
    </xf>
    <xf numFmtId="0" fontId="31" fillId="2" borderId="0" xfId="3" applyFont="1" applyFill="1"/>
    <xf numFmtId="0" fontId="32" fillId="0" borderId="0" xfId="3" applyFont="1"/>
    <xf numFmtId="0" fontId="30" fillId="0" borderId="0" xfId="3" applyFont="1" applyAlignment="1">
      <alignment horizontal="right"/>
    </xf>
    <xf numFmtId="0" fontId="33" fillId="0" borderId="0" xfId="3" applyFont="1"/>
    <xf numFmtId="165" fontId="32" fillId="0" borderId="0" xfId="3" applyNumberFormat="1" applyFont="1" applyAlignment="1">
      <alignment horizontal="left" vertical="center"/>
    </xf>
    <xf numFmtId="0" fontId="41" fillId="0" borderId="0" xfId="0" applyFont="1" applyAlignment="1">
      <alignment vertical="center"/>
    </xf>
    <xf numFmtId="0" fontId="33" fillId="0" borderId="0" xfId="0" applyFont="1" applyAlignment="1">
      <alignment horizontal="center" vertical="center"/>
    </xf>
    <xf numFmtId="0" fontId="30" fillId="0" borderId="0" xfId="0" applyFont="1" applyAlignment="1">
      <alignment horizontal="left" vertical="center"/>
    </xf>
    <xf numFmtId="0" fontId="30" fillId="0" borderId="0" xfId="0" applyFont="1" applyAlignment="1">
      <alignment vertical="center"/>
    </xf>
    <xf numFmtId="164" fontId="30" fillId="0" borderId="0" xfId="0" applyNumberFormat="1" applyFont="1" applyAlignment="1">
      <alignment vertical="center"/>
    </xf>
    <xf numFmtId="0" fontId="42" fillId="0" borderId="0" xfId="0" applyFont="1" applyAlignment="1">
      <alignment vertical="center"/>
    </xf>
    <xf numFmtId="0" fontId="40" fillId="0" borderId="8" xfId="0" applyFont="1" applyBorder="1" applyAlignment="1">
      <alignment horizontal="center" vertical="center"/>
    </xf>
    <xf numFmtId="0" fontId="40" fillId="0" borderId="8" xfId="0" applyFont="1" applyBorder="1" applyAlignment="1">
      <alignment horizontal="left" vertical="center"/>
    </xf>
    <xf numFmtId="0" fontId="40" fillId="0" borderId="8" xfId="0" applyFont="1" applyBorder="1" applyAlignment="1">
      <alignment vertical="center"/>
    </xf>
    <xf numFmtId="0" fontId="40" fillId="0" borderId="0" xfId="0" applyFont="1" applyAlignment="1">
      <alignment vertical="center"/>
    </xf>
    <xf numFmtId="0" fontId="40" fillId="0" borderId="1" xfId="0" applyFont="1" applyBorder="1" applyAlignment="1">
      <alignment horizontal="center" vertical="center"/>
    </xf>
    <xf numFmtId="168" fontId="40" fillId="0" borderId="6" xfId="30" applyNumberFormat="1" applyFont="1" applyBorder="1" applyAlignment="1">
      <alignment horizontal="left" vertical="center"/>
    </xf>
    <xf numFmtId="0" fontId="40" fillId="0" borderId="6" xfId="0" applyFont="1" applyBorder="1" applyAlignment="1">
      <alignment vertical="center"/>
    </xf>
    <xf numFmtId="14" fontId="40" fillId="0" borderId="6" xfId="0" quotePrefix="1" applyNumberFormat="1" applyFont="1" applyBorder="1" applyAlignment="1">
      <alignment horizontal="center" vertical="center"/>
    </xf>
    <xf numFmtId="168" fontId="40" fillId="0" borderId="9" xfId="30" applyNumberFormat="1" applyFont="1" applyBorder="1" applyAlignment="1">
      <alignment horizontal="left" vertical="center"/>
    </xf>
    <xf numFmtId="168" fontId="40" fillId="0" borderId="1" xfId="30" applyNumberFormat="1" applyFont="1" applyBorder="1" applyAlignment="1">
      <alignment horizontal="center" vertical="center"/>
    </xf>
    <xf numFmtId="168" fontId="40" fillId="0" borderId="1" xfId="30" applyNumberFormat="1" applyFont="1" applyBorder="1" applyAlignment="1">
      <alignment horizontal="left" vertical="center"/>
    </xf>
    <xf numFmtId="168" fontId="40" fillId="0" borderId="1" xfId="30" applyNumberFormat="1" applyFont="1" applyBorder="1" applyAlignment="1">
      <alignment vertical="center"/>
    </xf>
    <xf numFmtId="1" fontId="40" fillId="0" borderId="1" xfId="30" applyNumberFormat="1" applyFont="1" applyBorder="1" applyAlignment="1">
      <alignment horizontal="center" vertical="center"/>
    </xf>
    <xf numFmtId="0" fontId="40" fillId="0" borderId="1" xfId="0" applyFont="1" applyBorder="1" applyAlignment="1">
      <alignment horizontal="left" vertical="center"/>
    </xf>
    <xf numFmtId="14" fontId="40" fillId="0" borderId="1" xfId="30" applyNumberFormat="1" applyFont="1" applyBorder="1" applyAlignment="1">
      <alignment horizontal="right" vertical="center"/>
    </xf>
    <xf numFmtId="0" fontId="40" fillId="0" borderId="9" xfId="0" applyFont="1" applyBorder="1" applyAlignment="1">
      <alignment horizontal="left" vertical="center"/>
    </xf>
    <xf numFmtId="0" fontId="44" fillId="0" borderId="0" xfId="0" applyFont="1"/>
    <xf numFmtId="0" fontId="39" fillId="4" borderId="1" xfId="0" applyFont="1" applyFill="1" applyBorder="1" applyAlignment="1">
      <alignment horizontal="center" vertical="center"/>
    </xf>
    <xf numFmtId="0" fontId="39" fillId="4" borderId="1" xfId="0" applyFont="1" applyFill="1" applyBorder="1" applyAlignment="1">
      <alignment horizontal="left" vertical="center"/>
    </xf>
    <xf numFmtId="164" fontId="39" fillId="4" borderId="1" xfId="0" applyNumberFormat="1" applyFont="1" applyFill="1" applyBorder="1" applyAlignment="1">
      <alignment horizontal="center" vertical="center"/>
    </xf>
    <xf numFmtId="164" fontId="39" fillId="4" borderId="1" xfId="0" applyNumberFormat="1" applyFont="1" applyFill="1" applyBorder="1" applyAlignment="1">
      <alignment vertical="center"/>
    </xf>
    <xf numFmtId="2" fontId="40" fillId="0" borderId="1" xfId="0" applyNumberFormat="1" applyFont="1" applyBorder="1"/>
    <xf numFmtId="164" fontId="40" fillId="0" borderId="1" xfId="0" applyNumberFormat="1" applyFont="1" applyBorder="1" applyAlignment="1">
      <alignment horizontal="center" vertical="center"/>
    </xf>
    <xf numFmtId="2" fontId="40" fillId="0" borderId="1" xfId="0" applyNumberFormat="1" applyFont="1" applyBorder="1" applyAlignment="1">
      <alignment vertical="center"/>
    </xf>
    <xf numFmtId="169" fontId="40" fillId="0" borderId="1" xfId="0" applyNumberFormat="1" applyFont="1" applyBorder="1" applyAlignment="1">
      <alignment horizontal="right" vertical="center"/>
    </xf>
    <xf numFmtId="0" fontId="42" fillId="0" borderId="1" xfId="0" applyFont="1" applyBorder="1"/>
    <xf numFmtId="0" fontId="40" fillId="0" borderId="1" xfId="0" applyFont="1" applyBorder="1" applyAlignment="1">
      <alignment horizontal="center"/>
    </xf>
    <xf numFmtId="0" fontId="39" fillId="0" borderId="1" xfId="0" applyFont="1" applyBorder="1" applyAlignment="1">
      <alignment horizontal="left"/>
    </xf>
    <xf numFmtId="2" fontId="40" fillId="0" borderId="1" xfId="0" applyNumberFormat="1" applyFont="1" applyBorder="1" applyAlignment="1">
      <alignment horizontal="right"/>
    </xf>
    <xf numFmtId="0" fontId="46" fillId="0" borderId="1" xfId="0" applyFont="1" applyBorder="1" applyAlignment="1">
      <alignment horizontal="left"/>
    </xf>
    <xf numFmtId="164" fontId="44" fillId="0" borderId="0" xfId="0" applyNumberFormat="1" applyFont="1" applyAlignment="1">
      <alignment horizontal="center" wrapText="1"/>
    </xf>
    <xf numFmtId="164" fontId="44" fillId="0" borderId="0" xfId="0" applyNumberFormat="1" applyFont="1"/>
    <xf numFmtId="1" fontId="30" fillId="5" borderId="1" xfId="3" applyNumberFormat="1" applyFont="1" applyFill="1" applyBorder="1" applyAlignment="1">
      <alignment horizontal="center" vertical="center"/>
    </xf>
    <xf numFmtId="0" fontId="39" fillId="0" borderId="10" xfId="0" applyFont="1" applyBorder="1" applyAlignment="1">
      <alignment horizontal="left"/>
    </xf>
    <xf numFmtId="0" fontId="30" fillId="0" borderId="11" xfId="3" applyFont="1" applyBorder="1"/>
    <xf numFmtId="0" fontId="33" fillId="0" borderId="1" xfId="3" applyFont="1" applyBorder="1" applyAlignment="1">
      <alignment horizontal="center" vertical="center"/>
    </xf>
    <xf numFmtId="0" fontId="32" fillId="0" borderId="0" xfId="3" applyFont="1" applyAlignment="1">
      <alignment horizontal="left"/>
    </xf>
    <xf numFmtId="0" fontId="32" fillId="0" borderId="0" xfId="31" applyFont="1" applyAlignment="1">
      <alignment horizontal="left"/>
    </xf>
    <xf numFmtId="0" fontId="33" fillId="0" borderId="1" xfId="3" applyFont="1" applyBorder="1"/>
    <xf numFmtId="10" fontId="30" fillId="0" borderId="0" xfId="2" applyNumberFormat="1" applyFont="1" applyFill="1" applyBorder="1"/>
    <xf numFmtId="164" fontId="0" fillId="0" borderId="0" xfId="0" applyNumberFormat="1"/>
    <xf numFmtId="49" fontId="33" fillId="0" borderId="0" xfId="3" applyNumberFormat="1" applyFont="1"/>
    <xf numFmtId="170" fontId="30" fillId="0" borderId="0" xfId="37" applyFont="1" applyFill="1"/>
    <xf numFmtId="39" fontId="36" fillId="0" borderId="0" xfId="37" applyNumberFormat="1" applyFont="1" applyFill="1"/>
    <xf numFmtId="0" fontId="36" fillId="0" borderId="0" xfId="3" applyFont="1"/>
    <xf numFmtId="170" fontId="30" fillId="9" borderId="0" xfId="37" applyFont="1" applyFill="1"/>
    <xf numFmtId="39" fontId="35" fillId="9" borderId="0" xfId="37" applyNumberFormat="1" applyFont="1" applyFill="1"/>
    <xf numFmtId="0" fontId="40" fillId="0" borderId="0" xfId="3" applyFont="1"/>
    <xf numFmtId="0" fontId="33" fillId="5" borderId="1" xfId="3" applyFont="1" applyFill="1" applyBorder="1" applyAlignment="1">
      <alignment horizontal="center"/>
    </xf>
    <xf numFmtId="0" fontId="49" fillId="0" borderId="0" xfId="3" applyFont="1"/>
    <xf numFmtId="0" fontId="49" fillId="10" borderId="0" xfId="3" applyFont="1" applyFill="1"/>
    <xf numFmtId="0" fontId="30" fillId="5" borderId="1" xfId="3" applyFont="1" applyFill="1" applyBorder="1" applyAlignment="1">
      <alignment horizontal="left"/>
    </xf>
    <xf numFmtId="170" fontId="30" fillId="0" borderId="0" xfId="37" applyFont="1" applyFill="1" applyBorder="1"/>
    <xf numFmtId="39" fontId="36" fillId="0" borderId="0" xfId="37" applyNumberFormat="1" applyFont="1" applyFill="1" applyBorder="1"/>
    <xf numFmtId="170" fontId="30" fillId="9" borderId="0" xfId="37" applyFont="1" applyFill="1" applyBorder="1"/>
    <xf numFmtId="39" fontId="35" fillId="9" borderId="0" xfId="37" applyNumberFormat="1" applyFont="1" applyFill="1" applyBorder="1"/>
    <xf numFmtId="49" fontId="30" fillId="0" borderId="0" xfId="3" applyNumberFormat="1" applyFont="1"/>
    <xf numFmtId="0" fontId="30" fillId="0" borderId="0" xfId="3" applyFont="1" applyAlignment="1">
      <alignment horizontal="left"/>
    </xf>
    <xf numFmtId="1" fontId="51" fillId="0" borderId="0" xfId="3" applyNumberFormat="1" applyFont="1" applyAlignment="1">
      <alignment horizontal="left" vertical="top"/>
    </xf>
    <xf numFmtId="0" fontId="36" fillId="0" borderId="1" xfId="3" applyFont="1" applyBorder="1" applyAlignment="1">
      <alignment horizontal="right"/>
    </xf>
    <xf numFmtId="171" fontId="30" fillId="0" borderId="0" xfId="46" applyNumberFormat="1" applyFont="1" applyFill="1" applyBorder="1"/>
    <xf numFmtId="172" fontId="30" fillId="0" borderId="0" xfId="3" applyNumberFormat="1" applyFont="1"/>
    <xf numFmtId="0" fontId="30" fillId="0" borderId="13" xfId="3" applyFont="1" applyBorder="1"/>
    <xf numFmtId="0" fontId="33" fillId="0" borderId="1" xfId="3" applyFont="1" applyBorder="1" applyAlignment="1">
      <alignment horizontal="right"/>
    </xf>
    <xf numFmtId="1" fontId="33" fillId="0" borderId="1" xfId="3" applyNumberFormat="1" applyFont="1" applyBorder="1"/>
    <xf numFmtId="9" fontId="33" fillId="0" borderId="1" xfId="3" applyNumberFormat="1" applyFont="1" applyBorder="1"/>
    <xf numFmtId="9" fontId="33" fillId="12" borderId="1" xfId="3" applyNumberFormat="1" applyFont="1" applyFill="1" applyBorder="1" applyAlignment="1">
      <alignment horizontal="center" vertical="center"/>
    </xf>
    <xf numFmtId="3" fontId="33" fillId="12" borderId="1" xfId="3" applyNumberFormat="1" applyFont="1" applyFill="1" applyBorder="1" applyAlignment="1">
      <alignment horizontal="center" vertical="center"/>
    </xf>
    <xf numFmtId="9" fontId="33" fillId="0" borderId="1" xfId="3" applyNumberFormat="1" applyFont="1" applyBorder="1" applyAlignment="1">
      <alignment horizontal="center" vertical="center" wrapText="1"/>
    </xf>
    <xf numFmtId="9" fontId="30" fillId="0" borderId="1" xfId="3" applyNumberFormat="1" applyFont="1" applyBorder="1"/>
    <xf numFmtId="3" fontId="30" fillId="0" borderId="1" xfId="3" applyNumberFormat="1" applyFont="1" applyBorder="1"/>
    <xf numFmtId="173" fontId="30" fillId="0" borderId="0" xfId="3" applyNumberFormat="1" applyFont="1"/>
    <xf numFmtId="3" fontId="33" fillId="0" borderId="1" xfId="3" applyNumberFormat="1" applyFont="1" applyBorder="1"/>
    <xf numFmtId="171" fontId="30" fillId="0" borderId="13" xfId="46" applyNumberFormat="1" applyFont="1" applyFill="1" applyBorder="1"/>
    <xf numFmtId="167" fontId="30" fillId="0" borderId="1" xfId="3" applyNumberFormat="1" applyFont="1" applyBorder="1"/>
    <xf numFmtId="0" fontId="30" fillId="0" borderId="1" xfId="3" applyFont="1" applyBorder="1" applyAlignment="1">
      <alignment horizontal="left" indent="2"/>
    </xf>
    <xf numFmtId="0" fontId="30" fillId="0" borderId="21" xfId="3" applyFont="1" applyBorder="1"/>
    <xf numFmtId="0" fontId="30" fillId="0" borderId="23" xfId="3" applyFont="1" applyBorder="1"/>
    <xf numFmtId="1" fontId="54" fillId="0" borderId="24" xfId="3" applyNumberFormat="1" applyFont="1" applyBorder="1"/>
    <xf numFmtId="3" fontId="30" fillId="0" borderId="24" xfId="3" applyNumberFormat="1" applyFont="1" applyBorder="1" applyAlignment="1">
      <alignment wrapText="1"/>
    </xf>
    <xf numFmtId="0" fontId="30" fillId="0" borderId="24" xfId="3" applyFont="1" applyBorder="1"/>
    <xf numFmtId="1" fontId="30" fillId="0" borderId="0" xfId="3" applyNumberFormat="1" applyFont="1"/>
    <xf numFmtId="3" fontId="30" fillId="0" borderId="0" xfId="3" applyNumberFormat="1" applyFont="1" applyAlignment="1">
      <alignment wrapText="1"/>
    </xf>
    <xf numFmtId="0" fontId="30" fillId="0" borderId="0" xfId="3" applyFont="1" applyAlignment="1">
      <alignment wrapText="1"/>
    </xf>
    <xf numFmtId="3" fontId="33" fillId="0" borderId="0" xfId="3" applyNumberFormat="1" applyFont="1" applyAlignment="1">
      <alignment wrapText="1"/>
    </xf>
    <xf numFmtId="1" fontId="30" fillId="0" borderId="0" xfId="3" applyNumberFormat="1" applyFont="1" applyAlignment="1">
      <alignment horizontal="right"/>
    </xf>
    <xf numFmtId="9" fontId="30" fillId="0" borderId="0" xfId="3" applyNumberFormat="1" applyFont="1"/>
    <xf numFmtId="3" fontId="30" fillId="0" borderId="0" xfId="3" applyNumberFormat="1" applyFont="1"/>
    <xf numFmtId="4" fontId="30" fillId="0" borderId="1" xfId="3" applyNumberFormat="1" applyFont="1" applyBorder="1"/>
    <xf numFmtId="0" fontId="36" fillId="0" borderId="1" xfId="3" applyFont="1" applyBorder="1" applyAlignment="1">
      <alignment horizontal="right" indent="3"/>
    </xf>
    <xf numFmtId="4" fontId="36" fillId="0" borderId="1" xfId="3" applyNumberFormat="1" applyFont="1" applyBorder="1"/>
    <xf numFmtId="9" fontId="35" fillId="0" borderId="1" xfId="3" applyNumberFormat="1" applyFont="1" applyBorder="1" applyAlignment="1">
      <alignment horizontal="right"/>
    </xf>
    <xf numFmtId="4" fontId="33" fillId="0" borderId="1" xfId="3" applyNumberFormat="1" applyFont="1" applyBorder="1"/>
    <xf numFmtId="167" fontId="30" fillId="0" borderId="5" xfId="3" applyNumberFormat="1" applyFont="1" applyBorder="1"/>
    <xf numFmtId="3" fontId="33" fillId="0" borderId="5" xfId="3" applyNumberFormat="1" applyFont="1" applyBorder="1"/>
    <xf numFmtId="9" fontId="30" fillId="0" borderId="5" xfId="3" applyNumberFormat="1" applyFont="1" applyBorder="1"/>
    <xf numFmtId="171" fontId="30" fillId="0" borderId="26" xfId="46" applyNumberFormat="1" applyFont="1" applyFill="1" applyBorder="1"/>
    <xf numFmtId="9" fontId="33" fillId="0" borderId="5" xfId="3" applyNumberFormat="1" applyFont="1" applyBorder="1"/>
    <xf numFmtId="0" fontId="30" fillId="0" borderId="27" xfId="3" applyFont="1" applyBorder="1"/>
    <xf numFmtId="0" fontId="33" fillId="0" borderId="28" xfId="3" applyFont="1" applyBorder="1"/>
    <xf numFmtId="9" fontId="33" fillId="0" borderId="28" xfId="3" applyNumberFormat="1" applyFont="1" applyBorder="1"/>
    <xf numFmtId="3" fontId="33" fillId="0" borderId="28" xfId="3" applyNumberFormat="1" applyFont="1" applyBorder="1"/>
    <xf numFmtId="9" fontId="30" fillId="0" borderId="28" xfId="3" applyNumberFormat="1" applyFont="1" applyBorder="1"/>
    <xf numFmtId="1" fontId="30" fillId="0" borderId="28" xfId="3" applyNumberFormat="1" applyFont="1" applyBorder="1"/>
    <xf numFmtId="1" fontId="33" fillId="0" borderId="4" xfId="3" applyNumberFormat="1" applyFont="1" applyBorder="1" applyAlignment="1">
      <alignment horizontal="center" vertical="center" wrapText="1"/>
    </xf>
    <xf numFmtId="43" fontId="30" fillId="0" borderId="4" xfId="1" applyFont="1" applyFill="1" applyBorder="1"/>
    <xf numFmtId="4" fontId="36" fillId="0" borderId="4" xfId="3" applyNumberFormat="1" applyFont="1" applyBorder="1"/>
    <xf numFmtId="173" fontId="36" fillId="0" borderId="4" xfId="3" applyNumberFormat="1" applyFont="1" applyBorder="1"/>
    <xf numFmtId="1" fontId="30" fillId="0" borderId="4" xfId="3" applyNumberFormat="1" applyFont="1" applyBorder="1"/>
    <xf numFmtId="173" fontId="30" fillId="0" borderId="4" xfId="3" applyNumberFormat="1" applyFont="1" applyBorder="1"/>
    <xf numFmtId="3" fontId="33" fillId="0" borderId="4" xfId="3" applyNumberFormat="1" applyFont="1" applyBorder="1"/>
    <xf numFmtId="173" fontId="33" fillId="0" borderId="4" xfId="3" applyNumberFormat="1" applyFont="1" applyBorder="1"/>
    <xf numFmtId="173" fontId="30" fillId="0" borderId="4" xfId="3" applyNumberFormat="1" applyFont="1" applyBorder="1" applyAlignment="1">
      <alignment wrapText="1"/>
    </xf>
    <xf numFmtId="173" fontId="30" fillId="0" borderId="7" xfId="3" applyNumberFormat="1" applyFont="1" applyBorder="1"/>
    <xf numFmtId="1" fontId="30" fillId="0" borderId="7" xfId="3" applyNumberFormat="1" applyFont="1" applyBorder="1"/>
    <xf numFmtId="10" fontId="30" fillId="0" borderId="22" xfId="2" applyNumberFormat="1" applyFont="1" applyFill="1" applyBorder="1"/>
    <xf numFmtId="10" fontId="30" fillId="0" borderId="25" xfId="2" applyNumberFormat="1" applyFont="1" applyFill="1" applyBorder="1"/>
    <xf numFmtId="0" fontId="33" fillId="2" borderId="1" xfId="3" applyFont="1" applyFill="1" applyBorder="1" applyAlignment="1">
      <alignment horizontal="left"/>
    </xf>
    <xf numFmtId="9" fontId="33" fillId="2" borderId="1" xfId="3" applyNumberFormat="1" applyFont="1" applyFill="1" applyBorder="1" applyAlignment="1">
      <alignment horizontal="center" vertical="center"/>
    </xf>
    <xf numFmtId="3" fontId="33" fillId="2" borderId="1" xfId="3" applyNumberFormat="1" applyFont="1" applyFill="1" applyBorder="1" applyAlignment="1">
      <alignment horizontal="center" vertical="center"/>
    </xf>
    <xf numFmtId="9" fontId="33" fillId="2" borderId="1" xfId="3" applyNumberFormat="1" applyFont="1" applyFill="1" applyBorder="1" applyAlignment="1">
      <alignment horizontal="center" vertical="center" wrapText="1"/>
    </xf>
    <xf numFmtId="1" fontId="33" fillId="2" borderId="4" xfId="3" applyNumberFormat="1" applyFont="1" applyFill="1" applyBorder="1" applyAlignment="1">
      <alignment horizontal="center" vertical="center" wrapText="1"/>
    </xf>
    <xf numFmtId="9" fontId="30" fillId="2" borderId="1" xfId="3" applyNumberFormat="1" applyFont="1" applyFill="1" applyBorder="1"/>
    <xf numFmtId="3" fontId="30" fillId="2" borderId="1" xfId="3" applyNumberFormat="1" applyFont="1" applyFill="1" applyBorder="1"/>
    <xf numFmtId="173" fontId="36" fillId="2" borderId="4" xfId="3" applyNumberFormat="1" applyFont="1" applyFill="1" applyBorder="1"/>
    <xf numFmtId="1" fontId="30" fillId="2" borderId="4" xfId="3" applyNumberFormat="1" applyFont="1" applyFill="1" applyBorder="1"/>
    <xf numFmtId="173" fontId="30" fillId="2" borderId="4" xfId="3" applyNumberFormat="1" applyFont="1" applyFill="1" applyBorder="1"/>
    <xf numFmtId="9" fontId="33" fillId="2" borderId="1" xfId="3" applyNumberFormat="1" applyFont="1" applyFill="1" applyBorder="1"/>
    <xf numFmtId="3" fontId="33" fillId="2" borderId="1" xfId="3" applyNumberFormat="1" applyFont="1" applyFill="1" applyBorder="1"/>
    <xf numFmtId="0" fontId="55" fillId="0" borderId="1" xfId="3" applyFont="1" applyBorder="1" applyAlignment="1">
      <alignment wrapText="1"/>
    </xf>
    <xf numFmtId="0" fontId="30" fillId="0" borderId="13" xfId="3" applyFont="1" applyBorder="1" applyAlignment="1">
      <alignment horizontal="left" indent="1"/>
    </xf>
    <xf numFmtId="0" fontId="42" fillId="0" borderId="1" xfId="3" applyFont="1" applyBorder="1"/>
    <xf numFmtId="0" fontId="42" fillId="0" borderId="1" xfId="3" applyFont="1" applyBorder="1" applyAlignment="1">
      <alignment wrapText="1"/>
    </xf>
    <xf numFmtId="0" fontId="33" fillId="2" borderId="5" xfId="3" applyFont="1" applyFill="1" applyBorder="1" applyAlignment="1">
      <alignment horizontal="left"/>
    </xf>
    <xf numFmtId="9" fontId="33" fillId="0" borderId="20" xfId="3" applyNumberFormat="1" applyFont="1" applyBorder="1"/>
    <xf numFmtId="0" fontId="33" fillId="0" borderId="1" xfId="3" applyFont="1" applyBorder="1" applyAlignment="1">
      <alignment horizontal="center"/>
    </xf>
    <xf numFmtId="170" fontId="30" fillId="0" borderId="0" xfId="46" applyNumberFormat="1" applyFont="1" applyFill="1" applyBorder="1"/>
    <xf numFmtId="4" fontId="30" fillId="0" borderId="0" xfId="3" applyNumberFormat="1" applyFont="1"/>
    <xf numFmtId="174" fontId="30" fillId="0" borderId="0" xfId="46" applyNumberFormat="1" applyFont="1" applyFill="1" applyBorder="1"/>
    <xf numFmtId="0" fontId="33" fillId="0" borderId="13" xfId="3" applyFont="1" applyBorder="1" applyAlignment="1">
      <alignment horizontal="center"/>
    </xf>
    <xf numFmtId="0" fontId="33" fillId="0" borderId="14" xfId="3" applyFont="1" applyBorder="1" applyAlignment="1">
      <alignment horizontal="center"/>
    </xf>
    <xf numFmtId="10" fontId="30" fillId="0" borderId="14" xfId="2" applyNumberFormat="1" applyFont="1" applyFill="1" applyBorder="1"/>
    <xf numFmtId="0" fontId="33" fillId="0" borderId="13" xfId="3" applyFont="1" applyBorder="1" applyAlignment="1">
      <alignment horizontal="center" vertical="center"/>
    </xf>
    <xf numFmtId="10" fontId="33" fillId="0" borderId="14" xfId="2" applyNumberFormat="1" applyFont="1" applyFill="1" applyBorder="1" applyAlignment="1">
      <alignment horizontal="center" vertical="center" wrapText="1"/>
    </xf>
    <xf numFmtId="0" fontId="33" fillId="2" borderId="13" xfId="3" applyFont="1" applyFill="1" applyBorder="1" applyAlignment="1">
      <alignment horizontal="left"/>
    </xf>
    <xf numFmtId="10" fontId="33" fillId="2" borderId="14" xfId="2" applyNumberFormat="1" applyFont="1" applyFill="1" applyBorder="1" applyAlignment="1">
      <alignment horizontal="center" vertical="center" wrapText="1"/>
    </xf>
    <xf numFmtId="10" fontId="30" fillId="2" borderId="14" xfId="2" applyNumberFormat="1" applyFont="1" applyFill="1" applyBorder="1"/>
    <xf numFmtId="3" fontId="36" fillId="0" borderId="1" xfId="3" applyNumberFormat="1" applyFont="1" applyBorder="1"/>
    <xf numFmtId="175" fontId="30" fillId="0" borderId="4" xfId="1" applyNumberFormat="1" applyFont="1" applyFill="1" applyBorder="1"/>
    <xf numFmtId="0" fontId="0" fillId="0" borderId="0" xfId="0" applyAlignment="1">
      <alignment horizontal="center"/>
    </xf>
    <xf numFmtId="167" fontId="30" fillId="0" borderId="14" xfId="2" applyNumberFormat="1" applyFont="1" applyFill="1" applyBorder="1"/>
    <xf numFmtId="0" fontId="59" fillId="0" borderId="0" xfId="0" applyFont="1"/>
    <xf numFmtId="0" fontId="39" fillId="0" borderId="1" xfId="56" quotePrefix="1" applyFont="1" applyBorder="1" applyAlignment="1">
      <alignment horizontal="center" vertical="center" wrapText="1"/>
    </xf>
    <xf numFmtId="0" fontId="39" fillId="0" borderId="1" xfId="56" applyFont="1" applyBorder="1" applyAlignment="1">
      <alignment horizontal="center" vertical="center"/>
    </xf>
    <xf numFmtId="3" fontId="39" fillId="0" borderId="1" xfId="56" applyNumberFormat="1" applyFont="1" applyBorder="1" applyAlignment="1">
      <alignment horizontal="center" vertical="center"/>
    </xf>
    <xf numFmtId="0" fontId="40" fillId="0" borderId="0" xfId="0" applyFont="1"/>
    <xf numFmtId="175" fontId="40" fillId="0" borderId="0" xfId="0" applyNumberFormat="1" applyFont="1"/>
    <xf numFmtId="175" fontId="39" fillId="0" borderId="0" xfId="0" applyNumberFormat="1" applyFont="1"/>
    <xf numFmtId="0" fontId="40" fillId="0" borderId="1" xfId="0" applyFont="1" applyBorder="1"/>
    <xf numFmtId="1" fontId="40" fillId="0" borderId="1" xfId="0" applyNumberFormat="1" applyFont="1" applyBorder="1"/>
    <xf numFmtId="175" fontId="40" fillId="0" borderId="1" xfId="1" applyNumberFormat="1" applyFont="1" applyBorder="1" applyAlignment="1"/>
    <xf numFmtId="175" fontId="40" fillId="0" borderId="1" xfId="0" applyNumberFormat="1" applyFont="1" applyBorder="1"/>
    <xf numFmtId="43" fontId="40" fillId="0" borderId="0" xfId="0" applyNumberFormat="1" applyFont="1"/>
    <xf numFmtId="9" fontId="40" fillId="0" borderId="0" xfId="2" applyFont="1" applyAlignment="1"/>
    <xf numFmtId="0" fontId="30" fillId="2" borderId="0" xfId="3" applyFont="1" applyFill="1" applyAlignment="1">
      <alignment horizontal="left"/>
    </xf>
    <xf numFmtId="0" fontId="33" fillId="0" borderId="0" xfId="0" applyFont="1"/>
    <xf numFmtId="0" fontId="30" fillId="0" borderId="0" xfId="0" applyFont="1" applyAlignment="1">
      <alignment horizontal="left"/>
    </xf>
    <xf numFmtId="0" fontId="60" fillId="0" borderId="1" xfId="0" applyFont="1" applyBorder="1"/>
    <xf numFmtId="0" fontId="33" fillId="0" borderId="1" xfId="0" applyFont="1" applyBorder="1" applyAlignment="1">
      <alignment horizontal="center" vertical="center"/>
    </xf>
    <xf numFmtId="0" fontId="31" fillId="0" borderId="1" xfId="0" applyFont="1" applyBorder="1"/>
    <xf numFmtId="0" fontId="32" fillId="0" borderId="1" xfId="0" applyFont="1" applyBorder="1"/>
    <xf numFmtId="2" fontId="31" fillId="0" borderId="1" xfId="0" applyNumberFormat="1" applyFont="1" applyBorder="1"/>
    <xf numFmtId="0" fontId="61" fillId="0" borderId="1" xfId="0" applyFont="1" applyBorder="1"/>
    <xf numFmtId="0" fontId="31" fillId="0" borderId="1" xfId="0" applyFont="1" applyBorder="1" applyAlignment="1">
      <alignment horizontal="center"/>
    </xf>
    <xf numFmtId="0" fontId="30" fillId="0" borderId="0" xfId="0" applyFont="1" applyAlignment="1">
      <alignment horizontal="center"/>
    </xf>
    <xf numFmtId="164" fontId="31" fillId="0" borderId="1" xfId="0" applyNumberFormat="1" applyFont="1" applyBorder="1"/>
    <xf numFmtId="0" fontId="33" fillId="0" borderId="1" xfId="0" applyFont="1" applyBorder="1" applyAlignment="1">
      <alignment horizontal="center"/>
    </xf>
    <xf numFmtId="0" fontId="33" fillId="0" borderId="1" xfId="0" applyFont="1" applyBorder="1"/>
    <xf numFmtId="0" fontId="30" fillId="0" borderId="1" xfId="0" applyFont="1" applyBorder="1" applyAlignment="1">
      <alignment horizontal="center"/>
    </xf>
    <xf numFmtId="2" fontId="32" fillId="0" borderId="1" xfId="0" applyNumberFormat="1" applyFont="1" applyBorder="1"/>
    <xf numFmtId="169" fontId="31" fillId="0" borderId="1" xfId="0" applyNumberFormat="1" applyFont="1" applyBorder="1"/>
    <xf numFmtId="1" fontId="31" fillId="0" borderId="1" xfId="0" applyNumberFormat="1" applyFont="1" applyBorder="1"/>
    <xf numFmtId="0" fontId="32" fillId="0" borderId="1" xfId="0" applyFont="1" applyBorder="1" applyAlignment="1">
      <alignment horizontal="left" vertical="center"/>
    </xf>
    <xf numFmtId="0" fontId="31" fillId="0" borderId="1" xfId="0" applyFont="1" applyBorder="1" applyAlignment="1">
      <alignment vertical="center"/>
    </xf>
    <xf numFmtId="0" fontId="31" fillId="0" borderId="14" xfId="0" applyFont="1" applyBorder="1" applyAlignment="1">
      <alignment vertical="center"/>
    </xf>
    <xf numFmtId="0" fontId="32" fillId="0" borderId="13" xfId="0" applyFont="1" applyBorder="1" applyAlignment="1">
      <alignment horizontal="right" vertical="center"/>
    </xf>
    <xf numFmtId="0" fontId="32" fillId="0" borderId="1" xfId="0" applyFont="1" applyBorder="1" applyAlignment="1">
      <alignment vertical="center"/>
    </xf>
    <xf numFmtId="0" fontId="32" fillId="0" borderId="1" xfId="0" applyFont="1" applyBorder="1" applyAlignment="1">
      <alignment vertical="center" wrapText="1"/>
    </xf>
    <xf numFmtId="0" fontId="32" fillId="0" borderId="14" xfId="0" applyFont="1" applyBorder="1" applyAlignment="1">
      <alignment horizontal="center" vertical="center"/>
    </xf>
    <xf numFmtId="0" fontId="32" fillId="0" borderId="13" xfId="0" applyFont="1" applyBorder="1" applyAlignment="1">
      <alignment horizontal="right"/>
    </xf>
    <xf numFmtId="0" fontId="32" fillId="0" borderId="14" xfId="0" applyFont="1" applyBorder="1"/>
    <xf numFmtId="0" fontId="32" fillId="0" borderId="34" xfId="0" applyFont="1" applyBorder="1" applyAlignment="1">
      <alignment horizontal="right" vertical="center"/>
    </xf>
    <xf numFmtId="0" fontId="32" fillId="0" borderId="35" xfId="0" applyFont="1" applyBorder="1"/>
    <xf numFmtId="0" fontId="32" fillId="0" borderId="36" xfId="0" applyFont="1" applyBorder="1"/>
    <xf numFmtId="0" fontId="32" fillId="0" borderId="11" xfId="0" applyFont="1" applyBorder="1"/>
    <xf numFmtId="0" fontId="32" fillId="0" borderId="12" xfId="0" applyFont="1" applyBorder="1"/>
    <xf numFmtId="0" fontId="32" fillId="0" borderId="13" xfId="0" applyFont="1" applyBorder="1"/>
    <xf numFmtId="0" fontId="32" fillId="0" borderId="34" xfId="0" applyFont="1" applyBorder="1"/>
    <xf numFmtId="0" fontId="32" fillId="0" borderId="1" xfId="0" applyFont="1" applyBorder="1" applyAlignment="1">
      <alignment horizontal="left"/>
    </xf>
    <xf numFmtId="0" fontId="61" fillId="0" borderId="36" xfId="0" applyFont="1" applyBorder="1"/>
    <xf numFmtId="0" fontId="32" fillId="0" borderId="26" xfId="0" applyFont="1" applyBorder="1"/>
    <xf numFmtId="0" fontId="31" fillId="0" borderId="13" xfId="0" applyFont="1" applyBorder="1" applyAlignment="1">
      <alignment horizontal="center" vertical="center"/>
    </xf>
    <xf numFmtId="0" fontId="31" fillId="0" borderId="1" xfId="0" applyFont="1" applyBorder="1" applyAlignment="1">
      <alignment horizontal="left" vertical="center"/>
    </xf>
    <xf numFmtId="0" fontId="31" fillId="0" borderId="11" xfId="0" applyFont="1" applyBorder="1"/>
    <xf numFmtId="0" fontId="31" fillId="0" borderId="35" xfId="0" applyFont="1" applyBorder="1"/>
    <xf numFmtId="2" fontId="30" fillId="0" borderId="1" xfId="0" applyNumberFormat="1" applyFont="1" applyBorder="1"/>
    <xf numFmtId="0" fontId="30" fillId="0" borderId="1" xfId="0" applyFont="1" applyBorder="1" applyAlignment="1">
      <alignment wrapText="1"/>
    </xf>
    <xf numFmtId="2" fontId="33" fillId="0" borderId="1" xfId="0" applyNumberFormat="1" applyFont="1" applyBorder="1"/>
    <xf numFmtId="169" fontId="33" fillId="0" borderId="1" xfId="0" applyNumberFormat="1" applyFont="1" applyBorder="1"/>
    <xf numFmtId="1" fontId="33" fillId="0" borderId="1" xfId="0" applyNumberFormat="1" applyFont="1" applyBorder="1"/>
    <xf numFmtId="169" fontId="32" fillId="0" borderId="1" xfId="0" applyNumberFormat="1" applyFont="1" applyBorder="1"/>
    <xf numFmtId="0" fontId="35" fillId="0" borderId="1" xfId="0" applyFont="1" applyBorder="1"/>
    <xf numFmtId="2" fontId="31" fillId="0" borderId="35" xfId="0" applyNumberFormat="1" applyFont="1" applyBorder="1"/>
    <xf numFmtId="0" fontId="32" fillId="0" borderId="0" xfId="0" applyFont="1"/>
    <xf numFmtId="0" fontId="32" fillId="13" borderId="0" xfId="0" applyFont="1" applyFill="1"/>
    <xf numFmtId="0" fontId="30" fillId="0" borderId="1" xfId="0" applyFont="1" applyBorder="1" applyAlignment="1">
      <alignment horizontal="left"/>
    </xf>
    <xf numFmtId="0" fontId="31" fillId="0" borderId="4" xfId="0" applyFont="1" applyBorder="1"/>
    <xf numFmtId="2" fontId="33" fillId="0" borderId="0" xfId="0" applyNumberFormat="1" applyFont="1"/>
    <xf numFmtId="0" fontId="31" fillId="13" borderId="0" xfId="0" applyFont="1" applyFill="1" applyAlignment="1">
      <alignment horizontal="center"/>
    </xf>
    <xf numFmtId="0" fontId="31" fillId="0" borderId="0" xfId="0" applyFont="1" applyAlignment="1">
      <alignment horizontal="center"/>
    </xf>
    <xf numFmtId="1" fontId="61" fillId="0" borderId="1" xfId="0" applyNumberFormat="1" applyFont="1" applyBorder="1"/>
    <xf numFmtId="0" fontId="32" fillId="0" borderId="5" xfId="0" applyFont="1" applyBorder="1" applyAlignment="1">
      <alignment horizontal="left"/>
    </xf>
    <xf numFmtId="0" fontId="32" fillId="0" borderId="5" xfId="0" applyFont="1" applyBorder="1"/>
    <xf numFmtId="0" fontId="31" fillId="0" borderId="5" xfId="0" applyFont="1" applyBorder="1"/>
    <xf numFmtId="0" fontId="61" fillId="0" borderId="12" xfId="0" applyFont="1" applyBorder="1"/>
    <xf numFmtId="0" fontId="61" fillId="0" borderId="14" xfId="0" applyFont="1" applyBorder="1"/>
    <xf numFmtId="2" fontId="32" fillId="0" borderId="0" xfId="0" applyNumberFormat="1" applyFont="1"/>
    <xf numFmtId="164" fontId="30" fillId="0" borderId="1" xfId="0" applyNumberFormat="1" applyFont="1" applyBorder="1"/>
    <xf numFmtId="9" fontId="32" fillId="0" borderId="1" xfId="2" applyFont="1" applyBorder="1" applyAlignment="1">
      <alignment horizontal="left" vertical="center"/>
    </xf>
    <xf numFmtId="9" fontId="32" fillId="0" borderId="1" xfId="2" applyFont="1" applyBorder="1" applyAlignment="1">
      <alignment horizontal="left"/>
    </xf>
    <xf numFmtId="9" fontId="33" fillId="0" borderId="0" xfId="0" applyNumberFormat="1" applyFont="1"/>
    <xf numFmtId="0" fontId="33" fillId="0" borderId="1" xfId="0" applyFont="1" applyBorder="1" applyAlignment="1">
      <alignment wrapText="1"/>
    </xf>
    <xf numFmtId="0" fontId="33" fillId="0" borderId="1" xfId="0" applyFont="1" applyBorder="1" applyAlignment="1">
      <alignment horizontal="left" wrapText="1"/>
    </xf>
    <xf numFmtId="0" fontId="33" fillId="0" borderId="1" xfId="0" applyFont="1" applyBorder="1" applyAlignment="1">
      <alignment vertical="center" wrapText="1"/>
    </xf>
    <xf numFmtId="43" fontId="33" fillId="0" borderId="0" xfId="1" applyFont="1"/>
    <xf numFmtId="0" fontId="33" fillId="0" borderId="0" xfId="0" applyFont="1" applyAlignment="1">
      <alignment horizontal="center"/>
    </xf>
    <xf numFmtId="169" fontId="30" fillId="0" borderId="0" xfId="0" applyNumberFormat="1" applyFont="1"/>
    <xf numFmtId="1" fontId="30" fillId="0" borderId="1" xfId="0" applyNumberFormat="1" applyFont="1" applyBorder="1"/>
    <xf numFmtId="164" fontId="33" fillId="0" borderId="1" xfId="0" applyNumberFormat="1" applyFont="1" applyBorder="1"/>
    <xf numFmtId="0" fontId="34" fillId="0" borderId="0" xfId="0" applyFont="1"/>
    <xf numFmtId="43" fontId="33" fillId="0" borderId="0" xfId="0" applyNumberFormat="1" applyFont="1"/>
    <xf numFmtId="0" fontId="31" fillId="0" borderId="4" xfId="0" applyFont="1" applyBorder="1" applyAlignment="1">
      <alignment vertical="center"/>
    </xf>
    <xf numFmtId="0" fontId="32" fillId="0" borderId="4" xfId="0" applyFont="1" applyBorder="1" applyAlignment="1">
      <alignment vertical="center"/>
    </xf>
    <xf numFmtId="0" fontId="31" fillId="0" borderId="37" xfId="0" applyFont="1" applyBorder="1"/>
    <xf numFmtId="0" fontId="32" fillId="0" borderId="38" xfId="0" applyFont="1" applyBorder="1"/>
    <xf numFmtId="0" fontId="32" fillId="0" borderId="37" xfId="0" applyFont="1" applyBorder="1"/>
    <xf numFmtId="0" fontId="31" fillId="0" borderId="7" xfId="0" applyFont="1" applyBorder="1"/>
    <xf numFmtId="2" fontId="31" fillId="0" borderId="37" xfId="0" applyNumberFormat="1" applyFont="1" applyBorder="1"/>
    <xf numFmtId="1" fontId="32" fillId="0" borderId="1" xfId="0" applyNumberFormat="1" applyFont="1" applyBorder="1"/>
    <xf numFmtId="0" fontId="32" fillId="0" borderId="0" xfId="0" applyFont="1" applyAlignment="1">
      <alignment horizontal="left"/>
    </xf>
    <xf numFmtId="9" fontId="32" fillId="0" borderId="0" xfId="2" applyFont="1" applyBorder="1" applyAlignment="1">
      <alignment horizontal="left"/>
    </xf>
    <xf numFmtId="0" fontId="39" fillId="0" borderId="1" xfId="0" applyFont="1" applyBorder="1"/>
    <xf numFmtId="1" fontId="39" fillId="0" borderId="1" xfId="0" applyNumberFormat="1" applyFont="1" applyBorder="1"/>
    <xf numFmtId="0" fontId="39" fillId="0" borderId="0" xfId="0" applyFont="1"/>
    <xf numFmtId="0" fontId="34" fillId="0" borderId="1" xfId="0" applyFont="1" applyBorder="1"/>
    <xf numFmtId="0" fontId="0" fillId="0" borderId="1" xfId="0" applyBorder="1"/>
    <xf numFmtId="3" fontId="0" fillId="0" borderId="1" xfId="0" applyNumberFormat="1" applyBorder="1"/>
    <xf numFmtId="9" fontId="0" fillId="0" borderId="1" xfId="2" applyFont="1" applyBorder="1"/>
    <xf numFmtId="0" fontId="40" fillId="2" borderId="0" xfId="3" applyFont="1" applyFill="1" applyAlignment="1">
      <alignment horizontal="left"/>
    </xf>
    <xf numFmtId="0" fontId="40" fillId="0" borderId="0" xfId="3" applyFont="1" applyAlignment="1">
      <alignment horizontal="left"/>
    </xf>
    <xf numFmtId="0" fontId="40" fillId="0" borderId="0" xfId="0" applyFont="1" applyAlignment="1">
      <alignment horizontal="left"/>
    </xf>
    <xf numFmtId="173" fontId="33" fillId="0" borderId="20" xfId="3" applyNumberFormat="1" applyFont="1" applyBorder="1" applyAlignment="1">
      <alignment wrapText="1"/>
    </xf>
    <xf numFmtId="0" fontId="30" fillId="0" borderId="1" xfId="0" applyFont="1" applyBorder="1" applyAlignment="1">
      <alignment horizontal="right"/>
    </xf>
    <xf numFmtId="169" fontId="30" fillId="0" borderId="1" xfId="0" applyNumberFormat="1" applyFont="1" applyBorder="1"/>
    <xf numFmtId="0" fontId="59" fillId="0" borderId="0" xfId="0" applyFont="1" applyAlignment="1">
      <alignment horizontal="center" vertical="center"/>
    </xf>
    <xf numFmtId="0" fontId="33" fillId="8" borderId="0" xfId="0" applyFont="1" applyFill="1" applyAlignment="1">
      <alignment horizontal="center"/>
    </xf>
    <xf numFmtId="0" fontId="33" fillId="0" borderId="1" xfId="0" applyFont="1" applyBorder="1" applyAlignment="1">
      <alignment horizontal="left"/>
    </xf>
    <xf numFmtId="0" fontId="33" fillId="8" borderId="1" xfId="0" applyFont="1" applyFill="1" applyBorder="1" applyAlignment="1">
      <alignment horizontal="center" vertical="center"/>
    </xf>
    <xf numFmtId="175" fontId="0" fillId="0" borderId="0" xfId="0" applyNumberFormat="1"/>
    <xf numFmtId="0" fontId="40" fillId="0" borderId="0" xfId="0" applyFont="1" applyAlignment="1">
      <alignment horizontal="center"/>
    </xf>
    <xf numFmtId="0" fontId="39" fillId="0" borderId="1" xfId="0" applyFont="1" applyBorder="1" applyAlignment="1">
      <alignment horizontal="center"/>
    </xf>
    <xf numFmtId="169" fontId="40" fillId="0" borderId="1" xfId="0" applyNumberFormat="1" applyFont="1" applyBorder="1"/>
    <xf numFmtId="175" fontId="33" fillId="0" borderId="1" xfId="0" applyNumberFormat="1" applyFont="1" applyBorder="1" applyAlignment="1">
      <alignment horizontal="right"/>
    </xf>
    <xf numFmtId="175" fontId="33" fillId="0" borderId="1" xfId="1" applyNumberFormat="1" applyFont="1" applyBorder="1" applyAlignment="1">
      <alignment horizontal="right"/>
    </xf>
    <xf numFmtId="9" fontId="30" fillId="0" borderId="0" xfId="2" applyFont="1"/>
    <xf numFmtId="9" fontId="30" fillId="0" borderId="0" xfId="0" applyNumberFormat="1" applyFont="1"/>
    <xf numFmtId="0" fontId="32" fillId="0" borderId="1" xfId="0" applyFont="1" applyBorder="1" applyAlignment="1">
      <alignment horizontal="right"/>
    </xf>
    <xf numFmtId="0" fontId="34" fillId="2" borderId="1" xfId="0" applyFont="1" applyFill="1" applyBorder="1"/>
    <xf numFmtId="0" fontId="34" fillId="5" borderId="1" xfId="0" applyFont="1" applyFill="1" applyBorder="1"/>
    <xf numFmtId="0" fontId="35" fillId="0" borderId="1" xfId="3" applyFont="1" applyBorder="1" applyAlignment="1">
      <alignment horizontal="left"/>
    </xf>
    <xf numFmtId="0" fontId="32" fillId="0" borderId="1" xfId="43" applyFont="1" applyBorder="1"/>
    <xf numFmtId="0" fontId="30" fillId="0" borderId="1" xfId="3" applyFont="1" applyBorder="1" applyAlignment="1">
      <alignment wrapText="1"/>
    </xf>
    <xf numFmtId="166" fontId="30" fillId="0" borderId="1" xfId="1" applyNumberFormat="1" applyFont="1" applyFill="1" applyBorder="1"/>
    <xf numFmtId="0" fontId="30" fillId="0" borderId="1" xfId="3" applyFont="1" applyBorder="1" applyAlignment="1">
      <alignment horizontal="left" indent="1"/>
    </xf>
    <xf numFmtId="164" fontId="30" fillId="0" borderId="6" xfId="3" applyNumberFormat="1" applyFont="1" applyBorder="1"/>
    <xf numFmtId="0" fontId="32" fillId="0" borderId="1" xfId="3" applyFont="1" applyBorder="1" applyAlignment="1">
      <alignment horizontal="center" vertical="center"/>
    </xf>
    <xf numFmtId="164" fontId="32" fillId="0" borderId="1" xfId="3" applyNumberFormat="1" applyFont="1" applyBorder="1"/>
    <xf numFmtId="0" fontId="31" fillId="0" borderId="1" xfId="3" applyFont="1" applyBorder="1" applyAlignment="1">
      <alignment horizontal="left"/>
    </xf>
    <xf numFmtId="0" fontId="65" fillId="0" borderId="0" xfId="0" applyFont="1"/>
    <xf numFmtId="166" fontId="32" fillId="0" borderId="1" xfId="1" applyNumberFormat="1" applyFont="1" applyFill="1" applyBorder="1"/>
    <xf numFmtId="0" fontId="30" fillId="2" borderId="1" xfId="3" applyFont="1" applyFill="1" applyBorder="1" applyAlignment="1">
      <alignment horizontal="center" vertical="center" wrapText="1"/>
    </xf>
    <xf numFmtId="0" fontId="30" fillId="2" borderId="1" xfId="3" applyFont="1" applyFill="1" applyBorder="1" applyAlignment="1">
      <alignment wrapText="1"/>
    </xf>
    <xf numFmtId="166" fontId="33" fillId="15" borderId="1" xfId="1" applyNumberFormat="1" applyFont="1" applyFill="1" applyBorder="1"/>
    <xf numFmtId="166" fontId="33" fillId="0" borderId="1" xfId="1" applyNumberFormat="1" applyFont="1" applyFill="1" applyBorder="1"/>
    <xf numFmtId="0" fontId="33" fillId="0" borderId="6" xfId="0" applyFont="1" applyBorder="1" applyAlignment="1">
      <alignment horizontal="center" vertical="center"/>
    </xf>
    <xf numFmtId="164" fontId="33" fillId="0" borderId="6" xfId="0" applyNumberFormat="1" applyFont="1" applyBorder="1" applyAlignment="1">
      <alignment horizontal="center" vertical="center"/>
    </xf>
    <xf numFmtId="0" fontId="32" fillId="0" borderId="1" xfId="3" applyFont="1" applyBorder="1"/>
    <xf numFmtId="164" fontId="33" fillId="0" borderId="1" xfId="3" applyNumberFormat="1" applyFont="1" applyBorder="1"/>
    <xf numFmtId="0" fontId="63" fillId="0" borderId="1" xfId="3" applyFont="1" applyBorder="1"/>
    <xf numFmtId="0" fontId="16" fillId="0" borderId="1" xfId="42" applyFont="1" applyBorder="1"/>
    <xf numFmtId="2" fontId="16" fillId="0" borderId="1" xfId="42" applyNumberFormat="1" applyFont="1" applyBorder="1" applyAlignment="1">
      <alignment horizontal="right" vertical="center"/>
    </xf>
    <xf numFmtId="0" fontId="40" fillId="0" borderId="1" xfId="3" applyFont="1" applyBorder="1"/>
    <xf numFmtId="169" fontId="40" fillId="0" borderId="1" xfId="3" applyNumberFormat="1" applyFont="1" applyBorder="1"/>
    <xf numFmtId="2" fontId="40" fillId="0" borderId="1" xfId="3" applyNumberFormat="1" applyFont="1" applyBorder="1"/>
    <xf numFmtId="2" fontId="40" fillId="0" borderId="1" xfId="3" applyNumberFormat="1" applyFont="1" applyBorder="1" applyAlignment="1">
      <alignment horizontal="right" vertical="center"/>
    </xf>
    <xf numFmtId="0" fontId="0" fillId="0" borderId="1" xfId="42" applyFont="1" applyBorder="1"/>
    <xf numFmtId="0" fontId="23" fillId="0" borderId="1" xfId="42" applyBorder="1"/>
    <xf numFmtId="169" fontId="23" fillId="0" borderId="1" xfId="42" applyNumberFormat="1" applyBorder="1"/>
    <xf numFmtId="2" fontId="32" fillId="0" borderId="1" xfId="3" applyNumberFormat="1" applyFont="1" applyBorder="1" applyAlignment="1">
      <alignment vertical="center"/>
    </xf>
    <xf numFmtId="2" fontId="32" fillId="0" borderId="1" xfId="3" applyNumberFormat="1" applyFont="1" applyBorder="1" applyAlignment="1">
      <alignment horizontal="right" vertical="center"/>
    </xf>
    <xf numFmtId="164" fontId="32" fillId="0" borderId="1" xfId="3" applyNumberFormat="1" applyFont="1" applyBorder="1" applyAlignment="1">
      <alignment vertical="center"/>
    </xf>
    <xf numFmtId="0" fontId="64" fillId="0" borderId="1" xfId="42" applyFont="1" applyBorder="1"/>
    <xf numFmtId="0" fontId="34" fillId="0" borderId="1" xfId="42" applyFont="1" applyBorder="1"/>
    <xf numFmtId="0" fontId="59" fillId="0" borderId="1" xfId="42" applyFont="1" applyBorder="1"/>
    <xf numFmtId="169" fontId="64" fillId="0" borderId="1" xfId="42" applyNumberFormat="1" applyFont="1" applyBorder="1"/>
    <xf numFmtId="164" fontId="40" fillId="0" borderId="4" xfId="3" applyNumberFormat="1" applyFont="1" applyBorder="1" applyAlignment="1">
      <alignment horizontal="right"/>
    </xf>
    <xf numFmtId="164" fontId="40" fillId="0" borderId="19" xfId="3" applyNumberFormat="1" applyFont="1" applyBorder="1" applyAlignment="1">
      <alignment horizontal="right"/>
    </xf>
    <xf numFmtId="164" fontId="40" fillId="0" borderId="9" xfId="3" applyNumberFormat="1" applyFont="1" applyBorder="1" applyAlignment="1">
      <alignment horizontal="right"/>
    </xf>
    <xf numFmtId="0" fontId="32" fillId="2" borderId="0" xfId="3" applyFont="1" applyFill="1" applyAlignment="1">
      <alignment horizontal="center" vertical="center"/>
    </xf>
    <xf numFmtId="0" fontId="34" fillId="0" borderId="0" xfId="32"/>
    <xf numFmtId="0" fontId="32" fillId="0" borderId="0" xfId="3" applyFont="1" applyAlignment="1">
      <alignment horizontal="center" vertical="center"/>
    </xf>
    <xf numFmtId="164" fontId="32" fillId="0" borderId="0" xfId="3" applyNumberFormat="1" applyFont="1"/>
    <xf numFmtId="165" fontId="32" fillId="0" borderId="0" xfId="3" applyNumberFormat="1" applyFont="1" applyAlignment="1">
      <alignment horizontal="center" vertical="center"/>
    </xf>
    <xf numFmtId="166" fontId="33" fillId="2" borderId="1" xfId="1" applyNumberFormat="1" applyFont="1" applyFill="1" applyBorder="1"/>
    <xf numFmtId="43" fontId="34" fillId="0" borderId="0" xfId="32" applyNumberFormat="1"/>
    <xf numFmtId="10" fontId="30" fillId="2" borderId="1" xfId="2" applyNumberFormat="1" applyFont="1" applyFill="1" applyBorder="1"/>
    <xf numFmtId="2" fontId="30" fillId="0" borderId="0" xfId="3" applyNumberFormat="1" applyFont="1"/>
    <xf numFmtId="0" fontId="35" fillId="0" borderId="1" xfId="3" applyFont="1" applyBorder="1" applyAlignment="1">
      <alignment horizontal="left" wrapText="1" indent="1"/>
    </xf>
    <xf numFmtId="0" fontId="33" fillId="2" borderId="1" xfId="3" applyFont="1" applyFill="1" applyBorder="1"/>
    <xf numFmtId="164" fontId="30" fillId="2" borderId="1" xfId="3" applyNumberFormat="1" applyFont="1" applyFill="1" applyBorder="1" applyAlignment="1">
      <alignment horizontal="center"/>
    </xf>
    <xf numFmtId="43" fontId="30" fillId="2" borderId="1" xfId="3" applyNumberFormat="1" applyFont="1" applyFill="1" applyBorder="1"/>
    <xf numFmtId="2" fontId="30" fillId="0" borderId="1" xfId="3" applyNumberFormat="1" applyFont="1" applyBorder="1"/>
    <xf numFmtId="10" fontId="30" fillId="0" borderId="1" xfId="3" applyNumberFormat="1" applyFont="1" applyBorder="1" applyAlignment="1">
      <alignment horizontal="center"/>
    </xf>
    <xf numFmtId="177" fontId="30" fillId="0" borderId="1" xfId="1" applyNumberFormat="1" applyFont="1" applyFill="1" applyBorder="1"/>
    <xf numFmtId="43" fontId="30" fillId="0" borderId="1" xfId="1" applyFont="1" applyFill="1" applyBorder="1"/>
    <xf numFmtId="2" fontId="33" fillId="15" borderId="1" xfId="3" applyNumberFormat="1" applyFont="1" applyFill="1" applyBorder="1"/>
    <xf numFmtId="167" fontId="30" fillId="0" borderId="0" xfId="2" applyNumberFormat="1" applyFont="1"/>
    <xf numFmtId="164" fontId="30" fillId="0" borderId="1" xfId="3" quotePrefix="1" applyNumberFormat="1" applyFont="1" applyBorder="1"/>
    <xf numFmtId="10" fontId="30" fillId="0" borderId="1" xfId="2" applyNumberFormat="1" applyFont="1" applyFill="1" applyBorder="1"/>
    <xf numFmtId="164" fontId="30" fillId="0" borderId="5" xfId="3" applyNumberFormat="1" applyFont="1" applyBorder="1"/>
    <xf numFmtId="43" fontId="0" fillId="0" borderId="0" xfId="1" applyFont="1"/>
    <xf numFmtId="0" fontId="34" fillId="0" borderId="1" xfId="32" applyBorder="1"/>
    <xf numFmtId="0" fontId="30" fillId="5" borderId="1" xfId="3" applyFont="1" applyFill="1" applyBorder="1"/>
    <xf numFmtId="0" fontId="36" fillId="0" borderId="1" xfId="3" applyFont="1" applyBorder="1" applyAlignment="1">
      <alignment horizontal="left" indent="2"/>
    </xf>
    <xf numFmtId="0" fontId="30" fillId="0" borderId="1" xfId="0" applyFont="1" applyBorder="1" applyAlignment="1">
      <alignment horizontal="center" vertical="center"/>
    </xf>
    <xf numFmtId="0" fontId="30" fillId="0" borderId="1" xfId="0" applyFont="1" applyBorder="1" applyAlignment="1">
      <alignment horizontal="left" vertical="center"/>
    </xf>
    <xf numFmtId="0" fontId="63" fillId="0" borderId="1" xfId="3" applyFont="1" applyBorder="1" applyAlignment="1">
      <alignment horizontal="left" indent="1"/>
    </xf>
    <xf numFmtId="0" fontId="40" fillId="0" borderId="1" xfId="3" applyFont="1" applyBorder="1" applyAlignment="1">
      <alignment horizontal="center" vertical="center"/>
    </xf>
    <xf numFmtId="164" fontId="40" fillId="5" borderId="5" xfId="3" applyNumberFormat="1" applyFont="1" applyFill="1" applyBorder="1" applyAlignment="1">
      <alignment horizontal="center"/>
    </xf>
    <xf numFmtId="164" fontId="40" fillId="0" borderId="1" xfId="3" applyNumberFormat="1" applyFont="1" applyBorder="1"/>
    <xf numFmtId="164" fontId="40" fillId="5" borderId="1" xfId="3" applyNumberFormat="1" applyFont="1" applyFill="1" applyBorder="1" applyAlignment="1">
      <alignment horizontal="center"/>
    </xf>
    <xf numFmtId="164" fontId="40" fillId="5" borderId="6" xfId="3" applyNumberFormat="1" applyFont="1" applyFill="1" applyBorder="1" applyAlignment="1">
      <alignment horizontal="center"/>
    </xf>
    <xf numFmtId="164" fontId="40" fillId="5" borderId="1" xfId="3" applyNumberFormat="1" applyFont="1" applyFill="1" applyBorder="1"/>
    <xf numFmtId="0" fontId="35" fillId="2" borderId="1" xfId="3" applyFont="1" applyFill="1" applyBorder="1" applyAlignment="1">
      <alignment horizontal="left" indent="1"/>
    </xf>
    <xf numFmtId="0" fontId="35" fillId="5" borderId="1" xfId="3" applyFont="1" applyFill="1" applyBorder="1" applyAlignment="1">
      <alignment horizontal="left" indent="1"/>
    </xf>
    <xf numFmtId="0" fontId="40" fillId="2" borderId="1" xfId="3" applyFont="1" applyFill="1" applyBorder="1" applyAlignment="1">
      <alignment horizontal="center" vertical="center"/>
    </xf>
    <xf numFmtId="164" fontId="40" fillId="2" borderId="1" xfId="3" applyNumberFormat="1" applyFont="1" applyFill="1" applyBorder="1"/>
    <xf numFmtId="0" fontId="40" fillId="5" borderId="1" xfId="3" applyFont="1" applyFill="1" applyBorder="1" applyAlignment="1">
      <alignment horizontal="center" vertical="center"/>
    </xf>
    <xf numFmtId="0" fontId="63" fillId="0" borderId="1" xfId="3" applyFont="1" applyBorder="1" applyAlignment="1">
      <alignment horizontal="left" wrapText="1" indent="1"/>
    </xf>
    <xf numFmtId="164" fontId="40" fillId="0" borderId="1" xfId="3" applyNumberFormat="1" applyFont="1" applyBorder="1" applyAlignment="1">
      <alignment horizontal="center"/>
    </xf>
    <xf numFmtId="166" fontId="40" fillId="5" borderId="1" xfId="1" applyNumberFormat="1" applyFont="1" applyFill="1" applyBorder="1"/>
    <xf numFmtId="166" fontId="30" fillId="2" borderId="1" xfId="1" applyNumberFormat="1" applyFont="1" applyFill="1" applyBorder="1"/>
    <xf numFmtId="43" fontId="33" fillId="0" borderId="1" xfId="1" applyFont="1" applyBorder="1" applyAlignment="1">
      <alignment horizontal="right"/>
    </xf>
    <xf numFmtId="0" fontId="33" fillId="0" borderId="1" xfId="3" applyFont="1" applyBorder="1" applyAlignment="1">
      <alignment horizontal="left"/>
    </xf>
    <xf numFmtId="164" fontId="35" fillId="0" borderId="1" xfId="3" applyNumberFormat="1" applyFont="1" applyBorder="1"/>
    <xf numFmtId="166" fontId="30" fillId="0" borderId="0" xfId="1" applyNumberFormat="1" applyFont="1"/>
    <xf numFmtId="0" fontId="39" fillId="3" borderId="1" xfId="3" applyFont="1" applyFill="1" applyBorder="1" applyAlignment="1">
      <alignment horizontal="center" vertical="center"/>
    </xf>
    <xf numFmtId="2" fontId="39" fillId="3" borderId="1" xfId="3" applyNumberFormat="1" applyFont="1" applyFill="1" applyBorder="1" applyAlignment="1">
      <alignment horizontal="center" vertical="center"/>
    </xf>
    <xf numFmtId="164" fontId="39" fillId="3" borderId="1" xfId="3" applyNumberFormat="1" applyFont="1" applyFill="1" applyBorder="1" applyAlignment="1">
      <alignment horizontal="center" vertical="center"/>
    </xf>
    <xf numFmtId="166" fontId="39" fillId="3" borderId="1" xfId="1" applyNumberFormat="1" applyFont="1" applyFill="1" applyBorder="1" applyAlignment="1">
      <alignment horizontal="center" vertical="center"/>
    </xf>
    <xf numFmtId="0" fontId="40" fillId="2" borderId="1" xfId="3" applyFont="1" applyFill="1" applyBorder="1" applyAlignment="1">
      <alignment horizontal="center"/>
    </xf>
    <xf numFmtId="0" fontId="40" fillId="2" borderId="1" xfId="3" applyFont="1" applyFill="1" applyBorder="1"/>
    <xf numFmtId="2" fontId="40" fillId="2" borderId="1" xfId="3" applyNumberFormat="1" applyFont="1" applyFill="1" applyBorder="1"/>
    <xf numFmtId="166" fontId="40" fillId="2" borderId="1" xfId="1" applyNumberFormat="1" applyFont="1" applyFill="1" applyBorder="1"/>
    <xf numFmtId="10" fontId="40" fillId="2" borderId="1" xfId="2" applyNumberFormat="1" applyFont="1" applyFill="1" applyBorder="1"/>
    <xf numFmtId="166" fontId="39" fillId="0" borderId="1" xfId="1" applyNumberFormat="1" applyFont="1" applyFill="1" applyBorder="1"/>
    <xf numFmtId="166" fontId="39" fillId="2" borderId="1" xfId="1" applyNumberFormat="1" applyFont="1" applyFill="1" applyBorder="1"/>
    <xf numFmtId="10" fontId="40" fillId="2" borderId="1" xfId="3" applyNumberFormat="1" applyFont="1" applyFill="1" applyBorder="1"/>
    <xf numFmtId="0" fontId="40" fillId="0" borderId="1" xfId="3" applyFont="1" applyBorder="1" applyAlignment="1">
      <alignment horizontal="center"/>
    </xf>
    <xf numFmtId="0" fontId="33" fillId="2" borderId="1" xfId="3" applyFont="1" applyFill="1" applyBorder="1" applyAlignment="1">
      <alignment horizontal="center"/>
    </xf>
    <xf numFmtId="166" fontId="40" fillId="0" borderId="1" xfId="1" applyNumberFormat="1" applyFont="1" applyFill="1" applyBorder="1"/>
    <xf numFmtId="0" fontId="30" fillId="2" borderId="1" xfId="3" applyFont="1" applyFill="1" applyBorder="1" applyAlignment="1">
      <alignment horizontal="left" wrapText="1"/>
    </xf>
    <xf numFmtId="166" fontId="40" fillId="5" borderId="5" xfId="1" applyNumberFormat="1" applyFont="1" applyFill="1" applyBorder="1" applyAlignment="1">
      <alignment horizontal="center"/>
    </xf>
    <xf numFmtId="164" fontId="33" fillId="14" borderId="1" xfId="3" applyNumberFormat="1" applyFont="1" applyFill="1" applyBorder="1" applyAlignment="1">
      <alignment horizontal="center"/>
    </xf>
    <xf numFmtId="166" fontId="39" fillId="14" borderId="1" xfId="1" applyNumberFormat="1" applyFont="1" applyFill="1" applyBorder="1"/>
    <xf numFmtId="164" fontId="40" fillId="0" borderId="5" xfId="3" applyNumberFormat="1" applyFont="1" applyBorder="1" applyAlignment="1">
      <alignment horizontal="center" vertical="center"/>
    </xf>
    <xf numFmtId="10" fontId="40" fillId="0" borderId="1" xfId="3" applyNumberFormat="1" applyFont="1" applyBorder="1"/>
    <xf numFmtId="164" fontId="40" fillId="14" borderId="1" xfId="3" applyNumberFormat="1" applyFont="1" applyFill="1" applyBorder="1" applyAlignment="1">
      <alignment horizontal="center"/>
    </xf>
    <xf numFmtId="164" fontId="40" fillId="14" borderId="1" xfId="3" applyNumberFormat="1" applyFont="1" applyFill="1" applyBorder="1"/>
    <xf numFmtId="166" fontId="30" fillId="5" borderId="1" xfId="1" applyNumberFormat="1" applyFont="1" applyFill="1" applyBorder="1"/>
    <xf numFmtId="164" fontId="30" fillId="14" borderId="1" xfId="3" applyNumberFormat="1" applyFont="1" applyFill="1" applyBorder="1" applyAlignment="1">
      <alignment horizontal="center"/>
    </xf>
    <xf numFmtId="166" fontId="33" fillId="14" borderId="1" xfId="1" applyNumberFormat="1" applyFont="1" applyFill="1" applyBorder="1"/>
    <xf numFmtId="0" fontId="32" fillId="17" borderId="1" xfId="3" applyFont="1" applyFill="1" applyBorder="1"/>
    <xf numFmtId="164" fontId="30" fillId="14" borderId="1" xfId="3" applyNumberFormat="1" applyFont="1" applyFill="1" applyBorder="1"/>
    <xf numFmtId="166" fontId="30" fillId="0" borderId="1" xfId="1" applyNumberFormat="1" applyFont="1" applyBorder="1"/>
    <xf numFmtId="164" fontId="30" fillId="2" borderId="1" xfId="3" quotePrefix="1" applyNumberFormat="1" applyFont="1" applyFill="1" applyBorder="1"/>
    <xf numFmtId="2" fontId="30" fillId="14" borderId="1" xfId="3" applyNumberFormat="1" applyFont="1" applyFill="1" applyBorder="1"/>
    <xf numFmtId="166" fontId="30" fillId="14" borderId="1" xfId="1" applyNumberFormat="1" applyFont="1" applyFill="1" applyBorder="1"/>
    <xf numFmtId="166" fontId="30" fillId="2" borderId="0" xfId="1" applyNumberFormat="1" applyFont="1" applyFill="1" applyBorder="1"/>
    <xf numFmtId="0" fontId="30" fillId="2" borderId="0" xfId="3" applyFont="1" applyFill="1" applyAlignment="1">
      <alignment horizontal="center" vertical="center"/>
    </xf>
    <xf numFmtId="164" fontId="30" fillId="2" borderId="0" xfId="3" applyNumberFormat="1" applyFont="1" applyFill="1"/>
    <xf numFmtId="0" fontId="30" fillId="19" borderId="0" xfId="3" applyFont="1" applyFill="1"/>
    <xf numFmtId="0" fontId="14" fillId="0" borderId="30" xfId="66" applyBorder="1"/>
    <xf numFmtId="0" fontId="14" fillId="0" borderId="0" xfId="66"/>
    <xf numFmtId="0" fontId="14" fillId="0" borderId="31" xfId="66" applyBorder="1"/>
    <xf numFmtId="166" fontId="33" fillId="2" borderId="1" xfId="67" applyNumberFormat="1" applyFont="1" applyFill="1" applyBorder="1"/>
    <xf numFmtId="166" fontId="33" fillId="5" borderId="1" xfId="67" applyNumberFormat="1" applyFont="1" applyFill="1" applyBorder="1"/>
    <xf numFmtId="10" fontId="30" fillId="2" borderId="1" xfId="68" applyNumberFormat="1" applyFont="1" applyFill="1" applyBorder="1" applyAlignment="1">
      <alignment horizontal="left"/>
    </xf>
    <xf numFmtId="0" fontId="30" fillId="0" borderId="39" xfId="3" applyFont="1" applyBorder="1"/>
    <xf numFmtId="0" fontId="30" fillId="0" borderId="12" xfId="3" applyFont="1" applyBorder="1"/>
    <xf numFmtId="0" fontId="30" fillId="0" borderId="15" xfId="3" applyFont="1" applyBorder="1"/>
    <xf numFmtId="0" fontId="30" fillId="0" borderId="14" xfId="3" applyFont="1" applyBorder="1"/>
    <xf numFmtId="0" fontId="30" fillId="0" borderId="9" xfId="3" applyFont="1" applyBorder="1"/>
    <xf numFmtId="10" fontId="30" fillId="2" borderId="1" xfId="3" applyNumberFormat="1" applyFont="1" applyFill="1" applyBorder="1" applyAlignment="1">
      <alignment horizontal="left"/>
    </xf>
    <xf numFmtId="0" fontId="66" fillId="0" borderId="0" xfId="3" applyFont="1"/>
    <xf numFmtId="10" fontId="30" fillId="0" borderId="1" xfId="3" applyNumberFormat="1" applyFont="1" applyBorder="1" applyAlignment="1">
      <alignment horizontal="left"/>
    </xf>
    <xf numFmtId="0" fontId="30" fillId="0" borderId="40" xfId="3" applyFont="1" applyBorder="1"/>
    <xf numFmtId="0" fontId="30" fillId="0" borderId="41" xfId="3" applyFont="1" applyBorder="1"/>
    <xf numFmtId="0" fontId="30" fillId="0" borderId="42" xfId="3" applyFont="1" applyBorder="1"/>
    <xf numFmtId="0" fontId="30" fillId="0" borderId="30" xfId="3" applyFont="1" applyBorder="1"/>
    <xf numFmtId="0" fontId="30" fillId="0" borderId="31" xfId="3" applyFont="1" applyBorder="1"/>
    <xf numFmtId="0" fontId="35" fillId="0" borderId="1" xfId="3" applyFont="1" applyBorder="1"/>
    <xf numFmtId="178" fontId="30" fillId="19" borderId="0" xfId="3" applyNumberFormat="1" applyFont="1" applyFill="1"/>
    <xf numFmtId="178" fontId="30" fillId="0" borderId="0" xfId="3" applyNumberFormat="1" applyFont="1"/>
    <xf numFmtId="0" fontId="67" fillId="15" borderId="0" xfId="3" applyFont="1" applyFill="1"/>
    <xf numFmtId="0" fontId="67" fillId="15" borderId="30" xfId="3" applyFont="1" applyFill="1" applyBorder="1"/>
    <xf numFmtId="0" fontId="67" fillId="15" borderId="32" xfId="3" applyFont="1" applyFill="1" applyBorder="1"/>
    <xf numFmtId="0" fontId="67" fillId="15" borderId="3" xfId="3" applyFont="1" applyFill="1" applyBorder="1"/>
    <xf numFmtId="0" fontId="33" fillId="16" borderId="1" xfId="3" applyFont="1" applyFill="1" applyBorder="1" applyAlignment="1">
      <alignment horizontal="center"/>
    </xf>
    <xf numFmtId="0" fontId="30" fillId="13" borderId="1" xfId="3" applyFont="1" applyFill="1" applyBorder="1"/>
    <xf numFmtId="2" fontId="30" fillId="13" borderId="1" xfId="3" applyNumberFormat="1" applyFont="1" applyFill="1" applyBorder="1"/>
    <xf numFmtId="164" fontId="30" fillId="0" borderId="1" xfId="3" applyNumberFormat="1" applyFont="1" applyBorder="1" applyAlignment="1">
      <alignment horizontal="center" vertical="top"/>
    </xf>
    <xf numFmtId="0" fontId="30" fillId="0" borderId="1" xfId="3" applyFont="1" applyBorder="1" applyAlignment="1">
      <alignment horizontal="right" vertical="center"/>
    </xf>
    <xf numFmtId="0" fontId="35" fillId="0" borderId="1" xfId="3" applyFont="1" applyBorder="1" applyAlignment="1">
      <alignment horizontal="right" vertical="center"/>
    </xf>
    <xf numFmtId="2" fontId="30" fillId="0" borderId="1" xfId="3" applyNumberFormat="1" applyFont="1" applyBorder="1" applyAlignment="1">
      <alignment horizontal="right" vertical="center"/>
    </xf>
    <xf numFmtId="2" fontId="30" fillId="0" borderId="1" xfId="3" applyNumberFormat="1" applyFont="1" applyBorder="1" applyAlignment="1">
      <alignment horizontal="center" vertical="center"/>
    </xf>
    <xf numFmtId="0" fontId="30" fillId="0" borderId="4" xfId="3" applyFont="1" applyBorder="1"/>
    <xf numFmtId="2" fontId="33" fillId="0" borderId="1" xfId="3" applyNumberFormat="1" applyFont="1" applyBorder="1"/>
    <xf numFmtId="2" fontId="33" fillId="2" borderId="1" xfId="3" applyNumberFormat="1" applyFont="1" applyFill="1" applyBorder="1"/>
    <xf numFmtId="3" fontId="30" fillId="8" borderId="1" xfId="3" applyNumberFormat="1" applyFont="1" applyFill="1" applyBorder="1"/>
    <xf numFmtId="175" fontId="30" fillId="0" borderId="0" xfId="1" applyNumberFormat="1" applyFont="1" applyFill="1" applyBorder="1"/>
    <xf numFmtId="0" fontId="30" fillId="0" borderId="6" xfId="3" applyFont="1" applyBorder="1"/>
    <xf numFmtId="0" fontId="33" fillId="0" borderId="9" xfId="0" applyFont="1" applyBorder="1" applyAlignment="1">
      <alignment horizontal="center" vertical="center"/>
    </xf>
    <xf numFmtId="0" fontId="33" fillId="0" borderId="9" xfId="0" applyFont="1" applyBorder="1" applyAlignment="1">
      <alignment horizontal="center" vertical="center" wrapText="1"/>
    </xf>
    <xf numFmtId="175" fontId="30" fillId="0" borderId="9" xfId="1" applyNumberFormat="1" applyFont="1" applyBorder="1" applyAlignment="1">
      <alignment horizontal="right"/>
    </xf>
    <xf numFmtId="175" fontId="30" fillId="0" borderId="9" xfId="1" applyNumberFormat="1" applyFont="1" applyFill="1" applyBorder="1" applyAlignment="1">
      <alignment horizontal="right"/>
    </xf>
    <xf numFmtId="0" fontId="40" fillId="0" borderId="13" xfId="0" applyFont="1" applyBorder="1"/>
    <xf numFmtId="0" fontId="40" fillId="0" borderId="14" xfId="0" applyFont="1" applyBorder="1"/>
    <xf numFmtId="0" fontId="40" fillId="0" borderId="34" xfId="0" applyFont="1" applyBorder="1"/>
    <xf numFmtId="0" fontId="40" fillId="0" borderId="35" xfId="0" applyFont="1" applyBorder="1"/>
    <xf numFmtId="0" fontId="40" fillId="0" borderId="36" xfId="0" applyFont="1" applyBorder="1"/>
    <xf numFmtId="0" fontId="39" fillId="0" borderId="6" xfId="0" applyFont="1" applyBorder="1" applyAlignment="1">
      <alignment horizontal="center" vertical="center"/>
    </xf>
    <xf numFmtId="0" fontId="49" fillId="0" borderId="1" xfId="0" applyFont="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vertical="center" wrapText="1"/>
    </xf>
    <xf numFmtId="0" fontId="49" fillId="0" borderId="1" xfId="0" applyFont="1" applyBorder="1" applyAlignment="1">
      <alignment horizontal="left" wrapText="1"/>
    </xf>
    <xf numFmtId="0" fontId="49" fillId="0" borderId="1" xfId="0" applyFont="1" applyBorder="1" applyAlignment="1">
      <alignment vertical="top" wrapText="1"/>
    </xf>
    <xf numFmtId="0" fontId="49" fillId="0" borderId="1" xfId="0" applyFont="1" applyBorder="1" applyAlignment="1">
      <alignment horizontal="justify" vertical="center" wrapText="1"/>
    </xf>
    <xf numFmtId="0" fontId="49" fillId="0" borderId="0" xfId="0" applyFont="1"/>
    <xf numFmtId="0" fontId="49" fillId="0" borderId="0" xfId="0" applyFont="1" applyAlignment="1">
      <alignment horizontal="center"/>
    </xf>
    <xf numFmtId="0" fontId="49" fillId="0" borderId="0" xfId="0" applyFont="1" applyAlignment="1">
      <alignment horizontal="center" wrapText="1"/>
    </xf>
    <xf numFmtId="0" fontId="49" fillId="0" borderId="0" xfId="0" applyFont="1" applyAlignment="1">
      <alignment horizontal="center" vertical="center"/>
    </xf>
    <xf numFmtId="0" fontId="49" fillId="0" borderId="14" xfId="0" applyFont="1" applyBorder="1" applyAlignment="1">
      <alignment horizontal="center" vertical="center" wrapText="1"/>
    </xf>
    <xf numFmtId="0" fontId="49" fillId="0" borderId="1" xfId="0" applyFont="1" applyBorder="1" applyAlignment="1">
      <alignment horizontal="left" vertical="center" wrapText="1"/>
    </xf>
    <xf numFmtId="0" fontId="49" fillId="0" borderId="1" xfId="0" applyFont="1" applyBorder="1" applyAlignment="1">
      <alignment horizontal="center" vertical="center"/>
    </xf>
    <xf numFmtId="0" fontId="50" fillId="0" borderId="14" xfId="0" applyFont="1" applyBorder="1" applyAlignment="1">
      <alignment horizontal="center" vertical="center" wrapText="1"/>
    </xf>
    <xf numFmtId="0" fontId="49" fillId="0" borderId="1" xfId="0" applyFont="1" applyBorder="1" applyAlignment="1">
      <alignment horizontal="center" vertical="center" wrapText="1"/>
    </xf>
    <xf numFmtId="0" fontId="68" fillId="0" borderId="44" xfId="0" applyFont="1" applyBorder="1" applyAlignment="1">
      <alignment vertical="top" wrapText="1"/>
    </xf>
    <xf numFmtId="0" fontId="68" fillId="0" borderId="45" xfId="0" applyFont="1" applyBorder="1" applyAlignment="1">
      <alignment vertical="top" wrapText="1"/>
    </xf>
    <xf numFmtId="0" fontId="41" fillId="0" borderId="0" xfId="0" applyFont="1"/>
    <xf numFmtId="0" fontId="49" fillId="0" borderId="1" xfId="0" applyFont="1" applyBorder="1" applyAlignment="1">
      <alignment horizontal="right" vertical="center" wrapText="1"/>
    </xf>
    <xf numFmtId="2" fontId="49" fillId="0" borderId="1" xfId="0" applyNumberFormat="1" applyFont="1" applyBorder="1" applyAlignment="1">
      <alignment vertical="center" wrapText="1"/>
    </xf>
    <xf numFmtId="2" fontId="49" fillId="0" borderId="1" xfId="0" applyNumberFormat="1" applyFont="1" applyBorder="1" applyAlignment="1">
      <alignment horizontal="right" vertical="center" wrapText="1"/>
    </xf>
    <xf numFmtId="169" fontId="49" fillId="0" borderId="1" xfId="0" applyNumberFormat="1" applyFont="1" applyBorder="1" applyAlignment="1">
      <alignment vertical="center" wrapText="1"/>
    </xf>
    <xf numFmtId="164" fontId="33" fillId="0" borderId="1" xfId="3" applyNumberFormat="1" applyFont="1" applyBorder="1" applyAlignment="1">
      <alignment horizontal="center"/>
    </xf>
    <xf numFmtId="1" fontId="49" fillId="0" borderId="0" xfId="0" applyNumberFormat="1" applyFont="1" applyAlignment="1">
      <alignment horizontal="right" vertical="center"/>
    </xf>
    <xf numFmtId="0" fontId="50" fillId="0" borderId="1" xfId="0" applyFont="1" applyBorder="1" applyAlignment="1">
      <alignment horizontal="left" vertical="center"/>
    </xf>
    <xf numFmtId="0" fontId="31" fillId="3" borderId="4" xfId="69" applyFont="1" applyFill="1" applyBorder="1"/>
    <xf numFmtId="0" fontId="31" fillId="3" borderId="19" xfId="69" applyFont="1" applyFill="1" applyBorder="1"/>
    <xf numFmtId="0" fontId="69" fillId="3" borderId="19" xfId="69" applyFont="1" applyFill="1" applyBorder="1"/>
    <xf numFmtId="0" fontId="69" fillId="3" borderId="9" xfId="69" applyFont="1" applyFill="1" applyBorder="1"/>
    <xf numFmtId="0" fontId="48" fillId="0" borderId="0" xfId="69" applyFont="1"/>
    <xf numFmtId="0" fontId="69" fillId="2" borderId="1" xfId="69" applyFont="1" applyFill="1" applyBorder="1" applyAlignment="1">
      <alignment horizontal="center" vertical="center"/>
    </xf>
    <xf numFmtId="0" fontId="69" fillId="2" borderId="1" xfId="69" applyFont="1" applyFill="1" applyBorder="1" applyAlignment="1">
      <alignment horizontal="center" vertical="center" wrapText="1"/>
    </xf>
    <xf numFmtId="0" fontId="48" fillId="6" borderId="1" xfId="69" applyFont="1" applyFill="1" applyBorder="1" applyAlignment="1">
      <alignment horizontal="center" vertical="center"/>
    </xf>
    <xf numFmtId="0" fontId="48" fillId="6" borderId="1" xfId="69" applyFont="1" applyFill="1" applyBorder="1"/>
    <xf numFmtId="0" fontId="48" fillId="0" borderId="1" xfId="69" applyFont="1" applyBorder="1" applyAlignment="1">
      <alignment horizontal="center" vertical="center"/>
    </xf>
    <xf numFmtId="0" fontId="48" fillId="0" borderId="1" xfId="69" applyFont="1" applyBorder="1" applyAlignment="1">
      <alignment horizontal="justify" vertical="top" wrapText="1"/>
    </xf>
    <xf numFmtId="43" fontId="48" fillId="0" borderId="1" xfId="69" applyNumberFormat="1" applyFont="1" applyBorder="1" applyAlignment="1">
      <alignment horizontal="center" vertical="center"/>
    </xf>
    <xf numFmtId="10" fontId="48" fillId="0" borderId="1" xfId="69" applyNumberFormat="1" applyFont="1" applyBorder="1" applyAlignment="1">
      <alignment vertical="center"/>
    </xf>
    <xf numFmtId="0" fontId="48" fillId="0" borderId="1" xfId="69" applyFont="1" applyBorder="1"/>
    <xf numFmtId="0" fontId="48" fillId="0" borderId="1" xfId="69" applyFont="1" applyBorder="1" applyAlignment="1">
      <alignment vertical="center"/>
    </xf>
    <xf numFmtId="0" fontId="48" fillId="21" borderId="1" xfId="69" applyFont="1" applyFill="1" applyBorder="1" applyAlignment="1">
      <alignment horizontal="justify" vertical="top" wrapText="1"/>
    </xf>
    <xf numFmtId="43" fontId="48" fillId="0" borderId="0" xfId="69" applyNumberFormat="1" applyFont="1"/>
    <xf numFmtId="43" fontId="48" fillId="0" borderId="1" xfId="69" applyNumberFormat="1" applyFont="1" applyBorder="1" applyAlignment="1">
      <alignment horizontal="center" vertical="center" wrapText="1"/>
    </xf>
    <xf numFmtId="0" fontId="48" fillId="0" borderId="1" xfId="69" applyFont="1" applyBorder="1" applyAlignment="1">
      <alignment horizontal="justify" vertical="top"/>
    </xf>
    <xf numFmtId="179" fontId="48" fillId="21" borderId="1" xfId="69" applyNumberFormat="1" applyFont="1" applyFill="1" applyBorder="1" applyAlignment="1">
      <alignment horizontal="left" vertical="top" wrapText="1" indent="2"/>
    </xf>
    <xf numFmtId="179" fontId="48" fillId="0" borderId="0" xfId="69" applyNumberFormat="1" applyFont="1"/>
    <xf numFmtId="179" fontId="48" fillId="0" borderId="1" xfId="69" applyNumberFormat="1" applyFont="1" applyBorder="1" applyAlignment="1">
      <alignment horizontal="left" vertical="top" wrapText="1" indent="2"/>
    </xf>
    <xf numFmtId="0" fontId="48" fillId="0" borderId="5" xfId="69" applyFont="1" applyBorder="1"/>
    <xf numFmtId="0" fontId="48" fillId="0" borderId="39" xfId="69" applyFont="1" applyBorder="1" applyAlignment="1">
      <alignment horizontal="left" vertical="top" wrapText="1"/>
    </xf>
    <xf numFmtId="0" fontId="48" fillId="0" borderId="11" xfId="69" applyFont="1" applyBorder="1" applyAlignment="1">
      <alignment horizontal="left" vertical="center"/>
    </xf>
    <xf numFmtId="43" fontId="48" fillId="0" borderId="12" xfId="69" applyNumberFormat="1" applyFont="1" applyBorder="1" applyAlignment="1">
      <alignment horizontal="left" vertical="center"/>
    </xf>
    <xf numFmtId="4" fontId="70" fillId="0" borderId="48" xfId="69" applyNumberFormat="1" applyFont="1" applyBorder="1" applyAlignment="1">
      <alignment horizontal="right" vertical="top" wrapText="1"/>
    </xf>
    <xf numFmtId="0" fontId="48" fillId="0" borderId="34" xfId="69" applyFont="1" applyBorder="1" applyAlignment="1">
      <alignment horizontal="left" vertical="top" wrapText="1"/>
    </xf>
    <xf numFmtId="0" fontId="48" fillId="0" borderId="35" xfId="69" applyFont="1" applyBorder="1" applyAlignment="1">
      <alignment horizontal="left" vertical="center"/>
    </xf>
    <xf numFmtId="43" fontId="48" fillId="0" borderId="36" xfId="69" applyNumberFormat="1" applyFont="1" applyBorder="1" applyAlignment="1">
      <alignment horizontal="left" vertical="center"/>
    </xf>
    <xf numFmtId="4" fontId="70" fillId="0" borderId="49" xfId="69" applyNumberFormat="1" applyFont="1" applyBorder="1" applyAlignment="1">
      <alignment horizontal="right" vertical="top" wrapText="1"/>
    </xf>
    <xf numFmtId="0" fontId="48" fillId="21" borderId="1" xfId="69" applyFont="1" applyFill="1" applyBorder="1" applyAlignment="1">
      <alignment horizontal="justify" vertical="top"/>
    </xf>
    <xf numFmtId="0" fontId="48" fillId="21" borderId="1" xfId="69" applyFont="1" applyFill="1" applyBorder="1" applyAlignment="1">
      <alignment horizontal="left" vertical="top" wrapText="1"/>
    </xf>
    <xf numFmtId="43" fontId="73" fillId="0" borderId="1" xfId="69" applyNumberFormat="1" applyFont="1" applyBorder="1" applyAlignment="1">
      <alignment horizontal="center" vertical="center"/>
    </xf>
    <xf numFmtId="0" fontId="30" fillId="0" borderId="1" xfId="69" applyFont="1" applyBorder="1" applyAlignment="1">
      <alignment horizontal="justify" vertical="center"/>
    </xf>
    <xf numFmtId="0" fontId="48" fillId="21" borderId="1" xfId="69" applyFont="1" applyFill="1" applyBorder="1" applyAlignment="1">
      <alignment wrapText="1"/>
    </xf>
    <xf numFmtId="10" fontId="48" fillId="0" borderId="1" xfId="69" applyNumberFormat="1" applyFont="1" applyBorder="1" applyAlignment="1">
      <alignment horizontal="center" vertical="center"/>
    </xf>
    <xf numFmtId="0" fontId="48" fillId="0" borderId="0" xfId="69" applyFont="1" applyAlignment="1">
      <alignment wrapText="1"/>
    </xf>
    <xf numFmtId="0" fontId="48" fillId="0" borderId="5" xfId="69" applyFont="1" applyBorder="1" applyAlignment="1">
      <alignment horizontal="center" vertical="center"/>
    </xf>
    <xf numFmtId="0" fontId="48" fillId="21" borderId="5" xfId="69" applyFont="1" applyFill="1" applyBorder="1" applyAlignment="1">
      <alignment wrapText="1"/>
    </xf>
    <xf numFmtId="0" fontId="48" fillId="0" borderId="5" xfId="69" applyFont="1" applyBorder="1" applyAlignment="1">
      <alignment horizontal="center" vertical="center" wrapText="1"/>
    </xf>
    <xf numFmtId="43" fontId="48" fillId="0" borderId="5" xfId="69" applyNumberFormat="1" applyFont="1" applyBorder="1" applyAlignment="1">
      <alignment horizontal="center" vertical="center"/>
    </xf>
    <xf numFmtId="10" fontId="48" fillId="0" borderId="5" xfId="69" applyNumberFormat="1" applyFont="1" applyBorder="1" applyAlignment="1">
      <alignment vertical="center"/>
    </xf>
    <xf numFmtId="10" fontId="48" fillId="0" borderId="5" xfId="69" applyNumberFormat="1" applyFont="1" applyBorder="1" applyAlignment="1">
      <alignment horizontal="center" vertical="center"/>
    </xf>
    <xf numFmtId="0" fontId="48" fillId="0" borderId="33" xfId="69" applyFont="1" applyBorder="1"/>
    <xf numFmtId="0" fontId="48" fillId="0" borderId="6" xfId="69" applyFont="1" applyBorder="1"/>
    <xf numFmtId="0" fontId="48" fillId="0" borderId="6" xfId="69" applyFont="1" applyBorder="1" applyAlignment="1">
      <alignment wrapText="1"/>
    </xf>
    <xf numFmtId="43" fontId="48" fillId="0" borderId="1" xfId="69" applyNumberFormat="1" applyFont="1" applyBorder="1"/>
    <xf numFmtId="10" fontId="48" fillId="0" borderId="1" xfId="69" applyNumberFormat="1" applyFont="1" applyBorder="1"/>
    <xf numFmtId="175" fontId="32" fillId="0" borderId="1" xfId="44" applyNumberFormat="1" applyFont="1" applyFill="1" applyBorder="1"/>
    <xf numFmtId="43" fontId="32" fillId="0" borderId="1" xfId="44" applyFont="1" applyFill="1" applyBorder="1" applyAlignment="1">
      <alignment horizontal="center"/>
    </xf>
    <xf numFmtId="43" fontId="30" fillId="0" borderId="1" xfId="0" applyNumberFormat="1" applyFont="1" applyBorder="1"/>
    <xf numFmtId="0" fontId="61" fillId="0" borderId="1" xfId="43" applyFont="1" applyBorder="1" applyAlignment="1">
      <alignment horizontal="center"/>
    </xf>
    <xf numFmtId="43" fontId="61" fillId="0" borderId="1" xfId="43" applyNumberFormat="1" applyFont="1" applyBorder="1" applyAlignment="1">
      <alignment horizontal="center"/>
    </xf>
    <xf numFmtId="2" fontId="32" fillId="0" borderId="1" xfId="43" applyNumberFormat="1" applyFont="1" applyBorder="1"/>
    <xf numFmtId="43" fontId="32" fillId="0" borderId="1" xfId="44" applyFont="1" applyFill="1" applyBorder="1" applyAlignment="1"/>
    <xf numFmtId="43" fontId="32" fillId="0" borderId="1" xfId="44" applyFont="1" applyFill="1" applyBorder="1"/>
    <xf numFmtId="0" fontId="31" fillId="2" borderId="1" xfId="0" applyFont="1" applyFill="1" applyBorder="1" applyAlignment="1">
      <alignment horizontal="center"/>
    </xf>
    <xf numFmtId="0" fontId="31" fillId="2" borderId="1" xfId="0" applyFont="1" applyFill="1" applyBorder="1" applyAlignment="1">
      <alignment horizontal="left"/>
    </xf>
    <xf numFmtId="0" fontId="32" fillId="2" borderId="1" xfId="0" applyFont="1" applyFill="1" applyBorder="1"/>
    <xf numFmtId="0" fontId="30" fillId="2" borderId="1" xfId="0" applyFont="1" applyFill="1" applyBorder="1"/>
    <xf numFmtId="2" fontId="31" fillId="2" borderId="1" xfId="0" applyNumberFormat="1" applyFont="1" applyFill="1" applyBorder="1"/>
    <xf numFmtId="0" fontId="30" fillId="2" borderId="0" xfId="0" applyFont="1" applyFill="1"/>
    <xf numFmtId="2" fontId="30" fillId="2" borderId="1" xfId="0" applyNumberFormat="1" applyFont="1" applyFill="1" applyBorder="1"/>
    <xf numFmtId="169" fontId="30" fillId="2" borderId="1" xfId="0" applyNumberFormat="1" applyFont="1" applyFill="1" applyBorder="1"/>
    <xf numFmtId="0" fontId="33" fillId="2" borderId="1" xfId="0" applyFont="1" applyFill="1" applyBorder="1"/>
    <xf numFmtId="43" fontId="30" fillId="5" borderId="1" xfId="70" applyFont="1" applyFill="1" applyBorder="1"/>
    <xf numFmtId="0" fontId="30" fillId="5" borderId="1" xfId="71" applyFont="1" applyFill="1" applyBorder="1"/>
    <xf numFmtId="0" fontId="74" fillId="5" borderId="1" xfId="0" applyFont="1" applyFill="1" applyBorder="1" applyAlignment="1">
      <alignment horizontal="center" vertical="center"/>
    </xf>
    <xf numFmtId="175" fontId="30" fillId="5" borderId="1" xfId="70" applyNumberFormat="1" applyFont="1" applyFill="1" applyBorder="1"/>
    <xf numFmtId="43" fontId="30" fillId="5" borderId="1" xfId="70" applyFont="1" applyFill="1" applyBorder="1" applyAlignment="1"/>
    <xf numFmtId="0" fontId="33" fillId="5" borderId="1" xfId="71" applyFont="1" applyFill="1" applyBorder="1"/>
    <xf numFmtId="0" fontId="35" fillId="5" borderId="1" xfId="71" applyFont="1" applyFill="1" applyBorder="1" applyAlignment="1">
      <alignment horizontal="right"/>
    </xf>
    <xf numFmtId="43" fontId="33" fillId="5" borderId="1" xfId="1" applyFont="1" applyFill="1" applyBorder="1"/>
    <xf numFmtId="0" fontId="30" fillId="5" borderId="1" xfId="65" applyFont="1" applyFill="1" applyBorder="1"/>
    <xf numFmtId="0" fontId="35" fillId="5" borderId="1" xfId="65" applyFont="1" applyFill="1" applyBorder="1" applyAlignment="1">
      <alignment horizontal="right"/>
    </xf>
    <xf numFmtId="0" fontId="30" fillId="2" borderId="1" xfId="3" applyFont="1" applyFill="1" applyBorder="1" applyAlignment="1">
      <alignment horizontal="left"/>
    </xf>
    <xf numFmtId="0" fontId="33" fillId="2" borderId="1" xfId="0" applyFont="1" applyFill="1" applyBorder="1" applyAlignment="1">
      <alignment horizontal="center"/>
    </xf>
    <xf numFmtId="0" fontId="50" fillId="0" borderId="1" xfId="0" applyFont="1" applyBorder="1" applyAlignment="1">
      <alignment horizontal="left" vertical="center" wrapText="1"/>
    </xf>
    <xf numFmtId="0" fontId="49" fillId="18" borderId="0" xfId="3" applyFont="1" applyFill="1"/>
    <xf numFmtId="0" fontId="39" fillId="0" borderId="0" xfId="31" applyFont="1"/>
    <xf numFmtId="0" fontId="39" fillId="0" borderId="0" xfId="3" applyFont="1"/>
    <xf numFmtId="0" fontId="40" fillId="0" borderId="0" xfId="31" applyFont="1"/>
    <xf numFmtId="14" fontId="44" fillId="0" borderId="0" xfId="31" applyNumberFormat="1" applyFont="1"/>
    <xf numFmtId="170" fontId="40" fillId="0" borderId="0" xfId="37" applyFont="1" applyFill="1"/>
    <xf numFmtId="39" fontId="75" fillId="0" borderId="0" xfId="37" applyNumberFormat="1" applyFont="1" applyFill="1"/>
    <xf numFmtId="0" fontId="75" fillId="0" borderId="0" xfId="3" applyFont="1"/>
    <xf numFmtId="170" fontId="40" fillId="9" borderId="0" xfId="37" applyFont="1" applyFill="1"/>
    <xf numFmtId="39" fontId="63" fillId="9" borderId="0" xfId="37" applyNumberFormat="1" applyFont="1" applyFill="1"/>
    <xf numFmtId="0" fontId="44" fillId="0" borderId="0" xfId="31" applyFont="1"/>
    <xf numFmtId="49" fontId="39" fillId="0" borderId="0" xfId="3" applyNumberFormat="1" applyFont="1"/>
    <xf numFmtId="0" fontId="76" fillId="0" borderId="0" xfId="3" applyFont="1"/>
    <xf numFmtId="0" fontId="39" fillId="5" borderId="1" xfId="3" applyFont="1" applyFill="1" applyBorder="1" applyAlignment="1">
      <alignment horizontal="left"/>
    </xf>
    <xf numFmtId="0" fontId="39" fillId="5" borderId="1" xfId="3" applyFont="1" applyFill="1" applyBorder="1" applyAlignment="1">
      <alignment horizontal="center"/>
    </xf>
    <xf numFmtId="170" fontId="39" fillId="0" borderId="16" xfId="37" applyFont="1" applyFill="1" applyBorder="1"/>
    <xf numFmtId="39" fontId="75" fillId="0" borderId="17" xfId="37" applyNumberFormat="1" applyFont="1" applyFill="1" applyBorder="1" applyAlignment="1">
      <alignment horizontal="center"/>
    </xf>
    <xf numFmtId="170" fontId="39" fillId="0" borderId="18" xfId="37" applyFont="1" applyFill="1" applyBorder="1"/>
    <xf numFmtId="170" fontId="39" fillId="9" borderId="18" xfId="37" applyFont="1" applyFill="1" applyBorder="1"/>
    <xf numFmtId="39" fontId="75" fillId="9" borderId="17" xfId="37" applyNumberFormat="1" applyFont="1" applyFill="1" applyBorder="1" applyAlignment="1">
      <alignment horizontal="center"/>
    </xf>
    <xf numFmtId="0" fontId="39" fillId="0" borderId="1" xfId="3" applyFont="1" applyBorder="1"/>
    <xf numFmtId="0" fontId="44" fillId="0" borderId="1" xfId="3" applyFont="1" applyBorder="1"/>
    <xf numFmtId="170" fontId="40" fillId="0" borderId="15" xfId="37" applyFont="1" applyFill="1" applyBorder="1"/>
    <xf numFmtId="39" fontId="75" fillId="0" borderId="11" xfId="37" applyNumberFormat="1" applyFont="1" applyFill="1" applyBorder="1"/>
    <xf numFmtId="0" fontId="40" fillId="0" borderId="11" xfId="3" applyFont="1" applyBorder="1"/>
    <xf numFmtId="0" fontId="75" fillId="0" borderId="11" xfId="3" applyFont="1" applyBorder="1"/>
    <xf numFmtId="170" fontId="40" fillId="0" borderId="11" xfId="37" applyFont="1" applyFill="1" applyBorder="1"/>
    <xf numFmtId="170" fontId="40" fillId="9" borderId="11" xfId="37" applyFont="1" applyFill="1" applyBorder="1"/>
    <xf numFmtId="39" fontId="63" fillId="9" borderId="12" xfId="37" applyNumberFormat="1" applyFont="1" applyFill="1" applyBorder="1"/>
    <xf numFmtId="0" fontId="40" fillId="18" borderId="1" xfId="3" applyFont="1" applyFill="1" applyBorder="1"/>
    <xf numFmtId="0" fontId="40" fillId="18" borderId="1" xfId="56" applyFont="1" applyFill="1" applyBorder="1" applyAlignment="1">
      <alignment horizontal="left" vertical="center" wrapText="1"/>
    </xf>
    <xf numFmtId="1" fontId="40" fillId="18" borderId="1" xfId="3" applyNumberFormat="1" applyFont="1" applyFill="1" applyBorder="1"/>
    <xf numFmtId="170" fontId="40" fillId="18" borderId="9" xfId="37" applyFont="1" applyFill="1" applyBorder="1" applyAlignment="1"/>
    <xf numFmtId="39" fontId="75" fillId="18" borderId="1" xfId="37" applyNumberFormat="1" applyFont="1" applyFill="1" applyBorder="1" applyAlignment="1"/>
    <xf numFmtId="170" fontId="40" fillId="18" borderId="1" xfId="37" applyFont="1" applyFill="1" applyBorder="1" applyAlignment="1"/>
    <xf numFmtId="39" fontId="63" fillId="18" borderId="14" xfId="37" applyNumberFormat="1" applyFont="1" applyFill="1" applyBorder="1" applyAlignment="1"/>
    <xf numFmtId="0" fontId="40" fillId="5" borderId="1" xfId="3" applyFont="1" applyFill="1" applyBorder="1"/>
    <xf numFmtId="0" fontId="40" fillId="5" borderId="1" xfId="3" applyFont="1" applyFill="1" applyBorder="1" applyAlignment="1">
      <alignment wrapText="1"/>
    </xf>
    <xf numFmtId="1" fontId="40" fillId="5" borderId="1" xfId="3" applyNumberFormat="1" applyFont="1" applyFill="1" applyBorder="1"/>
    <xf numFmtId="170" fontId="40" fillId="0" borderId="9" xfId="37" applyFont="1" applyFill="1" applyBorder="1" applyAlignment="1"/>
    <xf numFmtId="39" fontId="75" fillId="0" borderId="1" xfId="37" applyNumberFormat="1" applyFont="1" applyFill="1" applyBorder="1" applyAlignment="1"/>
    <xf numFmtId="170" fontId="40" fillId="0" borderId="1" xfId="37" applyFont="1" applyFill="1" applyBorder="1" applyAlignment="1"/>
    <xf numFmtId="170" fontId="40" fillId="9" borderId="1" xfId="37" applyFont="1" applyFill="1" applyBorder="1" applyAlignment="1"/>
    <xf numFmtId="39" fontId="63" fillId="9" borderId="14" xfId="37" applyNumberFormat="1" applyFont="1" applyFill="1" applyBorder="1" applyAlignment="1"/>
    <xf numFmtId="0" fontId="40" fillId="18" borderId="1" xfId="3" applyFont="1" applyFill="1" applyBorder="1" applyAlignment="1">
      <alignment wrapText="1"/>
    </xf>
    <xf numFmtId="1" fontId="44" fillId="0" borderId="1" xfId="3" applyNumberFormat="1" applyFont="1" applyBorder="1"/>
    <xf numFmtId="170" fontId="40" fillId="10" borderId="9" xfId="37" applyFont="1" applyFill="1" applyBorder="1"/>
    <xf numFmtId="39" fontId="75" fillId="10" borderId="1" xfId="37" applyNumberFormat="1" applyFont="1" applyFill="1" applyBorder="1" applyAlignment="1"/>
    <xf numFmtId="0" fontId="40" fillId="10" borderId="1" xfId="3" applyFont="1" applyFill="1" applyBorder="1"/>
    <xf numFmtId="170" fontId="40" fillId="10" borderId="1" xfId="37" applyFont="1" applyFill="1" applyBorder="1"/>
    <xf numFmtId="39" fontId="63" fillId="10" borderId="14" xfId="37" applyNumberFormat="1" applyFont="1" applyFill="1" applyBorder="1" applyAlignment="1"/>
    <xf numFmtId="0" fontId="40" fillId="0" borderId="1" xfId="56" applyFont="1" applyBorder="1" applyAlignment="1">
      <alignment horizontal="left" vertical="center" wrapText="1"/>
    </xf>
    <xf numFmtId="170" fontId="40" fillId="10" borderId="9" xfId="37" applyFont="1" applyFill="1" applyBorder="1" applyAlignment="1"/>
    <xf numFmtId="0" fontId="40" fillId="5" borderId="1" xfId="3" applyFont="1" applyFill="1" applyBorder="1" applyAlignment="1">
      <alignment vertical="top"/>
    </xf>
    <xf numFmtId="170" fontId="40" fillId="0" borderId="1" xfId="37" applyFont="1" applyFill="1" applyBorder="1"/>
    <xf numFmtId="39" fontId="63" fillId="0" borderId="14" xfId="37" applyNumberFormat="1" applyFont="1" applyFill="1" applyBorder="1" applyAlignment="1"/>
    <xf numFmtId="170" fontId="40" fillId="0" borderId="9" xfId="37" applyFont="1" applyFill="1" applyBorder="1"/>
    <xf numFmtId="170" fontId="40" fillId="9" borderId="1" xfId="37" applyFont="1" applyFill="1" applyBorder="1"/>
    <xf numFmtId="0" fontId="40" fillId="18" borderId="1" xfId="3" applyFont="1" applyFill="1" applyBorder="1" applyAlignment="1">
      <alignment horizontal="left"/>
    </xf>
    <xf numFmtId="170" fontId="40" fillId="18" borderId="9" xfId="37" applyFont="1" applyFill="1" applyBorder="1"/>
    <xf numFmtId="170" fontId="40" fillId="18" borderId="1" xfId="37" applyFont="1" applyFill="1" applyBorder="1"/>
    <xf numFmtId="0" fontId="40" fillId="5" borderId="1" xfId="3" applyFont="1" applyFill="1" applyBorder="1" applyAlignment="1">
      <alignment horizontal="left"/>
    </xf>
    <xf numFmtId="170" fontId="40" fillId="11" borderId="9" xfId="37" applyFont="1" applyFill="1" applyBorder="1"/>
    <xf numFmtId="0" fontId="44" fillId="18" borderId="1" xfId="69" applyFont="1" applyFill="1" applyBorder="1" applyAlignment="1">
      <alignment horizontal="justify" vertical="top" wrapText="1"/>
    </xf>
    <xf numFmtId="0" fontId="44" fillId="18" borderId="1" xfId="69" applyFont="1" applyFill="1" applyBorder="1" applyAlignment="1">
      <alignment horizontal="center" vertical="center"/>
    </xf>
    <xf numFmtId="43" fontId="44" fillId="18" borderId="1" xfId="69" applyNumberFormat="1" applyFont="1" applyFill="1" applyBorder="1" applyAlignment="1">
      <alignment horizontal="center" vertical="center"/>
    </xf>
    <xf numFmtId="1" fontId="40" fillId="0" borderId="1" xfId="3" applyNumberFormat="1" applyFont="1" applyBorder="1"/>
    <xf numFmtId="170" fontId="40" fillId="0" borderId="0" xfId="37" applyFont="1" applyFill="1" applyBorder="1"/>
    <xf numFmtId="39" fontId="75" fillId="0" borderId="0" xfId="37" applyNumberFormat="1" applyFont="1" applyFill="1" applyBorder="1"/>
    <xf numFmtId="170" fontId="40" fillId="9" borderId="0" xfId="37" applyFont="1" applyFill="1" applyBorder="1"/>
    <xf numFmtId="39" fontId="63" fillId="9" borderId="0" xfId="37" applyNumberFormat="1" applyFont="1" applyFill="1" applyBorder="1"/>
    <xf numFmtId="49" fontId="40" fillId="0" borderId="0" xfId="3" applyNumberFormat="1" applyFont="1"/>
    <xf numFmtId="0" fontId="40" fillId="0" borderId="39" xfId="0" applyFont="1" applyBorder="1"/>
    <xf numFmtId="0" fontId="40" fillId="0" borderId="35" xfId="0" applyFont="1" applyBorder="1" applyAlignment="1">
      <alignment horizontal="center"/>
    </xf>
    <xf numFmtId="0" fontId="79" fillId="0" borderId="12" xfId="0" applyFont="1" applyBorder="1"/>
    <xf numFmtId="0" fontId="79" fillId="0" borderId="14" xfId="0" applyFont="1" applyBorder="1" applyAlignment="1">
      <alignment horizontal="center"/>
    </xf>
    <xf numFmtId="0" fontId="30" fillId="0" borderId="0" xfId="0" applyFont="1" applyAlignment="1">
      <alignment horizontal="center" vertical="center"/>
    </xf>
    <xf numFmtId="0" fontId="39" fillId="0" borderId="11" xfId="0" applyFont="1" applyBorder="1" applyAlignment="1">
      <alignment horizontal="center" vertical="center"/>
    </xf>
    <xf numFmtId="0" fontId="39" fillId="0" borderId="35" xfId="0" applyFont="1" applyBorder="1" applyAlignment="1">
      <alignment horizontal="center" vertical="center"/>
    </xf>
    <xf numFmtId="165" fontId="30" fillId="0" borderId="0" xfId="0" applyNumberFormat="1" applyFont="1"/>
    <xf numFmtId="2" fontId="30" fillId="0" borderId="0" xfId="0" applyNumberFormat="1" applyFont="1"/>
    <xf numFmtId="14" fontId="30" fillId="0" borderId="0" xfId="0" applyNumberFormat="1" applyFont="1"/>
    <xf numFmtId="0" fontId="41" fillId="0" borderId="12" xfId="0" applyFont="1" applyBorder="1" applyAlignment="1">
      <alignment horizontal="center" vertical="center" wrapText="1"/>
    </xf>
    <xf numFmtId="175" fontId="40" fillId="0" borderId="1" xfId="1" applyNumberFormat="1" applyFont="1" applyBorder="1" applyAlignment="1">
      <alignment horizontal="center"/>
    </xf>
    <xf numFmtId="175" fontId="40" fillId="0" borderId="35" xfId="1" applyNumberFormat="1" applyFont="1" applyBorder="1" applyAlignment="1">
      <alignment horizontal="center"/>
    </xf>
    <xf numFmtId="1" fontId="40" fillId="0" borderId="1" xfId="0" applyNumberFormat="1" applyFont="1" applyBorder="1" applyAlignment="1">
      <alignment horizontal="center"/>
    </xf>
    <xf numFmtId="0" fontId="33" fillId="2" borderId="1" xfId="3" applyFont="1" applyFill="1" applyBorder="1" applyAlignment="1">
      <alignment horizontal="center" vertical="center" wrapText="1"/>
    </xf>
    <xf numFmtId="0" fontId="33" fillId="2" borderId="1" xfId="3" applyFont="1" applyFill="1" applyBorder="1" applyAlignment="1">
      <alignment wrapText="1"/>
    </xf>
    <xf numFmtId="0" fontId="59" fillId="2" borderId="0" xfId="0" applyFont="1" applyFill="1"/>
    <xf numFmtId="0" fontId="33" fillId="2" borderId="1" xfId="3" applyFont="1" applyFill="1" applyBorder="1" applyAlignment="1">
      <alignment horizontal="center" vertical="center"/>
    </xf>
    <xf numFmtId="164" fontId="33" fillId="2" borderId="1" xfId="3" applyNumberFormat="1" applyFont="1" applyFill="1" applyBorder="1"/>
    <xf numFmtId="164" fontId="33" fillId="2" borderId="1" xfId="3" applyNumberFormat="1" applyFont="1" applyFill="1" applyBorder="1" applyAlignment="1">
      <alignment horizontal="center"/>
    </xf>
    <xf numFmtId="0" fontId="33" fillId="2" borderId="1" xfId="0" applyFont="1" applyFill="1" applyBorder="1" applyAlignment="1">
      <alignment horizontal="center" vertical="center"/>
    </xf>
    <xf numFmtId="0" fontId="33" fillId="2" borderId="1" xfId="0" applyFont="1" applyFill="1" applyBorder="1" applyAlignment="1">
      <alignment horizontal="left" vertical="center"/>
    </xf>
    <xf numFmtId="0" fontId="31" fillId="2" borderId="1" xfId="0" applyFont="1" applyFill="1" applyBorder="1"/>
    <xf numFmtId="0" fontId="0" fillId="2" borderId="1" xfId="0" applyFill="1" applyBorder="1"/>
    <xf numFmtId="0" fontId="59" fillId="2" borderId="1" xfId="0" applyFont="1" applyFill="1" applyBorder="1"/>
    <xf numFmtId="0" fontId="39" fillId="0" borderId="12" xfId="0" applyFont="1" applyBorder="1" applyAlignment="1">
      <alignment horizontal="center" vertical="center"/>
    </xf>
    <xf numFmtId="0" fontId="39" fillId="0" borderId="36" xfId="0" applyFont="1" applyBorder="1" applyAlignment="1">
      <alignment horizontal="center" vertical="center"/>
    </xf>
    <xf numFmtId="0" fontId="41" fillId="0" borderId="14" xfId="0" applyFont="1" applyBorder="1" applyAlignment="1">
      <alignment horizontal="center" vertical="center" wrapText="1"/>
    </xf>
    <xf numFmtId="0" fontId="39" fillId="0" borderId="13" xfId="0" applyFont="1" applyBorder="1"/>
    <xf numFmtId="0" fontId="49" fillId="0" borderId="13" xfId="0" applyFont="1" applyBorder="1" applyAlignment="1">
      <alignment horizontal="center" vertical="center" wrapText="1"/>
    </xf>
    <xf numFmtId="0" fontId="40" fillId="0" borderId="26" xfId="0" applyFont="1" applyBorder="1"/>
    <xf numFmtId="175" fontId="40" fillId="0" borderId="5" xfId="1" applyNumberFormat="1" applyFont="1" applyBorder="1" applyAlignment="1">
      <alignment horizontal="center"/>
    </xf>
    <xf numFmtId="0" fontId="40" fillId="0" borderId="5" xfId="0" applyFont="1" applyBorder="1" applyAlignment="1">
      <alignment horizontal="center"/>
    </xf>
    <xf numFmtId="0" fontId="79" fillId="0" borderId="47" xfId="0" applyFont="1" applyBorder="1" applyAlignment="1">
      <alignment horizontal="center"/>
    </xf>
    <xf numFmtId="0" fontId="79" fillId="0" borderId="4" xfId="0" applyFont="1" applyBorder="1" applyAlignment="1">
      <alignment horizontal="center"/>
    </xf>
    <xf numFmtId="175" fontId="40" fillId="0" borderId="4" xfId="1" applyNumberFormat="1" applyFont="1" applyBorder="1" applyAlignment="1">
      <alignment horizontal="center"/>
    </xf>
    <xf numFmtId="0" fontId="79" fillId="0" borderId="37" xfId="0" applyFont="1" applyBorder="1" applyAlignment="1">
      <alignment horizontal="center"/>
    </xf>
    <xf numFmtId="175" fontId="40" fillId="0" borderId="11" xfId="1" applyNumberFormat="1" applyFont="1" applyBorder="1" applyAlignment="1">
      <alignment horizontal="center"/>
    </xf>
    <xf numFmtId="0" fontId="40" fillId="0" borderId="11" xfId="0" applyFont="1" applyBorder="1" applyAlignment="1">
      <alignment horizontal="center"/>
    </xf>
    <xf numFmtId="0" fontId="79" fillId="0" borderId="38" xfId="0" applyFont="1" applyBorder="1" applyAlignment="1">
      <alignment horizontal="center"/>
    </xf>
    <xf numFmtId="167" fontId="79" fillId="0" borderId="14" xfId="0" applyNumberFormat="1" applyFont="1" applyBorder="1" applyAlignment="1">
      <alignment horizontal="center"/>
    </xf>
    <xf numFmtId="167" fontId="79" fillId="0" borderId="47" xfId="0" applyNumberFormat="1" applyFont="1" applyBorder="1" applyAlignment="1">
      <alignment horizontal="center"/>
    </xf>
    <xf numFmtId="167" fontId="79" fillId="0" borderId="52" xfId="0" applyNumberFormat="1" applyFont="1" applyBorder="1" applyAlignment="1">
      <alignment horizontal="center"/>
    </xf>
    <xf numFmtId="167" fontId="79" fillId="0" borderId="53" xfId="0" applyNumberFormat="1" applyFont="1" applyBorder="1" applyAlignment="1">
      <alignment horizontal="center"/>
    </xf>
    <xf numFmtId="167" fontId="79" fillId="0" borderId="54" xfId="0" applyNumberFormat="1" applyFont="1" applyBorder="1" applyAlignment="1">
      <alignment horizontal="center"/>
    </xf>
    <xf numFmtId="177" fontId="40" fillId="0" borderId="1" xfId="1" applyNumberFormat="1" applyFont="1" applyBorder="1" applyAlignment="1">
      <alignment horizontal="center"/>
    </xf>
    <xf numFmtId="177" fontId="40" fillId="0" borderId="5" xfId="1" applyNumberFormat="1" applyFont="1" applyBorder="1" applyAlignment="1">
      <alignment horizontal="center"/>
    </xf>
    <xf numFmtId="0" fontId="39" fillId="22" borderId="55" xfId="0" applyFont="1" applyFill="1" applyBorder="1"/>
    <xf numFmtId="175" fontId="39" fillId="22" borderId="30" xfId="1" applyNumberFormat="1" applyFont="1" applyFill="1" applyBorder="1" applyAlignment="1">
      <alignment horizontal="center"/>
    </xf>
    <xf numFmtId="177" fontId="39" fillId="22" borderId="20" xfId="1" applyNumberFormat="1" applyFont="1" applyFill="1" applyBorder="1" applyAlignment="1">
      <alignment horizontal="center"/>
    </xf>
    <xf numFmtId="0" fontId="40" fillId="22" borderId="31" xfId="0" applyFont="1" applyFill="1" applyBorder="1" applyAlignment="1">
      <alignment horizontal="center"/>
    </xf>
    <xf numFmtId="0" fontId="79" fillId="22" borderId="30" xfId="0" applyFont="1" applyFill="1" applyBorder="1" applyAlignment="1">
      <alignment horizontal="center"/>
    </xf>
    <xf numFmtId="167" fontId="78" fillId="22" borderId="56" xfId="0" applyNumberFormat="1" applyFont="1" applyFill="1" applyBorder="1" applyAlignment="1">
      <alignment horizontal="center"/>
    </xf>
    <xf numFmtId="0" fontId="39" fillId="22" borderId="20" xfId="0" applyFont="1" applyFill="1" applyBorder="1"/>
    <xf numFmtId="175" fontId="39" fillId="22" borderId="20" xfId="0" applyNumberFormat="1" applyFont="1" applyFill="1" applyBorder="1"/>
    <xf numFmtId="177" fontId="39" fillId="22" borderId="20" xfId="0" applyNumberFormat="1" applyFont="1" applyFill="1" applyBorder="1"/>
    <xf numFmtId="0" fontId="39" fillId="22" borderId="41" xfId="0" applyFont="1" applyFill="1" applyBorder="1"/>
    <xf numFmtId="167" fontId="78" fillId="22" borderId="20" xfId="0" applyNumberFormat="1" applyFont="1" applyFill="1" applyBorder="1" applyAlignment="1">
      <alignment horizontal="center"/>
    </xf>
    <xf numFmtId="0" fontId="78" fillId="22" borderId="40" xfId="0" applyFont="1" applyFill="1" applyBorder="1"/>
    <xf numFmtId="175" fontId="78" fillId="22" borderId="20" xfId="0" applyNumberFormat="1" applyFont="1" applyFill="1" applyBorder="1"/>
    <xf numFmtId="177" fontId="78" fillId="22" borderId="20" xfId="0" applyNumberFormat="1" applyFont="1" applyFill="1" applyBorder="1"/>
    <xf numFmtId="167" fontId="78" fillId="22" borderId="20" xfId="0" applyNumberFormat="1" applyFont="1" applyFill="1" applyBorder="1"/>
    <xf numFmtId="0" fontId="40" fillId="0" borderId="1" xfId="11" applyFont="1" applyBorder="1" applyAlignment="1">
      <alignment wrapText="1"/>
    </xf>
    <xf numFmtId="0" fontId="30" fillId="0" borderId="1" xfId="71" applyFont="1" applyBorder="1" applyAlignment="1">
      <alignment horizontal="center" wrapText="1"/>
    </xf>
    <xf numFmtId="0" fontId="30" fillId="0" borderId="1" xfId="71" applyFont="1" applyBorder="1"/>
    <xf numFmtId="0" fontId="30" fillId="0" borderId="1" xfId="71" applyFont="1" applyBorder="1" applyAlignment="1">
      <alignment horizontal="center"/>
    </xf>
    <xf numFmtId="0" fontId="35" fillId="0" borderId="1" xfId="71" applyFont="1" applyBorder="1" applyAlignment="1">
      <alignment horizontal="right"/>
    </xf>
    <xf numFmtId="43" fontId="30" fillId="0" borderId="1" xfId="70" applyFont="1" applyFill="1" applyBorder="1" applyAlignment="1"/>
    <xf numFmtId="43" fontId="33" fillId="0" borderId="1" xfId="1" applyFont="1" applyFill="1" applyBorder="1"/>
    <xf numFmtId="0" fontId="31" fillId="8" borderId="1" xfId="0" applyFont="1" applyFill="1" applyBorder="1" applyAlignment="1">
      <alignment horizontal="left"/>
    </xf>
    <xf numFmtId="0" fontId="31" fillId="0" borderId="1" xfId="43" applyFont="1" applyBorder="1"/>
    <xf numFmtId="0" fontId="32" fillId="0" borderId="1" xfId="43" applyFont="1" applyBorder="1" applyAlignment="1">
      <alignment horizontal="center"/>
    </xf>
    <xf numFmtId="3" fontId="0" fillId="0" borderId="0" xfId="0" applyNumberFormat="1"/>
    <xf numFmtId="4" fontId="59" fillId="0" borderId="0" xfId="0" applyNumberFormat="1" applyFont="1"/>
    <xf numFmtId="3" fontId="59" fillId="0" borderId="0" xfId="0" applyNumberFormat="1" applyFont="1"/>
    <xf numFmtId="2" fontId="30" fillId="8" borderId="1" xfId="0" applyNumberFormat="1" applyFont="1" applyFill="1" applyBorder="1"/>
    <xf numFmtId="164" fontId="30" fillId="8" borderId="1" xfId="3" applyNumberFormat="1" applyFont="1" applyFill="1" applyBorder="1"/>
    <xf numFmtId="43" fontId="49" fillId="0" borderId="1" xfId="1" applyFont="1" applyBorder="1" applyAlignment="1">
      <alignment horizontal="center" vertical="center" wrapText="1"/>
    </xf>
    <xf numFmtId="175" fontId="30" fillId="4" borderId="9" xfId="1" applyNumberFormat="1" applyFont="1" applyFill="1" applyBorder="1" applyAlignment="1">
      <alignment horizontal="right"/>
    </xf>
    <xf numFmtId="0" fontId="49" fillId="4" borderId="1" xfId="0" applyFont="1" applyFill="1" applyBorder="1" applyAlignment="1">
      <alignment horizontal="left" vertical="center" wrapText="1"/>
    </xf>
    <xf numFmtId="0" fontId="49" fillId="4" borderId="1" xfId="0" applyFont="1" applyFill="1" applyBorder="1" applyAlignment="1">
      <alignment horizontal="center" vertical="center"/>
    </xf>
    <xf numFmtId="0" fontId="49" fillId="4" borderId="1" xfId="0" applyFont="1" applyFill="1" applyBorder="1" applyAlignment="1">
      <alignment horizontal="center" vertical="center" wrapText="1"/>
    </xf>
    <xf numFmtId="0" fontId="49" fillId="4" borderId="14" xfId="0" applyFont="1" applyFill="1" applyBorder="1" applyAlignment="1">
      <alignment horizontal="center" vertical="center" wrapText="1"/>
    </xf>
    <xf numFmtId="0" fontId="30" fillId="4" borderId="35" xfId="0" applyFont="1" applyFill="1" applyBorder="1" applyAlignment="1">
      <alignment horizontal="center" vertical="center"/>
    </xf>
    <xf numFmtId="0" fontId="30" fillId="4" borderId="35" xfId="0" applyFont="1" applyFill="1" applyBorder="1"/>
    <xf numFmtId="0" fontId="30" fillId="4" borderId="36" xfId="0" applyFont="1" applyFill="1" applyBorder="1"/>
    <xf numFmtId="0" fontId="30" fillId="8" borderId="1" xfId="3" applyFont="1" applyFill="1" applyBorder="1" applyAlignment="1">
      <alignment horizontal="center" vertical="center"/>
    </xf>
    <xf numFmtId="169" fontId="30" fillId="0" borderId="0" xfId="3" applyNumberFormat="1" applyFont="1"/>
    <xf numFmtId="2" fontId="30" fillId="2" borderId="1" xfId="3" applyNumberFormat="1" applyFont="1" applyFill="1" applyBorder="1"/>
    <xf numFmtId="0" fontId="41" fillId="0" borderId="11" xfId="0" applyFont="1" applyBorder="1" applyAlignment="1">
      <alignment horizontal="center" vertical="center" wrapText="1"/>
    </xf>
    <xf numFmtId="0" fontId="41" fillId="0" borderId="1" xfId="0" applyFont="1" applyBorder="1" applyAlignment="1">
      <alignment horizontal="center" vertical="center" wrapText="1"/>
    </xf>
    <xf numFmtId="0" fontId="33" fillId="0" borderId="33" xfId="0" applyFont="1" applyBorder="1" applyAlignment="1">
      <alignment horizontal="center" vertical="center"/>
    </xf>
    <xf numFmtId="0" fontId="0" fillId="0" borderId="41" xfId="0" applyBorder="1"/>
    <xf numFmtId="0" fontId="0" fillId="0" borderId="42" xfId="0" applyBorder="1"/>
    <xf numFmtId="0" fontId="33" fillId="0" borderId="14" xfId="0" applyFont="1" applyBorder="1" applyAlignment="1">
      <alignment horizontal="center" vertical="center"/>
    </xf>
    <xf numFmtId="0" fontId="30" fillId="0" borderId="14" xfId="0" applyFont="1" applyBorder="1" applyAlignment="1">
      <alignment horizontal="center"/>
    </xf>
    <xf numFmtId="0" fontId="30" fillId="4" borderId="14" xfId="0" applyFont="1" applyFill="1" applyBorder="1" applyAlignment="1">
      <alignment horizontal="center"/>
    </xf>
    <xf numFmtId="0" fontId="33" fillId="0" borderId="13" xfId="0" applyFont="1" applyBorder="1"/>
    <xf numFmtId="0" fontId="33" fillId="0" borderId="14" xfId="0" applyFont="1" applyBorder="1" applyAlignment="1">
      <alignment horizontal="center"/>
    </xf>
    <xf numFmtId="0" fontId="0" fillId="0" borderId="34" xfId="0" applyBorder="1"/>
    <xf numFmtId="0" fontId="0" fillId="0" borderId="35" xfId="0" applyBorder="1"/>
    <xf numFmtId="0" fontId="33" fillId="0" borderId="35" xfId="0" applyFont="1" applyBorder="1"/>
    <xf numFmtId="175" fontId="33" fillId="0" borderId="35" xfId="0" applyNumberFormat="1" applyFont="1" applyBorder="1" applyAlignment="1">
      <alignment horizontal="right"/>
    </xf>
    <xf numFmtId="0" fontId="0" fillId="0" borderId="36" xfId="0" applyBorder="1"/>
    <xf numFmtId="0" fontId="50" fillId="0" borderId="13" xfId="0" applyFont="1" applyBorder="1" applyAlignment="1">
      <alignment horizontal="center" vertical="center"/>
    </xf>
    <xf numFmtId="0" fontId="49" fillId="0" borderId="35" xfId="0" applyFont="1" applyBorder="1" applyAlignment="1">
      <alignment horizontal="left" vertical="center" wrapText="1"/>
    </xf>
    <xf numFmtId="43" fontId="49" fillId="0" borderId="35" xfId="1" applyFont="1" applyBorder="1" applyAlignment="1">
      <alignment horizontal="center" vertical="center" wrapText="1"/>
    </xf>
    <xf numFmtId="0" fontId="50" fillId="0" borderId="36" xfId="0" applyFont="1" applyBorder="1" applyAlignment="1">
      <alignment horizontal="center" vertical="center" wrapText="1"/>
    </xf>
    <xf numFmtId="2" fontId="34" fillId="0" borderId="0" xfId="32" applyNumberFormat="1"/>
    <xf numFmtId="10" fontId="40" fillId="0" borderId="1" xfId="2" applyNumberFormat="1" applyFont="1" applyFill="1" applyBorder="1"/>
    <xf numFmtId="0" fontId="33" fillId="23" borderId="1" xfId="3" applyFont="1" applyFill="1" applyBorder="1" applyAlignment="1">
      <alignment horizontal="center" vertical="center"/>
    </xf>
    <xf numFmtId="164" fontId="33" fillId="23" borderId="1" xfId="3" applyNumberFormat="1" applyFont="1" applyFill="1" applyBorder="1" applyAlignment="1">
      <alignment horizontal="center" vertical="center"/>
    </xf>
    <xf numFmtId="0" fontId="36" fillId="0" borderId="1" xfId="3" applyFont="1" applyBorder="1" applyAlignment="1">
      <alignment horizontal="left" indent="1"/>
    </xf>
    <xf numFmtId="0" fontId="36" fillId="0" borderId="1" xfId="3" applyFont="1" applyBorder="1"/>
    <xf numFmtId="0" fontId="33" fillId="23" borderId="1"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6" xfId="0" applyFont="1" applyFill="1" applyBorder="1" applyAlignment="1">
      <alignment horizontal="left" vertical="center"/>
    </xf>
    <xf numFmtId="0" fontId="30" fillId="2" borderId="6" xfId="0" applyFont="1" applyFill="1" applyBorder="1" applyAlignment="1">
      <alignment horizontal="center" vertical="center"/>
    </xf>
    <xf numFmtId="0" fontId="35" fillId="0" borderId="6" xfId="3" applyFont="1" applyBorder="1" applyAlignment="1">
      <alignment horizontal="left" indent="1"/>
    </xf>
    <xf numFmtId="0" fontId="30" fillId="0" borderId="6" xfId="3" applyFont="1" applyBorder="1" applyAlignment="1">
      <alignment horizontal="center" vertical="center"/>
    </xf>
    <xf numFmtId="0" fontId="30" fillId="2" borderId="1" xfId="3" applyFont="1" applyFill="1" applyBorder="1" applyAlignment="1">
      <alignment horizontal="left" vertical="center"/>
    </xf>
    <xf numFmtId="0" fontId="31" fillId="2" borderId="6" xfId="0" applyFont="1" applyFill="1" applyBorder="1" applyAlignment="1">
      <alignment horizontal="center"/>
    </xf>
    <xf numFmtId="0" fontId="31" fillId="2" borderId="6" xfId="0" applyFont="1" applyFill="1" applyBorder="1"/>
    <xf numFmtId="0" fontId="32" fillId="2" borderId="6" xfId="0" applyFont="1" applyFill="1" applyBorder="1"/>
    <xf numFmtId="164" fontId="40" fillId="0" borderId="6" xfId="3" applyNumberFormat="1" applyFont="1" applyBorder="1" applyAlignment="1">
      <alignment horizontal="center"/>
    </xf>
    <xf numFmtId="164" fontId="30" fillId="5" borderId="0" xfId="3" applyNumberFormat="1" applyFont="1" applyFill="1"/>
    <xf numFmtId="0" fontId="75" fillId="0" borderId="1" xfId="3" applyFont="1" applyBorder="1" applyAlignment="1">
      <alignment horizontal="left" indent="1"/>
    </xf>
    <xf numFmtId="164" fontId="30" fillId="0" borderId="0" xfId="0" applyNumberFormat="1" applyFont="1"/>
    <xf numFmtId="0" fontId="30" fillId="0" borderId="0" xfId="3" applyFont="1" applyAlignment="1">
      <alignment horizontal="center"/>
    </xf>
    <xf numFmtId="166" fontId="30" fillId="0" borderId="0" xfId="1" applyNumberFormat="1" applyFont="1" applyFill="1" applyBorder="1"/>
    <xf numFmtId="2" fontId="0" fillId="0" borderId="0" xfId="0" applyNumberFormat="1"/>
    <xf numFmtId="2" fontId="40" fillId="2" borderId="1" xfId="2" applyNumberFormat="1" applyFont="1" applyFill="1" applyBorder="1"/>
    <xf numFmtId="2" fontId="40" fillId="0" borderId="1" xfId="2" applyNumberFormat="1" applyFont="1" applyFill="1" applyBorder="1"/>
    <xf numFmtId="2" fontId="30" fillId="2" borderId="1" xfId="2" applyNumberFormat="1" applyFont="1" applyFill="1" applyBorder="1"/>
    <xf numFmtId="2" fontId="33" fillId="3" borderId="1" xfId="3" applyNumberFormat="1" applyFont="1" applyFill="1" applyBorder="1" applyAlignment="1">
      <alignment horizontal="center" vertical="center"/>
    </xf>
    <xf numFmtId="2" fontId="30" fillId="0" borderId="1" xfId="3" applyNumberFormat="1" applyFont="1" applyBorder="1" applyAlignment="1">
      <alignment horizontal="center"/>
    </xf>
    <xf numFmtId="2" fontId="30" fillId="0" borderId="1" xfId="2" applyNumberFormat="1" applyFont="1" applyFill="1" applyBorder="1"/>
    <xf numFmtId="2" fontId="30" fillId="2" borderId="1" xfId="3" applyNumberFormat="1" applyFont="1" applyFill="1" applyBorder="1" applyAlignment="1">
      <alignment wrapText="1"/>
    </xf>
    <xf numFmtId="43" fontId="80" fillId="24" borderId="0" xfId="1" applyFont="1" applyFill="1" applyBorder="1" applyAlignment="1">
      <alignment horizontal="center"/>
    </xf>
    <xf numFmtId="166" fontId="33" fillId="0" borderId="0" xfId="1" applyNumberFormat="1" applyFont="1" applyFill="1" applyBorder="1"/>
    <xf numFmtId="2" fontId="33" fillId="0" borderId="6" xfId="3" applyNumberFormat="1" applyFont="1" applyBorder="1"/>
    <xf numFmtId="0" fontId="33" fillId="23" borderId="4" xfId="3" applyFont="1" applyFill="1" applyBorder="1" applyAlignment="1">
      <alignment horizontal="center" vertical="center"/>
    </xf>
    <xf numFmtId="10" fontId="33" fillId="2" borderId="4" xfId="3" applyNumberFormat="1" applyFont="1" applyFill="1" applyBorder="1"/>
    <xf numFmtId="10" fontId="30" fillId="0" borderId="4" xfId="3" applyNumberFormat="1" applyFont="1" applyBorder="1"/>
    <xf numFmtId="0" fontId="33" fillId="2" borderId="4" xfId="3" applyFont="1" applyFill="1" applyBorder="1" applyAlignment="1">
      <alignment horizontal="center"/>
    </xf>
    <xf numFmtId="10" fontId="30" fillId="0" borderId="4" xfId="2" applyNumberFormat="1" applyFont="1" applyFill="1" applyBorder="1"/>
    <xf numFmtId="43" fontId="30" fillId="0" borderId="4" xfId="3" applyNumberFormat="1" applyFont="1" applyBorder="1"/>
    <xf numFmtId="0" fontId="30" fillId="0" borderId="4" xfId="3" applyFont="1" applyBorder="1" applyAlignment="1">
      <alignment horizontal="center"/>
    </xf>
    <xf numFmtId="10" fontId="33" fillId="2" borderId="4" xfId="2" applyNumberFormat="1" applyFont="1" applyFill="1" applyBorder="1"/>
    <xf numFmtId="0" fontId="30" fillId="2" borderId="4" xfId="3" applyFont="1" applyFill="1" applyBorder="1" applyAlignment="1">
      <alignment wrapText="1"/>
    </xf>
    <xf numFmtId="164" fontId="30" fillId="0" borderId="4" xfId="3" applyNumberFormat="1" applyFont="1" applyBorder="1"/>
    <xf numFmtId="2" fontId="33" fillId="23" borderId="1" xfId="3" applyNumberFormat="1" applyFont="1" applyFill="1" applyBorder="1" applyAlignment="1">
      <alignment horizontal="center" vertical="center"/>
    </xf>
    <xf numFmtId="2" fontId="33" fillId="2" borderId="1" xfId="3" applyNumberFormat="1" applyFont="1" applyFill="1" applyBorder="1" applyAlignment="1">
      <alignment horizontal="center"/>
    </xf>
    <xf numFmtId="2" fontId="33" fillId="2" borderId="1" xfId="2" applyNumberFormat="1" applyFont="1" applyFill="1" applyBorder="1"/>
    <xf numFmtId="2" fontId="0" fillId="0" borderId="1" xfId="0" applyNumberFormat="1" applyBorder="1"/>
    <xf numFmtId="0" fontId="33" fillId="23" borderId="4" xfId="0" applyFont="1" applyFill="1" applyBorder="1" applyAlignment="1">
      <alignment horizontal="center" vertical="center"/>
    </xf>
    <xf numFmtId="0" fontId="33" fillId="2" borderId="4" xfId="0" applyFont="1" applyFill="1" applyBorder="1" applyAlignment="1">
      <alignment horizontal="center" vertical="center"/>
    </xf>
    <xf numFmtId="0" fontId="33" fillId="0" borderId="4" xfId="0" applyFont="1" applyBorder="1" applyAlignment="1">
      <alignment horizontal="center" vertical="center"/>
    </xf>
    <xf numFmtId="0" fontId="30" fillId="2" borderId="4" xfId="0" applyFont="1" applyFill="1" applyBorder="1"/>
    <xf numFmtId="0" fontId="30" fillId="0" borderId="4" xfId="0" applyFont="1" applyBorder="1"/>
    <xf numFmtId="0" fontId="33" fillId="2" borderId="4" xfId="3" applyFont="1" applyFill="1" applyBorder="1" applyAlignment="1">
      <alignment wrapText="1"/>
    </xf>
    <xf numFmtId="2" fontId="33" fillId="23" borderId="1" xfId="0" applyNumberFormat="1" applyFont="1" applyFill="1" applyBorder="1" applyAlignment="1">
      <alignment horizontal="center" vertical="center"/>
    </xf>
    <xf numFmtId="2" fontId="33" fillId="2" borderId="1" xfId="0" applyNumberFormat="1" applyFont="1" applyFill="1" applyBorder="1" applyAlignment="1">
      <alignment horizontal="center" vertical="center"/>
    </xf>
    <xf numFmtId="2" fontId="33" fillId="2" borderId="1" xfId="3" applyNumberFormat="1" applyFont="1" applyFill="1" applyBorder="1" applyAlignment="1">
      <alignment wrapText="1"/>
    </xf>
    <xf numFmtId="0" fontId="30" fillId="0" borderId="4" xfId="0" applyFont="1" applyBorder="1" applyAlignment="1">
      <alignment horizontal="center" vertical="center"/>
    </xf>
    <xf numFmtId="2" fontId="33" fillId="0" borderId="1" xfId="0" applyNumberFormat="1" applyFont="1" applyBorder="1" applyAlignment="1">
      <alignment horizontal="center" vertical="center"/>
    </xf>
    <xf numFmtId="2" fontId="30" fillId="0" borderId="1" xfId="0" applyNumberFormat="1" applyFont="1" applyBorder="1" applyAlignment="1">
      <alignment horizontal="center" vertical="center"/>
    </xf>
    <xf numFmtId="0" fontId="33" fillId="3" borderId="1" xfId="0" applyFont="1" applyFill="1" applyBorder="1" applyAlignment="1">
      <alignment horizontal="center" vertical="center"/>
    </xf>
    <xf numFmtId="0" fontId="33" fillId="3" borderId="4" xfId="0" applyFont="1" applyFill="1" applyBorder="1" applyAlignment="1">
      <alignment horizontal="center" vertical="center"/>
    </xf>
    <xf numFmtId="2" fontId="33" fillId="3" borderId="1" xfId="0" applyNumberFormat="1" applyFont="1" applyFill="1" applyBorder="1" applyAlignment="1">
      <alignment horizontal="center" vertical="center"/>
    </xf>
    <xf numFmtId="2" fontId="30" fillId="0" borderId="4" xfId="3" applyNumberFormat="1" applyFont="1" applyBorder="1"/>
    <xf numFmtId="0" fontId="59" fillId="0" borderId="1" xfId="0" applyFont="1" applyBorder="1"/>
    <xf numFmtId="164" fontId="30" fillId="5" borderId="5" xfId="3" applyNumberFormat="1" applyFont="1" applyFill="1" applyBorder="1" applyAlignment="1">
      <alignment horizontal="center"/>
    </xf>
    <xf numFmtId="166" fontId="30" fillId="5" borderId="5" xfId="1" applyNumberFormat="1" applyFont="1" applyFill="1" applyBorder="1" applyAlignment="1">
      <alignment horizontal="center"/>
    </xf>
    <xf numFmtId="0" fontId="11" fillId="0" borderId="0" xfId="75"/>
    <xf numFmtId="166" fontId="32" fillId="0" borderId="0" xfId="38" applyNumberFormat="1" applyFont="1"/>
    <xf numFmtId="0" fontId="33" fillId="0" borderId="0" xfId="76" applyFont="1" applyAlignment="1">
      <alignment horizontal="right"/>
    </xf>
    <xf numFmtId="14" fontId="33" fillId="0" borderId="0" xfId="77" applyNumberFormat="1" applyFont="1" applyAlignment="1">
      <alignment horizontal="left"/>
    </xf>
    <xf numFmtId="0" fontId="33" fillId="25" borderId="1" xfId="3" applyFont="1" applyFill="1" applyBorder="1" applyAlignment="1">
      <alignment horizontal="center" vertical="center"/>
    </xf>
    <xf numFmtId="164" fontId="33" fillId="25" borderId="1" xfId="3" applyNumberFormat="1" applyFont="1" applyFill="1" applyBorder="1" applyAlignment="1">
      <alignment horizontal="center" vertical="center"/>
    </xf>
    <xf numFmtId="166" fontId="33" fillId="25" borderId="1" xfId="38" applyNumberFormat="1" applyFont="1" applyFill="1" applyBorder="1" applyAlignment="1">
      <alignment horizontal="center" vertical="center"/>
    </xf>
    <xf numFmtId="0" fontId="33" fillId="25" borderId="4" xfId="3" applyFont="1" applyFill="1" applyBorder="1" applyAlignment="1">
      <alignment horizontal="center" vertical="center"/>
    </xf>
    <xf numFmtId="166" fontId="30" fillId="2" borderId="1" xfId="38" applyNumberFormat="1" applyFont="1" applyFill="1" applyBorder="1"/>
    <xf numFmtId="10" fontId="30" fillId="2" borderId="4" xfId="5" applyNumberFormat="1" applyFont="1" applyFill="1" applyBorder="1"/>
    <xf numFmtId="2" fontId="32" fillId="0" borderId="1" xfId="78" applyNumberFormat="1" applyFont="1" applyBorder="1"/>
    <xf numFmtId="2" fontId="32" fillId="0" borderId="4" xfId="78" applyNumberFormat="1" applyFont="1" applyBorder="1"/>
    <xf numFmtId="0" fontId="11" fillId="0" borderId="1" xfId="75" applyBorder="1"/>
    <xf numFmtId="43" fontId="33" fillId="15" borderId="1" xfId="38" applyFont="1" applyFill="1" applyBorder="1"/>
    <xf numFmtId="43" fontId="11" fillId="0" borderId="1" xfId="75" applyNumberFormat="1" applyBorder="1"/>
    <xf numFmtId="2" fontId="32" fillId="0" borderId="1" xfId="79" applyNumberFormat="1" applyFont="1" applyBorder="1"/>
    <xf numFmtId="0" fontId="32" fillId="0" borderId="1" xfId="79" applyFont="1" applyBorder="1"/>
    <xf numFmtId="10" fontId="30" fillId="0" borderId="4" xfId="5" applyNumberFormat="1" applyFont="1" applyFill="1" applyBorder="1"/>
    <xf numFmtId="43" fontId="33" fillId="15" borderId="1" xfId="3" applyNumberFormat="1" applyFont="1" applyFill="1" applyBorder="1"/>
    <xf numFmtId="0" fontId="32" fillId="0" borderId="1" xfId="78" applyFont="1" applyBorder="1"/>
    <xf numFmtId="0" fontId="32" fillId="0" borderId="4" xfId="78" applyFont="1" applyBorder="1"/>
    <xf numFmtId="0" fontId="32" fillId="0" borderId="1" xfId="78" applyFont="1" applyBorder="1" applyAlignment="1">
      <alignment horizontal="center"/>
    </xf>
    <xf numFmtId="0" fontId="30" fillId="2" borderId="4" xfId="3" applyFont="1" applyFill="1" applyBorder="1" applyAlignment="1">
      <alignment horizontal="center"/>
    </xf>
    <xf numFmtId="43" fontId="30" fillId="0" borderId="1" xfId="38" applyFont="1" applyFill="1" applyBorder="1"/>
    <xf numFmtId="0" fontId="11" fillId="8" borderId="1" xfId="75" applyFill="1" applyBorder="1"/>
    <xf numFmtId="0" fontId="30" fillId="0" borderId="1" xfId="3" applyFont="1" applyBorder="1" applyAlignment="1">
      <alignment vertical="center" wrapText="1"/>
    </xf>
    <xf numFmtId="2" fontId="30" fillId="0" borderId="1" xfId="32" applyNumberFormat="1" applyFont="1" applyBorder="1"/>
    <xf numFmtId="2" fontId="32" fillId="0" borderId="1" xfId="78" applyNumberFormat="1" applyFont="1" applyBorder="1" applyAlignment="1">
      <alignment horizontal="right"/>
    </xf>
    <xf numFmtId="2" fontId="33" fillId="15" borderId="1" xfId="38" applyNumberFormat="1" applyFont="1" applyFill="1" applyBorder="1"/>
    <xf numFmtId="0" fontId="30" fillId="0" borderId="1" xfId="35" applyFont="1" applyBorder="1" applyAlignment="1">
      <alignment vertical="center" wrapText="1"/>
    </xf>
    <xf numFmtId="166" fontId="30" fillId="0" borderId="1" xfId="38" applyNumberFormat="1" applyFont="1" applyFill="1" applyBorder="1"/>
    <xf numFmtId="178" fontId="11" fillId="0" borderId="1" xfId="75" applyNumberFormat="1" applyBorder="1"/>
    <xf numFmtId="166" fontId="30" fillId="0" borderId="1" xfId="38" applyNumberFormat="1" applyFont="1" applyBorder="1"/>
    <xf numFmtId="0" fontId="11" fillId="2" borderId="1" xfId="75" applyFill="1" applyBorder="1"/>
    <xf numFmtId="43" fontId="11" fillId="2" borderId="1" xfId="75" applyNumberFormat="1" applyFill="1" applyBorder="1"/>
    <xf numFmtId="178" fontId="30" fillId="0" borderId="4" xfId="3" applyNumberFormat="1" applyFont="1" applyBorder="1"/>
    <xf numFmtId="43" fontId="33" fillId="2" borderId="1" xfId="38" applyFont="1" applyFill="1" applyBorder="1"/>
    <xf numFmtId="178" fontId="30" fillId="2" borderId="4" xfId="3" applyNumberFormat="1" applyFont="1" applyFill="1" applyBorder="1"/>
    <xf numFmtId="166" fontId="30" fillId="0" borderId="0" xfId="38" applyNumberFormat="1" applyFont="1"/>
    <xf numFmtId="0" fontId="11" fillId="0" borderId="6" xfId="75" applyBorder="1"/>
    <xf numFmtId="164" fontId="33" fillId="0" borderId="0" xfId="3" applyNumberFormat="1" applyFont="1" applyAlignment="1">
      <alignment horizontal="center" vertical="center"/>
    </xf>
    <xf numFmtId="166" fontId="30" fillId="0" borderId="0" xfId="4" applyNumberFormat="1" applyFont="1"/>
    <xf numFmtId="166" fontId="33" fillId="25" borderId="1" xfId="4" applyNumberFormat="1" applyFont="1" applyFill="1" applyBorder="1" applyAlignment="1">
      <alignment horizontal="center" vertical="center"/>
    </xf>
    <xf numFmtId="166" fontId="30" fillId="0" borderId="0" xfId="3" applyNumberFormat="1" applyFont="1"/>
    <xf numFmtId="43" fontId="30" fillId="0" borderId="0" xfId="3" applyNumberFormat="1" applyFont="1"/>
    <xf numFmtId="2" fontId="32" fillId="0" borderId="1" xfId="75" applyNumberFormat="1" applyFont="1" applyBorder="1" applyAlignment="1">
      <alignment horizontal="center" vertical="center"/>
    </xf>
    <xf numFmtId="0" fontId="30" fillId="26" borderId="1" xfId="3" applyFont="1" applyFill="1" applyBorder="1"/>
    <xf numFmtId="2" fontId="32" fillId="26" borderId="1" xfId="75" applyNumberFormat="1" applyFont="1" applyFill="1" applyBorder="1" applyAlignment="1">
      <alignment horizontal="center" vertical="center"/>
    </xf>
    <xf numFmtId="2" fontId="30" fillId="2" borderId="1" xfId="3" applyNumberFormat="1" applyFont="1" applyFill="1" applyBorder="1" applyAlignment="1">
      <alignment horizontal="center"/>
    </xf>
    <xf numFmtId="43" fontId="30" fillId="2" borderId="1" xfId="4" applyFont="1" applyFill="1" applyBorder="1"/>
    <xf numFmtId="10" fontId="30" fillId="2" borderId="1" xfId="5" applyNumberFormat="1" applyFont="1" applyFill="1" applyBorder="1"/>
    <xf numFmtId="0" fontId="32" fillId="0" borderId="1" xfId="78" applyFont="1" applyBorder="1" applyAlignment="1">
      <alignment horizontal="left"/>
    </xf>
    <xf numFmtId="0" fontId="32" fillId="0" borderId="0" xfId="80" applyFont="1"/>
    <xf numFmtId="166" fontId="30" fillId="2" borderId="1" xfId="4" applyNumberFormat="1" applyFont="1" applyFill="1" applyBorder="1"/>
    <xf numFmtId="1" fontId="30" fillId="0" borderId="1" xfId="3" applyNumberFormat="1" applyFont="1" applyBorder="1" applyAlignment="1">
      <alignment vertical="center"/>
    </xf>
    <xf numFmtId="2" fontId="30" fillId="0" borderId="1" xfId="3" applyNumberFormat="1" applyFont="1" applyBorder="1" applyAlignment="1">
      <alignment vertical="center"/>
    </xf>
    <xf numFmtId="2" fontId="30" fillId="0" borderId="1" xfId="3" applyNumberFormat="1" applyFont="1" applyBorder="1" applyAlignment="1">
      <alignment horizontal="right"/>
    </xf>
    <xf numFmtId="0" fontId="30" fillId="0" borderId="1" xfId="3" applyFont="1" applyBorder="1" applyAlignment="1">
      <alignment horizontal="right"/>
    </xf>
    <xf numFmtId="169" fontId="30" fillId="0" borderId="1" xfId="3" applyNumberFormat="1" applyFont="1" applyBorder="1"/>
    <xf numFmtId="0" fontId="81" fillId="0" borderId="1" xfId="3" applyFont="1" applyBorder="1"/>
    <xf numFmtId="0" fontId="81" fillId="0" borderId="0" xfId="3" applyFont="1"/>
    <xf numFmtId="2" fontId="32" fillId="0" borderId="1" xfId="75" applyNumberFormat="1" applyFont="1" applyBorder="1" applyAlignment="1">
      <alignment horizontal="center" vertical="center" wrapText="1"/>
    </xf>
    <xf numFmtId="166" fontId="30" fillId="0" borderId="1" xfId="4" applyNumberFormat="1" applyFont="1" applyFill="1" applyBorder="1"/>
    <xf numFmtId="10" fontId="30" fillId="0" borderId="1" xfId="5" applyNumberFormat="1" applyFont="1" applyFill="1" applyBorder="1"/>
    <xf numFmtId="2" fontId="30" fillId="0" borderId="1" xfId="3" applyNumberFormat="1" applyFont="1" applyBorder="1" applyAlignment="1">
      <alignment horizontal="center" wrapText="1"/>
    </xf>
    <xf numFmtId="0" fontId="32" fillId="0" borderId="0" xfId="75" applyFont="1"/>
    <xf numFmtId="0" fontId="32" fillId="0" borderId="0" xfId="75" applyFont="1" applyAlignment="1">
      <alignment horizontal="left"/>
    </xf>
    <xf numFmtId="0" fontId="31" fillId="0" borderId="0" xfId="75" applyFont="1"/>
    <xf numFmtId="0" fontId="33" fillId="25" borderId="39" xfId="3" applyFont="1" applyFill="1" applyBorder="1" applyAlignment="1">
      <alignment horizontal="center" vertical="center"/>
    </xf>
    <xf numFmtId="0" fontId="33" fillId="25" borderId="11" xfId="3" applyFont="1" applyFill="1" applyBorder="1" applyAlignment="1">
      <alignment horizontal="center" vertical="center"/>
    </xf>
    <xf numFmtId="164" fontId="33" fillId="25" borderId="11" xfId="3" applyNumberFormat="1" applyFont="1" applyFill="1" applyBorder="1" applyAlignment="1">
      <alignment horizontal="center" vertical="center"/>
    </xf>
    <xf numFmtId="0" fontId="33" fillId="25" borderId="38" xfId="3" applyFont="1" applyFill="1" applyBorder="1" applyAlignment="1">
      <alignment horizontal="center" vertical="center"/>
    </xf>
    <xf numFmtId="0" fontId="33" fillId="2" borderId="13" xfId="3" applyFont="1" applyFill="1" applyBorder="1" applyAlignment="1">
      <alignment horizontal="center" vertical="center"/>
    </xf>
    <xf numFmtId="0" fontId="36" fillId="2" borderId="1" xfId="3" applyFont="1" applyFill="1" applyBorder="1" applyAlignment="1">
      <alignment horizontal="left" vertical="center"/>
    </xf>
    <xf numFmtId="0" fontId="36" fillId="2" borderId="1" xfId="3" applyFont="1" applyFill="1" applyBorder="1" applyAlignment="1">
      <alignment horizontal="center" vertical="center"/>
    </xf>
    <xf numFmtId="2" fontId="33" fillId="2" borderId="1" xfId="81" applyNumberFormat="1" applyFont="1" applyFill="1" applyBorder="1" applyAlignment="1">
      <alignment horizontal="center"/>
    </xf>
    <xf numFmtId="166" fontId="33" fillId="2" borderId="1" xfId="81" applyNumberFormat="1" applyFont="1" applyFill="1" applyBorder="1"/>
    <xf numFmtId="10" fontId="30" fillId="2" borderId="4" xfId="3" applyNumberFormat="1" applyFont="1" applyFill="1" applyBorder="1"/>
    <xf numFmtId="0" fontId="30" fillId="0" borderId="13" xfId="3" applyFont="1" applyBorder="1" applyAlignment="1">
      <alignment horizontal="center" vertical="center"/>
    </xf>
    <xf numFmtId="0" fontId="35" fillId="5" borderId="1" xfId="3" applyFont="1" applyFill="1" applyBorder="1" applyAlignment="1">
      <alignment horizontal="left" vertical="center"/>
    </xf>
    <xf numFmtId="0" fontId="35" fillId="5" borderId="1" xfId="3" applyFont="1" applyFill="1" applyBorder="1" applyAlignment="1">
      <alignment horizontal="center" vertical="center"/>
    </xf>
    <xf numFmtId="2" fontId="30" fillId="5" borderId="1" xfId="3" applyNumberFormat="1" applyFont="1" applyFill="1" applyBorder="1" applyAlignment="1">
      <alignment horizontal="center"/>
    </xf>
    <xf numFmtId="2" fontId="33" fillId="5" borderId="1" xfId="81" applyNumberFormat="1" applyFont="1" applyFill="1" applyBorder="1" applyAlignment="1">
      <alignment horizontal="center"/>
    </xf>
    <xf numFmtId="166" fontId="33" fillId="5" borderId="1" xfId="81" applyNumberFormat="1" applyFont="1" applyFill="1" applyBorder="1"/>
    <xf numFmtId="10" fontId="30" fillId="5" borderId="4" xfId="3" applyNumberFormat="1" applyFont="1" applyFill="1" applyBorder="1"/>
    <xf numFmtId="0" fontId="32" fillId="0" borderId="1" xfId="75" applyFont="1" applyBorder="1"/>
    <xf numFmtId="0" fontId="35" fillId="0" borderId="1" xfId="3" applyFont="1" applyBorder="1" applyAlignment="1">
      <alignment horizontal="left" vertical="center"/>
    </xf>
    <xf numFmtId="0" fontId="35" fillId="0" borderId="1" xfId="3" applyFont="1" applyBorder="1" applyAlignment="1">
      <alignment horizontal="center" vertical="center"/>
    </xf>
    <xf numFmtId="2" fontId="33" fillId="0" borderId="1" xfId="3" applyNumberFormat="1" applyFont="1" applyBorder="1" applyAlignment="1">
      <alignment horizontal="center"/>
    </xf>
    <xf numFmtId="2" fontId="33" fillId="15" borderId="1" xfId="81" applyNumberFormat="1" applyFont="1" applyFill="1" applyBorder="1" applyAlignment="1">
      <alignment horizontal="center" vertical="center"/>
    </xf>
    <xf numFmtId="166" fontId="33" fillId="0" borderId="1" xfId="81" applyNumberFormat="1" applyFont="1" applyFill="1" applyBorder="1"/>
    <xf numFmtId="2" fontId="33" fillId="0" borderId="1" xfId="81" applyNumberFormat="1" applyFont="1" applyFill="1" applyBorder="1" applyAlignment="1">
      <alignment horizontal="center" vertical="center"/>
    </xf>
    <xf numFmtId="0" fontId="30" fillId="2" borderId="4" xfId="3" applyFont="1" applyFill="1" applyBorder="1"/>
    <xf numFmtId="0" fontId="31" fillId="0" borderId="13" xfId="3" applyFont="1" applyBorder="1" applyAlignment="1">
      <alignment horizontal="center" vertical="center"/>
    </xf>
    <xf numFmtId="0" fontId="61" fillId="0" borderId="1" xfId="3" applyFont="1" applyBorder="1" applyAlignment="1">
      <alignment horizontal="left" vertical="center"/>
    </xf>
    <xf numFmtId="0" fontId="82" fillId="0" borderId="1" xfId="3" applyFont="1" applyBorder="1" applyAlignment="1">
      <alignment horizontal="center" vertical="center"/>
    </xf>
    <xf numFmtId="0" fontId="32" fillId="0" borderId="1" xfId="3" applyFont="1" applyBorder="1" applyAlignment="1">
      <alignment horizontal="center"/>
    </xf>
    <xf numFmtId="2" fontId="32" fillId="0" borderId="1" xfId="3" applyNumberFormat="1" applyFont="1" applyBorder="1" applyAlignment="1">
      <alignment horizontal="center"/>
    </xf>
    <xf numFmtId="0" fontId="32" fillId="0" borderId="4" xfId="3" applyFont="1" applyBorder="1"/>
    <xf numFmtId="2" fontId="32" fillId="0" borderId="1" xfId="75" applyNumberFormat="1" applyFont="1" applyBorder="1" applyAlignment="1">
      <alignment horizontal="center"/>
    </xf>
    <xf numFmtId="2" fontId="33" fillId="5" borderId="1" xfId="81" applyNumberFormat="1" applyFont="1" applyFill="1" applyBorder="1"/>
    <xf numFmtId="0" fontId="32" fillId="0" borderId="1" xfId="75" applyFont="1" applyBorder="1" applyAlignment="1">
      <alignment horizontal="center"/>
    </xf>
    <xf numFmtId="2" fontId="33" fillId="2" borderId="1" xfId="81" applyNumberFormat="1" applyFont="1" applyFill="1" applyBorder="1"/>
    <xf numFmtId="2" fontId="30" fillId="2" borderId="4" xfId="3" applyNumberFormat="1" applyFont="1" applyFill="1" applyBorder="1"/>
    <xf numFmtId="0" fontId="82" fillId="0" borderId="1" xfId="3" applyFont="1" applyBorder="1" applyAlignment="1">
      <alignment horizontal="left" vertical="center"/>
    </xf>
    <xf numFmtId="2" fontId="30" fillId="0" borderId="1" xfId="81" applyNumberFormat="1" applyFont="1" applyFill="1" applyBorder="1" applyAlignment="1">
      <alignment horizontal="center"/>
    </xf>
    <xf numFmtId="2" fontId="30" fillId="0" borderId="1" xfId="81" applyNumberFormat="1" applyFont="1" applyFill="1" applyBorder="1"/>
    <xf numFmtId="166" fontId="33" fillId="0" borderId="1" xfId="81" applyNumberFormat="1" applyFont="1" applyFill="1" applyBorder="1" applyAlignment="1">
      <alignment horizontal="center" vertical="center"/>
    </xf>
    <xf numFmtId="166" fontId="33" fillId="2" borderId="1" xfId="81" applyNumberFormat="1" applyFont="1" applyFill="1" applyBorder="1" applyAlignment="1">
      <alignment horizontal="center"/>
    </xf>
    <xf numFmtId="0" fontId="36" fillId="0" borderId="1" xfId="3" applyFont="1" applyBorder="1" applyAlignment="1">
      <alignment horizontal="center" vertical="center"/>
    </xf>
    <xf numFmtId="166" fontId="33" fillId="0" borderId="1" xfId="81" applyNumberFormat="1" applyFont="1" applyFill="1" applyBorder="1" applyAlignment="1">
      <alignment horizontal="center"/>
    </xf>
    <xf numFmtId="10" fontId="30" fillId="2" borderId="4" xfId="82" applyNumberFormat="1" applyFont="1" applyFill="1" applyBorder="1"/>
    <xf numFmtId="10" fontId="30" fillId="5" borderId="1" xfId="82" applyNumberFormat="1" applyFont="1" applyFill="1" applyBorder="1" applyAlignment="1">
      <alignment horizontal="center" vertical="center"/>
    </xf>
    <xf numFmtId="164" fontId="30" fillId="5" borderId="1" xfId="3" applyNumberFormat="1" applyFont="1" applyFill="1" applyBorder="1" applyAlignment="1">
      <alignment horizontal="center"/>
    </xf>
    <xf numFmtId="0" fontId="36" fillId="2" borderId="1" xfId="3" applyFont="1" applyFill="1" applyBorder="1" applyAlignment="1">
      <alignment horizontal="left" vertical="center" wrapText="1"/>
    </xf>
    <xf numFmtId="0" fontId="35" fillId="2" borderId="1" xfId="3" applyFont="1" applyFill="1" applyBorder="1" applyAlignment="1">
      <alignment horizontal="center" vertical="center"/>
    </xf>
    <xf numFmtId="0" fontId="32" fillId="0" borderId="13" xfId="75" applyFont="1" applyBorder="1" applyAlignment="1">
      <alignment horizontal="right" vertical="center"/>
    </xf>
    <xf numFmtId="0" fontId="36" fillId="0" borderId="1" xfId="3" applyFont="1" applyBorder="1" applyAlignment="1">
      <alignment horizontal="left" vertical="center"/>
    </xf>
    <xf numFmtId="0" fontId="32" fillId="0" borderId="4" xfId="75" applyFont="1" applyBorder="1"/>
    <xf numFmtId="0" fontId="30" fillId="0" borderId="13" xfId="3" applyFont="1" applyBorder="1" applyAlignment="1">
      <alignment horizontal="right" vertical="center"/>
    </xf>
    <xf numFmtId="0" fontId="30" fillId="0" borderId="34" xfId="3" applyFont="1" applyBorder="1" applyAlignment="1">
      <alignment horizontal="center" vertical="center"/>
    </xf>
    <xf numFmtId="0" fontId="35" fillId="0" borderId="35" xfId="3" applyFont="1" applyBorder="1" applyAlignment="1">
      <alignment horizontal="left" vertical="center"/>
    </xf>
    <xf numFmtId="0" fontId="35" fillId="0" borderId="35" xfId="3" applyFont="1" applyBorder="1" applyAlignment="1">
      <alignment horizontal="center" vertical="center"/>
    </xf>
    <xf numFmtId="0" fontId="30" fillId="0" borderId="35" xfId="3" applyFont="1" applyBorder="1" applyAlignment="1">
      <alignment horizontal="center" vertical="center"/>
    </xf>
    <xf numFmtId="164" fontId="30" fillId="0" borderId="35" xfId="3" applyNumberFormat="1" applyFont="1" applyBorder="1" applyAlignment="1">
      <alignment horizontal="center"/>
    </xf>
    <xf numFmtId="169" fontId="30" fillId="0" borderId="35" xfId="3" applyNumberFormat="1" applyFont="1" applyBorder="1" applyAlignment="1">
      <alignment horizontal="center"/>
    </xf>
    <xf numFmtId="164" fontId="33" fillId="0" borderId="35" xfId="3" applyNumberFormat="1" applyFont="1" applyBorder="1" applyAlignment="1">
      <alignment horizontal="center"/>
    </xf>
    <xf numFmtId="166" fontId="33" fillId="0" borderId="35" xfId="81" applyNumberFormat="1" applyFont="1" applyFill="1" applyBorder="1"/>
    <xf numFmtId="166" fontId="33" fillId="5" borderId="35" xfId="81" applyNumberFormat="1" applyFont="1" applyFill="1" applyBorder="1"/>
    <xf numFmtId="0" fontId="30" fillId="0" borderId="37" xfId="3" applyFont="1" applyBorder="1"/>
    <xf numFmtId="166" fontId="33" fillId="0" borderId="6" xfId="81" applyNumberFormat="1" applyFont="1" applyFill="1" applyBorder="1"/>
    <xf numFmtId="0" fontId="31" fillId="0" borderId="1" xfId="75" applyFont="1" applyBorder="1"/>
    <xf numFmtId="0" fontId="33" fillId="0" borderId="50" xfId="3" applyFont="1" applyBorder="1" applyAlignment="1">
      <alignment horizontal="center" vertical="center"/>
    </xf>
    <xf numFmtId="0" fontId="30" fillId="0" borderId="6" xfId="3" applyFont="1" applyBorder="1" applyAlignment="1">
      <alignment horizontal="left" vertical="center"/>
    </xf>
    <xf numFmtId="0" fontId="33" fillId="0" borderId="6" xfId="3" applyFont="1" applyBorder="1" applyAlignment="1">
      <alignment horizontal="center" vertical="center"/>
    </xf>
    <xf numFmtId="164" fontId="33" fillId="0" borderId="6" xfId="3" applyNumberFormat="1" applyFont="1" applyBorder="1" applyAlignment="1">
      <alignment horizontal="center" vertical="center"/>
    </xf>
    <xf numFmtId="0" fontId="33" fillId="0" borderId="32" xfId="3" applyFont="1" applyBorder="1" applyAlignment="1">
      <alignment horizontal="center" vertical="center"/>
    </xf>
    <xf numFmtId="0" fontId="32" fillId="0" borderId="1" xfId="78" applyFont="1" applyBorder="1" applyAlignment="1">
      <alignment horizontal="right"/>
    </xf>
    <xf numFmtId="164" fontId="33" fillId="0" borderId="1" xfId="3" applyNumberFormat="1" applyFont="1" applyBorder="1" applyAlignment="1">
      <alignment horizontal="center" vertical="center"/>
    </xf>
    <xf numFmtId="2" fontId="30" fillId="0" borderId="0" xfId="3" applyNumberFormat="1" applyFont="1" applyAlignment="1">
      <alignment horizontal="center"/>
    </xf>
    <xf numFmtId="0" fontId="33" fillId="3" borderId="1" xfId="3" applyFont="1" applyFill="1" applyBorder="1" applyAlignment="1">
      <alignment horizontal="left" vertical="center"/>
    </xf>
    <xf numFmtId="0" fontId="30" fillId="8" borderId="1" xfId="3" applyFont="1" applyFill="1" applyBorder="1" applyAlignment="1">
      <alignment horizontal="center"/>
    </xf>
    <xf numFmtId="2" fontId="30" fillId="8" borderId="1" xfId="3" applyNumberFormat="1" applyFont="1" applyFill="1" applyBorder="1" applyAlignment="1">
      <alignment horizontal="center"/>
    </xf>
    <xf numFmtId="2" fontId="33" fillId="8" borderId="1" xfId="81" applyNumberFormat="1" applyFont="1" applyFill="1" applyBorder="1" applyAlignment="1">
      <alignment horizontal="center"/>
    </xf>
    <xf numFmtId="10" fontId="30" fillId="8" borderId="1" xfId="3" applyNumberFormat="1" applyFont="1" applyFill="1" applyBorder="1" applyAlignment="1">
      <alignment horizontal="left"/>
    </xf>
    <xf numFmtId="0" fontId="30" fillId="8" borderId="0" xfId="3" applyFont="1" applyFill="1"/>
    <xf numFmtId="2" fontId="32" fillId="13" borderId="1" xfId="75" applyNumberFormat="1" applyFont="1" applyFill="1" applyBorder="1" applyAlignment="1">
      <alignment horizontal="center" vertical="center"/>
    </xf>
    <xf numFmtId="10" fontId="30" fillId="2" borderId="1" xfId="82" applyNumberFormat="1" applyFont="1" applyFill="1" applyBorder="1" applyAlignment="1">
      <alignment horizontal="left"/>
    </xf>
    <xf numFmtId="10" fontId="30" fillId="0" borderId="1" xfId="82" applyNumberFormat="1" applyFont="1" applyFill="1" applyBorder="1" applyAlignment="1">
      <alignment horizontal="left"/>
    </xf>
    <xf numFmtId="0" fontId="30" fillId="8" borderId="1" xfId="3" applyFont="1" applyFill="1" applyBorder="1" applyAlignment="1">
      <alignment wrapText="1"/>
    </xf>
    <xf numFmtId="2" fontId="33" fillId="0" borderId="1" xfId="81" applyNumberFormat="1" applyFont="1" applyFill="1" applyBorder="1" applyAlignment="1">
      <alignment horizontal="center"/>
    </xf>
    <xf numFmtId="164" fontId="30" fillId="0" borderId="1" xfId="3" applyNumberFormat="1" applyFont="1" applyBorder="1" applyAlignment="1">
      <alignment horizontal="left"/>
    </xf>
    <xf numFmtId="164" fontId="30" fillId="0" borderId="0" xfId="3" applyNumberFormat="1" applyFont="1" applyAlignment="1">
      <alignment horizontal="left"/>
    </xf>
    <xf numFmtId="0" fontId="31" fillId="0" borderId="0" xfId="83" applyFont="1" applyAlignment="1">
      <alignment horizontal="justify"/>
    </xf>
    <xf numFmtId="0" fontId="32" fillId="0" borderId="0" xfId="83" applyFont="1" applyAlignment="1">
      <alignment horizontal="center"/>
    </xf>
    <xf numFmtId="2" fontId="32" fillId="0" borderId="0" xfId="83" applyNumberFormat="1" applyFont="1" applyAlignment="1">
      <alignment horizontal="center"/>
    </xf>
    <xf numFmtId="164" fontId="32" fillId="0" borderId="0" xfId="83" applyNumberFormat="1" applyFont="1" applyAlignment="1">
      <alignment horizontal="center"/>
    </xf>
    <xf numFmtId="0" fontId="32" fillId="0" borderId="0" xfId="83" applyFont="1" applyAlignment="1">
      <alignment horizontal="right"/>
    </xf>
    <xf numFmtId="0" fontId="32" fillId="0" borderId="0" xfId="83" applyFont="1"/>
    <xf numFmtId="0" fontId="32" fillId="0" borderId="0" xfId="83" applyFont="1" applyAlignment="1">
      <alignment horizontal="justify"/>
    </xf>
    <xf numFmtId="0" fontId="32" fillId="0" borderId="0" xfId="83" applyFont="1" applyAlignment="1">
      <alignment horizontal="left"/>
    </xf>
    <xf numFmtId="169" fontId="32" fillId="0" borderId="0" xfId="83" applyNumberFormat="1" applyFont="1" applyAlignment="1">
      <alignment horizontal="right"/>
    </xf>
    <xf numFmtId="0" fontId="32" fillId="0" borderId="1" xfId="83" applyFont="1" applyBorder="1" applyAlignment="1">
      <alignment horizontal="justify"/>
    </xf>
    <xf numFmtId="164" fontId="32" fillId="0" borderId="1" xfId="83" applyNumberFormat="1" applyFont="1" applyBorder="1" applyAlignment="1">
      <alignment horizontal="center"/>
    </xf>
    <xf numFmtId="0" fontId="32" fillId="0" borderId="1" xfId="83" applyFont="1" applyBorder="1" applyAlignment="1">
      <alignment horizontal="center"/>
    </xf>
    <xf numFmtId="164" fontId="32" fillId="0" borderId="0" xfId="83" applyNumberFormat="1" applyFont="1" applyAlignment="1">
      <alignment horizontal="right"/>
    </xf>
    <xf numFmtId="0" fontId="31" fillId="0" borderId="1" xfId="83" applyFont="1" applyBorder="1" applyAlignment="1">
      <alignment horizontal="justify"/>
    </xf>
    <xf numFmtId="164" fontId="31" fillId="0" borderId="1" xfId="83" applyNumberFormat="1" applyFont="1" applyBorder="1" applyAlignment="1">
      <alignment horizontal="center"/>
    </xf>
    <xf numFmtId="0" fontId="31" fillId="0" borderId="1" xfId="83" applyFont="1" applyBorder="1" applyAlignment="1">
      <alignment horizontal="center"/>
    </xf>
    <xf numFmtId="164" fontId="32" fillId="0" borderId="1" xfId="83" applyNumberFormat="1" applyFont="1" applyBorder="1" applyAlignment="1">
      <alignment horizontal="center" vertical="center" wrapText="1"/>
    </xf>
    <xf numFmtId="2" fontId="32" fillId="0" borderId="1" xfId="83" applyNumberFormat="1" applyFont="1" applyBorder="1" applyAlignment="1">
      <alignment horizontal="center" vertical="center" wrapText="1"/>
    </xf>
    <xf numFmtId="2" fontId="32" fillId="0" borderId="1" xfId="83" applyNumberFormat="1" applyFont="1" applyBorder="1" applyAlignment="1">
      <alignment horizontal="center" wrapText="1"/>
    </xf>
    <xf numFmtId="0" fontId="32" fillId="0" borderId="1" xfId="83" applyFont="1" applyBorder="1" applyAlignment="1">
      <alignment horizontal="center" vertical="top" wrapText="1"/>
    </xf>
    <xf numFmtId="0" fontId="32" fillId="0" borderId="1" xfId="83" applyFont="1" applyBorder="1" applyAlignment="1">
      <alignment vertical="center"/>
    </xf>
    <xf numFmtId="2" fontId="32" fillId="0" borderId="1" xfId="83" applyNumberFormat="1" applyFont="1" applyBorder="1" applyAlignment="1">
      <alignment horizontal="center"/>
    </xf>
    <xf numFmtId="2" fontId="32" fillId="0" borderId="1" xfId="83" applyNumberFormat="1" applyFont="1" applyBorder="1" applyAlignment="1">
      <alignment horizontal="right"/>
    </xf>
    <xf numFmtId="2" fontId="32" fillId="0" borderId="1" xfId="83" applyNumberFormat="1" applyFont="1" applyBorder="1"/>
    <xf numFmtId="164" fontId="32" fillId="0" borderId="1" xfId="83" applyNumberFormat="1" applyFont="1" applyBorder="1" applyAlignment="1">
      <alignment horizontal="right"/>
    </xf>
    <xf numFmtId="0" fontId="32" fillId="0" borderId="1" xfId="83" applyFont="1" applyBorder="1"/>
    <xf numFmtId="2" fontId="32" fillId="0" borderId="5" xfId="83" applyNumberFormat="1" applyFont="1" applyBorder="1" applyAlignment="1">
      <alignment horizontal="center" vertical="center"/>
    </xf>
    <xf numFmtId="2" fontId="32" fillId="0" borderId="0" xfId="83" applyNumberFormat="1" applyFont="1"/>
    <xf numFmtId="0" fontId="32" fillId="2" borderId="0" xfId="83" applyFont="1" applyFill="1"/>
    <xf numFmtId="0" fontId="32" fillId="2" borderId="5" xfId="83" applyFont="1" applyFill="1" applyBorder="1" applyAlignment="1">
      <alignment horizontal="center" vertical="center"/>
    </xf>
    <xf numFmtId="0" fontId="31" fillId="2" borderId="5" xfId="83" applyFont="1" applyFill="1" applyBorder="1" applyAlignment="1">
      <alignment horizontal="center" vertical="center"/>
    </xf>
    <xf numFmtId="2" fontId="31" fillId="2" borderId="5" xfId="83" applyNumberFormat="1" applyFont="1" applyFill="1" applyBorder="1" applyAlignment="1">
      <alignment horizontal="center" vertical="center"/>
    </xf>
    <xf numFmtId="0" fontId="32" fillId="8" borderId="1" xfId="83" applyFont="1" applyFill="1" applyBorder="1"/>
    <xf numFmtId="0" fontId="32" fillId="8" borderId="1" xfId="83" applyFont="1" applyFill="1" applyBorder="1" applyAlignment="1">
      <alignment horizontal="justify"/>
    </xf>
    <xf numFmtId="2" fontId="32" fillId="8" borderId="1" xfId="83" applyNumberFormat="1" applyFont="1" applyFill="1" applyBorder="1" applyAlignment="1">
      <alignment horizontal="center"/>
    </xf>
    <xf numFmtId="43" fontId="31" fillId="8" borderId="1" xfId="81" applyFont="1" applyFill="1" applyBorder="1" applyAlignment="1">
      <alignment horizontal="right"/>
    </xf>
    <xf numFmtId="0" fontId="32" fillId="5" borderId="0" xfId="83" applyFont="1" applyFill="1"/>
    <xf numFmtId="0" fontId="32" fillId="8" borderId="0" xfId="83" applyFont="1" applyFill="1"/>
    <xf numFmtId="43" fontId="31" fillId="27" borderId="1" xfId="81" applyFont="1" applyFill="1" applyBorder="1" applyAlignment="1">
      <alignment horizontal="right"/>
    </xf>
    <xf numFmtId="43" fontId="32" fillId="0" borderId="0" xfId="83" applyNumberFormat="1" applyFont="1"/>
    <xf numFmtId="1" fontId="32" fillId="5" borderId="1" xfId="83" applyNumberFormat="1" applyFont="1" applyFill="1" applyBorder="1" applyAlignment="1">
      <alignment horizontal="center"/>
    </xf>
    <xf numFmtId="175" fontId="31" fillId="27" borderId="1" xfId="81" applyNumberFormat="1" applyFont="1" applyFill="1" applyBorder="1" applyAlignment="1">
      <alignment horizontal="right"/>
    </xf>
    <xf numFmtId="0" fontId="32" fillId="8" borderId="1" xfId="83" applyFont="1" applyFill="1" applyBorder="1" applyAlignment="1">
      <alignment horizontal="center"/>
    </xf>
    <xf numFmtId="0" fontId="32" fillId="5" borderId="1" xfId="83" applyFont="1" applyFill="1" applyBorder="1" applyAlignment="1">
      <alignment horizontal="center"/>
    </xf>
    <xf numFmtId="0" fontId="32" fillId="5" borderId="1" xfId="83" applyFont="1" applyFill="1" applyBorder="1" applyAlignment="1">
      <alignment horizontal="justify"/>
    </xf>
    <xf numFmtId="2" fontId="32" fillId="5" borderId="1" xfId="83" applyNumberFormat="1" applyFont="1" applyFill="1" applyBorder="1" applyAlignment="1">
      <alignment horizontal="center"/>
    </xf>
    <xf numFmtId="0" fontId="32" fillId="5" borderId="0" xfId="83" applyFont="1" applyFill="1" applyAlignment="1">
      <alignment horizontal="right"/>
    </xf>
    <xf numFmtId="2" fontId="32" fillId="0" borderId="0" xfId="83" applyNumberFormat="1" applyFont="1" applyAlignment="1">
      <alignment horizontal="right"/>
    </xf>
    <xf numFmtId="43" fontId="31" fillId="0" borderId="0" xfId="81" applyFont="1" applyAlignment="1">
      <alignment horizontal="center"/>
    </xf>
    <xf numFmtId="0" fontId="32" fillId="8" borderId="0" xfId="83" applyFont="1" applyFill="1" applyAlignment="1">
      <alignment horizontal="center"/>
    </xf>
    <xf numFmtId="2" fontId="32" fillId="8" borderId="0" xfId="83" applyNumberFormat="1" applyFont="1" applyFill="1" applyAlignment="1">
      <alignment horizontal="center"/>
    </xf>
    <xf numFmtId="164" fontId="32" fillId="8" borderId="0" xfId="83" applyNumberFormat="1" applyFont="1" applyFill="1" applyAlignment="1">
      <alignment horizontal="center"/>
    </xf>
    <xf numFmtId="0" fontId="64" fillId="0" borderId="1" xfId="75" applyFont="1" applyBorder="1" applyAlignment="1">
      <alignment horizontal="center" vertical="center"/>
    </xf>
    <xf numFmtId="0" fontId="11" fillId="0" borderId="1" xfId="75" applyBorder="1" applyAlignment="1">
      <alignment horizontal="center" vertical="center"/>
    </xf>
    <xf numFmtId="0" fontId="11" fillId="0" borderId="0" xfId="75" applyAlignment="1">
      <alignment horizontal="center"/>
    </xf>
    <xf numFmtId="0" fontId="32" fillId="0" borderId="1" xfId="83" applyFont="1" applyBorder="1" applyAlignment="1">
      <alignment horizontal="center" vertical="center"/>
    </xf>
    <xf numFmtId="164" fontId="32" fillId="0" borderId="1" xfId="83" applyNumberFormat="1" applyFont="1" applyBorder="1" applyAlignment="1">
      <alignment horizontal="center" vertical="center"/>
    </xf>
    <xf numFmtId="2" fontId="32" fillId="0" borderId="1" xfId="83" applyNumberFormat="1" applyFont="1" applyBorder="1" applyAlignment="1">
      <alignment horizontal="center" vertical="center"/>
    </xf>
    <xf numFmtId="0" fontId="32" fillId="0" borderId="1" xfId="83" applyFont="1" applyBorder="1" applyAlignment="1">
      <alignment horizontal="center" vertical="center" wrapText="1"/>
    </xf>
    <xf numFmtId="10" fontId="34" fillId="0" borderId="1" xfId="82" applyNumberFormat="1" applyFont="1" applyBorder="1" applyAlignment="1">
      <alignment horizontal="center" vertical="center"/>
    </xf>
    <xf numFmtId="2" fontId="32" fillId="8" borderId="1" xfId="83" applyNumberFormat="1" applyFont="1" applyFill="1" applyBorder="1" applyAlignment="1">
      <alignment horizontal="center" vertical="center"/>
    </xf>
    <xf numFmtId="0" fontId="32" fillId="2" borderId="1" xfId="83" applyFont="1" applyFill="1" applyBorder="1" applyAlignment="1">
      <alignment horizontal="center" vertical="center"/>
    </xf>
    <xf numFmtId="0" fontId="31" fillId="2" borderId="1" xfId="83" applyFont="1" applyFill="1" applyBorder="1" applyAlignment="1">
      <alignment horizontal="center" vertical="center"/>
    </xf>
    <xf numFmtId="1" fontId="32" fillId="0" borderId="1" xfId="83" applyNumberFormat="1" applyFont="1" applyBorder="1" applyAlignment="1">
      <alignment horizontal="center" vertical="center"/>
    </xf>
    <xf numFmtId="166" fontId="33" fillId="3" borderId="1" xfId="38" applyNumberFormat="1" applyFont="1" applyFill="1" applyBorder="1" applyAlignment="1">
      <alignment horizontal="center" vertical="center"/>
    </xf>
    <xf numFmtId="166" fontId="30" fillId="2" borderId="1" xfId="38" applyNumberFormat="1" applyFont="1" applyFill="1" applyBorder="1" applyAlignment="1">
      <alignment horizontal="center"/>
    </xf>
    <xf numFmtId="2" fontId="32" fillId="0" borderId="1" xfId="78" applyNumberFormat="1" applyFont="1" applyBorder="1" applyAlignment="1">
      <alignment horizontal="center"/>
    </xf>
    <xf numFmtId="43" fontId="33" fillId="15" borderId="1" xfId="38" applyFont="1" applyFill="1" applyBorder="1" applyAlignment="1">
      <alignment horizontal="center"/>
    </xf>
    <xf numFmtId="0" fontId="34" fillId="0" borderId="1" xfId="32" applyBorder="1" applyAlignment="1">
      <alignment horizontal="center"/>
    </xf>
    <xf numFmtId="164" fontId="34" fillId="0" borderId="1" xfId="32" applyNumberFormat="1" applyBorder="1" applyAlignment="1">
      <alignment horizontal="center"/>
    </xf>
    <xf numFmtId="2" fontId="34" fillId="0" borderId="1" xfId="32" applyNumberFormat="1" applyBorder="1" applyAlignment="1">
      <alignment horizontal="center"/>
    </xf>
    <xf numFmtId="0" fontId="11" fillId="0" borderId="0" xfId="75" applyAlignment="1">
      <alignment horizontal="center" vertical="center"/>
    </xf>
    <xf numFmtId="164" fontId="30" fillId="2" borderId="1" xfId="3" applyNumberFormat="1" applyFont="1" applyFill="1" applyBorder="1" applyAlignment="1">
      <alignment horizontal="center" vertical="center"/>
    </xf>
    <xf numFmtId="166" fontId="30" fillId="2" borderId="1" xfId="38" applyNumberFormat="1" applyFont="1" applyFill="1" applyBorder="1" applyAlignment="1">
      <alignment horizontal="center" vertical="center"/>
    </xf>
    <xf numFmtId="0" fontId="32" fillId="0" borderId="1" xfId="78" applyFont="1" applyBorder="1" applyAlignment="1">
      <alignment horizontal="center" vertical="center"/>
    </xf>
    <xf numFmtId="2" fontId="32" fillId="0" borderId="1" xfId="78" applyNumberFormat="1" applyFont="1" applyBorder="1" applyAlignment="1">
      <alignment horizontal="center" vertical="center"/>
    </xf>
    <xf numFmtId="0" fontId="34" fillId="0" borderId="1" xfId="32" applyBorder="1" applyAlignment="1">
      <alignment horizontal="center" vertical="center"/>
    </xf>
    <xf numFmtId="164" fontId="34" fillId="0" borderId="1" xfId="32" applyNumberFormat="1" applyBorder="1" applyAlignment="1">
      <alignment horizontal="center" vertical="center"/>
    </xf>
    <xf numFmtId="2" fontId="34" fillId="0" borderId="1" xfId="32" applyNumberFormat="1" applyBorder="1" applyAlignment="1">
      <alignment horizontal="center" vertical="center"/>
    </xf>
    <xf numFmtId="43" fontId="33" fillId="15" borderId="1" xfId="38" applyFont="1" applyFill="1" applyBorder="1" applyAlignment="1">
      <alignment horizontal="center" vertical="center"/>
    </xf>
    <xf numFmtId="166" fontId="33" fillId="2" borderId="1" xfId="38" applyNumberFormat="1" applyFont="1" applyFill="1" applyBorder="1" applyAlignment="1">
      <alignment horizontal="center" vertical="center"/>
    </xf>
    <xf numFmtId="0" fontId="32" fillId="0" borderId="9" xfId="78" applyFont="1" applyBorder="1" applyAlignment="1">
      <alignment horizontal="center" vertical="center"/>
    </xf>
    <xf numFmtId="0" fontId="32" fillId="0" borderId="4" xfId="78" applyFont="1" applyBorder="1" applyAlignment="1">
      <alignment horizontal="center" vertical="center"/>
    </xf>
    <xf numFmtId="164" fontId="32" fillId="0" borderId="1" xfId="78" applyNumberFormat="1" applyFont="1" applyBorder="1" applyAlignment="1">
      <alignment horizontal="center" vertical="center"/>
    </xf>
    <xf numFmtId="2" fontId="33" fillId="15" borderId="1" xfId="38" applyNumberFormat="1" applyFont="1" applyFill="1" applyBorder="1" applyAlignment="1">
      <alignment horizontal="center" vertical="center"/>
    </xf>
    <xf numFmtId="164" fontId="30" fillId="2" borderId="4" xfId="3" applyNumberFormat="1" applyFont="1" applyFill="1" applyBorder="1" applyAlignment="1">
      <alignment horizontal="center" vertical="center"/>
    </xf>
    <xf numFmtId="0" fontId="32" fillId="5" borderId="1" xfId="80" applyFont="1" applyFill="1" applyBorder="1" applyAlignment="1">
      <alignment horizontal="center" vertical="center"/>
    </xf>
    <xf numFmtId="0" fontId="30" fillId="0" borderId="1" xfId="3" applyFont="1" applyBorder="1" applyAlignment="1">
      <alignment horizontal="center" vertical="center" wrapText="1"/>
    </xf>
    <xf numFmtId="164" fontId="30" fillId="0" borderId="1" xfId="3" applyNumberFormat="1" applyFont="1" applyBorder="1" applyAlignment="1">
      <alignment horizontal="center" vertical="center"/>
    </xf>
    <xf numFmtId="175" fontId="30" fillId="0" borderId="1" xfId="38" applyNumberFormat="1" applyFont="1" applyFill="1" applyBorder="1" applyAlignment="1">
      <alignment horizontal="center" vertical="center"/>
    </xf>
    <xf numFmtId="2" fontId="33" fillId="0" borderId="1" xfId="38" applyNumberFormat="1" applyFont="1" applyFill="1" applyBorder="1" applyAlignment="1">
      <alignment horizontal="center" vertical="center"/>
    </xf>
    <xf numFmtId="0" fontId="30" fillId="5" borderId="1" xfId="3" applyFont="1" applyFill="1" applyBorder="1" applyAlignment="1">
      <alignment wrapText="1"/>
    </xf>
    <xf numFmtId="172" fontId="30" fillId="5" borderId="1" xfId="3" applyNumberFormat="1" applyFont="1" applyFill="1" applyBorder="1"/>
    <xf numFmtId="172" fontId="30" fillId="5" borderId="1" xfId="3" applyNumberFormat="1" applyFont="1" applyFill="1" applyBorder="1" applyAlignment="1">
      <alignment horizontal="center"/>
    </xf>
    <xf numFmtId="172" fontId="33" fillId="5" borderId="1" xfId="81" applyNumberFormat="1" applyFont="1" applyFill="1" applyBorder="1"/>
    <xf numFmtId="0" fontId="32" fillId="5" borderId="0" xfId="75" applyFont="1" applyFill="1"/>
    <xf numFmtId="0" fontId="30" fillId="5" borderId="1" xfId="3" applyFont="1" applyFill="1" applyBorder="1" applyAlignment="1">
      <alignment horizontal="center"/>
    </xf>
    <xf numFmtId="172" fontId="33" fillId="5" borderId="1" xfId="3" applyNumberFormat="1" applyFont="1" applyFill="1" applyBorder="1"/>
    <xf numFmtId="10" fontId="30" fillId="5" borderId="1" xfId="3" applyNumberFormat="1" applyFont="1" applyFill="1" applyBorder="1"/>
    <xf numFmtId="172" fontId="32" fillId="0" borderId="0" xfId="75" applyNumberFormat="1" applyFont="1"/>
    <xf numFmtId="0" fontId="32" fillId="19" borderId="0" xfId="75" applyFont="1" applyFill="1"/>
    <xf numFmtId="164" fontId="32" fillId="0" borderId="1" xfId="83" applyNumberFormat="1" applyFont="1" applyBorder="1" applyAlignment="1">
      <alignment horizontal="center" wrapText="1"/>
    </xf>
    <xf numFmtId="10" fontId="34" fillId="0" borderId="1" xfId="82" applyNumberFormat="1" applyFont="1" applyBorder="1"/>
    <xf numFmtId="0" fontId="32" fillId="2" borderId="5" xfId="83" applyFont="1" applyFill="1" applyBorder="1" applyAlignment="1">
      <alignment horizontal="justify"/>
    </xf>
    <xf numFmtId="0" fontId="11" fillId="5" borderId="0" xfId="75" applyFill="1"/>
    <xf numFmtId="1" fontId="32" fillId="0" borderId="1" xfId="83" applyNumberFormat="1" applyFont="1" applyBorder="1" applyAlignment="1">
      <alignment horizontal="center"/>
    </xf>
    <xf numFmtId="0" fontId="32" fillId="0" borderId="10" xfId="83" applyFont="1" applyBorder="1" applyAlignment="1">
      <alignment horizontal="center"/>
    </xf>
    <xf numFmtId="0" fontId="32" fillId="0" borderId="10" xfId="83" applyFont="1" applyBorder="1" applyAlignment="1">
      <alignment horizontal="justify"/>
    </xf>
    <xf numFmtId="0" fontId="31" fillId="2" borderId="5" xfId="83" applyFont="1" applyFill="1" applyBorder="1" applyAlignment="1">
      <alignment horizontal="center"/>
    </xf>
    <xf numFmtId="2" fontId="11" fillId="0" borderId="0" xfId="75" applyNumberFormat="1"/>
    <xf numFmtId="0" fontId="11" fillId="8" borderId="0" xfId="75" applyFill="1"/>
    <xf numFmtId="1" fontId="32" fillId="8" borderId="1" xfId="83" applyNumberFormat="1" applyFont="1" applyFill="1" applyBorder="1" applyAlignment="1">
      <alignment horizontal="center"/>
    </xf>
    <xf numFmtId="0" fontId="84" fillId="0" borderId="0" xfId="85" applyFont="1" applyAlignment="1">
      <alignment horizontal="center" vertical="center"/>
    </xf>
    <xf numFmtId="0" fontId="85" fillId="0" borderId="0" xfId="85" applyFont="1"/>
    <xf numFmtId="0" fontId="83" fillId="0" borderId="0" xfId="85"/>
    <xf numFmtId="0" fontId="84" fillId="0" borderId="0" xfId="85" applyFont="1"/>
    <xf numFmtId="0" fontId="84" fillId="0" borderId="58" xfId="85" applyFont="1" applyBorder="1" applyAlignment="1">
      <alignment horizontal="center" vertical="center"/>
    </xf>
    <xf numFmtId="0" fontId="84" fillId="0" borderId="58" xfId="85" applyFont="1" applyBorder="1"/>
    <xf numFmtId="0" fontId="85" fillId="0" borderId="58" xfId="85" applyFont="1" applyBorder="1"/>
    <xf numFmtId="0" fontId="86" fillId="0" borderId="58" xfId="85" applyFont="1" applyBorder="1"/>
    <xf numFmtId="0" fontId="87" fillId="0" borderId="58" xfId="85" applyFont="1" applyBorder="1"/>
    <xf numFmtId="2" fontId="87" fillId="0" borderId="58" xfId="85" applyNumberFormat="1" applyFont="1" applyBorder="1" applyAlignment="1">
      <alignment horizontal="right" vertical="center"/>
    </xf>
    <xf numFmtId="0" fontId="88" fillId="0" borderId="58" xfId="85" applyFont="1" applyBorder="1"/>
    <xf numFmtId="169" fontId="88" fillId="0" borderId="58" xfId="85" applyNumberFormat="1" applyFont="1" applyBorder="1"/>
    <xf numFmtId="2" fontId="88" fillId="0" borderId="58" xfId="85" applyNumberFormat="1" applyFont="1" applyBorder="1"/>
    <xf numFmtId="2" fontId="88" fillId="0" borderId="58" xfId="85" applyNumberFormat="1" applyFont="1" applyBorder="1" applyAlignment="1">
      <alignment horizontal="right" vertical="center"/>
    </xf>
    <xf numFmtId="2" fontId="85" fillId="0" borderId="58" xfId="85" applyNumberFormat="1" applyFont="1" applyBorder="1"/>
    <xf numFmtId="0" fontId="85" fillId="0" borderId="0" xfId="85" applyFont="1" applyAlignment="1">
      <alignment wrapText="1"/>
    </xf>
    <xf numFmtId="2" fontId="85" fillId="0" borderId="58" xfId="85" applyNumberFormat="1" applyFont="1" applyBorder="1" applyAlignment="1">
      <alignment vertical="center"/>
    </xf>
    <xf numFmtId="2" fontId="85" fillId="0" borderId="58" xfId="85" applyNumberFormat="1" applyFont="1" applyBorder="1" applyAlignment="1">
      <alignment horizontal="right" vertical="center"/>
    </xf>
    <xf numFmtId="164" fontId="85" fillId="0" borderId="58" xfId="85" applyNumberFormat="1" applyFont="1" applyBorder="1" applyAlignment="1">
      <alignment vertical="center"/>
    </xf>
    <xf numFmtId="2" fontId="84" fillId="0" borderId="58" xfId="85" applyNumberFormat="1" applyFont="1" applyBorder="1"/>
    <xf numFmtId="0" fontId="84" fillId="28" borderId="58" xfId="85" applyFont="1" applyFill="1" applyBorder="1"/>
    <xf numFmtId="2" fontId="84" fillId="28" borderId="58" xfId="85" applyNumberFormat="1" applyFont="1" applyFill="1" applyBorder="1"/>
    <xf numFmtId="1" fontId="84" fillId="0" borderId="58" xfId="85" applyNumberFormat="1" applyFont="1" applyBorder="1"/>
    <xf numFmtId="0" fontId="85" fillId="0" borderId="58" xfId="85" applyFont="1" applyBorder="1" applyAlignment="1">
      <alignment horizontal="right"/>
    </xf>
    <xf numFmtId="0" fontId="84" fillId="0" borderId="58" xfId="85" applyFont="1" applyBorder="1" applyAlignment="1">
      <alignment horizontal="right"/>
    </xf>
    <xf numFmtId="0" fontId="85" fillId="0" borderId="58" xfId="85" applyFont="1" applyBorder="1" applyAlignment="1">
      <alignment horizontal="center" vertical="center"/>
    </xf>
    <xf numFmtId="2" fontId="88" fillId="0" borderId="0" xfId="85" applyNumberFormat="1" applyFont="1"/>
    <xf numFmtId="0" fontId="84" fillId="29" borderId="58" xfId="85" applyFont="1" applyFill="1" applyBorder="1" applyAlignment="1">
      <alignment horizontal="center" vertical="center"/>
    </xf>
    <xf numFmtId="0" fontId="84" fillId="29" borderId="58" xfId="85" applyFont="1" applyFill="1" applyBorder="1" applyAlignment="1">
      <alignment horizontal="center"/>
    </xf>
    <xf numFmtId="0" fontId="84" fillId="29" borderId="58" xfId="85" applyFont="1" applyFill="1" applyBorder="1"/>
    <xf numFmtId="0" fontId="85" fillId="29" borderId="58" xfId="85" applyFont="1" applyFill="1" applyBorder="1"/>
    <xf numFmtId="0" fontId="85" fillId="29" borderId="58" xfId="85" applyFont="1" applyFill="1" applyBorder="1" applyAlignment="1">
      <alignment horizontal="center"/>
    </xf>
    <xf numFmtId="0" fontId="85" fillId="29" borderId="58" xfId="85" applyFont="1" applyFill="1" applyBorder="1" applyAlignment="1">
      <alignment horizontal="center" vertical="center"/>
    </xf>
    <xf numFmtId="164" fontId="85" fillId="29" borderId="58" xfId="85" applyNumberFormat="1" applyFont="1" applyFill="1" applyBorder="1"/>
    <xf numFmtId="2" fontId="85" fillId="29" borderId="58" xfId="85" applyNumberFormat="1" applyFont="1" applyFill="1" applyBorder="1"/>
    <xf numFmtId="164" fontId="85" fillId="29" borderId="58" xfId="85" applyNumberFormat="1" applyFont="1" applyFill="1" applyBorder="1" applyAlignment="1">
      <alignment horizontal="right"/>
    </xf>
    <xf numFmtId="0" fontId="85" fillId="29" borderId="0" xfId="85" applyFont="1" applyFill="1"/>
    <xf numFmtId="164" fontId="84" fillId="28" borderId="58" xfId="85" applyNumberFormat="1" applyFont="1" applyFill="1" applyBorder="1"/>
    <xf numFmtId="2" fontId="84" fillId="29" borderId="58" xfId="85" applyNumberFormat="1" applyFont="1" applyFill="1" applyBorder="1"/>
    <xf numFmtId="164" fontId="84" fillId="29" borderId="58" xfId="85" applyNumberFormat="1" applyFont="1" applyFill="1" applyBorder="1"/>
    <xf numFmtId="0" fontId="89" fillId="29" borderId="58" xfId="85" applyFont="1" applyFill="1" applyBorder="1" applyAlignment="1">
      <alignment horizontal="left"/>
    </xf>
    <xf numFmtId="0" fontId="90" fillId="29" borderId="58" xfId="85" applyFont="1" applyFill="1" applyBorder="1" applyAlignment="1">
      <alignment horizontal="left"/>
    </xf>
    <xf numFmtId="2" fontId="85" fillId="28" borderId="58" xfId="85" applyNumberFormat="1" applyFont="1" applyFill="1" applyBorder="1"/>
    <xf numFmtId="0" fontId="85" fillId="29" borderId="58" xfId="85" applyFont="1" applyFill="1" applyBorder="1" applyAlignment="1">
      <alignment horizontal="left" vertical="top"/>
    </xf>
    <xf numFmtId="0" fontId="84" fillId="30" borderId="58" xfId="85" applyFont="1" applyFill="1" applyBorder="1" applyAlignment="1">
      <alignment horizontal="center" vertical="center"/>
    </xf>
    <xf numFmtId="0" fontId="84" fillId="31" borderId="58" xfId="85" applyFont="1" applyFill="1" applyBorder="1" applyAlignment="1">
      <alignment horizontal="center" vertical="center"/>
    </xf>
    <xf numFmtId="0" fontId="84" fillId="31" borderId="58" xfId="85" applyFont="1" applyFill="1" applyBorder="1" applyAlignment="1">
      <alignment horizontal="left" vertical="center"/>
    </xf>
    <xf numFmtId="0" fontId="84" fillId="31" borderId="58" xfId="85" applyFont="1" applyFill="1" applyBorder="1" applyAlignment="1">
      <alignment horizontal="right" vertical="center"/>
    </xf>
    <xf numFmtId="0" fontId="84" fillId="31" borderId="58" xfId="85" applyFont="1" applyFill="1" applyBorder="1" applyAlignment="1">
      <alignment horizontal="center"/>
    </xf>
    <xf numFmtId="0" fontId="84" fillId="31" borderId="58" xfId="85" applyFont="1" applyFill="1" applyBorder="1"/>
    <xf numFmtId="0" fontId="85" fillId="31" borderId="58" xfId="85" applyFont="1" applyFill="1" applyBorder="1"/>
    <xf numFmtId="0" fontId="85" fillId="31" borderId="58" xfId="85" applyFont="1" applyFill="1" applyBorder="1" applyAlignment="1">
      <alignment horizontal="center"/>
    </xf>
    <xf numFmtId="0" fontId="85" fillId="31" borderId="58" xfId="85" applyFont="1" applyFill="1" applyBorder="1" applyAlignment="1">
      <alignment horizontal="center" vertical="center"/>
    </xf>
    <xf numFmtId="164" fontId="85" fillId="31" borderId="58" xfId="85" applyNumberFormat="1" applyFont="1" applyFill="1" applyBorder="1"/>
    <xf numFmtId="2" fontId="85" fillId="31" borderId="58" xfId="85" applyNumberFormat="1" applyFont="1" applyFill="1" applyBorder="1"/>
    <xf numFmtId="0" fontId="84" fillId="31" borderId="58" xfId="85" applyFont="1" applyFill="1" applyBorder="1" applyAlignment="1">
      <alignment horizontal="left"/>
    </xf>
    <xf numFmtId="0" fontId="89" fillId="31" borderId="58" xfId="85" applyFont="1" applyFill="1" applyBorder="1"/>
    <xf numFmtId="0" fontId="84" fillId="23" borderId="58" xfId="85" applyFont="1" applyFill="1" applyBorder="1" applyAlignment="1">
      <alignment horizontal="center" vertical="center"/>
    </xf>
    <xf numFmtId="0" fontId="84" fillId="2" borderId="58" xfId="85" applyFont="1" applyFill="1" applyBorder="1" applyAlignment="1">
      <alignment horizontal="center" vertical="center"/>
    </xf>
    <xf numFmtId="0" fontId="85" fillId="2" borderId="58" xfId="85" applyFont="1" applyFill="1" applyBorder="1" applyAlignment="1">
      <alignment horizontal="left" vertical="center"/>
    </xf>
    <xf numFmtId="0" fontId="84" fillId="2" borderId="58" xfId="85" applyFont="1" applyFill="1" applyBorder="1"/>
    <xf numFmtId="0" fontId="85" fillId="2" borderId="58" xfId="85" applyFont="1" applyFill="1" applyBorder="1"/>
    <xf numFmtId="169" fontId="84" fillId="2" borderId="58" xfId="85" applyNumberFormat="1" applyFont="1" applyFill="1" applyBorder="1"/>
    <xf numFmtId="2" fontId="85" fillId="2" borderId="58" xfId="85" applyNumberFormat="1" applyFont="1" applyFill="1" applyBorder="1" applyAlignment="1">
      <alignment vertical="center"/>
    </xf>
    <xf numFmtId="164" fontId="88" fillId="2" borderId="58" xfId="85" applyNumberFormat="1" applyFont="1" applyFill="1" applyBorder="1" applyAlignment="1">
      <alignment horizontal="right"/>
    </xf>
    <xf numFmtId="2" fontId="85" fillId="2" borderId="58" xfId="85" applyNumberFormat="1" applyFont="1" applyFill="1" applyBorder="1"/>
    <xf numFmtId="0" fontId="84" fillId="2" borderId="58" xfId="85" applyFont="1" applyFill="1" applyBorder="1" applyAlignment="1">
      <alignment horizontal="left" wrapText="1"/>
    </xf>
    <xf numFmtId="0" fontId="84" fillId="32" borderId="58" xfId="85" applyFont="1" applyFill="1" applyBorder="1" applyAlignment="1">
      <alignment horizontal="center" vertical="center"/>
    </xf>
    <xf numFmtId="2" fontId="84" fillId="31" borderId="58" xfId="85" applyNumberFormat="1" applyFont="1" applyFill="1" applyBorder="1"/>
    <xf numFmtId="0" fontId="85" fillId="29" borderId="58" xfId="85" applyFont="1" applyFill="1" applyBorder="1" applyAlignment="1">
      <alignment horizontal="right"/>
    </xf>
    <xf numFmtId="2" fontId="85" fillId="0" borderId="58" xfId="85" applyNumberFormat="1" applyFont="1" applyBorder="1" applyAlignment="1">
      <alignment horizontal="right"/>
    </xf>
    <xf numFmtId="0" fontId="84" fillId="23" borderId="59" xfId="85" applyFont="1" applyFill="1" applyBorder="1" applyAlignment="1">
      <alignment horizontal="center" vertical="center"/>
    </xf>
    <xf numFmtId="0" fontId="84" fillId="2" borderId="59" xfId="85" applyFont="1" applyFill="1" applyBorder="1" applyAlignment="1">
      <alignment horizontal="center" vertical="center"/>
    </xf>
    <xf numFmtId="0" fontId="84" fillId="0" borderId="59" xfId="85" applyFont="1" applyBorder="1" applyAlignment="1">
      <alignment horizontal="center" vertical="center"/>
    </xf>
    <xf numFmtId="0" fontId="85" fillId="2" borderId="59" xfId="85" applyFont="1" applyFill="1" applyBorder="1"/>
    <xf numFmtId="0" fontId="85" fillId="0" borderId="59" xfId="85" applyFont="1" applyBorder="1"/>
    <xf numFmtId="0" fontId="84" fillId="23" borderId="1" xfId="85" applyFont="1" applyFill="1" applyBorder="1" applyAlignment="1">
      <alignment horizontal="center" vertical="center"/>
    </xf>
    <xf numFmtId="0" fontId="85" fillId="0" borderId="1" xfId="85" applyFont="1" applyBorder="1"/>
    <xf numFmtId="0" fontId="85" fillId="19" borderId="1" xfId="85" applyFont="1" applyFill="1" applyBorder="1"/>
    <xf numFmtId="0" fontId="84" fillId="0" borderId="1" xfId="85" applyFont="1" applyBorder="1"/>
    <xf numFmtId="0" fontId="84" fillId="28" borderId="58" xfId="85" applyFont="1" applyFill="1" applyBorder="1" applyAlignment="1">
      <alignment horizontal="right"/>
    </xf>
    <xf numFmtId="0" fontId="84" fillId="30" borderId="59" xfId="85" applyFont="1" applyFill="1" applyBorder="1" applyAlignment="1">
      <alignment horizontal="center" vertical="center"/>
    </xf>
    <xf numFmtId="0" fontId="84" fillId="31" borderId="59" xfId="85" applyFont="1" applyFill="1" applyBorder="1" applyAlignment="1">
      <alignment horizontal="center" vertical="center"/>
    </xf>
    <xf numFmtId="0" fontId="84" fillId="29" borderId="59" xfId="85" applyFont="1" applyFill="1" applyBorder="1" applyAlignment="1">
      <alignment horizontal="center" vertical="center"/>
    </xf>
    <xf numFmtId="0" fontId="85" fillId="31" borderId="59" xfId="85" applyFont="1" applyFill="1" applyBorder="1"/>
    <xf numFmtId="0" fontId="85" fillId="29" borderId="59" xfId="85" applyFont="1" applyFill="1" applyBorder="1"/>
    <xf numFmtId="0" fontId="84" fillId="29" borderId="59" xfId="85" applyFont="1" applyFill="1" applyBorder="1"/>
    <xf numFmtId="0" fontId="84" fillId="30" borderId="1" xfId="85" applyFont="1" applyFill="1" applyBorder="1" applyAlignment="1">
      <alignment horizontal="center" vertical="center"/>
    </xf>
    <xf numFmtId="0" fontId="84" fillId="31" borderId="1" xfId="85" applyFont="1" applyFill="1" applyBorder="1" applyAlignment="1">
      <alignment horizontal="center" vertical="center"/>
    </xf>
    <xf numFmtId="0" fontId="84" fillId="29" borderId="1" xfId="85" applyFont="1" applyFill="1" applyBorder="1" applyAlignment="1">
      <alignment horizontal="center" vertical="center"/>
    </xf>
    <xf numFmtId="0" fontId="85" fillId="31" borderId="1" xfId="85" applyFont="1" applyFill="1" applyBorder="1"/>
    <xf numFmtId="0" fontId="85" fillId="29" borderId="1" xfId="85" applyFont="1" applyFill="1" applyBorder="1"/>
    <xf numFmtId="0" fontId="84" fillId="29" borderId="1" xfId="85" applyFont="1" applyFill="1" applyBorder="1"/>
    <xf numFmtId="172" fontId="33" fillId="23" borderId="1" xfId="3" applyNumberFormat="1" applyFont="1" applyFill="1" applyBorder="1" applyAlignment="1">
      <alignment horizontal="center" vertical="center"/>
    </xf>
    <xf numFmtId="2" fontId="49" fillId="0" borderId="0" xfId="0" applyNumberFormat="1" applyFont="1" applyAlignment="1">
      <alignment horizontal="center" vertical="center"/>
    </xf>
    <xf numFmtId="12" fontId="33" fillId="15" borderId="1" xfId="38" applyNumberFormat="1" applyFont="1" applyFill="1" applyBorder="1"/>
    <xf numFmtId="0" fontId="84" fillId="32" borderId="59" xfId="85" applyFont="1" applyFill="1" applyBorder="1" applyAlignment="1">
      <alignment horizontal="center" vertical="center"/>
    </xf>
    <xf numFmtId="0" fontId="84" fillId="32" borderId="1" xfId="85" applyFont="1" applyFill="1" applyBorder="1" applyAlignment="1">
      <alignment horizontal="center" vertical="center"/>
    </xf>
    <xf numFmtId="43" fontId="49" fillId="0" borderId="1" xfId="56" applyNumberFormat="1" applyFont="1" applyBorder="1" applyAlignment="1">
      <alignment horizontal="center" vertical="center" wrapText="1"/>
    </xf>
    <xf numFmtId="43" fontId="49" fillId="0" borderId="1" xfId="1" applyFont="1" applyFill="1" applyBorder="1" applyAlignment="1">
      <alignment horizontal="center" vertical="center" wrapText="1"/>
    </xf>
    <xf numFmtId="43" fontId="85" fillId="0" borderId="1" xfId="1" applyFont="1" applyBorder="1"/>
    <xf numFmtId="0" fontId="32" fillId="0" borderId="0" xfId="75" applyFont="1" applyAlignment="1">
      <alignment horizontal="right"/>
    </xf>
    <xf numFmtId="172" fontId="32" fillId="0" borderId="1" xfId="75" applyNumberFormat="1" applyFont="1" applyBorder="1"/>
    <xf numFmtId="164" fontId="32" fillId="0" borderId="1" xfId="75" applyNumberFormat="1" applyFont="1" applyBorder="1"/>
    <xf numFmtId="2" fontId="32" fillId="2" borderId="1" xfId="78" applyNumberFormat="1" applyFont="1" applyFill="1" applyBorder="1" applyAlignment="1">
      <alignment horizontal="center"/>
    </xf>
    <xf numFmtId="0" fontId="32" fillId="2" borderId="1" xfId="78" applyFont="1" applyFill="1" applyBorder="1" applyAlignment="1">
      <alignment horizontal="center"/>
    </xf>
    <xf numFmtId="43" fontId="33" fillId="2" borderId="1" xfId="38" applyFont="1" applyFill="1" applyBorder="1" applyAlignment="1">
      <alignment horizontal="center"/>
    </xf>
    <xf numFmtId="164" fontId="34" fillId="2" borderId="1" xfId="32" applyNumberFormat="1" applyFill="1" applyBorder="1" applyAlignment="1">
      <alignment horizontal="center"/>
    </xf>
    <xf numFmtId="0" fontId="34" fillId="2" borderId="1" xfId="32" applyFill="1" applyBorder="1" applyAlignment="1">
      <alignment horizontal="center"/>
    </xf>
    <xf numFmtId="0" fontId="11" fillId="2" borderId="0" xfId="75" applyFill="1" applyAlignment="1">
      <alignment horizontal="center"/>
    </xf>
    <xf numFmtId="0" fontId="32" fillId="2" borderId="10" xfId="78" applyFont="1" applyFill="1" applyBorder="1" applyAlignment="1">
      <alignment horizontal="center"/>
    </xf>
    <xf numFmtId="0" fontId="11" fillId="2" borderId="0" xfId="75" applyFill="1"/>
    <xf numFmtId="0" fontId="64" fillId="2" borderId="1" xfId="75" applyFont="1" applyFill="1" applyBorder="1"/>
    <xf numFmtId="0" fontId="10" fillId="0" borderId="1" xfId="75" applyFont="1" applyBorder="1"/>
    <xf numFmtId="2" fontId="11" fillId="0" borderId="1" xfId="75" applyNumberFormat="1" applyBorder="1"/>
    <xf numFmtId="0" fontId="9" fillId="0" borderId="0" xfId="75" applyFont="1"/>
    <xf numFmtId="0" fontId="9" fillId="0" borderId="1" xfId="75" applyFont="1" applyBorder="1" applyAlignment="1">
      <alignment horizontal="center"/>
    </xf>
    <xf numFmtId="0" fontId="9" fillId="0" borderId="1" xfId="75" applyFont="1" applyBorder="1"/>
    <xf numFmtId="0" fontId="30" fillId="0" borderId="0" xfId="32" applyFont="1"/>
    <xf numFmtId="0" fontId="30" fillId="0" borderId="0" xfId="32" applyFont="1" applyAlignment="1">
      <alignment horizontal="left"/>
    </xf>
    <xf numFmtId="0" fontId="33" fillId="0" borderId="0" xfId="32" applyFont="1"/>
    <xf numFmtId="0" fontId="33" fillId="5" borderId="1" xfId="32" applyFont="1" applyFill="1" applyBorder="1" applyAlignment="1">
      <alignment horizontal="center" vertical="center"/>
    </xf>
    <xf numFmtId="0" fontId="33" fillId="5" borderId="1" xfId="32" applyFont="1" applyFill="1" applyBorder="1" applyAlignment="1">
      <alignment horizontal="left" vertical="center"/>
    </xf>
    <xf numFmtId="0" fontId="33" fillId="5" borderId="1" xfId="32" applyFont="1" applyFill="1" applyBorder="1" applyAlignment="1">
      <alignment horizontal="right" vertical="center"/>
    </xf>
    <xf numFmtId="164" fontId="33" fillId="8" borderId="1" xfId="3" applyNumberFormat="1" applyFont="1" applyFill="1" applyBorder="1"/>
    <xf numFmtId="2" fontId="33" fillId="8" borderId="1" xfId="32" applyNumberFormat="1" applyFont="1" applyFill="1" applyBorder="1"/>
    <xf numFmtId="0" fontId="30" fillId="21" borderId="0" xfId="32" applyFont="1" applyFill="1"/>
    <xf numFmtId="0" fontId="33" fillId="5" borderId="1" xfId="32" applyFont="1" applyFill="1" applyBorder="1" applyAlignment="1">
      <alignment horizontal="center"/>
    </xf>
    <xf numFmtId="0" fontId="33" fillId="5" borderId="1" xfId="32" applyFont="1" applyFill="1" applyBorder="1"/>
    <xf numFmtId="0" fontId="30" fillId="5" borderId="1" xfId="32" applyFont="1" applyFill="1" applyBorder="1"/>
    <xf numFmtId="0" fontId="30" fillId="5" borderId="1" xfId="32" applyFont="1" applyFill="1" applyBorder="1" applyAlignment="1">
      <alignment horizontal="center"/>
    </xf>
    <xf numFmtId="2" fontId="30" fillId="5" borderId="1" xfId="32" applyNumberFormat="1" applyFont="1" applyFill="1" applyBorder="1"/>
    <xf numFmtId="164" fontId="30" fillId="5" borderId="1" xfId="3" applyNumberFormat="1" applyFont="1" applyFill="1" applyBorder="1" applyAlignment="1">
      <alignment horizontal="right"/>
    </xf>
    <xf numFmtId="0" fontId="30" fillId="5" borderId="1" xfId="32" applyFont="1" applyFill="1" applyBorder="1" applyAlignment="1">
      <alignment horizontal="center" vertical="center"/>
    </xf>
    <xf numFmtId="0" fontId="30" fillId="5" borderId="0" xfId="32" applyFont="1" applyFill="1"/>
    <xf numFmtId="2" fontId="33" fillId="5" borderId="1" xfId="32" applyNumberFormat="1" applyFont="1" applyFill="1" applyBorder="1"/>
    <xf numFmtId="164" fontId="33" fillId="5" borderId="1" xfId="3" applyNumberFormat="1" applyFont="1" applyFill="1" applyBorder="1"/>
    <xf numFmtId="164" fontId="30" fillId="5" borderId="1" xfId="32" applyNumberFormat="1" applyFont="1" applyFill="1" applyBorder="1"/>
    <xf numFmtId="0" fontId="33" fillId="8" borderId="1" xfId="32" applyFont="1" applyFill="1" applyBorder="1"/>
    <xf numFmtId="0" fontId="33" fillId="5" borderId="0" xfId="32" applyFont="1" applyFill="1"/>
    <xf numFmtId="0" fontId="33" fillId="21" borderId="0" xfId="32" applyFont="1" applyFill="1"/>
    <xf numFmtId="0" fontId="33" fillId="0" borderId="1" xfId="32" applyFont="1" applyBorder="1"/>
    <xf numFmtId="0" fontId="30" fillId="0" borderId="1" xfId="32" applyFont="1" applyBorder="1"/>
    <xf numFmtId="0" fontId="30" fillId="21" borderId="1" xfId="32" applyFont="1" applyFill="1" applyBorder="1"/>
    <xf numFmtId="0" fontId="33" fillId="21" borderId="1" xfId="32" applyFont="1" applyFill="1" applyBorder="1"/>
    <xf numFmtId="10" fontId="32" fillId="0" borderId="0" xfId="83" applyNumberFormat="1" applyFont="1" applyAlignment="1">
      <alignment horizontal="center"/>
    </xf>
    <xf numFmtId="9" fontId="32" fillId="0" borderId="0" xfId="83" applyNumberFormat="1" applyFont="1" applyAlignment="1">
      <alignment horizontal="center"/>
    </xf>
    <xf numFmtId="2" fontId="49" fillId="0" borderId="0" xfId="0" applyNumberFormat="1" applyFont="1" applyAlignment="1">
      <alignment horizontal="left" vertical="center"/>
    </xf>
    <xf numFmtId="14" fontId="49" fillId="0" borderId="0" xfId="0" applyNumberFormat="1" applyFont="1" applyAlignment="1">
      <alignment horizontal="center" vertical="center"/>
    </xf>
    <xf numFmtId="43" fontId="0" fillId="0" borderId="1" xfId="1" applyFont="1" applyBorder="1"/>
    <xf numFmtId="0" fontId="49" fillId="0" borderId="0" xfId="0" applyFont="1" applyAlignment="1">
      <alignment horizontal="right" vertical="center"/>
    </xf>
    <xf numFmtId="14" fontId="49" fillId="0" borderId="0" xfId="0" applyNumberFormat="1" applyFont="1" applyAlignment="1">
      <alignment horizontal="right" vertical="center"/>
    </xf>
    <xf numFmtId="0" fontId="49" fillId="0" borderId="0" xfId="32" applyFont="1" applyAlignment="1">
      <alignment horizontal="center" wrapText="1"/>
    </xf>
    <xf numFmtId="0" fontId="49" fillId="0" borderId="0" xfId="32" applyFont="1"/>
    <xf numFmtId="0" fontId="49" fillId="0" borderId="0" xfId="32" applyFont="1" applyAlignment="1">
      <alignment horizontal="center" vertical="center"/>
    </xf>
    <xf numFmtId="1" fontId="49" fillId="0" borderId="0" xfId="32" applyNumberFormat="1" applyFont="1" applyAlignment="1">
      <alignment horizontal="right" vertical="center"/>
    </xf>
    <xf numFmtId="2" fontId="49" fillId="0" borderId="0" xfId="32" applyNumberFormat="1" applyFont="1" applyAlignment="1">
      <alignment horizontal="center" vertical="center"/>
    </xf>
    <xf numFmtId="2" fontId="49" fillId="0" borderId="0" xfId="32" applyNumberFormat="1" applyFont="1" applyAlignment="1">
      <alignment horizontal="left" vertical="center"/>
    </xf>
    <xf numFmtId="14" fontId="49" fillId="0" borderId="0" xfId="32" applyNumberFormat="1" applyFont="1" applyAlignment="1">
      <alignment horizontal="center" vertical="center"/>
    </xf>
    <xf numFmtId="0" fontId="33" fillId="3" borderId="4" xfId="3" applyFont="1" applyFill="1" applyBorder="1" applyAlignment="1">
      <alignment horizontal="left" vertical="center"/>
    </xf>
    <xf numFmtId="2" fontId="33" fillId="8" borderId="1" xfId="86" applyNumberFormat="1" applyFont="1" applyFill="1" applyBorder="1" applyAlignment="1">
      <alignment horizontal="center"/>
    </xf>
    <xf numFmtId="10" fontId="30" fillId="8" borderId="4" xfId="3" applyNumberFormat="1" applyFont="1" applyFill="1" applyBorder="1" applyAlignment="1">
      <alignment horizontal="left"/>
    </xf>
    <xf numFmtId="0" fontId="30" fillId="0" borderId="4" xfId="3" applyFont="1" applyBorder="1" applyAlignment="1">
      <alignment horizontal="left"/>
    </xf>
    <xf numFmtId="2" fontId="32" fillId="13" borderId="1" xfId="87" applyNumberFormat="1" applyFont="1" applyFill="1" applyBorder="1" applyAlignment="1">
      <alignment horizontal="center" vertical="center"/>
    </xf>
    <xf numFmtId="10" fontId="30" fillId="2" borderId="4" xfId="88" applyNumberFormat="1" applyFont="1" applyFill="1" applyBorder="1" applyAlignment="1">
      <alignment horizontal="left"/>
    </xf>
    <xf numFmtId="10" fontId="30" fillId="2" borderId="1" xfId="88" applyNumberFormat="1" applyFont="1" applyFill="1" applyBorder="1" applyAlignment="1">
      <alignment horizontal="left"/>
    </xf>
    <xf numFmtId="10" fontId="30" fillId="0" borderId="4" xfId="88" applyNumberFormat="1" applyFont="1" applyFill="1" applyBorder="1" applyAlignment="1">
      <alignment horizontal="left"/>
    </xf>
    <xf numFmtId="0" fontId="30" fillId="0" borderId="1" xfId="88" applyNumberFormat="1" applyFont="1" applyFill="1" applyBorder="1" applyAlignment="1">
      <alignment horizontal="left"/>
    </xf>
    <xf numFmtId="2" fontId="33" fillId="0" borderId="1" xfId="86" applyNumberFormat="1" applyFont="1" applyFill="1" applyBorder="1" applyAlignment="1">
      <alignment horizontal="center"/>
    </xf>
    <xf numFmtId="10" fontId="30" fillId="0" borderId="4" xfId="3" applyNumberFormat="1" applyFont="1" applyBorder="1" applyAlignment="1">
      <alignment horizontal="left"/>
    </xf>
    <xf numFmtId="2" fontId="30" fillId="0" borderId="1" xfId="86" applyNumberFormat="1" applyFont="1" applyFill="1" applyBorder="1" applyAlignment="1">
      <alignment horizontal="center"/>
    </xf>
    <xf numFmtId="2" fontId="30" fillId="0" borderId="1" xfId="3" applyNumberFormat="1" applyFont="1" applyBorder="1" applyAlignment="1">
      <alignment horizontal="left"/>
    </xf>
    <xf numFmtId="2" fontId="33" fillId="2" borderId="1" xfId="86" applyNumberFormat="1" applyFont="1" applyFill="1" applyBorder="1" applyAlignment="1">
      <alignment horizontal="center"/>
    </xf>
    <xf numFmtId="10" fontId="30" fillId="2" borderId="4" xfId="3" applyNumberFormat="1" applyFont="1" applyFill="1" applyBorder="1" applyAlignment="1">
      <alignment horizontal="left"/>
    </xf>
    <xf numFmtId="164" fontId="30" fillId="0" borderId="4" xfId="3" applyNumberFormat="1" applyFont="1" applyBorder="1" applyAlignment="1">
      <alignment horizontal="left"/>
    </xf>
    <xf numFmtId="43" fontId="85" fillId="0" borderId="1" xfId="4" applyFont="1" applyBorder="1"/>
    <xf numFmtId="10" fontId="30" fillId="2" borderId="1" xfId="88" applyNumberFormat="1" applyFont="1" applyFill="1" applyBorder="1" applyAlignment="1">
      <alignment horizontal="center"/>
    </xf>
    <xf numFmtId="43" fontId="30" fillId="0" borderId="1" xfId="3" applyNumberFormat="1" applyFont="1" applyBorder="1" applyAlignment="1">
      <alignment horizontal="center"/>
    </xf>
    <xf numFmtId="10" fontId="30" fillId="0" borderId="1" xfId="88" applyNumberFormat="1" applyFont="1" applyFill="1" applyBorder="1" applyAlignment="1">
      <alignment horizontal="left"/>
    </xf>
    <xf numFmtId="2" fontId="30" fillId="0" borderId="1" xfId="2" applyNumberFormat="1" applyFont="1" applyFill="1" applyBorder="1" applyAlignment="1">
      <alignment horizontal="center"/>
    </xf>
    <xf numFmtId="43" fontId="30" fillId="0" borderId="1" xfId="3" applyNumberFormat="1" applyFont="1" applyBorder="1" applyAlignment="1">
      <alignment horizontal="left"/>
    </xf>
    <xf numFmtId="10" fontId="30" fillId="8" borderId="1" xfId="3" applyNumberFormat="1" applyFont="1" applyFill="1" applyBorder="1" applyAlignment="1">
      <alignment horizontal="center"/>
    </xf>
    <xf numFmtId="0" fontId="32" fillId="0" borderId="0" xfId="89" applyFont="1"/>
    <xf numFmtId="0" fontId="32" fillId="0" borderId="0" xfId="89" applyFont="1" applyAlignment="1">
      <alignment horizontal="justify"/>
    </xf>
    <xf numFmtId="0" fontId="32" fillId="0" borderId="0" xfId="89" applyFont="1" applyAlignment="1">
      <alignment horizontal="center"/>
    </xf>
    <xf numFmtId="2" fontId="32" fillId="0" borderId="0" xfId="89" applyNumberFormat="1" applyFont="1" applyAlignment="1">
      <alignment horizontal="center"/>
    </xf>
    <xf numFmtId="164" fontId="32" fillId="0" borderId="0" xfId="89" applyNumberFormat="1" applyFont="1" applyAlignment="1">
      <alignment horizontal="center"/>
    </xf>
    <xf numFmtId="0" fontId="32" fillId="0" borderId="0" xfId="89" applyFont="1" applyAlignment="1">
      <alignment horizontal="right"/>
    </xf>
    <xf numFmtId="0" fontId="31" fillId="0" borderId="0" xfId="89" applyFont="1" applyAlignment="1">
      <alignment horizontal="justify"/>
    </xf>
    <xf numFmtId="169" fontId="32" fillId="0" borderId="0" xfId="89" applyNumberFormat="1" applyFont="1" applyAlignment="1">
      <alignment horizontal="right"/>
    </xf>
    <xf numFmtId="0" fontId="32" fillId="0" borderId="1" xfId="89" applyFont="1" applyBorder="1" applyAlignment="1">
      <alignment horizontal="justify"/>
    </xf>
    <xf numFmtId="164" fontId="32" fillId="0" borderId="1" xfId="89" applyNumberFormat="1" applyFont="1" applyBorder="1" applyAlignment="1">
      <alignment horizontal="center"/>
    </xf>
    <xf numFmtId="0" fontId="32" fillId="0" borderId="1" xfId="89" applyFont="1" applyBorder="1" applyAlignment="1">
      <alignment horizontal="center"/>
    </xf>
    <xf numFmtId="9" fontId="32" fillId="0" borderId="0" xfId="89" applyNumberFormat="1" applyFont="1" applyAlignment="1">
      <alignment horizontal="center"/>
    </xf>
    <xf numFmtId="10" fontId="32" fillId="0" borderId="0" xfId="89" applyNumberFormat="1" applyFont="1" applyAlignment="1">
      <alignment horizontal="center"/>
    </xf>
    <xf numFmtId="164" fontId="32" fillId="0" borderId="0" xfId="89" applyNumberFormat="1" applyFont="1" applyAlignment="1">
      <alignment horizontal="right"/>
    </xf>
    <xf numFmtId="0" fontId="31" fillId="0" borderId="1" xfId="89" applyFont="1" applyBorder="1" applyAlignment="1">
      <alignment horizontal="justify"/>
    </xf>
    <xf numFmtId="164" fontId="31" fillId="0" borderId="1" xfId="89" applyNumberFormat="1" applyFont="1" applyBorder="1" applyAlignment="1">
      <alignment horizontal="center"/>
    </xf>
    <xf numFmtId="0" fontId="31" fillId="0" borderId="1" xfId="89" applyFont="1" applyBorder="1" applyAlignment="1">
      <alignment horizontal="center"/>
    </xf>
    <xf numFmtId="0" fontId="32" fillId="0" borderId="1" xfId="89" applyFont="1" applyBorder="1" applyAlignment="1">
      <alignment horizontal="right"/>
    </xf>
    <xf numFmtId="164" fontId="32" fillId="0" borderId="1" xfId="89" applyNumberFormat="1" applyFont="1" applyBorder="1" applyAlignment="1">
      <alignment horizontal="center" vertical="center" wrapText="1"/>
    </xf>
    <xf numFmtId="2" fontId="32" fillId="0" borderId="1" xfId="89" applyNumberFormat="1" applyFont="1" applyBorder="1" applyAlignment="1">
      <alignment horizontal="center" vertical="center" wrapText="1"/>
    </xf>
    <xf numFmtId="2" fontId="32" fillId="0" borderId="1" xfId="89" applyNumberFormat="1" applyFont="1" applyBorder="1" applyAlignment="1">
      <alignment horizontal="center" wrapText="1"/>
    </xf>
    <xf numFmtId="0" fontId="32" fillId="0" borderId="1" xfId="89" applyFont="1" applyBorder="1" applyAlignment="1">
      <alignment horizontal="center" vertical="top" wrapText="1"/>
    </xf>
    <xf numFmtId="0" fontId="32" fillId="0" borderId="4" xfId="89" applyFont="1" applyBorder="1" applyAlignment="1">
      <alignment vertical="center"/>
    </xf>
    <xf numFmtId="0" fontId="32" fillId="0" borderId="1" xfId="89" applyFont="1" applyBorder="1" applyAlignment="1">
      <alignment vertical="center"/>
    </xf>
    <xf numFmtId="2" fontId="32" fillId="0" borderId="1" xfId="89" applyNumberFormat="1" applyFont="1" applyBorder="1" applyAlignment="1">
      <alignment horizontal="center"/>
    </xf>
    <xf numFmtId="2" fontId="32" fillId="0" borderId="1" xfId="89" applyNumberFormat="1" applyFont="1" applyBorder="1" applyAlignment="1">
      <alignment horizontal="right"/>
    </xf>
    <xf numFmtId="2" fontId="32" fillId="0" borderId="1" xfId="89" applyNumberFormat="1" applyFont="1" applyBorder="1"/>
    <xf numFmtId="164" fontId="32" fillId="0" borderId="1" xfId="89" applyNumberFormat="1" applyFont="1" applyBorder="1" applyAlignment="1">
      <alignment horizontal="right"/>
    </xf>
    <xf numFmtId="0" fontId="32" fillId="0" borderId="4" xfId="89" applyFont="1" applyBorder="1"/>
    <xf numFmtId="0" fontId="32" fillId="0" borderId="1" xfId="89" applyFont="1" applyBorder="1"/>
    <xf numFmtId="2" fontId="32" fillId="0" borderId="5" xfId="89" applyNumberFormat="1" applyFont="1" applyBorder="1" applyAlignment="1">
      <alignment horizontal="center" vertical="center"/>
    </xf>
    <xf numFmtId="2" fontId="32" fillId="0" borderId="4" xfId="89" applyNumberFormat="1" applyFont="1" applyBorder="1"/>
    <xf numFmtId="2" fontId="32" fillId="0" borderId="0" xfId="89" applyNumberFormat="1" applyFont="1"/>
    <xf numFmtId="0" fontId="32" fillId="2" borderId="0" xfId="89" applyFont="1" applyFill="1"/>
    <xf numFmtId="0" fontId="32" fillId="2" borderId="5" xfId="89" applyFont="1" applyFill="1" applyBorder="1" applyAlignment="1">
      <alignment horizontal="center" vertical="center"/>
    </xf>
    <xf numFmtId="0" fontId="31" fillId="2" borderId="5" xfId="89" applyFont="1" applyFill="1" applyBorder="1" applyAlignment="1">
      <alignment horizontal="center" vertical="center"/>
    </xf>
    <xf numFmtId="2" fontId="31" fillId="2" borderId="7" xfId="89" applyNumberFormat="1" applyFont="1" applyFill="1" applyBorder="1" applyAlignment="1">
      <alignment horizontal="center" vertical="center"/>
    </xf>
    <xf numFmtId="2" fontId="31" fillId="2" borderId="1" xfId="89" applyNumberFormat="1" applyFont="1" applyFill="1" applyBorder="1" applyAlignment="1">
      <alignment horizontal="center" vertical="center"/>
    </xf>
    <xf numFmtId="0" fontId="32" fillId="8" borderId="1" xfId="89" applyFont="1" applyFill="1" applyBorder="1"/>
    <xf numFmtId="0" fontId="32" fillId="8" borderId="1" xfId="89" applyFont="1" applyFill="1" applyBorder="1" applyAlignment="1">
      <alignment horizontal="justify"/>
    </xf>
    <xf numFmtId="2" fontId="32" fillId="8" borderId="1" xfId="89" applyNumberFormat="1" applyFont="1" applyFill="1" applyBorder="1" applyAlignment="1">
      <alignment horizontal="center"/>
    </xf>
    <xf numFmtId="43" fontId="31" fillId="8" borderId="4" xfId="86" applyFont="1" applyFill="1" applyBorder="1" applyAlignment="1">
      <alignment horizontal="right"/>
    </xf>
    <xf numFmtId="43" fontId="31" fillId="8" borderId="1" xfId="86" applyFont="1" applyFill="1" applyBorder="1" applyAlignment="1">
      <alignment horizontal="right"/>
    </xf>
    <xf numFmtId="2" fontId="32" fillId="8" borderId="0" xfId="89" applyNumberFormat="1" applyFont="1" applyFill="1"/>
    <xf numFmtId="0" fontId="32" fillId="5" borderId="0" xfId="89" applyFont="1" applyFill="1"/>
    <xf numFmtId="0" fontId="32" fillId="8" borderId="0" xfId="89" applyFont="1" applyFill="1"/>
    <xf numFmtId="43" fontId="31" fillId="27" borderId="4" xfId="86" applyFont="1" applyFill="1" applyBorder="1" applyAlignment="1">
      <alignment horizontal="right"/>
    </xf>
    <xf numFmtId="43" fontId="31" fillId="27" borderId="1" xfId="86" applyFont="1" applyFill="1" applyBorder="1" applyAlignment="1">
      <alignment horizontal="right"/>
    </xf>
    <xf numFmtId="9" fontId="32" fillId="0" borderId="0" xfId="88" applyFont="1"/>
    <xf numFmtId="43" fontId="32" fillId="0" borderId="0" xfId="89" applyNumberFormat="1" applyFont="1"/>
    <xf numFmtId="1" fontId="32" fillId="5" borderId="1" xfId="89" applyNumberFormat="1" applyFont="1" applyFill="1" applyBorder="1" applyAlignment="1">
      <alignment horizontal="center"/>
    </xf>
    <xf numFmtId="175" fontId="31" fillId="27" borderId="4" xfId="86" applyNumberFormat="1" applyFont="1" applyFill="1" applyBorder="1" applyAlignment="1">
      <alignment horizontal="right"/>
    </xf>
    <xf numFmtId="0" fontId="32" fillId="5" borderId="1" xfId="89" applyFont="1" applyFill="1" applyBorder="1" applyAlignment="1">
      <alignment horizontal="justify"/>
    </xf>
    <xf numFmtId="2" fontId="32" fillId="5" borderId="1" xfId="89" applyNumberFormat="1" applyFont="1" applyFill="1" applyBorder="1" applyAlignment="1">
      <alignment horizontal="center"/>
    </xf>
    <xf numFmtId="0" fontId="32" fillId="5" borderId="0" xfId="89" applyFont="1" applyFill="1" applyAlignment="1">
      <alignment horizontal="right"/>
    </xf>
    <xf numFmtId="2" fontId="32" fillId="0" borderId="0" xfId="89" applyNumberFormat="1" applyFont="1" applyAlignment="1">
      <alignment horizontal="right"/>
    </xf>
    <xf numFmtId="43" fontId="31" fillId="0" borderId="0" xfId="86" applyFont="1" applyAlignment="1">
      <alignment horizontal="center"/>
    </xf>
    <xf numFmtId="0" fontId="32" fillId="8" borderId="0" xfId="89" applyFont="1" applyFill="1" applyAlignment="1">
      <alignment horizontal="center"/>
    </xf>
    <xf numFmtId="2" fontId="32" fillId="8" borderId="0" xfId="89" applyNumberFormat="1" applyFont="1" applyFill="1" applyAlignment="1">
      <alignment horizontal="center"/>
    </xf>
    <xf numFmtId="164" fontId="32" fillId="8" borderId="0" xfId="89" applyNumberFormat="1" applyFont="1" applyFill="1" applyAlignment="1">
      <alignment horizontal="center"/>
    </xf>
    <xf numFmtId="0" fontId="85" fillId="29" borderId="58" xfId="85" applyFont="1" applyFill="1" applyBorder="1" applyAlignment="1">
      <alignment horizontal="right" vertical="center"/>
    </xf>
    <xf numFmtId="0" fontId="85" fillId="5" borderId="1" xfId="85" applyFont="1" applyFill="1" applyBorder="1"/>
    <xf numFmtId="43" fontId="85" fillId="5" borderId="1" xfId="4" applyFont="1" applyFill="1" applyBorder="1"/>
    <xf numFmtId="0" fontId="85" fillId="5" borderId="0" xfId="85" applyFont="1" applyFill="1"/>
    <xf numFmtId="0" fontId="83" fillId="5" borderId="0" xfId="85" applyFill="1"/>
    <xf numFmtId="0" fontId="31" fillId="0" borderId="1" xfId="3" applyFont="1" applyBorder="1" applyAlignment="1">
      <alignment horizontal="center" vertical="center" wrapText="1"/>
    </xf>
    <xf numFmtId="0" fontId="46" fillId="0" borderId="0" xfId="32" applyFont="1"/>
    <xf numFmtId="0" fontId="46" fillId="0" borderId="0" xfId="32" applyFont="1" applyAlignment="1">
      <alignment horizontal="center"/>
    </xf>
    <xf numFmtId="0" fontId="46" fillId="0" borderId="0" xfId="32" applyFont="1" applyAlignment="1">
      <alignment vertical="center"/>
    </xf>
    <xf numFmtId="0" fontId="46" fillId="0" borderId="0" xfId="32" applyFont="1" applyAlignment="1">
      <alignment horizontal="center" vertical="center"/>
    </xf>
    <xf numFmtId="0" fontId="40" fillId="0" borderId="0" xfId="32" applyFont="1"/>
    <xf numFmtId="0" fontId="91" fillId="0" borderId="0" xfId="32" applyFont="1" applyAlignment="1">
      <alignment vertical="center"/>
    </xf>
    <xf numFmtId="0" fontId="31" fillId="0" borderId="1" xfId="3" applyFont="1" applyBorder="1" applyAlignment="1">
      <alignment horizontal="left" vertical="center" wrapText="1"/>
    </xf>
    <xf numFmtId="43" fontId="31" fillId="0" borderId="1" xfId="1" applyFont="1" applyBorder="1" applyAlignment="1">
      <alignment horizontal="center" vertical="center" wrapText="1"/>
    </xf>
    <xf numFmtId="0" fontId="92" fillId="0" borderId="0" xfId="32" applyFont="1" applyAlignment="1">
      <alignment vertical="center"/>
    </xf>
    <xf numFmtId="0" fontId="30" fillId="0" borderId="1" xfId="32" applyFont="1" applyBorder="1" applyAlignment="1">
      <alignment vertical="center"/>
    </xf>
    <xf numFmtId="0" fontId="30" fillId="0" borderId="1" xfId="32" applyFont="1" applyBorder="1" applyAlignment="1">
      <alignment horizontal="center" vertical="center"/>
    </xf>
    <xf numFmtId="0" fontId="93" fillId="0" borderId="1" xfId="32" applyFont="1" applyBorder="1" applyAlignment="1">
      <alignment horizontal="center" vertical="center"/>
    </xf>
    <xf numFmtId="0" fontId="92" fillId="0" borderId="1" xfId="32" applyFont="1" applyBorder="1" applyAlignment="1">
      <alignment horizontal="center"/>
    </xf>
    <xf numFmtId="0" fontId="33" fillId="0" borderId="1" xfId="32" applyFont="1" applyBorder="1" applyAlignment="1">
      <alignment vertical="center"/>
    </xf>
    <xf numFmtId="0" fontId="33" fillId="0" borderId="1" xfId="32" applyFont="1" applyBorder="1" applyAlignment="1">
      <alignment wrapText="1"/>
    </xf>
    <xf numFmtId="0" fontId="30" fillId="0" borderId="1" xfId="32" applyFont="1" applyBorder="1" applyAlignment="1">
      <alignment horizontal="left" vertical="center"/>
    </xf>
    <xf numFmtId="0" fontId="32" fillId="0" borderId="1" xfId="32" applyFont="1" applyBorder="1" applyAlignment="1">
      <alignment horizontal="justify" vertical="center" wrapText="1"/>
    </xf>
    <xf numFmtId="0" fontId="30" fillId="17" borderId="1" xfId="32" applyFont="1" applyFill="1" applyBorder="1" applyAlignment="1">
      <alignment vertical="center"/>
    </xf>
    <xf numFmtId="0" fontId="30" fillId="17" borderId="1" xfId="32" applyFont="1" applyFill="1" applyBorder="1" applyAlignment="1">
      <alignment horizontal="center" vertical="center"/>
    </xf>
    <xf numFmtId="0" fontId="30" fillId="17" borderId="1" xfId="32" applyFont="1" applyFill="1" applyBorder="1"/>
    <xf numFmtId="0" fontId="31" fillId="0" borderId="1" xfId="32" applyFont="1" applyBorder="1" applyAlignment="1">
      <alignment horizontal="justify" vertical="center" wrapText="1"/>
    </xf>
    <xf numFmtId="0" fontId="30" fillId="0" borderId="1" xfId="32" applyFont="1" applyBorder="1" applyAlignment="1">
      <alignment horizontal="left" vertical="center" indent="1"/>
    </xf>
    <xf numFmtId="2" fontId="30" fillId="0" borderId="1" xfId="32" applyNumberFormat="1" applyFont="1" applyBorder="1" applyAlignment="1">
      <alignment horizontal="center" vertical="center" wrapText="1"/>
    </xf>
    <xf numFmtId="0" fontId="33" fillId="0" borderId="1" xfId="32" applyFont="1" applyBorder="1" applyAlignment="1">
      <alignment horizontal="center" vertical="center"/>
    </xf>
    <xf numFmtId="0" fontId="33" fillId="0" borderId="1" xfId="91" applyFont="1" applyBorder="1" applyAlignment="1">
      <alignment vertical="top" wrapText="1"/>
    </xf>
    <xf numFmtId="0" fontId="30" fillId="0" borderId="1" xfId="31" applyFont="1" applyBorder="1" applyAlignment="1">
      <alignment horizontal="center" vertical="center"/>
    </xf>
    <xf numFmtId="0" fontId="30" fillId="0" borderId="1" xfId="32" applyFont="1" applyBorder="1" applyAlignment="1">
      <alignment horizontal="center" vertical="center" wrapText="1"/>
    </xf>
    <xf numFmtId="2" fontId="30" fillId="0" borderId="1" xfId="32" applyNumberFormat="1" applyFont="1" applyBorder="1" applyAlignment="1">
      <alignment horizontal="center" vertical="center"/>
    </xf>
    <xf numFmtId="0" fontId="30" fillId="0" borderId="1" xfId="32" applyFont="1" applyBorder="1" applyAlignment="1">
      <alignment vertical="center" wrapText="1"/>
    </xf>
    <xf numFmtId="0" fontId="30" fillId="0" borderId="1" xfId="32" applyFont="1" applyBorder="1" applyAlignment="1">
      <alignment wrapText="1"/>
    </xf>
    <xf numFmtId="0" fontId="30" fillId="0" borderId="1" xfId="31" applyFont="1" applyBorder="1" applyAlignment="1">
      <alignment vertical="center" wrapText="1"/>
    </xf>
    <xf numFmtId="0" fontId="30" fillId="0" borderId="1" xfId="35" applyFont="1" applyBorder="1" applyAlignment="1">
      <alignment horizontal="center" vertical="center" wrapText="1"/>
    </xf>
    <xf numFmtId="4" fontId="30" fillId="0" borderId="1" xfId="32" applyNumberFormat="1" applyFont="1" applyBorder="1" applyAlignment="1">
      <alignment horizontal="center" vertical="center"/>
    </xf>
    <xf numFmtId="0" fontId="33" fillId="0" borderId="1" xfId="32" applyFont="1" applyBorder="1" applyAlignment="1">
      <alignment vertical="center" wrapText="1"/>
    </xf>
    <xf numFmtId="0" fontId="30" fillId="0" borderId="1" xfId="31" applyFont="1" applyBorder="1" applyAlignment="1">
      <alignment horizontal="center" vertical="top"/>
    </xf>
    <xf numFmtId="0" fontId="30" fillId="0" borderId="1" xfId="32" applyFont="1" applyBorder="1" applyAlignment="1">
      <alignment horizontal="center" vertical="top"/>
    </xf>
    <xf numFmtId="0" fontId="33" fillId="0" borderId="1" xfId="32" applyFont="1" applyBorder="1" applyAlignment="1">
      <alignment horizontal="left" vertical="center"/>
    </xf>
    <xf numFmtId="0" fontId="51" fillId="0" borderId="1" xfId="32" applyFont="1" applyBorder="1" applyAlignment="1">
      <alignment horizontal="left" wrapText="1"/>
    </xf>
    <xf numFmtId="0" fontId="30" fillId="0" borderId="1" xfId="32" applyFont="1" applyBorder="1" applyAlignment="1">
      <alignment horizontal="center"/>
    </xf>
    <xf numFmtId="0" fontId="30" fillId="0" borderId="1" xfId="3" applyFont="1" applyBorder="1" applyAlignment="1">
      <alignment vertical="top" wrapText="1"/>
    </xf>
    <xf numFmtId="0" fontId="33" fillId="0" borderId="1" xfId="3" applyFont="1" applyBorder="1" applyAlignment="1">
      <alignment wrapText="1"/>
    </xf>
    <xf numFmtId="43" fontId="30" fillId="0" borderId="1" xfId="32" applyNumberFormat="1" applyFont="1" applyBorder="1" applyAlignment="1">
      <alignment horizontal="center" vertical="center"/>
    </xf>
    <xf numFmtId="0" fontId="30" fillId="0" borderId="0" xfId="32" applyFont="1" applyAlignment="1">
      <alignment horizontal="center" vertical="center"/>
    </xf>
    <xf numFmtId="0" fontId="33" fillId="0" borderId="1" xfId="32" applyFont="1" applyBorder="1" applyAlignment="1">
      <alignment horizontal="left" vertical="center" indent="1"/>
    </xf>
    <xf numFmtId="1" fontId="30" fillId="0" borderId="1" xfId="32" applyNumberFormat="1" applyFont="1" applyBorder="1" applyAlignment="1">
      <alignment horizontal="center" vertical="center"/>
    </xf>
    <xf numFmtId="3" fontId="30" fillId="0" borderId="1" xfId="32" applyNumberFormat="1" applyFont="1" applyBorder="1" applyAlignment="1">
      <alignment horizontal="center" vertical="center"/>
    </xf>
    <xf numFmtId="0" fontId="30" fillId="0" borderId="1" xfId="91" applyFont="1" applyBorder="1" applyAlignment="1">
      <alignment vertical="top" wrapText="1"/>
    </xf>
    <xf numFmtId="0" fontId="30" fillId="0" borderId="1" xfId="32" applyFont="1" applyBorder="1" applyAlignment="1">
      <alignment horizontal="left" vertical="center" wrapText="1"/>
    </xf>
    <xf numFmtId="0" fontId="31" fillId="0" borderId="1" xfId="32" applyFont="1" applyBorder="1" applyAlignment="1">
      <alignment horizontal="justify" vertical="center"/>
    </xf>
    <xf numFmtId="0" fontId="30" fillId="0" borderId="0" xfId="32" applyFont="1" applyAlignment="1">
      <alignment vertical="center"/>
    </xf>
    <xf numFmtId="0" fontId="50" fillId="0" borderId="13" xfId="0" applyFont="1" applyBorder="1" applyAlignment="1">
      <alignment horizontal="left" vertical="center"/>
    </xf>
    <xf numFmtId="43" fontId="49" fillId="8" borderId="1" xfId="1" applyFont="1" applyFill="1" applyBorder="1" applyAlignment="1">
      <alignment horizontal="center" vertical="center" wrapText="1"/>
    </xf>
    <xf numFmtId="0" fontId="40" fillId="0" borderId="1" xfId="92" applyFont="1" applyBorder="1" applyAlignment="1">
      <alignment horizontal="left" vertical="center" wrapText="1" indent="2"/>
    </xf>
    <xf numFmtId="0" fontId="30" fillId="0" borderId="4" xfId="3" applyFont="1" applyBorder="1" applyAlignment="1">
      <alignment horizontal="center" vertical="center"/>
    </xf>
    <xf numFmtId="0" fontId="30" fillId="0" borderId="1" xfId="89" applyFont="1" applyBorder="1" applyAlignment="1">
      <alignment horizontal="justify"/>
    </xf>
    <xf numFmtId="0" fontId="50" fillId="4" borderId="13" xfId="0" applyFont="1" applyFill="1" applyBorder="1" applyAlignment="1">
      <alignment horizontal="left" vertical="center"/>
    </xf>
    <xf numFmtId="2" fontId="31" fillId="0" borderId="1" xfId="3" applyNumberFormat="1" applyFont="1" applyBorder="1"/>
    <xf numFmtId="0" fontId="35" fillId="5" borderId="1" xfId="3" applyFont="1" applyFill="1" applyBorder="1"/>
    <xf numFmtId="2" fontId="32" fillId="0" borderId="1" xfId="3" applyNumberFormat="1" applyFont="1" applyBorder="1"/>
    <xf numFmtId="0" fontId="34" fillId="5" borderId="0" xfId="32" applyFill="1"/>
    <xf numFmtId="2" fontId="30" fillId="5" borderId="1" xfId="3" applyNumberFormat="1" applyFont="1" applyFill="1" applyBorder="1"/>
    <xf numFmtId="0" fontId="34" fillId="5" borderId="1" xfId="32" applyFill="1" applyBorder="1"/>
    <xf numFmtId="0" fontId="34" fillId="2" borderId="0" xfId="32" applyFill="1"/>
    <xf numFmtId="0" fontId="30" fillId="2" borderId="0" xfId="3" applyFont="1" applyFill="1"/>
    <xf numFmtId="2" fontId="96" fillId="2" borderId="1" xfId="3" applyNumberFormat="1" applyFont="1" applyFill="1" applyBorder="1"/>
    <xf numFmtId="0" fontId="35" fillId="2" borderId="1" xfId="3" applyFont="1" applyFill="1" applyBorder="1"/>
    <xf numFmtId="164" fontId="30" fillId="8" borderId="1" xfId="3" applyNumberFormat="1" applyFont="1" applyFill="1" applyBorder="1" applyAlignment="1">
      <alignment horizontal="center"/>
    </xf>
    <xf numFmtId="2" fontId="30" fillId="8" borderId="0" xfId="3" applyNumberFormat="1" applyFont="1" applyFill="1"/>
    <xf numFmtId="0" fontId="30" fillId="0" borderId="1" xfId="3" applyFont="1" applyBorder="1" applyAlignment="1">
      <alignment horizontal="left" vertical="center"/>
    </xf>
    <xf numFmtId="164" fontId="30" fillId="8" borderId="1" xfId="3" applyNumberFormat="1" applyFont="1" applyFill="1" applyBorder="1" applyAlignment="1">
      <alignment horizontal="right"/>
    </xf>
    <xf numFmtId="0" fontId="97" fillId="0" borderId="1" xfId="3" applyFont="1" applyBorder="1" applyAlignment="1">
      <alignment horizontal="left" indent="1"/>
    </xf>
    <xf numFmtId="0" fontId="81" fillId="2" borderId="1" xfId="3" applyFont="1" applyFill="1" applyBorder="1"/>
    <xf numFmtId="164" fontId="30" fillId="8" borderId="0" xfId="3" applyNumberFormat="1" applyFont="1" applyFill="1"/>
    <xf numFmtId="0" fontId="30" fillId="5" borderId="0" xfId="0" applyFont="1" applyFill="1"/>
    <xf numFmtId="2" fontId="30" fillId="5" borderId="1" xfId="0" applyNumberFormat="1" applyFont="1" applyFill="1" applyBorder="1"/>
    <xf numFmtId="0" fontId="30" fillId="5" borderId="4" xfId="0" applyFont="1" applyFill="1" applyBorder="1"/>
    <xf numFmtId="0" fontId="33" fillId="5" borderId="1" xfId="0" applyFont="1" applyFill="1" applyBorder="1" applyAlignment="1">
      <alignment horizontal="center"/>
    </xf>
    <xf numFmtId="0" fontId="65" fillId="0" borderId="1" xfId="0" applyFont="1" applyBorder="1"/>
    <xf numFmtId="0" fontId="31" fillId="0" borderId="1" xfId="3" applyFont="1" applyBorder="1"/>
    <xf numFmtId="164" fontId="32" fillId="8" borderId="1" xfId="3" applyNumberFormat="1" applyFont="1" applyFill="1" applyBorder="1"/>
    <xf numFmtId="0" fontId="65" fillId="0" borderId="58" xfId="85" applyFont="1" applyBorder="1"/>
    <xf numFmtId="0" fontId="85" fillId="5" borderId="59" xfId="85" applyFont="1" applyFill="1" applyBorder="1"/>
    <xf numFmtId="0" fontId="85" fillId="5" borderId="58" xfId="85" applyFont="1" applyFill="1" applyBorder="1"/>
    <xf numFmtId="0" fontId="84" fillId="5" borderId="58" xfId="85" applyFont="1" applyFill="1" applyBorder="1" applyAlignment="1">
      <alignment horizontal="center" vertical="center"/>
    </xf>
    <xf numFmtId="0" fontId="32" fillId="0" borderId="1" xfId="85" applyFont="1" applyBorder="1"/>
    <xf numFmtId="0" fontId="32" fillId="0" borderId="59" xfId="85" applyFont="1" applyBorder="1"/>
    <xf numFmtId="0" fontId="32" fillId="0" borderId="58" xfId="85" applyFont="1" applyBorder="1"/>
    <xf numFmtId="2" fontId="32" fillId="0" borderId="58" xfId="85" applyNumberFormat="1" applyFont="1" applyBorder="1"/>
    <xf numFmtId="0" fontId="9" fillId="0" borderId="58" xfId="85" applyFont="1" applyBorder="1"/>
    <xf numFmtId="0" fontId="31" fillId="0" borderId="58" xfId="85" applyFont="1" applyBorder="1" applyAlignment="1">
      <alignment horizontal="center" vertical="center"/>
    </xf>
    <xf numFmtId="164" fontId="32" fillId="0" borderId="58" xfId="85" applyNumberFormat="1" applyFont="1" applyBorder="1" applyAlignment="1">
      <alignment vertical="center"/>
    </xf>
    <xf numFmtId="2" fontId="32" fillId="0" borderId="58" xfId="85" applyNumberFormat="1" applyFont="1" applyBorder="1" applyAlignment="1">
      <alignment horizontal="right" vertical="center"/>
    </xf>
    <xf numFmtId="2" fontId="32" fillId="0" borderId="58" xfId="85" applyNumberFormat="1" applyFont="1" applyBorder="1" applyAlignment="1">
      <alignment vertical="center"/>
    </xf>
    <xf numFmtId="2" fontId="9" fillId="0" borderId="58" xfId="85" applyNumberFormat="1" applyFont="1" applyBorder="1"/>
    <xf numFmtId="2" fontId="9" fillId="0" borderId="58" xfId="85" applyNumberFormat="1" applyFont="1" applyBorder="1" applyAlignment="1">
      <alignment horizontal="right" vertical="center"/>
    </xf>
    <xf numFmtId="0" fontId="32" fillId="0" borderId="1" xfId="85" applyFont="1" applyBorder="1" applyAlignment="1">
      <alignment wrapText="1"/>
    </xf>
    <xf numFmtId="169" fontId="9" fillId="0" borderId="58" xfId="85" applyNumberFormat="1" applyFont="1" applyBorder="1"/>
    <xf numFmtId="0" fontId="60" fillId="0" borderId="58" xfId="85" applyFont="1" applyBorder="1"/>
    <xf numFmtId="2" fontId="34" fillId="0" borderId="1" xfId="32" applyNumberFormat="1" applyBorder="1"/>
    <xf numFmtId="164" fontId="30" fillId="0" borderId="1" xfId="3" applyNumberFormat="1" applyFont="1" applyBorder="1" applyAlignment="1">
      <alignment horizontal="right"/>
    </xf>
    <xf numFmtId="0" fontId="33" fillId="17" borderId="1" xfId="3" applyFont="1" applyFill="1" applyBorder="1" applyAlignment="1">
      <alignment horizontal="center"/>
    </xf>
    <xf numFmtId="0" fontId="33" fillId="17" borderId="1" xfId="3" applyFont="1" applyFill="1" applyBorder="1"/>
    <xf numFmtId="0" fontId="33" fillId="17" borderId="1" xfId="3" applyFont="1" applyFill="1" applyBorder="1" applyAlignment="1">
      <alignment horizontal="center" vertical="center"/>
    </xf>
    <xf numFmtId="164" fontId="33" fillId="17" borderId="1" xfId="3" applyNumberFormat="1" applyFont="1" applyFill="1" applyBorder="1"/>
    <xf numFmtId="10" fontId="33" fillId="17" borderId="4" xfId="2" applyNumberFormat="1" applyFont="1" applyFill="1" applyBorder="1"/>
    <xf numFmtId="2" fontId="33" fillId="19" borderId="1" xfId="2" applyNumberFormat="1" applyFont="1" applyFill="1" applyBorder="1"/>
    <xf numFmtId="0" fontId="59" fillId="19" borderId="0" xfId="0" applyFont="1" applyFill="1"/>
    <xf numFmtId="0" fontId="32" fillId="0" borderId="6" xfId="0" applyFont="1" applyBorder="1"/>
    <xf numFmtId="0" fontId="33" fillId="0" borderId="1" xfId="3" applyFont="1" applyBorder="1" applyAlignment="1">
      <alignment horizontal="left" indent="1"/>
    </xf>
    <xf numFmtId="0" fontId="33" fillId="0" borderId="1" xfId="3" applyFont="1" applyBorder="1" applyAlignment="1">
      <alignment horizontal="center" vertical="center" wrapText="1"/>
    </xf>
    <xf numFmtId="0" fontId="33" fillId="0" borderId="4" xfId="3" applyFont="1" applyBorder="1" applyAlignment="1">
      <alignment wrapText="1"/>
    </xf>
    <xf numFmtId="2" fontId="33" fillId="0" borderId="1" xfId="3" applyNumberFormat="1" applyFont="1" applyBorder="1" applyAlignment="1">
      <alignment wrapText="1"/>
    </xf>
    <xf numFmtId="164" fontId="32" fillId="0" borderId="1" xfId="0" applyNumberFormat="1" applyFont="1" applyBorder="1"/>
    <xf numFmtId="0" fontId="31" fillId="18" borderId="1" xfId="0" applyFont="1" applyFill="1" applyBorder="1" applyAlignment="1">
      <alignment horizontal="center"/>
    </xf>
    <xf numFmtId="0" fontId="31" fillId="18" borderId="1" xfId="0" applyFont="1" applyFill="1" applyBorder="1"/>
    <xf numFmtId="0" fontId="32" fillId="18" borderId="1" xfId="0" applyFont="1" applyFill="1" applyBorder="1"/>
    <xf numFmtId="0" fontId="30" fillId="18" borderId="4" xfId="0" applyFont="1" applyFill="1" applyBorder="1"/>
    <xf numFmtId="2" fontId="30" fillId="18" borderId="1" xfId="0" applyNumberFormat="1" applyFont="1" applyFill="1" applyBorder="1"/>
    <xf numFmtId="0" fontId="30" fillId="18" borderId="0" xfId="0" applyFont="1" applyFill="1"/>
    <xf numFmtId="2" fontId="32" fillId="8" borderId="1" xfId="78" applyNumberFormat="1" applyFont="1" applyFill="1" applyBorder="1" applyAlignment="1">
      <alignment horizontal="center"/>
    </xf>
    <xf numFmtId="0" fontId="98" fillId="2" borderId="58" xfId="85" applyFont="1" applyFill="1" applyBorder="1"/>
    <xf numFmtId="172" fontId="99" fillId="0" borderId="1" xfId="75" applyNumberFormat="1" applyFont="1" applyBorder="1"/>
    <xf numFmtId="0" fontId="35" fillId="0" borderId="0" xfId="3" applyFont="1" applyAlignment="1">
      <alignment horizontal="left" indent="1"/>
    </xf>
    <xf numFmtId="0" fontId="30" fillId="34" borderId="6" xfId="3" applyFont="1" applyFill="1" applyBorder="1" applyAlignment="1">
      <alignment horizontal="center" vertical="center"/>
    </xf>
    <xf numFmtId="0" fontId="32" fillId="2" borderId="1" xfId="83" applyFont="1" applyFill="1" applyBorder="1"/>
    <xf numFmtId="0" fontId="32" fillId="2" borderId="1" xfId="83" applyFont="1" applyFill="1" applyBorder="1" applyAlignment="1">
      <alignment horizontal="justify"/>
    </xf>
    <xf numFmtId="0" fontId="31" fillId="2" borderId="1" xfId="83" applyFont="1" applyFill="1" applyBorder="1" applyAlignment="1">
      <alignment horizontal="center"/>
    </xf>
    <xf numFmtId="0" fontId="6" fillId="0" borderId="1" xfId="75" applyFont="1" applyBorder="1"/>
    <xf numFmtId="0" fontId="40" fillId="8" borderId="1" xfId="0" applyFont="1" applyFill="1" applyBorder="1"/>
    <xf numFmtId="0" fontId="40" fillId="5" borderId="1" xfId="0" applyFont="1" applyFill="1" applyBorder="1"/>
    <xf numFmtId="0" fontId="32" fillId="8" borderId="1" xfId="89" applyFont="1" applyFill="1" applyBorder="1" applyAlignment="1">
      <alignment horizontal="center"/>
    </xf>
    <xf numFmtId="1" fontId="32" fillId="8" borderId="1" xfId="89" applyNumberFormat="1" applyFont="1" applyFill="1" applyBorder="1" applyAlignment="1">
      <alignment horizontal="center"/>
    </xf>
    <xf numFmtId="175" fontId="31" fillId="8" borderId="4" xfId="86" applyNumberFormat="1" applyFont="1" applyFill="1" applyBorder="1" applyAlignment="1">
      <alignment horizontal="right"/>
    </xf>
    <xf numFmtId="0" fontId="32" fillId="8" borderId="0" xfId="89" applyFont="1" applyFill="1" applyAlignment="1">
      <alignment horizontal="right"/>
    </xf>
    <xf numFmtId="164" fontId="32" fillId="2" borderId="1" xfId="0" applyNumberFormat="1" applyFont="1" applyFill="1" applyBorder="1"/>
    <xf numFmtId="2" fontId="32" fillId="2" borderId="1" xfId="0" applyNumberFormat="1" applyFont="1" applyFill="1" applyBorder="1"/>
    <xf numFmtId="0" fontId="33" fillId="2" borderId="1" xfId="3" applyFont="1" applyFill="1" applyBorder="1" applyAlignment="1">
      <alignment vertical="center" wrapText="1"/>
    </xf>
    <xf numFmtId="43" fontId="31" fillId="0" borderId="1" xfId="1" applyFont="1" applyBorder="1"/>
    <xf numFmtId="43" fontId="33" fillId="0" borderId="1" xfId="1" applyFont="1" applyBorder="1"/>
    <xf numFmtId="43" fontId="11" fillId="0" borderId="6" xfId="1" applyFont="1" applyBorder="1"/>
    <xf numFmtId="2" fontId="30" fillId="2" borderId="1" xfId="81" applyNumberFormat="1" applyFont="1" applyFill="1" applyBorder="1" applyAlignment="1">
      <alignment horizontal="center"/>
    </xf>
    <xf numFmtId="0" fontId="94" fillId="0" borderId="1" xfId="0" applyFont="1" applyBorder="1" applyAlignment="1">
      <alignment wrapText="1"/>
    </xf>
    <xf numFmtId="0" fontId="50" fillId="0" borderId="1" xfId="0" applyFont="1" applyBorder="1" applyAlignment="1">
      <alignment wrapText="1"/>
    </xf>
    <xf numFmtId="0" fontId="33" fillId="0" borderId="24" xfId="0" applyFont="1" applyBorder="1"/>
    <xf numFmtId="0" fontId="30" fillId="0" borderId="27" xfId="0" applyFont="1" applyBorder="1" applyAlignment="1">
      <alignment horizontal="center" vertical="center"/>
    </xf>
    <xf numFmtId="0" fontId="49" fillId="0" borderId="60" xfId="0" applyFont="1" applyBorder="1" applyAlignment="1">
      <alignment horizontal="center" vertical="center"/>
    </xf>
    <xf numFmtId="0" fontId="49" fillId="4" borderId="60" xfId="0" applyFont="1" applyFill="1" applyBorder="1" applyAlignment="1">
      <alignment horizontal="center" vertical="center"/>
    </xf>
    <xf numFmtId="0" fontId="30" fillId="4" borderId="61" xfId="0" applyFont="1" applyFill="1" applyBorder="1" applyAlignment="1">
      <alignment horizontal="center" vertical="center"/>
    </xf>
    <xf numFmtId="0" fontId="49" fillId="4" borderId="35" xfId="0" applyFont="1" applyFill="1" applyBorder="1" applyAlignment="1">
      <alignment horizontal="left" vertical="center" wrapText="1"/>
    </xf>
    <xf numFmtId="0" fontId="49" fillId="0" borderId="13" xfId="0" applyFont="1" applyBorder="1" applyAlignment="1">
      <alignment horizontal="left" vertical="center"/>
    </xf>
    <xf numFmtId="0" fontId="49" fillId="4" borderId="13" xfId="0" applyFont="1" applyFill="1" applyBorder="1" applyAlignment="1">
      <alignment horizontal="left" vertical="center"/>
    </xf>
    <xf numFmtId="0" fontId="39" fillId="0" borderId="13" xfId="0" applyFont="1" applyBorder="1" applyAlignment="1">
      <alignment horizontal="left" vertical="center"/>
    </xf>
    <xf numFmtId="0" fontId="40" fillId="0" borderId="1" xfId="0" applyFont="1" applyBorder="1" applyAlignment="1">
      <alignment horizontal="left" vertical="top" wrapText="1"/>
    </xf>
    <xf numFmtId="0" fontId="40" fillId="0" borderId="1" xfId="56" applyFont="1" applyBorder="1" applyAlignment="1">
      <alignment horizontal="center" vertical="center" wrapText="1"/>
    </xf>
    <xf numFmtId="0" fontId="39" fillId="0" borderId="0" xfId="0" applyFont="1" applyAlignment="1">
      <alignment horizontal="center"/>
    </xf>
    <xf numFmtId="0" fontId="39" fillId="23" borderId="13" xfId="0" applyFont="1" applyFill="1" applyBorder="1" applyAlignment="1">
      <alignment horizontal="left" vertical="center"/>
    </xf>
    <xf numFmtId="0" fontId="39" fillId="23" borderId="1" xfId="0" applyFont="1" applyFill="1" applyBorder="1" applyAlignment="1">
      <alignment horizontal="left" vertical="top" wrapText="1"/>
    </xf>
    <xf numFmtId="0" fontId="39" fillId="23" borderId="1" xfId="56" applyFont="1" applyFill="1" applyBorder="1" applyAlignment="1">
      <alignment horizontal="center" vertical="center" wrapText="1"/>
    </xf>
    <xf numFmtId="43" fontId="39" fillId="23" borderId="1" xfId="1" applyFont="1" applyFill="1" applyBorder="1" applyAlignment="1">
      <alignment horizontal="right" vertical="center" wrapText="1"/>
    </xf>
    <xf numFmtId="43" fontId="39" fillId="23" borderId="1" xfId="56" applyNumberFormat="1" applyFont="1" applyFill="1" applyBorder="1" applyAlignment="1">
      <alignment horizontal="center" vertical="center" wrapText="1"/>
    </xf>
    <xf numFmtId="0" fontId="39" fillId="33" borderId="13" xfId="0" applyFont="1" applyFill="1" applyBorder="1" applyAlignment="1">
      <alignment horizontal="left" vertical="center"/>
    </xf>
    <xf numFmtId="0" fontId="39" fillId="0" borderId="1" xfId="0" applyFont="1" applyBorder="1" applyAlignment="1">
      <alignment horizontal="left" vertical="top" wrapText="1"/>
    </xf>
    <xf numFmtId="0" fontId="40" fillId="33" borderId="1" xfId="56" applyFont="1" applyFill="1" applyBorder="1" applyAlignment="1">
      <alignment horizontal="center" vertical="center" wrapText="1"/>
    </xf>
    <xf numFmtId="43" fontId="39" fillId="33" borderId="1" xfId="56" applyNumberFormat="1" applyFont="1" applyFill="1" applyBorder="1" applyAlignment="1">
      <alignment horizontal="center" vertical="center" wrapText="1"/>
    </xf>
    <xf numFmtId="0" fontId="40" fillId="5" borderId="13" xfId="0" applyFont="1" applyFill="1" applyBorder="1" applyAlignment="1">
      <alignment horizontal="left" vertical="center"/>
    </xf>
    <xf numFmtId="43" fontId="40" fillId="0" borderId="1" xfId="1" applyFont="1" applyFill="1" applyBorder="1" applyAlignment="1">
      <alignment horizontal="right" vertical="center" wrapText="1"/>
    </xf>
    <xf numFmtId="43" fontId="40" fillId="0" borderId="1" xfId="56" applyNumberFormat="1" applyFont="1" applyBorder="1" applyAlignment="1">
      <alignment horizontal="center" vertical="center" wrapText="1"/>
    </xf>
    <xf numFmtId="0" fontId="39" fillId="0" borderId="1" xfId="84" applyFont="1" applyBorder="1" applyAlignment="1">
      <alignment vertical="top" wrapText="1"/>
    </xf>
    <xf numFmtId="0" fontId="40" fillId="0" borderId="1" xfId="0" applyFont="1" applyBorder="1" applyAlignment="1">
      <alignment wrapText="1"/>
    </xf>
    <xf numFmtId="0" fontId="40" fillId="0" borderId="1" xfId="31" applyFont="1" applyBorder="1" applyAlignment="1">
      <alignment vertical="center" wrapText="1"/>
    </xf>
    <xf numFmtId="43" fontId="40" fillId="5" borderId="1" xfId="1" applyFont="1" applyFill="1" applyBorder="1" applyAlignment="1">
      <alignment horizontal="right" vertical="center" wrapText="1"/>
    </xf>
    <xf numFmtId="0" fontId="46" fillId="0" borderId="1" xfId="0" applyFont="1" applyBorder="1" applyAlignment="1">
      <alignment horizontal="justify" vertical="center" wrapText="1"/>
    </xf>
    <xf numFmtId="0" fontId="40" fillId="0" borderId="1" xfId="32" applyFont="1" applyBorder="1" applyAlignment="1">
      <alignment vertical="center" wrapText="1"/>
    </xf>
    <xf numFmtId="0" fontId="40" fillId="0" borderId="1" xfId="0" applyFont="1" applyBorder="1" applyAlignment="1">
      <alignment vertical="center" wrapText="1"/>
    </xf>
    <xf numFmtId="0" fontId="40" fillId="23" borderId="1" xfId="56" applyFont="1" applyFill="1" applyBorder="1" applyAlignment="1">
      <alignment horizontal="center" vertical="center" wrapText="1"/>
    </xf>
    <xf numFmtId="43" fontId="40" fillId="23" borderId="1" xfId="1" applyFont="1" applyFill="1" applyBorder="1" applyAlignment="1">
      <alignment horizontal="right" vertical="center" wrapText="1"/>
    </xf>
    <xf numFmtId="0" fontId="39" fillId="33" borderId="0" xfId="0" applyFont="1" applyFill="1" applyAlignment="1">
      <alignment horizontal="center"/>
    </xf>
    <xf numFmtId="0" fontId="40" fillId="0" borderId="13" xfId="0" applyFont="1" applyBorder="1" applyAlignment="1">
      <alignment horizontal="left" vertical="center"/>
    </xf>
    <xf numFmtId="0" fontId="9" fillId="0" borderId="1" xfId="0" applyFont="1" applyBorder="1" applyAlignment="1">
      <alignment horizontal="justify" vertical="center" wrapText="1"/>
    </xf>
    <xf numFmtId="0" fontId="40" fillId="0" borderId="1" xfId="3" applyFont="1" applyBorder="1" applyAlignment="1">
      <alignment vertical="top" wrapText="1"/>
    </xf>
    <xf numFmtId="0" fontId="39" fillId="0" borderId="1" xfId="56" applyFont="1" applyBorder="1" applyAlignment="1">
      <alignment horizontal="left" vertical="center" wrapText="1"/>
    </xf>
    <xf numFmtId="0" fontId="40" fillId="0" borderId="1" xfId="56" applyFont="1" applyBorder="1" applyAlignment="1">
      <alignment vertical="center"/>
    </xf>
    <xf numFmtId="175" fontId="40" fillId="5" borderId="1" xfId="1" applyNumberFormat="1" applyFont="1" applyFill="1" applyBorder="1" applyAlignment="1">
      <alignment vertical="center" wrapText="1"/>
    </xf>
    <xf numFmtId="175" fontId="40" fillId="23" borderId="1" xfId="1" applyNumberFormat="1" applyFont="1" applyFill="1" applyBorder="1" applyAlignment="1">
      <alignment vertical="center" wrapText="1"/>
    </xf>
    <xf numFmtId="175" fontId="40" fillId="33" borderId="1" xfId="1" applyNumberFormat="1" applyFont="1" applyFill="1" applyBorder="1" applyAlignment="1">
      <alignment vertical="center" wrapText="1"/>
    </xf>
    <xf numFmtId="0" fontId="40" fillId="0" borderId="1" xfId="56" applyFont="1" applyBorder="1" applyAlignment="1">
      <alignment vertical="center" wrapText="1"/>
    </xf>
    <xf numFmtId="0" fontId="39" fillId="0" borderId="1" xfId="56" applyFont="1" applyBorder="1" applyAlignment="1">
      <alignment horizontal="center" vertical="center" wrapText="1"/>
    </xf>
    <xf numFmtId="43" fontId="40" fillId="0" borderId="1" xfId="0" applyNumberFormat="1" applyFont="1" applyBorder="1" applyAlignment="1">
      <alignment vertical="center"/>
    </xf>
    <xf numFmtId="0" fontId="40" fillId="0" borderId="1" xfId="0" applyFont="1" applyBorder="1" applyAlignment="1">
      <alignment vertical="center"/>
    </xf>
    <xf numFmtId="175" fontId="39" fillId="23" borderId="1" xfId="1" applyNumberFormat="1" applyFont="1" applyFill="1" applyBorder="1" applyAlignment="1">
      <alignment vertical="center" wrapText="1"/>
    </xf>
    <xf numFmtId="0" fontId="39" fillId="5" borderId="0" xfId="0" applyFont="1" applyFill="1" applyAlignment="1">
      <alignment horizontal="center"/>
    </xf>
    <xf numFmtId="0" fontId="39" fillId="0" borderId="1" xfId="0" applyFont="1" applyBorder="1" applyAlignment="1">
      <alignment vertical="center" wrapText="1"/>
    </xf>
    <xf numFmtId="0" fontId="40" fillId="5" borderId="1" xfId="3" applyFont="1" applyFill="1" applyBorder="1" applyAlignment="1">
      <alignment vertical="center" wrapText="1"/>
    </xf>
    <xf numFmtId="0" fontId="40" fillId="5" borderId="1" xfId="0" applyFont="1" applyFill="1" applyBorder="1" applyAlignment="1">
      <alignment vertical="center" wrapText="1"/>
    </xf>
    <xf numFmtId="0" fontId="39" fillId="5" borderId="13" xfId="0" applyFont="1" applyFill="1" applyBorder="1" applyAlignment="1">
      <alignment horizontal="left" vertical="center"/>
    </xf>
    <xf numFmtId="0" fontId="40" fillId="5" borderId="1" xfId="56" applyFont="1" applyFill="1" applyBorder="1" applyAlignment="1">
      <alignment horizontal="center" vertical="center" wrapText="1"/>
    </xf>
    <xf numFmtId="43" fontId="39" fillId="5" borderId="1" xfId="56" applyNumberFormat="1" applyFont="1" applyFill="1" applyBorder="1" applyAlignment="1">
      <alignment horizontal="center" vertical="center" wrapText="1"/>
    </xf>
    <xf numFmtId="43" fontId="40" fillId="0" borderId="1" xfId="56" applyNumberFormat="1" applyFont="1" applyBorder="1" applyAlignment="1">
      <alignment horizontal="right" vertical="center" wrapText="1"/>
    </xf>
    <xf numFmtId="43" fontId="40" fillId="23" borderId="1" xfId="56" applyNumberFormat="1" applyFont="1" applyFill="1" applyBorder="1" applyAlignment="1">
      <alignment horizontal="center" vertical="center" wrapText="1"/>
    </xf>
    <xf numFmtId="164" fontId="40" fillId="0" borderId="1" xfId="0" applyNumberFormat="1" applyFont="1" applyBorder="1" applyAlignment="1">
      <alignment horizontal="center" vertical="center" wrapText="1"/>
    </xf>
    <xf numFmtId="43" fontId="40" fillId="0" borderId="1" xfId="1" applyFont="1" applyFill="1" applyBorder="1" applyAlignment="1">
      <alignment horizontal="center" vertical="center" wrapText="1"/>
    </xf>
    <xf numFmtId="0" fontId="39" fillId="0" borderId="1" xfId="3" applyFont="1" applyBorder="1" applyAlignment="1">
      <alignment wrapText="1"/>
    </xf>
    <xf numFmtId="0" fontId="40" fillId="0" borderId="1" xfId="3" applyFont="1" applyBorder="1" applyAlignment="1">
      <alignment wrapText="1"/>
    </xf>
    <xf numFmtId="0" fontId="40" fillId="0" borderId="1" xfId="32" applyFont="1" applyBorder="1" applyAlignment="1">
      <alignment horizontal="left" vertical="top" wrapText="1"/>
    </xf>
    <xf numFmtId="164" fontId="39" fillId="0" borderId="1" xfId="0" applyNumberFormat="1" applyFont="1" applyBorder="1" applyAlignment="1">
      <alignment horizontal="center" vertical="center" wrapText="1"/>
    </xf>
    <xf numFmtId="0" fontId="40" fillId="5" borderId="0" xfId="0" applyFont="1" applyFill="1"/>
    <xf numFmtId="0" fontId="40" fillId="33" borderId="0" xfId="0" applyFont="1" applyFill="1"/>
    <xf numFmtId="0" fontId="39" fillId="13" borderId="13" xfId="0" applyFont="1" applyFill="1" applyBorder="1" applyAlignment="1">
      <alignment horizontal="left" vertical="center"/>
    </xf>
    <xf numFmtId="0" fontId="63" fillId="0" borderId="0" xfId="0" applyFont="1"/>
    <xf numFmtId="0" fontId="40" fillId="0" borderId="1" xfId="3" applyFont="1" applyBorder="1" applyAlignment="1">
      <alignment horizontal="left" wrapText="1" indent="2"/>
    </xf>
    <xf numFmtId="43" fontId="39" fillId="0" borderId="1" xfId="56" applyNumberFormat="1" applyFont="1" applyBorder="1" applyAlignment="1">
      <alignment horizontal="center" vertical="center" wrapText="1"/>
    </xf>
    <xf numFmtId="0" fontId="40" fillId="0" borderId="0" xfId="0" applyFont="1" applyAlignment="1">
      <alignment horizontal="center" vertical="center"/>
    </xf>
    <xf numFmtId="2" fontId="40" fillId="0" borderId="0" xfId="0" applyNumberFormat="1" applyFont="1" applyAlignment="1">
      <alignment horizontal="center" vertical="center"/>
    </xf>
    <xf numFmtId="0" fontId="39" fillId="5" borderId="0" xfId="0" applyFont="1" applyFill="1"/>
    <xf numFmtId="0" fontId="40" fillId="0" borderId="1" xfId="3" applyFont="1" applyBorder="1" applyAlignment="1">
      <alignment horizontal="left" vertical="top" wrapText="1"/>
    </xf>
    <xf numFmtId="2" fontId="40" fillId="0" borderId="0" xfId="0" applyNumberFormat="1" applyFont="1"/>
    <xf numFmtId="43" fontId="40" fillId="0" borderId="1" xfId="0" applyNumberFormat="1" applyFont="1" applyBorder="1"/>
    <xf numFmtId="0" fontId="40" fillId="5" borderId="1" xfId="32" applyFont="1" applyFill="1" applyBorder="1" applyAlignment="1">
      <alignment wrapText="1"/>
    </xf>
    <xf numFmtId="0" fontId="39" fillId="0" borderId="0" xfId="0" applyFont="1" applyAlignment="1">
      <alignment vertical="center"/>
    </xf>
    <xf numFmtId="43" fontId="40" fillId="0" borderId="1" xfId="0" applyNumberFormat="1" applyFont="1" applyBorder="1" applyAlignment="1">
      <alignment horizontal="center" vertical="center" wrapText="1"/>
    </xf>
    <xf numFmtId="0" fontId="39" fillId="14" borderId="35" xfId="0" applyFont="1" applyFill="1" applyBorder="1" applyAlignment="1">
      <alignment vertical="center"/>
    </xf>
    <xf numFmtId="164" fontId="39" fillId="14" borderId="35" xfId="0" applyNumberFormat="1" applyFont="1" applyFill="1" applyBorder="1" applyAlignment="1">
      <alignment horizontal="center" vertical="center"/>
    </xf>
    <xf numFmtId="1" fontId="39" fillId="14" borderId="35" xfId="0" applyNumberFormat="1" applyFont="1" applyFill="1" applyBorder="1" applyAlignment="1">
      <alignment horizontal="right" vertical="center"/>
    </xf>
    <xf numFmtId="2" fontId="39" fillId="14" borderId="35" xfId="0" applyNumberFormat="1" applyFont="1" applyFill="1" applyBorder="1" applyAlignment="1">
      <alignment horizontal="center" vertical="center"/>
    </xf>
    <xf numFmtId="0" fontId="40" fillId="0" borderId="0" xfId="0" applyFont="1" applyAlignment="1">
      <alignment horizontal="left" vertical="center"/>
    </xf>
    <xf numFmtId="0" fontId="39" fillId="14" borderId="6" xfId="0" applyFont="1" applyFill="1" applyBorder="1"/>
    <xf numFmtId="0" fontId="39" fillId="14" borderId="6" xfId="0" applyFont="1" applyFill="1" applyBorder="1" applyAlignment="1">
      <alignment horizontal="center" vertical="center"/>
    </xf>
    <xf numFmtId="1" fontId="39" fillId="14" borderId="6" xfId="0" applyNumberFormat="1" applyFont="1" applyFill="1" applyBorder="1" applyAlignment="1">
      <alignment horizontal="right" vertical="center"/>
    </xf>
    <xf numFmtId="2" fontId="39" fillId="14" borderId="6" xfId="0" applyNumberFormat="1" applyFont="1" applyFill="1" applyBorder="1" applyAlignment="1">
      <alignment horizontal="center" vertical="center"/>
    </xf>
    <xf numFmtId="43" fontId="39" fillId="14" borderId="6" xfId="0" applyNumberFormat="1" applyFont="1" applyFill="1" applyBorder="1" applyAlignment="1">
      <alignment horizontal="center" vertical="center"/>
    </xf>
    <xf numFmtId="0" fontId="9" fillId="0" borderId="1" xfId="83" applyFont="1" applyBorder="1" applyAlignment="1">
      <alignment horizontal="center" vertical="center"/>
    </xf>
    <xf numFmtId="175" fontId="40" fillId="0" borderId="1" xfId="1" applyNumberFormat="1" applyFont="1" applyFill="1" applyBorder="1" applyAlignment="1">
      <alignment horizontal="center" vertical="center" wrapText="1"/>
    </xf>
    <xf numFmtId="0" fontId="40" fillId="0" borderId="4" xfId="56" applyFont="1" applyBorder="1" applyAlignment="1">
      <alignment horizontal="center" vertical="center" wrapText="1"/>
    </xf>
    <xf numFmtId="43" fontId="39" fillId="0" borderId="0" xfId="0" applyNumberFormat="1" applyFont="1"/>
    <xf numFmtId="0" fontId="46" fillId="0" borderId="1" xfId="0" applyFont="1" applyBorder="1"/>
    <xf numFmtId="1" fontId="40" fillId="0" borderId="1" xfId="0" applyNumberFormat="1" applyFont="1" applyBorder="1" applyAlignment="1">
      <alignment horizontal="right" vertical="center"/>
    </xf>
    <xf numFmtId="2" fontId="40" fillId="0" borderId="1" xfId="0" applyNumberFormat="1" applyFont="1" applyBorder="1" applyAlignment="1">
      <alignment horizontal="center" vertical="center"/>
    </xf>
    <xf numFmtId="0" fontId="33" fillId="34" borderId="1" xfId="32" applyFont="1" applyFill="1" applyBorder="1" applyAlignment="1">
      <alignment horizontal="center"/>
    </xf>
    <xf numFmtId="0" fontId="33" fillId="34" borderId="1" xfId="3" applyFont="1" applyFill="1" applyBorder="1" applyAlignment="1">
      <alignment horizontal="left" indent="1"/>
    </xf>
    <xf numFmtId="0" fontId="30" fillId="34" borderId="1" xfId="3" applyFont="1" applyFill="1" applyBorder="1" applyAlignment="1">
      <alignment horizontal="center" vertical="center"/>
    </xf>
    <xf numFmtId="164" fontId="30" fillId="34" borderId="1" xfId="3" applyNumberFormat="1" applyFont="1" applyFill="1" applyBorder="1"/>
    <xf numFmtId="2" fontId="30" fillId="34" borderId="1" xfId="32" applyNumberFormat="1" applyFont="1" applyFill="1" applyBorder="1"/>
    <xf numFmtId="0" fontId="30" fillId="34" borderId="1" xfId="32" applyFont="1" applyFill="1" applyBorder="1" applyAlignment="1">
      <alignment horizontal="center"/>
    </xf>
    <xf numFmtId="0" fontId="30" fillId="34" borderId="1" xfId="3" applyFont="1" applyFill="1" applyBorder="1"/>
    <xf numFmtId="0" fontId="30" fillId="34" borderId="1" xfId="32" applyFont="1" applyFill="1" applyBorder="1"/>
    <xf numFmtId="0" fontId="30" fillId="34" borderId="0" xfId="32" applyFont="1" applyFill="1"/>
    <xf numFmtId="0" fontId="33" fillId="34" borderId="1" xfId="32" applyFont="1" applyFill="1" applyBorder="1"/>
    <xf numFmtId="2" fontId="33" fillId="34" borderId="1" xfId="32" applyNumberFormat="1" applyFont="1" applyFill="1" applyBorder="1"/>
    <xf numFmtId="0" fontId="39" fillId="20" borderId="13" xfId="0" applyFont="1" applyFill="1" applyBorder="1" applyAlignment="1">
      <alignment horizontal="left" vertical="center"/>
    </xf>
    <xf numFmtId="0" fontId="39" fillId="0" borderId="1" xfId="3" applyFont="1" applyBorder="1" applyAlignment="1">
      <alignment vertical="center" wrapText="1"/>
    </xf>
    <xf numFmtId="43" fontId="40" fillId="0" borderId="1" xfId="1" applyFont="1" applyFill="1" applyBorder="1" applyAlignment="1">
      <alignment vertical="center" wrapText="1"/>
    </xf>
    <xf numFmtId="43" fontId="40" fillId="0" borderId="0" xfId="0" applyNumberFormat="1" applyFont="1" applyAlignment="1">
      <alignment horizontal="center" vertical="center"/>
    </xf>
    <xf numFmtId="0" fontId="39" fillId="0" borderId="5" xfId="0" applyFont="1" applyBorder="1" applyAlignment="1">
      <alignment horizontal="center" vertical="center"/>
    </xf>
    <xf numFmtId="0" fontId="59" fillId="0" borderId="1" xfId="0" applyFont="1" applyBorder="1" applyAlignment="1">
      <alignment horizontal="center" vertical="center"/>
    </xf>
    <xf numFmtId="0" fontId="33" fillId="0" borderId="50" xfId="0" applyFont="1" applyBorder="1"/>
    <xf numFmtId="0" fontId="33" fillId="0" borderId="6" xfId="0" applyFont="1" applyBorder="1"/>
    <xf numFmtId="0" fontId="30" fillId="0" borderId="14" xfId="0" applyFont="1" applyBorder="1"/>
    <xf numFmtId="0" fontId="94" fillId="0" borderId="35" xfId="0" applyFont="1" applyBorder="1" applyAlignment="1">
      <alignment wrapText="1"/>
    </xf>
    <xf numFmtId="0" fontId="30" fillId="0" borderId="36" xfId="0" applyFont="1" applyBorder="1"/>
    <xf numFmtId="1" fontId="40" fillId="0" borderId="0" xfId="0" applyNumberFormat="1" applyFont="1" applyAlignment="1">
      <alignment horizontal="right" vertical="center"/>
    </xf>
    <xf numFmtId="0" fontId="40" fillId="0" borderId="0" xfId="32" applyFont="1" applyAlignment="1">
      <alignment horizontal="left"/>
    </xf>
    <xf numFmtId="2" fontId="40" fillId="0" borderId="0" xfId="0" applyNumberFormat="1" applyFont="1" applyAlignment="1">
      <alignment horizontal="left" vertical="center"/>
    </xf>
    <xf numFmtId="14" fontId="40" fillId="0" borderId="0" xfId="0" applyNumberFormat="1" applyFont="1" applyAlignment="1">
      <alignment horizontal="center" vertical="center"/>
    </xf>
    <xf numFmtId="175" fontId="40" fillId="5" borderId="1" xfId="1" applyNumberFormat="1" applyFont="1" applyFill="1" applyBorder="1" applyAlignment="1">
      <alignment horizontal="right" vertical="center" wrapText="1"/>
    </xf>
    <xf numFmtId="43" fontId="40" fillId="5" borderId="1" xfId="56" applyNumberFormat="1" applyFont="1" applyFill="1" applyBorder="1" applyAlignment="1">
      <alignment horizontal="center" vertical="center" wrapText="1"/>
    </xf>
    <xf numFmtId="0" fontId="39" fillId="5" borderId="1" xfId="0" applyFont="1" applyFill="1" applyBorder="1" applyAlignment="1">
      <alignment horizontal="center"/>
    </xf>
    <xf numFmtId="0" fontId="80" fillId="0" borderId="1" xfId="0" applyFont="1" applyBorder="1" applyAlignment="1">
      <alignment horizontal="center"/>
    </xf>
    <xf numFmtId="0" fontId="80" fillId="0" borderId="0" xfId="0" applyFont="1" applyAlignment="1">
      <alignment horizontal="center"/>
    </xf>
    <xf numFmtId="0" fontId="40" fillId="5" borderId="1" xfId="31" applyFont="1" applyFill="1" applyBorder="1" applyAlignment="1">
      <alignment vertical="center" wrapText="1"/>
    </xf>
    <xf numFmtId="0" fontId="39" fillId="34" borderId="1" xfId="0" applyFont="1" applyFill="1" applyBorder="1" applyAlignment="1">
      <alignment vertical="center" wrapText="1"/>
    </xf>
    <xf numFmtId="0" fontId="40" fillId="34" borderId="1" xfId="56" applyFont="1" applyFill="1" applyBorder="1" applyAlignment="1">
      <alignment horizontal="center" vertical="center" wrapText="1"/>
    </xf>
    <xf numFmtId="43" fontId="40" fillId="34" borderId="1" xfId="1" applyFont="1" applyFill="1" applyBorder="1" applyAlignment="1">
      <alignment horizontal="right" vertical="center" wrapText="1"/>
    </xf>
    <xf numFmtId="0" fontId="39" fillId="34" borderId="1" xfId="3" applyFont="1" applyFill="1" applyBorder="1" applyAlignment="1">
      <alignment wrapText="1"/>
    </xf>
    <xf numFmtId="0" fontId="40" fillId="34" borderId="1" xfId="56" applyFont="1" applyFill="1" applyBorder="1" applyAlignment="1">
      <alignment horizontal="left" vertical="center" wrapText="1"/>
    </xf>
    <xf numFmtId="43" fontId="39" fillId="0" borderId="0" xfId="1" applyFont="1" applyFill="1"/>
    <xf numFmtId="0" fontId="39" fillId="0" borderId="0" xfId="0" applyFont="1" applyAlignment="1">
      <alignment horizontal="left" wrapText="1"/>
    </xf>
    <xf numFmtId="0" fontId="40" fillId="0" borderId="0" xfId="0" applyFont="1" applyAlignment="1">
      <alignment wrapText="1"/>
    </xf>
    <xf numFmtId="0" fontId="39" fillId="6" borderId="0" xfId="0" applyFont="1" applyFill="1"/>
    <xf numFmtId="0" fontId="39" fillId="0" borderId="1" xfId="0" applyFont="1" applyBorder="1" applyAlignment="1">
      <alignment vertical="center"/>
    </xf>
    <xf numFmtId="0" fontId="39" fillId="6" borderId="0" xfId="0" applyFont="1" applyFill="1" applyAlignment="1">
      <alignment vertical="center"/>
    </xf>
    <xf numFmtId="43" fontId="40" fillId="0" borderId="0" xfId="1" applyFont="1" applyFill="1" applyAlignment="1">
      <alignment horizontal="center" vertical="center"/>
    </xf>
    <xf numFmtId="43" fontId="40" fillId="0" borderId="0" xfId="1" applyFont="1" applyFill="1" applyAlignment="1">
      <alignment horizontal="right" vertical="center"/>
    </xf>
    <xf numFmtId="0" fontId="39" fillId="0" borderId="11" xfId="0" applyFont="1" applyBorder="1" applyAlignment="1">
      <alignment vertical="center" wrapText="1"/>
    </xf>
    <xf numFmtId="0" fontId="39" fillId="35" borderId="13" xfId="0" applyFont="1" applyFill="1" applyBorder="1" applyAlignment="1">
      <alignment horizontal="left" vertical="center"/>
    </xf>
    <xf numFmtId="0" fontId="46" fillId="35" borderId="1" xfId="0" applyFont="1" applyFill="1" applyBorder="1" applyAlignment="1">
      <alignment horizontal="justify" vertical="center" wrapText="1"/>
    </xf>
    <xf numFmtId="0" fontId="40" fillId="35" borderId="1" xfId="56" applyFont="1" applyFill="1" applyBorder="1" applyAlignment="1">
      <alignment horizontal="center" vertical="center" wrapText="1"/>
    </xf>
    <xf numFmtId="43" fontId="40" fillId="35" borderId="1" xfId="1" applyFont="1" applyFill="1" applyBorder="1" applyAlignment="1">
      <alignment horizontal="right" vertical="center" wrapText="1"/>
    </xf>
    <xf numFmtId="43" fontId="39" fillId="35" borderId="1" xfId="56" applyNumberFormat="1" applyFont="1" applyFill="1" applyBorder="1" applyAlignment="1">
      <alignment horizontal="center" vertical="center" wrapText="1"/>
    </xf>
    <xf numFmtId="0" fontId="39" fillId="33" borderId="4" xfId="56" applyFont="1" applyFill="1" applyBorder="1" applyAlignment="1">
      <alignment horizontal="center" vertical="center" wrapText="1"/>
    </xf>
    <xf numFmtId="175" fontId="39" fillId="14" borderId="1" xfId="1" applyNumberFormat="1" applyFont="1" applyFill="1" applyBorder="1" applyAlignment="1">
      <alignment vertical="center"/>
    </xf>
    <xf numFmtId="0" fontId="39" fillId="5" borderId="4" xfId="56" applyFont="1" applyFill="1" applyBorder="1" applyAlignment="1">
      <alignment horizontal="center" vertical="center" wrapText="1"/>
    </xf>
    <xf numFmtId="0" fontId="39" fillId="23" borderId="4" xfId="56" applyFont="1" applyFill="1" applyBorder="1" applyAlignment="1">
      <alignment horizontal="center" vertical="center" wrapText="1"/>
    </xf>
    <xf numFmtId="0" fontId="80" fillId="0" borderId="4" xfId="56" applyFont="1" applyBorder="1" applyAlignment="1">
      <alignment horizontal="center" vertical="center" wrapText="1"/>
    </xf>
    <xf numFmtId="175" fontId="40" fillId="0" borderId="4" xfId="1" applyNumberFormat="1" applyFont="1" applyFill="1" applyBorder="1" applyAlignment="1">
      <alignment horizontal="right" vertical="center" wrapText="1"/>
    </xf>
    <xf numFmtId="0" fontId="39" fillId="0" borderId="4" xfId="56" applyFont="1" applyBorder="1" applyAlignment="1">
      <alignment vertical="center" wrapText="1"/>
    </xf>
    <xf numFmtId="1" fontId="40" fillId="0" borderId="4" xfId="56" applyNumberFormat="1" applyFont="1" applyBorder="1" applyAlignment="1">
      <alignment horizontal="right" vertical="center" wrapText="1"/>
    </xf>
    <xf numFmtId="175" fontId="40" fillId="0" borderId="4" xfId="1" applyNumberFormat="1" applyFont="1" applyFill="1" applyBorder="1" applyAlignment="1">
      <alignment horizontal="center" vertical="center" wrapText="1"/>
    </xf>
    <xf numFmtId="175" fontId="39" fillId="0" borderId="4" xfId="1" applyNumberFormat="1" applyFont="1" applyFill="1" applyBorder="1" applyAlignment="1">
      <alignment horizontal="center" vertical="center" wrapText="1"/>
    </xf>
    <xf numFmtId="0" fontId="40" fillId="23" borderId="4" xfId="56" applyFont="1" applyFill="1" applyBorder="1" applyAlignment="1">
      <alignment horizontal="center" vertical="center" wrapText="1"/>
    </xf>
    <xf numFmtId="0" fontId="40" fillId="0" borderId="4" xfId="56" applyFont="1" applyBorder="1" applyAlignment="1">
      <alignment horizontal="right" vertical="center" wrapText="1"/>
    </xf>
    <xf numFmtId="1" fontId="40" fillId="0" borderId="4" xfId="56" applyNumberFormat="1" applyFont="1" applyBorder="1" applyAlignment="1">
      <alignment horizontal="center" vertical="center" wrapText="1"/>
    </xf>
    <xf numFmtId="1" fontId="39" fillId="0" borderId="4" xfId="56" applyNumberFormat="1" applyFont="1" applyBorder="1" applyAlignment="1">
      <alignment horizontal="center" vertical="center" wrapText="1"/>
    </xf>
    <xf numFmtId="0" fontId="39" fillId="35" borderId="4" xfId="56" applyFont="1" applyFill="1" applyBorder="1" applyAlignment="1">
      <alignment horizontal="center" vertical="center" wrapText="1"/>
    </xf>
    <xf numFmtId="1" fontId="40" fillId="0" borderId="4" xfId="0" applyNumberFormat="1" applyFont="1" applyBorder="1" applyAlignment="1">
      <alignment horizontal="center" vertical="center" wrapText="1"/>
    </xf>
    <xf numFmtId="0" fontId="39" fillId="14" borderId="37" xfId="0" applyFont="1" applyFill="1" applyBorder="1" applyAlignment="1">
      <alignment horizontal="center" vertical="center"/>
    </xf>
    <xf numFmtId="175" fontId="39" fillId="23" borderId="1" xfId="1" applyNumberFormat="1" applyFont="1" applyFill="1" applyBorder="1" applyAlignment="1">
      <alignment horizontal="center" vertical="center" wrapText="1"/>
    </xf>
    <xf numFmtId="175" fontId="40" fillId="0" borderId="1" xfId="1" applyNumberFormat="1" applyFont="1" applyFill="1" applyBorder="1" applyAlignment="1">
      <alignment horizontal="right" vertical="center" wrapText="1"/>
    </xf>
    <xf numFmtId="0" fontId="39" fillId="33" borderId="1" xfId="0" applyFont="1" applyFill="1" applyBorder="1" applyAlignment="1">
      <alignment horizontal="center"/>
    </xf>
    <xf numFmtId="0" fontId="39" fillId="0" borderId="1" xfId="0" applyFont="1" applyBorder="1" applyAlignment="1">
      <alignment vertical="top" wrapText="1"/>
    </xf>
    <xf numFmtId="0" fontId="40" fillId="0" borderId="1" xfId="56" applyFont="1" applyBorder="1" applyAlignment="1">
      <alignment horizontal="right" vertical="center" wrapText="1"/>
    </xf>
    <xf numFmtId="1" fontId="40" fillId="0" borderId="1" xfId="56" applyNumberFormat="1" applyFont="1" applyBorder="1" applyAlignment="1">
      <alignment horizontal="right" vertical="center" wrapText="1"/>
    </xf>
    <xf numFmtId="0" fontId="39" fillId="0" borderId="1" xfId="56" applyFont="1" applyBorder="1" applyAlignment="1">
      <alignment horizontal="right" vertical="center" wrapText="1"/>
    </xf>
    <xf numFmtId="0" fontId="39" fillId="5" borderId="1" xfId="0" applyFont="1" applyFill="1" applyBorder="1"/>
    <xf numFmtId="0" fontId="40" fillId="33" borderId="1" xfId="0" applyFont="1" applyFill="1" applyBorder="1"/>
    <xf numFmtId="2" fontId="40" fillId="14" borderId="1" xfId="0" applyNumberFormat="1" applyFont="1" applyFill="1" applyBorder="1" applyAlignment="1">
      <alignment horizontal="center" vertical="center"/>
    </xf>
    <xf numFmtId="0" fontId="40" fillId="14" borderId="13" xfId="0" applyFont="1" applyFill="1" applyBorder="1" applyAlignment="1">
      <alignment horizontal="left" vertical="center"/>
    </xf>
    <xf numFmtId="0" fontId="40" fillId="14" borderId="1" xfId="0" applyFont="1" applyFill="1" applyBorder="1" applyAlignment="1">
      <alignment vertical="center"/>
    </xf>
    <xf numFmtId="0" fontId="39" fillId="14" borderId="1" xfId="0" applyFont="1" applyFill="1" applyBorder="1" applyAlignment="1">
      <alignment horizontal="center"/>
    </xf>
    <xf numFmtId="0" fontId="40" fillId="14" borderId="1" xfId="0" applyFont="1" applyFill="1" applyBorder="1"/>
    <xf numFmtId="0" fontId="39" fillId="14" borderId="1" xfId="0" applyFont="1" applyFill="1" applyBorder="1"/>
    <xf numFmtId="0" fontId="39" fillId="23" borderId="1" xfId="0" applyFont="1" applyFill="1" applyBorder="1"/>
    <xf numFmtId="0" fontId="40" fillId="23" borderId="1" xfId="0" applyFont="1" applyFill="1" applyBorder="1"/>
    <xf numFmtId="0" fontId="39" fillId="23" borderId="1" xfId="0" applyFont="1" applyFill="1" applyBorder="1" applyAlignment="1">
      <alignment horizontal="center"/>
    </xf>
    <xf numFmtId="0" fontId="39" fillId="13" borderId="1" xfId="56" applyFont="1" applyFill="1" applyBorder="1" applyAlignment="1">
      <alignment horizontal="left" vertical="center" wrapText="1"/>
    </xf>
    <xf numFmtId="0" fontId="39" fillId="13" borderId="1" xfId="56" applyFont="1" applyFill="1" applyBorder="1" applyAlignment="1">
      <alignment horizontal="center" vertical="center" wrapText="1"/>
    </xf>
    <xf numFmtId="0" fontId="39" fillId="13" borderId="1" xfId="0" applyFont="1" applyFill="1" applyBorder="1" applyAlignment="1">
      <alignment horizontal="center"/>
    </xf>
    <xf numFmtId="2" fontId="39" fillId="13" borderId="1" xfId="56" applyNumberFormat="1" applyFont="1" applyFill="1" applyBorder="1" applyAlignment="1">
      <alignment horizontal="center" vertical="center" wrapText="1"/>
    </xf>
    <xf numFmtId="0" fontId="39" fillId="13" borderId="1" xfId="56" applyFont="1" applyFill="1" applyBorder="1" applyAlignment="1">
      <alignment vertical="center" wrapText="1"/>
    </xf>
    <xf numFmtId="0" fontId="39" fillId="13" borderId="1" xfId="0" applyFont="1" applyFill="1" applyBorder="1"/>
    <xf numFmtId="43" fontId="39" fillId="13" borderId="1" xfId="56" applyNumberFormat="1" applyFont="1" applyFill="1" applyBorder="1" applyAlignment="1">
      <alignment horizontal="center" vertical="center" wrapText="1"/>
    </xf>
    <xf numFmtId="0" fontId="39" fillId="14" borderId="34" xfId="0" applyFont="1" applyFill="1" applyBorder="1" applyAlignment="1">
      <alignment horizontal="left" vertical="center"/>
    </xf>
    <xf numFmtId="43" fontId="9" fillId="0" borderId="1" xfId="1" applyFont="1" applyFill="1" applyBorder="1" applyAlignment="1">
      <alignment horizontal="right" vertical="center" wrapText="1"/>
    </xf>
    <xf numFmtId="0" fontId="40" fillId="14" borderId="1" xfId="56" applyFont="1" applyFill="1" applyBorder="1" applyAlignment="1">
      <alignment horizontal="left" vertical="center" wrapText="1"/>
    </xf>
    <xf numFmtId="164" fontId="40" fillId="14" borderId="1" xfId="0" applyNumberFormat="1" applyFont="1" applyFill="1" applyBorder="1" applyAlignment="1">
      <alignment horizontal="center" vertical="center" wrapText="1"/>
    </xf>
    <xf numFmtId="1" fontId="40" fillId="14" borderId="1" xfId="0" applyNumberFormat="1" applyFont="1" applyFill="1" applyBorder="1" applyAlignment="1">
      <alignment horizontal="right" vertical="center" wrapText="1"/>
    </xf>
    <xf numFmtId="2" fontId="40" fillId="14" borderId="1" xfId="0" applyNumberFormat="1" applyFont="1" applyFill="1" applyBorder="1" applyAlignment="1">
      <alignment horizontal="center" vertical="center" wrapText="1"/>
    </xf>
    <xf numFmtId="0" fontId="39" fillId="13" borderId="4" xfId="56" applyFont="1" applyFill="1" applyBorder="1" applyAlignment="1">
      <alignment horizontal="center" vertical="center" wrapText="1"/>
    </xf>
    <xf numFmtId="1" fontId="39" fillId="0" borderId="4" xfId="0" applyNumberFormat="1" applyFont="1" applyBorder="1" applyAlignment="1">
      <alignment horizontal="center" vertical="center" wrapText="1"/>
    </xf>
    <xf numFmtId="1" fontId="40" fillId="14" borderId="4" xfId="0" applyNumberFormat="1" applyFont="1" applyFill="1" applyBorder="1" applyAlignment="1">
      <alignment horizontal="center" vertical="center" wrapText="1"/>
    </xf>
    <xf numFmtId="0" fontId="39" fillId="14" borderId="32" xfId="0" applyFont="1" applyFill="1" applyBorder="1" applyAlignment="1">
      <alignment horizontal="center" vertical="center"/>
    </xf>
    <xf numFmtId="43" fontId="40" fillId="4" borderId="1" xfId="1" applyFont="1" applyFill="1" applyBorder="1" applyAlignment="1">
      <alignment horizontal="right" vertical="center" wrapText="1"/>
    </xf>
    <xf numFmtId="2" fontId="40" fillId="0" borderId="1" xfId="56" applyNumberFormat="1" applyFont="1" applyBorder="1" applyAlignment="1">
      <alignment horizontal="center" vertical="center" wrapText="1"/>
    </xf>
    <xf numFmtId="43" fontId="40" fillId="4" borderId="1" xfId="56" applyNumberFormat="1" applyFont="1" applyFill="1" applyBorder="1" applyAlignment="1">
      <alignment horizontal="center" vertical="center" wrapText="1"/>
    </xf>
    <xf numFmtId="43" fontId="40" fillId="0" borderId="1" xfId="1" applyFont="1" applyFill="1" applyBorder="1" applyAlignment="1">
      <alignment horizontal="center" vertical="center"/>
    </xf>
    <xf numFmtId="175" fontId="40" fillId="0" borderId="1" xfId="1" applyNumberFormat="1" applyFont="1" applyFill="1" applyBorder="1" applyAlignment="1">
      <alignment vertical="center" wrapText="1"/>
    </xf>
    <xf numFmtId="0" fontId="39" fillId="0" borderId="1" xfId="0" applyFont="1" applyBorder="1" applyAlignment="1">
      <alignment horizontal="left" vertical="center"/>
    </xf>
    <xf numFmtId="0" fontId="39" fillId="0" borderId="1" xfId="0" applyFont="1" applyBorder="1" applyAlignment="1">
      <alignment horizontal="left" vertical="center" wrapText="1"/>
    </xf>
    <xf numFmtId="0" fontId="40" fillId="0" borderId="1" xfId="0" applyFont="1" applyBorder="1" applyAlignment="1">
      <alignment horizontal="center" vertical="center" wrapText="1"/>
    </xf>
    <xf numFmtId="0" fontId="40" fillId="0" borderId="1" xfId="0" applyFont="1" applyBorder="1" applyAlignment="1">
      <alignment horizontal="left" vertical="center" wrapText="1"/>
    </xf>
    <xf numFmtId="0" fontId="39" fillId="4" borderId="13" xfId="0" applyFont="1" applyFill="1" applyBorder="1" applyAlignment="1">
      <alignment horizontal="left" vertical="center"/>
    </xf>
    <xf numFmtId="0" fontId="39" fillId="4" borderId="1" xfId="0" applyFont="1" applyFill="1" applyBorder="1" applyAlignment="1">
      <alignment horizontal="left" vertical="center" wrapText="1"/>
    </xf>
    <xf numFmtId="0" fontId="40" fillId="4" borderId="1" xfId="0" applyFont="1" applyFill="1" applyBorder="1" applyAlignment="1">
      <alignment horizontal="center" vertical="center"/>
    </xf>
    <xf numFmtId="0" fontId="40" fillId="4" borderId="13" xfId="0" applyFont="1" applyFill="1" applyBorder="1" applyAlignment="1">
      <alignment horizontal="left" vertical="center"/>
    </xf>
    <xf numFmtId="0" fontId="40" fillId="4" borderId="1" xfId="0" applyFont="1" applyFill="1" applyBorder="1" applyAlignment="1">
      <alignment horizontal="left" vertical="center" wrapText="1"/>
    </xf>
    <xf numFmtId="0" fontId="40" fillId="0" borderId="0" xfId="0" applyFont="1" applyAlignment="1">
      <alignment horizontal="right" vertical="center"/>
    </xf>
    <xf numFmtId="0" fontId="40" fillId="0" borderId="1" xfId="0" applyFont="1" applyBorder="1" applyAlignment="1">
      <alignment horizontal="right" vertical="center"/>
    </xf>
    <xf numFmtId="0" fontId="40" fillId="0" borderId="1" xfId="0" applyFont="1" applyBorder="1" applyAlignment="1">
      <alignment horizontal="right" vertical="center" wrapText="1"/>
    </xf>
    <xf numFmtId="0" fontId="40" fillId="4" borderId="1" xfId="0" applyFont="1" applyFill="1" applyBorder="1" applyAlignment="1">
      <alignment horizontal="right" vertical="center" wrapText="1"/>
    </xf>
    <xf numFmtId="0" fontId="39" fillId="13" borderId="1" xfId="56" applyFont="1" applyFill="1" applyBorder="1" applyAlignment="1">
      <alignment horizontal="right" vertical="center" wrapText="1"/>
    </xf>
    <xf numFmtId="0" fontId="39" fillId="23" borderId="1" xfId="56" applyFont="1" applyFill="1" applyBorder="1" applyAlignment="1">
      <alignment horizontal="right" vertical="center" wrapText="1"/>
    </xf>
    <xf numFmtId="0" fontId="40" fillId="5" borderId="1" xfId="56" applyFont="1" applyFill="1" applyBorder="1" applyAlignment="1">
      <alignment horizontal="right" vertical="center" wrapText="1"/>
    </xf>
    <xf numFmtId="0" fontId="40" fillId="23" borderId="1" xfId="56" applyFont="1" applyFill="1" applyBorder="1" applyAlignment="1">
      <alignment horizontal="right" vertical="center" wrapText="1"/>
    </xf>
    <xf numFmtId="0" fontId="40" fillId="33" borderId="1" xfId="56" applyFont="1" applyFill="1" applyBorder="1" applyAlignment="1">
      <alignment horizontal="right" vertical="center" wrapText="1"/>
    </xf>
    <xf numFmtId="43" fontId="40" fillId="0" borderId="1" xfId="1" applyFont="1" applyFill="1" applyBorder="1" applyAlignment="1">
      <alignment horizontal="right" vertical="center"/>
    </xf>
    <xf numFmtId="164" fontId="39" fillId="0" borderId="1" xfId="0" applyNumberFormat="1" applyFont="1" applyBorder="1" applyAlignment="1">
      <alignment horizontal="right" vertical="center" wrapText="1"/>
    </xf>
    <xf numFmtId="2" fontId="40" fillId="0" borderId="1" xfId="0" applyNumberFormat="1" applyFont="1" applyBorder="1" applyAlignment="1">
      <alignment horizontal="right" vertical="center"/>
    </xf>
    <xf numFmtId="0" fontId="39" fillId="0" borderId="1" xfId="0" applyFont="1" applyBorder="1" applyAlignment="1">
      <alignment horizontal="right" vertical="center"/>
    </xf>
    <xf numFmtId="0" fontId="40" fillId="35" borderId="1" xfId="56" applyFont="1" applyFill="1" applyBorder="1" applyAlignment="1">
      <alignment horizontal="right" vertical="center" wrapText="1"/>
    </xf>
    <xf numFmtId="164" fontId="40" fillId="0" borderId="1" xfId="0" applyNumberFormat="1" applyFont="1" applyBorder="1" applyAlignment="1">
      <alignment horizontal="right" vertical="center" wrapText="1"/>
    </xf>
    <xf numFmtId="164" fontId="40" fillId="14" borderId="1" xfId="0" applyNumberFormat="1" applyFont="1" applyFill="1" applyBorder="1" applyAlignment="1">
      <alignment horizontal="right" vertical="center" wrapText="1"/>
    </xf>
    <xf numFmtId="164" fontId="39" fillId="14" borderId="35" xfId="0" applyNumberFormat="1" applyFont="1" applyFill="1" applyBorder="1" applyAlignment="1">
      <alignment horizontal="right" vertical="center"/>
    </xf>
    <xf numFmtId="0" fontId="39" fillId="14" borderId="6" xfId="0" applyFont="1" applyFill="1" applyBorder="1" applyAlignment="1">
      <alignment horizontal="right" vertical="center"/>
    </xf>
    <xf numFmtId="0" fontId="39" fillId="8" borderId="13" xfId="0" applyFont="1" applyFill="1" applyBorder="1" applyAlignment="1">
      <alignment horizontal="left" vertical="center"/>
    </xf>
    <xf numFmtId="0" fontId="40" fillId="8" borderId="1" xfId="56" applyFont="1" applyFill="1" applyBorder="1" applyAlignment="1">
      <alignment horizontal="center" vertical="center" wrapText="1"/>
    </xf>
    <xf numFmtId="0" fontId="39" fillId="8" borderId="1" xfId="0" applyFont="1" applyFill="1" applyBorder="1" applyAlignment="1">
      <alignment horizontal="center"/>
    </xf>
    <xf numFmtId="0" fontId="39" fillId="0" borderId="4" xfId="56" applyFont="1" applyBorder="1" applyAlignment="1">
      <alignment horizontal="center" vertical="center"/>
    </xf>
    <xf numFmtId="0" fontId="40" fillId="0" borderId="1" xfId="56" applyFont="1" applyBorder="1" applyAlignment="1">
      <alignment horizontal="center" vertical="center"/>
    </xf>
    <xf numFmtId="0" fontId="40" fillId="8" borderId="13" xfId="0" applyFont="1" applyFill="1" applyBorder="1" applyAlignment="1">
      <alignment horizontal="left" vertical="center"/>
    </xf>
    <xf numFmtId="0" fontId="40" fillId="8" borderId="1" xfId="56" applyFont="1" applyFill="1" applyBorder="1" applyAlignment="1">
      <alignment horizontal="left" vertical="center" wrapText="1"/>
    </xf>
    <xf numFmtId="43" fontId="40" fillId="8" borderId="1" xfId="1" applyFont="1" applyFill="1" applyBorder="1" applyAlignment="1">
      <alignment horizontal="right" vertical="center" wrapText="1"/>
    </xf>
    <xf numFmtId="0" fontId="9" fillId="0" borderId="1" xfId="89" applyFont="1" applyBorder="1" applyAlignment="1">
      <alignment horizontal="center" vertical="center"/>
    </xf>
    <xf numFmtId="0" fontId="9" fillId="5" borderId="1" xfId="89" applyFont="1" applyFill="1" applyBorder="1" applyAlignment="1">
      <alignment horizontal="center" vertical="center"/>
    </xf>
    <xf numFmtId="0" fontId="39" fillId="0" borderId="1" xfId="0" applyFont="1" applyBorder="1" applyAlignment="1">
      <alignment horizontal="center" vertical="center"/>
    </xf>
    <xf numFmtId="0" fontId="39" fillId="8" borderId="1" xfId="56" applyFont="1" applyFill="1" applyBorder="1" applyAlignment="1">
      <alignment horizontal="left" vertical="center" wrapText="1"/>
    </xf>
    <xf numFmtId="0" fontId="39" fillId="23" borderId="1" xfId="0" applyFont="1" applyFill="1" applyBorder="1" applyAlignment="1">
      <alignment horizontal="left" vertical="top"/>
    </xf>
    <xf numFmtId="0" fontId="40" fillId="23" borderId="1" xfId="56" applyFont="1" applyFill="1" applyBorder="1" applyAlignment="1">
      <alignment horizontal="center" vertical="center"/>
    </xf>
    <xf numFmtId="43" fontId="40" fillId="0" borderId="1" xfId="1" applyFont="1" applyBorder="1"/>
    <xf numFmtId="43" fontId="39" fillId="0" borderId="0" xfId="0" applyNumberFormat="1" applyFont="1" applyAlignment="1">
      <alignment horizontal="center"/>
    </xf>
    <xf numFmtId="43" fontId="40" fillId="0" borderId="1" xfId="1" applyFont="1" applyFill="1" applyBorder="1"/>
    <xf numFmtId="43" fontId="0" fillId="0" borderId="0" xfId="0" applyNumberFormat="1"/>
    <xf numFmtId="43" fontId="59" fillId="0" borderId="0" xfId="1" applyFont="1" applyAlignment="1">
      <alignment horizontal="center" vertical="center"/>
    </xf>
    <xf numFmtId="43" fontId="59" fillId="0" borderId="0" xfId="0" applyNumberFormat="1" applyFont="1" applyAlignment="1">
      <alignment horizontal="center" vertical="center"/>
    </xf>
    <xf numFmtId="2" fontId="40" fillId="0" borderId="1" xfId="1" applyNumberFormat="1" applyFont="1" applyFill="1" applyBorder="1" applyAlignment="1">
      <alignment vertical="center" wrapText="1"/>
    </xf>
    <xf numFmtId="43" fontId="39" fillId="0" borderId="1" xfId="0" applyNumberFormat="1" applyFont="1" applyBorder="1"/>
    <xf numFmtId="2" fontId="33" fillId="8" borderId="1" xfId="93" applyNumberFormat="1" applyFont="1" applyFill="1" applyBorder="1" applyAlignment="1">
      <alignment horizontal="center"/>
    </xf>
    <xf numFmtId="2" fontId="32" fillId="13" borderId="1" xfId="94" applyNumberFormat="1" applyFont="1" applyFill="1" applyBorder="1" applyAlignment="1">
      <alignment horizontal="center" vertical="center"/>
    </xf>
    <xf numFmtId="10" fontId="30" fillId="2" borderId="1" xfId="95" applyNumberFormat="1" applyFont="1" applyFill="1" applyBorder="1" applyAlignment="1">
      <alignment horizontal="left"/>
    </xf>
    <xf numFmtId="10" fontId="30" fillId="0" borderId="1" xfId="95" applyNumberFormat="1" applyFont="1" applyFill="1" applyBorder="1" applyAlignment="1">
      <alignment horizontal="left"/>
    </xf>
    <xf numFmtId="2" fontId="33" fillId="0" borderId="1" xfId="93" applyNumberFormat="1" applyFont="1" applyFill="1" applyBorder="1" applyAlignment="1">
      <alignment horizontal="center"/>
    </xf>
    <xf numFmtId="2" fontId="30" fillId="0" borderId="1" xfId="93" applyNumberFormat="1" applyFont="1" applyFill="1" applyBorder="1" applyAlignment="1">
      <alignment horizontal="center"/>
    </xf>
    <xf numFmtId="2" fontId="33" fillId="2" borderId="1" xfId="93" applyNumberFormat="1" applyFont="1" applyFill="1" applyBorder="1" applyAlignment="1">
      <alignment horizontal="center"/>
    </xf>
    <xf numFmtId="0" fontId="40" fillId="0" borderId="1" xfId="0" applyFont="1" applyBorder="1" applyAlignment="1">
      <alignment vertical="top" wrapText="1"/>
    </xf>
    <xf numFmtId="0" fontId="39" fillId="0" borderId="11" xfId="0" applyFont="1" applyBorder="1" applyAlignment="1">
      <alignment vertical="center"/>
    </xf>
    <xf numFmtId="0" fontId="39" fillId="0" borderId="14" xfId="0" applyFont="1" applyBorder="1" applyAlignment="1">
      <alignment horizontal="center" vertical="center"/>
    </xf>
    <xf numFmtId="0" fontId="39" fillId="5" borderId="14" xfId="0" applyFont="1" applyFill="1" applyBorder="1" applyAlignment="1">
      <alignment horizontal="center" vertical="center"/>
    </xf>
    <xf numFmtId="0" fontId="39" fillId="0" borderId="39" xfId="0" applyFont="1" applyBorder="1" applyAlignment="1">
      <alignment horizontal="center" vertical="center"/>
    </xf>
    <xf numFmtId="0" fontId="94" fillId="0" borderId="13" xfId="0" applyFont="1" applyBorder="1" applyAlignment="1">
      <alignment horizontal="center" wrapText="1"/>
    </xf>
    <xf numFmtId="0" fontId="94" fillId="0" borderId="34" xfId="0" applyFont="1" applyBorder="1" applyAlignment="1">
      <alignment horizontal="center" wrapText="1"/>
    </xf>
    <xf numFmtId="0" fontId="40" fillId="0" borderId="13" xfId="0" applyFont="1" applyBorder="1" applyAlignment="1">
      <alignment horizontal="center"/>
    </xf>
    <xf numFmtId="0" fontId="40" fillId="5" borderId="13" xfId="0" applyFont="1" applyFill="1" applyBorder="1" applyAlignment="1">
      <alignment horizontal="center"/>
    </xf>
    <xf numFmtId="0" fontId="40" fillId="0" borderId="13" xfId="0" applyFont="1" applyBorder="1" applyAlignment="1">
      <alignment horizontal="left" indent="3"/>
    </xf>
    <xf numFmtId="0" fontId="40" fillId="0" borderId="1" xfId="0" applyFont="1" applyBorder="1" applyAlignment="1">
      <alignment horizontal="left" indent="1"/>
    </xf>
    <xf numFmtId="0" fontId="40" fillId="5" borderId="1" xfId="0" applyFont="1" applyFill="1" applyBorder="1" applyAlignment="1">
      <alignment horizontal="left" indent="1"/>
    </xf>
    <xf numFmtId="43" fontId="40" fillId="0" borderId="0" xfId="0" applyNumberFormat="1" applyFont="1" applyAlignment="1">
      <alignment vertical="center"/>
    </xf>
    <xf numFmtId="4" fontId="9" fillId="0" borderId="0" xfId="0" applyNumberFormat="1" applyFont="1" applyAlignment="1">
      <alignment vertical="center" wrapText="1"/>
    </xf>
    <xf numFmtId="4" fontId="40" fillId="0" borderId="0" xfId="0" applyNumberFormat="1" applyFont="1" applyAlignment="1">
      <alignment vertical="center"/>
    </xf>
    <xf numFmtId="43" fontId="0" fillId="0" borderId="0" xfId="1" applyFont="1" applyAlignment="1">
      <alignment vertical="center"/>
    </xf>
    <xf numFmtId="43" fontId="0" fillId="0" borderId="0" xfId="1" applyFont="1" applyFill="1" applyAlignment="1">
      <alignment vertical="center"/>
    </xf>
    <xf numFmtId="43" fontId="0" fillId="0" borderId="0" xfId="0" applyNumberFormat="1" applyAlignment="1">
      <alignment vertical="center"/>
    </xf>
    <xf numFmtId="0" fontId="39" fillId="0" borderId="4" xfId="56" applyFont="1" applyBorder="1" applyAlignment="1">
      <alignment horizontal="center" vertical="center" wrapText="1"/>
    </xf>
    <xf numFmtId="0" fontId="39" fillId="0" borderId="1" xfId="0" applyFont="1" applyBorder="1" applyAlignment="1">
      <alignment horizontal="center" vertical="center" wrapText="1"/>
    </xf>
    <xf numFmtId="0" fontId="40" fillId="0" borderId="6" xfId="0" applyFont="1" applyBorder="1" applyAlignment="1">
      <alignment horizontal="center" vertical="center"/>
    </xf>
    <xf numFmtId="0" fontId="39" fillId="0" borderId="13" xfId="0" applyFont="1" applyBorder="1" applyAlignment="1">
      <alignment horizontal="center" vertical="center" wrapText="1"/>
    </xf>
    <xf numFmtId="0" fontId="40" fillId="8" borderId="1" xfId="0" applyFont="1" applyFill="1" applyBorder="1" applyAlignment="1">
      <alignment horizontal="left" vertical="center" wrapText="1"/>
    </xf>
    <xf numFmtId="0" fontId="40" fillId="8" borderId="1" xfId="0" applyFont="1" applyFill="1" applyBorder="1" applyAlignment="1">
      <alignment horizontal="center" vertical="center"/>
    </xf>
    <xf numFmtId="0" fontId="40" fillId="8" borderId="1" xfId="0" applyFont="1" applyFill="1" applyBorder="1" applyAlignment="1">
      <alignment horizontal="right" vertical="center" wrapText="1"/>
    </xf>
    <xf numFmtId="0" fontId="39" fillId="0" borderId="6" xfId="0" applyFont="1" applyBorder="1" applyAlignment="1">
      <alignment vertical="center"/>
    </xf>
    <xf numFmtId="0" fontId="39" fillId="0" borderId="43" xfId="0" applyFont="1" applyBorder="1" applyAlignment="1">
      <alignment horizontal="center" vertical="center"/>
    </xf>
    <xf numFmtId="175" fontId="39" fillId="0" borderId="1" xfId="1" applyNumberFormat="1" applyFont="1" applyFill="1" applyBorder="1" applyAlignment="1">
      <alignment vertical="center"/>
    </xf>
    <xf numFmtId="43" fontId="40" fillId="36" borderId="1" xfId="0" applyNumberFormat="1" applyFont="1" applyFill="1" applyBorder="1"/>
    <xf numFmtId="0" fontId="40" fillId="0" borderId="50" xfId="0" applyFont="1" applyBorder="1" applyAlignment="1">
      <alignment horizontal="center" vertical="center"/>
    </xf>
    <xf numFmtId="0" fontId="40" fillId="5" borderId="1" xfId="0" applyFont="1" applyFill="1" applyBorder="1" applyAlignment="1">
      <alignment horizontal="left" wrapText="1" indent="1"/>
    </xf>
    <xf numFmtId="0" fontId="39" fillId="35" borderId="1" xfId="56" applyFont="1" applyFill="1" applyBorder="1" applyAlignment="1">
      <alignment horizontal="center" vertical="center" wrapText="1"/>
    </xf>
    <xf numFmtId="43" fontId="40" fillId="0" borderId="1" xfId="1" applyFont="1" applyBorder="1" applyAlignment="1">
      <alignment vertical="center"/>
    </xf>
    <xf numFmtId="0" fontId="39" fillId="35" borderId="1" xfId="0" applyFont="1" applyFill="1" applyBorder="1" applyAlignment="1">
      <alignment horizontal="left" vertical="center"/>
    </xf>
    <xf numFmtId="0" fontId="40" fillId="35" borderId="1" xfId="0" applyFont="1" applyFill="1" applyBorder="1" applyAlignment="1">
      <alignment horizontal="left" vertical="center"/>
    </xf>
    <xf numFmtId="0" fontId="39" fillId="13" borderId="1" xfId="0" applyFont="1" applyFill="1" applyBorder="1" applyAlignment="1">
      <alignment horizontal="left" vertical="center"/>
    </xf>
    <xf numFmtId="0" fontId="39" fillId="23" borderId="1" xfId="0" applyFont="1" applyFill="1" applyBorder="1" applyAlignment="1">
      <alignment horizontal="left" vertical="center"/>
    </xf>
    <xf numFmtId="0" fontId="39" fillId="5" borderId="1" xfId="0" applyFont="1" applyFill="1" applyBorder="1" applyAlignment="1">
      <alignment horizontal="left" vertical="center"/>
    </xf>
    <xf numFmtId="0" fontId="39" fillId="5" borderId="1" xfId="56" applyFont="1" applyFill="1" applyBorder="1" applyAlignment="1">
      <alignment horizontal="center" vertical="center" wrapText="1"/>
    </xf>
    <xf numFmtId="0" fontId="39" fillId="33" borderId="1" xfId="0" applyFont="1" applyFill="1" applyBorder="1" applyAlignment="1">
      <alignment horizontal="left" vertical="center"/>
    </xf>
    <xf numFmtId="0" fontId="40" fillId="5" borderId="1" xfId="0" applyFont="1" applyFill="1" applyBorder="1" applyAlignment="1">
      <alignment horizontal="left" vertical="center"/>
    </xf>
    <xf numFmtId="0" fontId="80" fillId="0" borderId="1" xfId="56" applyFont="1" applyBorder="1" applyAlignment="1">
      <alignment horizontal="center" vertical="center" wrapText="1"/>
    </xf>
    <xf numFmtId="0" fontId="39" fillId="33" borderId="1" xfId="56" applyFont="1" applyFill="1" applyBorder="1" applyAlignment="1">
      <alignment horizontal="center" vertical="center" wrapText="1"/>
    </xf>
    <xf numFmtId="0" fontId="39" fillId="0" borderId="1" xfId="56" applyFont="1" applyBorder="1" applyAlignment="1">
      <alignment vertical="center" wrapText="1"/>
    </xf>
    <xf numFmtId="175" fontId="39" fillId="0" borderId="1" xfId="1" applyNumberFormat="1" applyFont="1" applyFill="1" applyBorder="1" applyAlignment="1">
      <alignment horizontal="center" vertical="center" wrapText="1"/>
    </xf>
    <xf numFmtId="1" fontId="40" fillId="0" borderId="1" xfId="56" applyNumberFormat="1" applyFont="1" applyBorder="1" applyAlignment="1">
      <alignment horizontal="center" vertical="center" wrapText="1"/>
    </xf>
    <xf numFmtId="1" fontId="39" fillId="0" borderId="1" xfId="56" applyNumberFormat="1" applyFont="1" applyBorder="1" applyAlignment="1">
      <alignment horizontal="center" vertical="center" wrapText="1"/>
    </xf>
    <xf numFmtId="0" fontId="39" fillId="20" borderId="1" xfId="0" applyFont="1" applyFill="1" applyBorder="1" applyAlignment="1">
      <alignment horizontal="left" vertical="center"/>
    </xf>
    <xf numFmtId="1" fontId="40" fillId="0" borderId="1" xfId="0" applyNumberFormat="1" applyFont="1" applyBorder="1" applyAlignment="1">
      <alignment horizontal="center" vertical="center" wrapText="1"/>
    </xf>
    <xf numFmtId="1" fontId="39" fillId="0" borderId="1" xfId="0" applyNumberFormat="1" applyFont="1" applyBorder="1" applyAlignment="1">
      <alignment horizontal="center" vertical="center" wrapText="1"/>
    </xf>
    <xf numFmtId="43" fontId="40" fillId="36" borderId="1" xfId="1" applyFont="1" applyFill="1" applyBorder="1" applyAlignment="1">
      <alignment horizontal="right" vertical="center" wrapText="1"/>
    </xf>
    <xf numFmtId="0" fontId="95" fillId="0" borderId="1" xfId="0" applyFont="1" applyBorder="1" applyAlignment="1">
      <alignment horizontal="left" wrapText="1" indent="3"/>
    </xf>
    <xf numFmtId="0" fontId="46" fillId="0" borderId="0" xfId="96" applyFont="1"/>
    <xf numFmtId="0" fontId="4" fillId="0" borderId="0" xfId="96"/>
    <xf numFmtId="0" fontId="101" fillId="0" borderId="0" xfId="3" applyFont="1" applyAlignment="1">
      <alignment horizontal="center"/>
    </xf>
    <xf numFmtId="0" fontId="32" fillId="0" borderId="0" xfId="96" applyFont="1"/>
    <xf numFmtId="0" fontId="31" fillId="0" borderId="1" xfId="96" applyFont="1" applyBorder="1" applyAlignment="1">
      <alignment horizontal="center"/>
    </xf>
    <xf numFmtId="0" fontId="31" fillId="0" borderId="1" xfId="96" applyFont="1" applyBorder="1" applyAlignment="1">
      <alignment horizontal="center" vertical="center"/>
    </xf>
    <xf numFmtId="0" fontId="31" fillId="0" borderId="1" xfId="96" applyFont="1" applyBorder="1" applyAlignment="1">
      <alignment horizontal="left" vertical="center"/>
    </xf>
    <xf numFmtId="0" fontId="31" fillId="0" borderId="1" xfId="96" applyFont="1" applyBorder="1" applyAlignment="1">
      <alignment horizontal="justify"/>
    </xf>
    <xf numFmtId="0" fontId="32" fillId="0" borderId="1" xfId="96" applyFont="1" applyBorder="1" applyAlignment="1">
      <alignment horizontal="center" vertical="center"/>
    </xf>
    <xf numFmtId="0" fontId="9" fillId="0" borderId="1" xfId="96" applyFont="1" applyBorder="1" applyAlignment="1">
      <alignment horizontal="left" vertical="center" wrapText="1"/>
    </xf>
    <xf numFmtId="0" fontId="32" fillId="0" borderId="1" xfId="96" applyFont="1" applyBorder="1" applyAlignment="1">
      <alignment horizontal="justify"/>
    </xf>
    <xf numFmtId="0" fontId="32" fillId="0" borderId="1" xfId="96" applyFont="1" applyBorder="1" applyAlignment="1">
      <alignment horizontal="center"/>
    </xf>
    <xf numFmtId="0" fontId="32" fillId="0" borderId="5" xfId="96" applyFont="1" applyBorder="1" applyAlignment="1">
      <alignment horizontal="center" vertical="center"/>
    </xf>
    <xf numFmtId="0" fontId="31" fillId="0" borderId="1" xfId="96" applyFont="1" applyBorder="1" applyAlignment="1">
      <alignment horizontal="left" vertical="center" wrapText="1"/>
    </xf>
    <xf numFmtId="0" fontId="46" fillId="0" borderId="1" xfId="96" applyFont="1" applyBorder="1" applyAlignment="1">
      <alignment horizontal="left" vertical="center" wrapText="1"/>
    </xf>
    <xf numFmtId="0" fontId="32" fillId="0" borderId="1" xfId="96" applyFont="1" applyBorder="1" applyAlignment="1">
      <alignment horizontal="left" vertical="center" wrapText="1"/>
    </xf>
    <xf numFmtId="0" fontId="4" fillId="0" borderId="0" xfId="96" applyAlignment="1">
      <alignment wrapText="1"/>
    </xf>
    <xf numFmtId="0" fontId="103" fillId="0" borderId="0" xfId="96" applyFont="1"/>
    <xf numFmtId="0" fontId="9" fillId="0" borderId="0" xfId="96" applyFont="1"/>
    <xf numFmtId="0" fontId="40" fillId="0" borderId="33" xfId="0" applyFont="1" applyBorder="1" applyAlignment="1">
      <alignment horizontal="center" vertical="center"/>
    </xf>
    <xf numFmtId="0" fontId="40" fillId="0" borderId="9" xfId="0" applyFont="1" applyBorder="1"/>
    <xf numFmtId="43" fontId="40" fillId="0" borderId="9" xfId="1" applyFont="1" applyBorder="1" applyAlignment="1">
      <alignment vertical="center"/>
    </xf>
    <xf numFmtId="43" fontId="40" fillId="0" borderId="9" xfId="1" applyFont="1" applyBorder="1"/>
    <xf numFmtId="43" fontId="40" fillId="0" borderId="9" xfId="0" applyNumberFormat="1" applyFont="1" applyBorder="1"/>
    <xf numFmtId="43" fontId="40" fillId="0" borderId="9" xfId="1" applyFont="1" applyFill="1" applyBorder="1"/>
    <xf numFmtId="43" fontId="40" fillId="0" borderId="9" xfId="1" applyFont="1" applyFill="1" applyBorder="1" applyAlignment="1">
      <alignment vertical="center"/>
    </xf>
    <xf numFmtId="1" fontId="40" fillId="0" borderId="9" xfId="56" applyNumberFormat="1" applyFont="1" applyBorder="1" applyAlignment="1">
      <alignment horizontal="right" vertical="center" wrapText="1"/>
    </xf>
    <xf numFmtId="43" fontId="40" fillId="0" borderId="9" xfId="1" applyFont="1" applyFill="1" applyBorder="1" applyAlignment="1">
      <alignment horizontal="right" vertical="center" wrapText="1"/>
    </xf>
    <xf numFmtId="0" fontId="40" fillId="0" borderId="9" xfId="0" applyFont="1" applyBorder="1" applyAlignment="1">
      <alignment horizontal="center"/>
    </xf>
    <xf numFmtId="43" fontId="40" fillId="0" borderId="9" xfId="56" applyNumberFormat="1" applyFont="1" applyBorder="1" applyAlignment="1">
      <alignment horizontal="center" vertical="center" wrapText="1"/>
    </xf>
    <xf numFmtId="43" fontId="40" fillId="0" borderId="9" xfId="1" applyFont="1" applyFill="1" applyBorder="1" applyAlignment="1">
      <alignment horizontal="center" vertical="center" wrapText="1"/>
    </xf>
    <xf numFmtId="2" fontId="40" fillId="0" borderId="9" xfId="3" applyNumberFormat="1" applyFont="1" applyBorder="1"/>
    <xf numFmtId="43" fontId="40" fillId="0" borderId="9" xfId="1" applyFont="1" applyFill="1" applyBorder="1" applyAlignment="1">
      <alignment horizontal="center" vertical="center"/>
    </xf>
    <xf numFmtId="175" fontId="40" fillId="0" borderId="9" xfId="1" applyNumberFormat="1" applyFont="1" applyFill="1" applyBorder="1" applyAlignment="1">
      <alignment vertical="center" wrapText="1"/>
    </xf>
    <xf numFmtId="43" fontId="40" fillId="0" borderId="9" xfId="1" applyFont="1" applyFill="1" applyBorder="1" applyAlignment="1">
      <alignment vertical="center" wrapText="1"/>
    </xf>
    <xf numFmtId="43" fontId="40" fillId="0" borderId="9" xfId="0" applyNumberFormat="1" applyFont="1" applyBorder="1" applyAlignment="1">
      <alignment vertical="center"/>
    </xf>
    <xf numFmtId="2" fontId="40" fillId="0" borderId="9" xfId="1" applyNumberFormat="1" applyFont="1" applyFill="1" applyBorder="1" applyAlignment="1">
      <alignment vertical="center" wrapText="1"/>
    </xf>
    <xf numFmtId="43" fontId="40" fillId="0" borderId="9" xfId="56" applyNumberFormat="1" applyFont="1" applyBorder="1" applyAlignment="1">
      <alignment horizontal="right" vertical="center" wrapText="1"/>
    </xf>
    <xf numFmtId="1" fontId="40" fillId="0" borderId="9" xfId="0" applyNumberFormat="1" applyFont="1" applyBorder="1" applyAlignment="1">
      <alignment horizontal="right" vertical="center"/>
    </xf>
    <xf numFmtId="2" fontId="40" fillId="0" borderId="9" xfId="0" applyNumberFormat="1" applyFont="1" applyBorder="1" applyAlignment="1">
      <alignment horizontal="center" vertical="center"/>
    </xf>
    <xf numFmtId="0" fontId="39" fillId="0" borderId="9" xfId="0" applyFont="1" applyBorder="1" applyAlignment="1">
      <alignment vertical="center"/>
    </xf>
    <xf numFmtId="43" fontId="40" fillId="0" borderId="9" xfId="0" applyNumberFormat="1" applyFont="1" applyBorder="1" applyAlignment="1">
      <alignment horizontal="center" vertical="center" wrapText="1"/>
    </xf>
    <xf numFmtId="0" fontId="40" fillId="0" borderId="9" xfId="0" applyFont="1" applyBorder="1" applyAlignment="1">
      <alignment vertical="center"/>
    </xf>
    <xf numFmtId="0" fontId="40" fillId="20" borderId="1" xfId="56" applyFont="1" applyFill="1" applyBorder="1" applyAlignment="1">
      <alignment horizontal="left" vertical="center" wrapText="1"/>
    </xf>
    <xf numFmtId="0" fontId="40" fillId="20" borderId="1" xfId="0" applyFont="1" applyFill="1" applyBorder="1" applyAlignment="1">
      <alignment horizontal="left" vertical="center"/>
    </xf>
    <xf numFmtId="0" fontId="49" fillId="20" borderId="1" xfId="56" applyFont="1" applyFill="1" applyBorder="1" applyAlignment="1">
      <alignment horizontal="left" vertical="center" wrapText="1"/>
    </xf>
    <xf numFmtId="0" fontId="40" fillId="20" borderId="1" xfId="56" applyFont="1" applyFill="1" applyBorder="1" applyAlignment="1">
      <alignment horizontal="center" vertical="center" wrapText="1"/>
    </xf>
    <xf numFmtId="43" fontId="40" fillId="20" borderId="1" xfId="1" applyFont="1" applyFill="1" applyBorder="1" applyAlignment="1">
      <alignment horizontal="right" vertical="center" wrapText="1"/>
    </xf>
    <xf numFmtId="0" fontId="40" fillId="38" borderId="1" xfId="56" applyFont="1" applyFill="1" applyBorder="1" applyAlignment="1">
      <alignment horizontal="left" vertical="center" wrapText="1"/>
    </xf>
    <xf numFmtId="0" fontId="40" fillId="37" borderId="1" xfId="56" applyFont="1" applyFill="1" applyBorder="1" applyAlignment="1">
      <alignment horizontal="center" vertical="center" wrapText="1"/>
    </xf>
    <xf numFmtId="43" fontId="40" fillId="37" borderId="1" xfId="1" applyFont="1" applyFill="1" applyBorder="1" applyAlignment="1">
      <alignment horizontal="right" vertical="center" wrapText="1"/>
    </xf>
    <xf numFmtId="0" fontId="30" fillId="6" borderId="1" xfId="3" applyFont="1" applyFill="1" applyBorder="1" applyAlignment="1">
      <alignment wrapText="1"/>
    </xf>
    <xf numFmtId="2" fontId="50" fillId="0" borderId="0" xfId="0" applyNumberFormat="1" applyFont="1" applyAlignment="1">
      <alignment horizontal="left" vertical="center"/>
    </xf>
    <xf numFmtId="0" fontId="50" fillId="0" borderId="0" xfId="0" applyFont="1"/>
    <xf numFmtId="2" fontId="40" fillId="0" borderId="1" xfId="56" applyNumberFormat="1" applyFont="1" applyBorder="1" applyAlignment="1">
      <alignment horizontal="right" vertical="center" wrapText="1"/>
    </xf>
    <xf numFmtId="43" fontId="63" fillId="0" borderId="0" xfId="1" applyFont="1" applyFill="1"/>
    <xf numFmtId="2" fontId="32" fillId="0" borderId="0" xfId="83" applyNumberFormat="1" applyFont="1" applyAlignment="1">
      <alignment horizontal="left"/>
    </xf>
    <xf numFmtId="0" fontId="32" fillId="6" borderId="0" xfId="83" applyFont="1" applyFill="1"/>
    <xf numFmtId="2" fontId="32" fillId="6" borderId="0" xfId="83" applyNumberFormat="1" applyFont="1" applyFill="1" applyAlignment="1">
      <alignment horizontal="right"/>
    </xf>
    <xf numFmtId="0" fontId="32" fillId="0" borderId="5" xfId="83" applyFont="1" applyBorder="1" applyAlignment="1">
      <alignment horizontal="justify"/>
    </xf>
    <xf numFmtId="164" fontId="32" fillId="0" borderId="5" xfId="83" applyNumberFormat="1" applyFont="1" applyBorder="1" applyAlignment="1">
      <alignment horizontal="center"/>
    </xf>
    <xf numFmtId="0" fontId="31" fillId="0" borderId="63" xfId="83" applyFont="1" applyBorder="1" applyAlignment="1">
      <alignment horizontal="justify"/>
    </xf>
    <xf numFmtId="164" fontId="31" fillId="0" borderId="63" xfId="83" applyNumberFormat="1" applyFont="1" applyBorder="1" applyAlignment="1">
      <alignment horizontal="center"/>
    </xf>
    <xf numFmtId="0" fontId="31" fillId="0" borderId="63" xfId="83" applyFont="1" applyBorder="1" applyAlignment="1">
      <alignment horizontal="center"/>
    </xf>
    <xf numFmtId="0" fontId="40" fillId="6" borderId="1" xfId="0" applyFont="1" applyFill="1" applyBorder="1" applyAlignment="1">
      <alignment horizontal="left" vertical="center"/>
    </xf>
    <xf numFmtId="0" fontId="40" fillId="6" borderId="1" xfId="0" applyFont="1" applyFill="1" applyBorder="1" applyAlignment="1">
      <alignment wrapText="1"/>
    </xf>
    <xf numFmtId="0" fontId="40" fillId="6" borderId="1" xfId="56" applyFont="1" applyFill="1" applyBorder="1" applyAlignment="1">
      <alignment horizontal="center" vertical="center" wrapText="1"/>
    </xf>
    <xf numFmtId="43" fontId="40" fillId="6" borderId="1" xfId="1" applyFont="1" applyFill="1" applyBorder="1" applyAlignment="1">
      <alignment horizontal="right" vertical="center" wrapText="1"/>
    </xf>
    <xf numFmtId="0" fontId="40" fillId="37" borderId="1" xfId="56" applyFont="1" applyFill="1" applyBorder="1" applyAlignment="1">
      <alignment horizontal="left" vertical="center" wrapText="1"/>
    </xf>
    <xf numFmtId="0" fontId="40" fillId="38" borderId="1" xfId="0" applyFont="1" applyFill="1" applyBorder="1" applyAlignment="1">
      <alignment horizontal="left" vertical="center"/>
    </xf>
    <xf numFmtId="0" fontId="40" fillId="38" borderId="1" xfId="56" applyFont="1" applyFill="1" applyBorder="1" applyAlignment="1">
      <alignment horizontal="center" vertical="center" wrapText="1"/>
    </xf>
    <xf numFmtId="43" fontId="40" fillId="38" borderId="1" xfId="1" applyFont="1" applyFill="1" applyBorder="1" applyAlignment="1">
      <alignment horizontal="right" vertical="center" wrapText="1"/>
    </xf>
    <xf numFmtId="0" fontId="40" fillId="38" borderId="1" xfId="32" applyFont="1" applyFill="1" applyBorder="1" applyAlignment="1">
      <alignment vertical="center" wrapText="1"/>
    </xf>
    <xf numFmtId="0" fontId="40" fillId="38" borderId="1" xfId="0" applyFont="1" applyFill="1" applyBorder="1" applyAlignment="1">
      <alignment vertical="center" wrapText="1"/>
    </xf>
    <xf numFmtId="0" fontId="40" fillId="0" borderId="63" xfId="0" applyFont="1" applyBorder="1"/>
    <xf numFmtId="175" fontId="40" fillId="0" borderId="63" xfId="1" applyNumberFormat="1" applyFont="1" applyFill="1" applyBorder="1" applyAlignment="1">
      <alignment horizontal="center" vertical="center" wrapText="1"/>
    </xf>
    <xf numFmtId="43" fontId="40" fillId="0" borderId="63" xfId="1" applyFont="1" applyFill="1" applyBorder="1" applyAlignment="1">
      <alignment horizontal="center" vertical="center" wrapText="1"/>
    </xf>
    <xf numFmtId="0" fontId="39" fillId="37" borderId="1" xfId="0" applyFont="1" applyFill="1" applyBorder="1" applyAlignment="1">
      <alignment horizontal="left" vertical="center"/>
    </xf>
    <xf numFmtId="0" fontId="40" fillId="37" borderId="63" xfId="56" applyFont="1" applyFill="1" applyBorder="1" applyAlignment="1">
      <alignment horizontal="left" vertical="center" wrapText="1"/>
    </xf>
    <xf numFmtId="0" fontId="40" fillId="37" borderId="63" xfId="56" applyFont="1" applyFill="1" applyBorder="1" applyAlignment="1">
      <alignment horizontal="center" vertical="center" wrapText="1"/>
    </xf>
    <xf numFmtId="175" fontId="40" fillId="37" borderId="63" xfId="1" applyNumberFormat="1" applyFont="1" applyFill="1" applyBorder="1" applyAlignment="1">
      <alignment horizontal="right" vertical="center" wrapText="1"/>
    </xf>
    <xf numFmtId="43" fontId="40" fillId="37" borderId="63" xfId="1" applyFont="1" applyFill="1" applyBorder="1" applyAlignment="1">
      <alignment horizontal="right" vertical="center" wrapText="1"/>
    </xf>
    <xf numFmtId="0" fontId="40" fillId="34" borderId="1" xfId="0" applyFont="1" applyFill="1" applyBorder="1"/>
    <xf numFmtId="2" fontId="46" fillId="34" borderId="0" xfId="83" applyNumberFormat="1" applyFont="1" applyFill="1"/>
    <xf numFmtId="0" fontId="40" fillId="34" borderId="13" xfId="0" applyFont="1" applyFill="1" applyBorder="1" applyAlignment="1">
      <alignment horizontal="left" vertical="center"/>
    </xf>
    <xf numFmtId="175" fontId="40" fillId="34" borderId="4" xfId="1" applyNumberFormat="1" applyFont="1" applyFill="1" applyBorder="1" applyAlignment="1">
      <alignment horizontal="center" vertical="center" wrapText="1"/>
    </xf>
    <xf numFmtId="43" fontId="40" fillId="34" borderId="1" xfId="1" applyFont="1" applyFill="1" applyBorder="1" applyAlignment="1">
      <alignment horizontal="center" vertical="center" wrapText="1"/>
    </xf>
    <xf numFmtId="0" fontId="40" fillId="34" borderId="1" xfId="0" applyFont="1" applyFill="1" applyBorder="1" applyAlignment="1">
      <alignment vertical="center" wrapText="1"/>
    </xf>
    <xf numFmtId="0" fontId="32" fillId="34" borderId="1" xfId="83" applyFont="1" applyFill="1" applyBorder="1" applyAlignment="1">
      <alignment horizontal="justify"/>
    </xf>
    <xf numFmtId="2" fontId="32" fillId="34" borderId="1" xfId="83" applyNumberFormat="1" applyFont="1" applyFill="1" applyBorder="1" applyAlignment="1">
      <alignment horizontal="center"/>
    </xf>
    <xf numFmtId="2" fontId="32" fillId="0" borderId="0" xfId="83" applyNumberFormat="1" applyFont="1" applyAlignment="1">
      <alignment horizontal="left" wrapText="1"/>
    </xf>
    <xf numFmtId="1" fontId="40" fillId="0" borderId="63" xfId="56" applyNumberFormat="1" applyFont="1" applyBorder="1" applyAlignment="1">
      <alignment horizontal="center" vertical="center" wrapText="1"/>
    </xf>
    <xf numFmtId="43" fontId="40" fillId="0" borderId="63" xfId="56" applyNumberFormat="1" applyFont="1" applyBorder="1" applyAlignment="1">
      <alignment horizontal="center" vertical="center" wrapText="1"/>
    </xf>
    <xf numFmtId="0" fontId="40" fillId="20" borderId="63" xfId="56" applyFont="1" applyFill="1" applyBorder="1" applyAlignment="1">
      <alignment horizontal="left" vertical="center" wrapText="1"/>
    </xf>
    <xf numFmtId="43" fontId="40" fillId="20" borderId="63" xfId="1" applyFont="1" applyFill="1" applyBorder="1" applyAlignment="1">
      <alignment horizontal="right" vertical="center" wrapText="1"/>
    </xf>
    <xf numFmtId="0" fontId="40" fillId="20" borderId="63" xfId="0" applyFont="1" applyFill="1" applyBorder="1"/>
    <xf numFmtId="2" fontId="32" fillId="0" borderId="0" xfId="75" applyNumberFormat="1" applyFont="1"/>
    <xf numFmtId="0" fontId="39" fillId="6" borderId="13" xfId="0" applyFont="1" applyFill="1" applyBorder="1" applyAlignment="1">
      <alignment horizontal="left" vertical="center"/>
    </xf>
    <xf numFmtId="0" fontId="40" fillId="6" borderId="1" xfId="56" applyFont="1" applyFill="1" applyBorder="1" applyAlignment="1">
      <alignment horizontal="left" vertical="center" wrapText="1"/>
    </xf>
    <xf numFmtId="164" fontId="40" fillId="6" borderId="1" xfId="0" applyNumberFormat="1" applyFont="1" applyFill="1" applyBorder="1" applyAlignment="1">
      <alignment horizontal="center" vertical="center" wrapText="1"/>
    </xf>
    <xf numFmtId="0" fontId="40" fillId="6" borderId="1" xfId="0" applyFont="1" applyFill="1" applyBorder="1"/>
    <xf numFmtId="175" fontId="40" fillId="6" borderId="4" xfId="1" applyNumberFormat="1" applyFont="1" applyFill="1" applyBorder="1" applyAlignment="1">
      <alignment horizontal="center" vertical="center" wrapText="1"/>
    </xf>
    <xf numFmtId="43" fontId="40" fillId="6" borderId="1" xfId="1" applyFont="1" applyFill="1" applyBorder="1" applyAlignment="1">
      <alignment horizontal="center" vertical="center" wrapText="1"/>
    </xf>
    <xf numFmtId="43" fontId="40" fillId="6" borderId="1" xfId="56" applyNumberFormat="1" applyFont="1" applyFill="1" applyBorder="1" applyAlignment="1">
      <alignment horizontal="center" vertical="center" wrapText="1"/>
    </xf>
    <xf numFmtId="0" fontId="39" fillId="6" borderId="1" xfId="56" applyFont="1" applyFill="1" applyBorder="1" applyAlignment="1">
      <alignment horizontal="left" vertical="center" wrapText="1"/>
    </xf>
    <xf numFmtId="0" fontId="39" fillId="6" borderId="1" xfId="0" applyFont="1" applyFill="1" applyBorder="1" applyAlignment="1">
      <alignment horizontal="left" vertical="center"/>
    </xf>
    <xf numFmtId="175" fontId="40" fillId="6" borderId="1" xfId="1" applyNumberFormat="1" applyFont="1" applyFill="1" applyBorder="1" applyAlignment="1">
      <alignment horizontal="center" vertical="center" wrapText="1"/>
    </xf>
    <xf numFmtId="0" fontId="40" fillId="20" borderId="1" xfId="0" applyFont="1" applyFill="1" applyBorder="1" applyAlignment="1">
      <alignment vertical="center" wrapText="1"/>
    </xf>
    <xf numFmtId="164" fontId="40" fillId="20" borderId="1" xfId="0" applyNumberFormat="1" applyFont="1" applyFill="1" applyBorder="1" applyAlignment="1">
      <alignment horizontal="center" vertical="center" wrapText="1"/>
    </xf>
    <xf numFmtId="4" fontId="32" fillId="0" borderId="0" xfId="75" applyNumberFormat="1" applyFont="1"/>
    <xf numFmtId="0" fontId="40" fillId="6" borderId="1" xfId="0" applyFont="1" applyFill="1" applyBorder="1" applyAlignment="1">
      <alignment vertical="center" wrapText="1"/>
    </xf>
    <xf numFmtId="164" fontId="40" fillId="6" borderId="63" xfId="0" applyNumberFormat="1" applyFont="1" applyFill="1" applyBorder="1" applyAlignment="1">
      <alignment horizontal="center" vertical="center" wrapText="1"/>
    </xf>
    <xf numFmtId="43" fontId="40" fillId="6" borderId="63" xfId="1" applyFont="1" applyFill="1" applyBorder="1" applyAlignment="1">
      <alignment horizontal="right" vertical="center" wrapText="1"/>
    </xf>
    <xf numFmtId="0" fontId="40" fillId="20" borderId="1" xfId="32" applyFont="1" applyFill="1" applyBorder="1" applyAlignment="1">
      <alignment vertical="center" wrapText="1"/>
    </xf>
    <xf numFmtId="0" fontId="39" fillId="6" borderId="63" xfId="0" applyFont="1" applyFill="1" applyBorder="1" applyAlignment="1">
      <alignment horizontal="left" vertical="center"/>
    </xf>
    <xf numFmtId="0" fontId="40" fillId="6" borderId="63" xfId="56" applyFont="1" applyFill="1" applyBorder="1" applyAlignment="1">
      <alignment horizontal="left" vertical="center" wrapText="1"/>
    </xf>
    <xf numFmtId="0" fontId="40" fillId="6" borderId="63" xfId="0" applyFont="1" applyFill="1" applyBorder="1"/>
    <xf numFmtId="175" fontId="40" fillId="6" borderId="63" xfId="1" applyNumberFormat="1" applyFont="1" applyFill="1" applyBorder="1" applyAlignment="1">
      <alignment horizontal="center" vertical="center" wrapText="1"/>
    </xf>
    <xf numFmtId="0" fontId="39" fillId="0" borderId="63" xfId="0" applyFont="1" applyBorder="1"/>
    <xf numFmtId="43" fontId="39" fillId="0" borderId="63" xfId="56" applyNumberFormat="1" applyFont="1" applyBorder="1" applyAlignment="1">
      <alignment horizontal="center" vertical="center" wrapText="1"/>
    </xf>
    <xf numFmtId="0" fontId="39" fillId="0" borderId="63" xfId="56" applyFont="1" applyBorder="1" applyAlignment="1">
      <alignment horizontal="center" vertical="center" wrapText="1"/>
    </xf>
    <xf numFmtId="0" fontId="40" fillId="20" borderId="63" xfId="0" applyFont="1" applyFill="1" applyBorder="1" applyAlignment="1">
      <alignment horizontal="left" vertical="top" wrapText="1"/>
    </xf>
    <xf numFmtId="0" fontId="39" fillId="0" borderId="63" xfId="3" applyFont="1" applyBorder="1" applyAlignment="1">
      <alignment vertical="center" wrapText="1"/>
    </xf>
    <xf numFmtId="0" fontId="39" fillId="0" borderId="63" xfId="3" applyFont="1" applyBorder="1" applyAlignment="1">
      <alignment horizontal="center" vertical="center" wrapText="1"/>
    </xf>
    <xf numFmtId="0" fontId="39" fillId="23" borderId="63" xfId="0" applyFont="1" applyFill="1" applyBorder="1" applyAlignment="1">
      <alignment horizontal="left" vertical="top" wrapText="1"/>
    </xf>
    <xf numFmtId="43" fontId="40" fillId="39" borderId="63" xfId="4" applyFont="1" applyFill="1" applyBorder="1" applyAlignment="1">
      <alignment horizontal="right" vertical="center" wrapText="1"/>
    </xf>
    <xf numFmtId="43" fontId="40" fillId="39" borderId="63" xfId="56" applyNumberFormat="1" applyFont="1" applyFill="1" applyBorder="1" applyAlignment="1">
      <alignment horizontal="center" vertical="center" wrapText="1"/>
    </xf>
    <xf numFmtId="0" fontId="40" fillId="0" borderId="63" xfId="56" applyFont="1" applyBorder="1" applyAlignment="1">
      <alignment horizontal="center" vertical="center" wrapText="1"/>
    </xf>
    <xf numFmtId="0" fontId="40" fillId="0" borderId="63" xfId="56" applyFont="1" applyBorder="1" applyAlignment="1">
      <alignment horizontal="right" vertical="center" wrapText="1"/>
    </xf>
    <xf numFmtId="0" fontId="39" fillId="0" borderId="63" xfId="3" applyFont="1" applyBorder="1" applyAlignment="1">
      <alignment horizontal="center"/>
    </xf>
    <xf numFmtId="43" fontId="40" fillId="40" borderId="63" xfId="4" applyFont="1" applyFill="1" applyBorder="1" applyAlignment="1">
      <alignment horizontal="right" vertical="center" wrapText="1"/>
    </xf>
    <xf numFmtId="43" fontId="40" fillId="40" borderId="63" xfId="56" applyNumberFormat="1" applyFont="1" applyFill="1" applyBorder="1" applyAlignment="1">
      <alignment horizontal="center" vertical="center" wrapText="1"/>
    </xf>
    <xf numFmtId="43" fontId="40" fillId="0" borderId="63" xfId="4" applyFont="1" applyFill="1" applyBorder="1" applyAlignment="1">
      <alignment horizontal="right" vertical="center" wrapText="1"/>
    </xf>
    <xf numFmtId="2" fontId="40" fillId="0" borderId="63" xfId="3" applyNumberFormat="1" applyFont="1" applyBorder="1"/>
    <xf numFmtId="43" fontId="40" fillId="0" borderId="63" xfId="4" applyFont="1" applyFill="1" applyBorder="1" applyAlignment="1">
      <alignment horizontal="center" vertical="center"/>
    </xf>
    <xf numFmtId="0" fontId="40" fillId="0" borderId="63" xfId="3" applyFont="1" applyBorder="1" applyAlignment="1">
      <alignment horizontal="left" vertical="top" wrapText="1"/>
    </xf>
    <xf numFmtId="175" fontId="39" fillId="14" borderId="63" xfId="4" applyNumberFormat="1" applyFont="1" applyFill="1" applyBorder="1" applyAlignment="1">
      <alignment vertical="center"/>
    </xf>
    <xf numFmtId="0" fontId="39" fillId="14" borderId="63" xfId="3" applyFont="1" applyFill="1" applyBorder="1" applyAlignment="1">
      <alignment horizontal="center"/>
    </xf>
    <xf numFmtId="0" fontId="40" fillId="0" borderId="63" xfId="3" applyFont="1" applyBorder="1" applyAlignment="1">
      <alignment horizontal="center"/>
    </xf>
    <xf numFmtId="43" fontId="40" fillId="4" borderId="63" xfId="4" applyFont="1" applyFill="1" applyBorder="1" applyAlignment="1">
      <alignment horizontal="right" vertical="center" wrapText="1"/>
    </xf>
    <xf numFmtId="0" fontId="39" fillId="0" borderId="63" xfId="3" applyFont="1" applyBorder="1" applyAlignment="1">
      <alignment horizontal="left" vertical="center"/>
    </xf>
    <xf numFmtId="43" fontId="40" fillId="4" borderId="63" xfId="1" applyFont="1" applyFill="1" applyBorder="1" applyAlignment="1">
      <alignment horizontal="right" vertical="center" wrapText="1"/>
    </xf>
    <xf numFmtId="0" fontId="39" fillId="20" borderId="1" xfId="56" applyFont="1" applyFill="1" applyBorder="1" applyAlignment="1">
      <alignment horizontal="center" vertical="center" wrapText="1"/>
    </xf>
    <xf numFmtId="169" fontId="40" fillId="20" borderId="1" xfId="56" applyNumberFormat="1" applyFont="1" applyFill="1" applyBorder="1" applyAlignment="1">
      <alignment horizontal="center" vertical="center" wrapText="1"/>
    </xf>
    <xf numFmtId="0" fontId="39" fillId="20" borderId="1" xfId="56" applyFont="1" applyFill="1" applyBorder="1" applyAlignment="1">
      <alignment horizontal="left" vertical="center" wrapText="1"/>
    </xf>
    <xf numFmtId="2" fontId="40" fillId="20" borderId="1" xfId="56" applyNumberFormat="1" applyFont="1" applyFill="1" applyBorder="1" applyAlignment="1">
      <alignment horizontal="right" vertical="center" wrapText="1"/>
    </xf>
    <xf numFmtId="0" fontId="40" fillId="20" borderId="63" xfId="56" applyFont="1" applyFill="1" applyBorder="1" applyAlignment="1">
      <alignment horizontal="center" vertical="center" wrapText="1"/>
    </xf>
    <xf numFmtId="0" fontId="39" fillId="20" borderId="63" xfId="0" applyFont="1" applyFill="1" applyBorder="1" applyAlignment="1">
      <alignment horizontal="left" vertical="center"/>
    </xf>
    <xf numFmtId="2" fontId="32" fillId="0" borderId="0" xfId="83" applyNumberFormat="1" applyFont="1" applyAlignment="1">
      <alignment horizontal="left" vertical="top"/>
    </xf>
    <xf numFmtId="0" fontId="11" fillId="0" borderId="0" xfId="75" applyAlignment="1">
      <alignment horizontal="left" vertical="top"/>
    </xf>
    <xf numFmtId="0" fontId="2" fillId="0" borderId="0" xfId="75" applyFont="1"/>
    <xf numFmtId="0" fontId="32" fillId="41" borderId="0" xfId="83" applyFont="1" applyFill="1" applyAlignment="1">
      <alignment horizontal="left" vertical="top"/>
    </xf>
    <xf numFmtId="0" fontId="32" fillId="41" borderId="0" xfId="83" applyFont="1" applyFill="1"/>
    <xf numFmtId="0" fontId="32" fillId="41" borderId="0" xfId="75" applyFont="1" applyFill="1"/>
    <xf numFmtId="2" fontId="32" fillId="41" borderId="0" xfId="83" applyNumberFormat="1" applyFont="1" applyFill="1" applyAlignment="1">
      <alignment horizontal="left" vertical="top"/>
    </xf>
    <xf numFmtId="0" fontId="32" fillId="41" borderId="0" xfId="83" applyFont="1" applyFill="1" applyAlignment="1">
      <alignment horizontal="left"/>
    </xf>
    <xf numFmtId="2" fontId="32" fillId="41" borderId="0" xfId="83" applyNumberFormat="1" applyFont="1" applyFill="1"/>
    <xf numFmtId="2" fontId="32" fillId="41" borderId="0" xfId="75" applyNumberFormat="1" applyFont="1" applyFill="1"/>
    <xf numFmtId="0" fontId="40" fillId="14" borderId="63" xfId="0" applyFont="1" applyFill="1" applyBorder="1" applyAlignment="1">
      <alignment horizontal="left" vertical="center"/>
    </xf>
    <xf numFmtId="0" fontId="40" fillId="14" borderId="63" xfId="3" applyFont="1" applyFill="1" applyBorder="1" applyAlignment="1">
      <alignment horizontal="left" wrapText="1" indent="2"/>
    </xf>
    <xf numFmtId="0" fontId="40" fillId="14" borderId="63" xfId="56" applyFont="1" applyFill="1" applyBorder="1" applyAlignment="1">
      <alignment horizontal="center" vertical="center" wrapText="1"/>
    </xf>
    <xf numFmtId="43" fontId="40" fillId="14" borderId="63" xfId="1" applyFont="1" applyFill="1" applyBorder="1" applyAlignment="1">
      <alignment horizontal="right" vertical="center" wrapText="1"/>
    </xf>
    <xf numFmtId="0" fontId="40" fillId="14" borderId="63" xfId="0" applyFont="1" applyFill="1" applyBorder="1"/>
    <xf numFmtId="175" fontId="40" fillId="14" borderId="63" xfId="1" applyNumberFormat="1" applyFont="1" applyFill="1" applyBorder="1" applyAlignment="1">
      <alignment horizontal="center" vertical="center" wrapText="1"/>
    </xf>
    <xf numFmtId="43" fontId="40" fillId="14" borderId="9" xfId="1" applyFont="1" applyFill="1" applyBorder="1" applyAlignment="1">
      <alignment horizontal="center" vertical="center" wrapText="1"/>
    </xf>
    <xf numFmtId="43" fontId="40" fillId="14" borderId="63" xfId="1" applyFont="1" applyFill="1" applyBorder="1" applyAlignment="1">
      <alignment horizontal="center" vertical="center" wrapText="1"/>
    </xf>
    <xf numFmtId="0" fontId="40" fillId="14" borderId="0" xfId="0" applyFont="1" applyFill="1"/>
    <xf numFmtId="0" fontId="39" fillId="20" borderId="0" xfId="0" applyFont="1" applyFill="1" applyAlignment="1">
      <alignment wrapText="1"/>
    </xf>
    <xf numFmtId="0" fontId="39" fillId="20" borderId="1" xfId="56" applyFont="1" applyFill="1" applyBorder="1" applyAlignment="1">
      <alignment vertical="center" wrapText="1"/>
    </xf>
    <xf numFmtId="0" fontId="40" fillId="20" borderId="1" xfId="56" applyFont="1" applyFill="1" applyBorder="1" applyAlignment="1">
      <alignment vertical="center" wrapText="1"/>
    </xf>
    <xf numFmtId="43" fontId="40" fillId="23" borderId="1" xfId="0" applyNumberFormat="1" applyFont="1" applyFill="1" applyBorder="1" applyAlignment="1">
      <alignment vertical="center"/>
    </xf>
    <xf numFmtId="0" fontId="40" fillId="23" borderId="1" xfId="0" applyFont="1" applyFill="1" applyBorder="1" applyAlignment="1">
      <alignment vertical="center"/>
    </xf>
    <xf numFmtId="0" fontId="40" fillId="0" borderId="63" xfId="0" applyFont="1" applyBorder="1" applyAlignment="1">
      <alignment vertical="center"/>
    </xf>
    <xf numFmtId="0" fontId="40" fillId="6" borderId="1" xfId="0" applyFont="1" applyFill="1" applyBorder="1" applyAlignment="1">
      <alignment vertical="center"/>
    </xf>
    <xf numFmtId="0" fontId="40" fillId="6" borderId="63" xfId="0" applyFont="1" applyFill="1" applyBorder="1" applyAlignment="1">
      <alignment vertical="center"/>
    </xf>
    <xf numFmtId="0" fontId="40" fillId="5" borderId="1" xfId="0" applyFont="1" applyFill="1" applyBorder="1" applyAlignment="1">
      <alignment vertical="center"/>
    </xf>
    <xf numFmtId="0" fontId="40" fillId="33" borderId="1" xfId="0" applyFont="1" applyFill="1" applyBorder="1" applyAlignment="1">
      <alignment vertical="center"/>
    </xf>
    <xf numFmtId="0" fontId="40" fillId="20" borderId="63" xfId="0" applyFont="1" applyFill="1" applyBorder="1" applyAlignment="1">
      <alignment vertical="center"/>
    </xf>
    <xf numFmtId="43" fontId="40" fillId="0" borderId="1" xfId="0" applyNumberFormat="1" applyFont="1" applyBorder="1" applyAlignment="1">
      <alignment vertical="center" wrapText="1"/>
    </xf>
    <xf numFmtId="0" fontId="40" fillId="13" borderId="1" xfId="0" applyFont="1" applyFill="1" applyBorder="1" applyAlignment="1">
      <alignment vertical="center"/>
    </xf>
    <xf numFmtId="43" fontId="40" fillId="5" borderId="1" xfId="0" applyNumberFormat="1" applyFont="1" applyFill="1" applyBorder="1" applyAlignment="1">
      <alignment vertical="center"/>
    </xf>
    <xf numFmtId="1" fontId="40" fillId="0" borderId="1" xfId="0" applyNumberFormat="1" applyFont="1" applyBorder="1" applyAlignment="1">
      <alignment vertical="center"/>
    </xf>
    <xf numFmtId="43" fontId="40" fillId="0" borderId="1" xfId="56" applyNumberFormat="1" applyFont="1" applyBorder="1" applyAlignment="1">
      <alignment vertical="center" wrapText="1"/>
    </xf>
    <xf numFmtId="43" fontId="40" fillId="13" borderId="1" xfId="0" applyNumberFormat="1" applyFont="1" applyFill="1" applyBorder="1" applyAlignment="1">
      <alignment vertical="center"/>
    </xf>
    <xf numFmtId="43" fontId="40" fillId="23" borderId="1" xfId="1" applyFont="1" applyFill="1" applyBorder="1" applyAlignment="1">
      <alignment vertical="center" wrapText="1"/>
    </xf>
    <xf numFmtId="43" fontId="40" fillId="35" borderId="1" xfId="1" applyFont="1" applyFill="1" applyBorder="1" applyAlignment="1">
      <alignment vertical="center" wrapText="1"/>
    </xf>
    <xf numFmtId="0" fontId="40" fillId="23" borderId="63" xfId="0" applyFont="1" applyFill="1" applyBorder="1" applyAlignment="1">
      <alignment vertical="center" wrapText="1"/>
    </xf>
    <xf numFmtId="43" fontId="40" fillId="20" borderId="1" xfId="56" applyNumberFormat="1" applyFont="1" applyFill="1" applyBorder="1" applyAlignment="1">
      <alignment vertical="center" wrapText="1"/>
    </xf>
    <xf numFmtId="1" fontId="40" fillId="20" borderId="1" xfId="56" applyNumberFormat="1" applyFont="1" applyFill="1" applyBorder="1" applyAlignment="1">
      <alignment vertical="center" wrapText="1"/>
    </xf>
    <xf numFmtId="175" fontId="40" fillId="0" borderId="0" xfId="1" applyNumberFormat="1" applyFont="1" applyFill="1" applyAlignment="1">
      <alignment horizontal="center" vertical="center"/>
    </xf>
    <xf numFmtId="175" fontId="40" fillId="0" borderId="0" xfId="1" applyNumberFormat="1" applyFont="1" applyFill="1" applyAlignment="1">
      <alignment horizontal="left" vertical="center"/>
    </xf>
    <xf numFmtId="175" fontId="40" fillId="0" borderId="0" xfId="1" applyNumberFormat="1" applyFont="1"/>
    <xf numFmtId="175" fontId="39" fillId="0" borderId="1" xfId="1" applyNumberFormat="1" applyFont="1" applyBorder="1" applyAlignment="1">
      <alignment vertical="center" wrapText="1"/>
    </xf>
    <xf numFmtId="175" fontId="39" fillId="14" borderId="1" xfId="1" applyNumberFormat="1" applyFont="1" applyFill="1" applyBorder="1" applyAlignment="1">
      <alignment horizontal="center" vertical="center" wrapText="1"/>
    </xf>
    <xf numFmtId="175" fontId="40" fillId="0" borderId="1" xfId="1" applyNumberFormat="1" applyFont="1" applyFill="1" applyBorder="1" applyAlignment="1">
      <alignment horizontal="center" vertical="center"/>
    </xf>
    <xf numFmtId="175" fontId="39" fillId="13" borderId="1" xfId="1" applyNumberFormat="1" applyFont="1" applyFill="1" applyBorder="1" applyAlignment="1">
      <alignment horizontal="center"/>
    </xf>
    <xf numFmtId="175" fontId="39" fillId="23" borderId="1" xfId="1" applyNumberFormat="1" applyFont="1" applyFill="1" applyBorder="1" applyAlignment="1">
      <alignment horizontal="center"/>
    </xf>
    <xf numFmtId="175" fontId="39" fillId="5" borderId="1" xfId="1" applyNumberFormat="1" applyFont="1" applyFill="1" applyBorder="1" applyAlignment="1">
      <alignment horizontal="center"/>
    </xf>
    <xf numFmtId="175" fontId="39" fillId="5" borderId="1" xfId="1" applyNumberFormat="1" applyFont="1" applyFill="1" applyBorder="1" applyAlignment="1">
      <alignment horizontal="center" vertical="center"/>
    </xf>
    <xf numFmtId="175" fontId="39" fillId="14" borderId="1" xfId="1" applyNumberFormat="1" applyFont="1" applyFill="1" applyBorder="1" applyAlignment="1">
      <alignment horizontal="center"/>
    </xf>
    <xf numFmtId="175" fontId="39" fillId="0" borderId="1" xfId="1" applyNumberFormat="1" applyFont="1" applyFill="1" applyBorder="1" applyAlignment="1">
      <alignment horizontal="center"/>
    </xf>
    <xf numFmtId="175" fontId="39" fillId="0" borderId="1" xfId="1" applyNumberFormat="1" applyFont="1" applyFill="1" applyBorder="1" applyAlignment="1">
      <alignment horizontal="center" vertical="center"/>
    </xf>
    <xf numFmtId="175" fontId="39" fillId="33" borderId="1" xfId="1" applyNumberFormat="1" applyFont="1" applyFill="1" applyBorder="1" applyAlignment="1">
      <alignment horizontal="center"/>
    </xf>
    <xf numFmtId="175" fontId="39" fillId="13" borderId="1" xfId="1" applyNumberFormat="1" applyFont="1" applyFill="1" applyBorder="1"/>
    <xf numFmtId="175" fontId="40" fillId="0" borderId="1" xfId="1" applyNumberFormat="1" applyFont="1" applyFill="1" applyBorder="1"/>
    <xf numFmtId="175" fontId="40" fillId="14" borderId="1" xfId="1" applyNumberFormat="1" applyFont="1" applyFill="1" applyBorder="1" applyAlignment="1">
      <alignment horizontal="center" vertical="center"/>
    </xf>
    <xf numFmtId="175" fontId="40" fillId="14" borderId="1" xfId="1" applyNumberFormat="1" applyFont="1" applyFill="1" applyBorder="1"/>
    <xf numFmtId="175" fontId="39" fillId="23" borderId="1" xfId="1" applyNumberFormat="1" applyFont="1" applyFill="1" applyBorder="1"/>
    <xf numFmtId="175" fontId="40" fillId="5" borderId="1" xfId="1" applyNumberFormat="1" applyFont="1" applyFill="1" applyBorder="1"/>
    <xf numFmtId="175" fontId="39" fillId="20" borderId="1" xfId="1" applyNumberFormat="1" applyFont="1" applyFill="1" applyBorder="1" applyAlignment="1">
      <alignment vertical="center" wrapText="1"/>
    </xf>
    <xf numFmtId="175" fontId="40" fillId="14" borderId="63" xfId="1" applyNumberFormat="1" applyFont="1" applyFill="1" applyBorder="1"/>
    <xf numFmtId="175" fontId="39" fillId="14" borderId="1" xfId="1" applyNumberFormat="1" applyFont="1" applyFill="1" applyBorder="1"/>
    <xf numFmtId="175" fontId="39" fillId="5" borderId="1" xfId="1" applyNumberFormat="1" applyFont="1" applyFill="1" applyBorder="1"/>
    <xf numFmtId="175" fontId="40" fillId="0" borderId="1" xfId="1" applyNumberFormat="1" applyFont="1" applyBorder="1" applyAlignment="1">
      <alignment horizontal="center" vertical="center"/>
    </xf>
    <xf numFmtId="175" fontId="39" fillId="0" borderId="63" xfId="1" applyNumberFormat="1" applyFont="1" applyFill="1" applyBorder="1"/>
    <xf numFmtId="175" fontId="40" fillId="23" borderId="1" xfId="1" applyNumberFormat="1" applyFont="1" applyFill="1" applyBorder="1"/>
    <xf numFmtId="175" fontId="40" fillId="33" borderId="1" xfId="1" applyNumberFormat="1" applyFont="1" applyFill="1" applyBorder="1"/>
    <xf numFmtId="175" fontId="40" fillId="0" borderId="1" xfId="1" applyNumberFormat="1" applyFont="1" applyFill="1" applyBorder="1" applyAlignment="1">
      <alignment vertical="center"/>
    </xf>
    <xf numFmtId="175" fontId="40" fillId="14" borderId="1" xfId="1" applyNumberFormat="1" applyFont="1" applyFill="1" applyBorder="1" applyAlignment="1">
      <alignment vertical="center"/>
    </xf>
    <xf numFmtId="175" fontId="39" fillId="23" borderId="63" xfId="1" applyNumberFormat="1" applyFont="1" applyFill="1" applyBorder="1" applyAlignment="1">
      <alignment horizontal="left" vertical="top" wrapText="1"/>
    </xf>
    <xf numFmtId="175" fontId="40" fillId="20" borderId="1" xfId="1" applyNumberFormat="1" applyFont="1" applyFill="1" applyBorder="1" applyAlignment="1">
      <alignment horizontal="center" vertical="center" wrapText="1"/>
    </xf>
    <xf numFmtId="175" fontId="39" fillId="14" borderId="63" xfId="1" applyNumberFormat="1" applyFont="1" applyFill="1" applyBorder="1" applyAlignment="1">
      <alignment horizontal="center"/>
    </xf>
    <xf numFmtId="177" fontId="40" fillId="0" borderId="1" xfId="0" applyNumberFormat="1" applyFont="1" applyBorder="1" applyAlignment="1">
      <alignment vertical="center"/>
    </xf>
    <xf numFmtId="175" fontId="39" fillId="14" borderId="1" xfId="1" applyNumberFormat="1" applyFont="1" applyFill="1" applyBorder="1" applyAlignment="1">
      <alignment horizontal="center" vertical="center"/>
    </xf>
    <xf numFmtId="175" fontId="39" fillId="0" borderId="1" xfId="1" applyNumberFormat="1" applyFont="1" applyBorder="1" applyAlignment="1">
      <alignment horizontal="center" vertical="center"/>
    </xf>
    <xf numFmtId="0" fontId="40" fillId="0" borderId="63" xfId="0" applyFont="1" applyBorder="1" applyAlignment="1">
      <alignment horizontal="left" vertical="center"/>
    </xf>
    <xf numFmtId="0" fontId="40" fillId="0" borderId="63" xfId="56" applyFont="1" applyBorder="1" applyAlignment="1">
      <alignment horizontal="left" vertical="center" wrapText="1"/>
    </xf>
    <xf numFmtId="175" fontId="39" fillId="14" borderId="63" xfId="1" applyNumberFormat="1" applyFont="1" applyFill="1" applyBorder="1" applyAlignment="1">
      <alignment vertical="center"/>
    </xf>
    <xf numFmtId="0" fontId="39" fillId="0" borderId="63" xfId="0" applyFont="1" applyBorder="1" applyAlignment="1">
      <alignment horizontal="left" vertical="center"/>
    </xf>
    <xf numFmtId="0" fontId="39" fillId="0" borderId="63" xfId="56" applyFont="1" applyBorder="1" applyAlignment="1">
      <alignment horizontal="left" vertical="center" wrapText="1"/>
    </xf>
    <xf numFmtId="164" fontId="39" fillId="0" borderId="63" xfId="0" applyNumberFormat="1" applyFont="1" applyBorder="1" applyAlignment="1">
      <alignment horizontal="center" vertical="center" wrapText="1"/>
    </xf>
    <xf numFmtId="164" fontId="39" fillId="0" borderId="63" xfId="0" applyNumberFormat="1" applyFont="1" applyBorder="1" applyAlignment="1">
      <alignment horizontal="right" vertical="center" wrapText="1"/>
    </xf>
    <xf numFmtId="175" fontId="40" fillId="14" borderId="63" xfId="1" applyNumberFormat="1" applyFont="1" applyFill="1" applyBorder="1" applyAlignment="1">
      <alignment vertical="center"/>
    </xf>
    <xf numFmtId="1" fontId="39" fillId="0" borderId="63" xfId="0" applyNumberFormat="1" applyFont="1" applyBorder="1" applyAlignment="1">
      <alignment horizontal="center" vertical="center" wrapText="1"/>
    </xf>
    <xf numFmtId="43" fontId="40" fillId="0" borderId="1" xfId="0" applyNumberFormat="1" applyFont="1" applyBorder="1" applyAlignment="1">
      <alignment horizontal="center" vertical="center"/>
    </xf>
    <xf numFmtId="43" fontId="40" fillId="6" borderId="1" xfId="0" applyNumberFormat="1" applyFont="1" applyFill="1" applyBorder="1" applyAlignment="1">
      <alignment vertical="center"/>
    </xf>
    <xf numFmtId="175" fontId="39" fillId="0" borderId="63" xfId="1" applyNumberFormat="1" applyFont="1" applyFill="1" applyBorder="1" applyAlignment="1">
      <alignment horizontal="center" vertical="center"/>
    </xf>
    <xf numFmtId="175" fontId="40" fillId="0" borderId="63" xfId="1" applyNumberFormat="1" applyFont="1" applyFill="1" applyBorder="1" applyAlignment="1">
      <alignment horizontal="center" vertical="center"/>
    </xf>
    <xf numFmtId="0" fontId="40" fillId="13" borderId="1" xfId="0" applyFont="1" applyFill="1" applyBorder="1" applyAlignment="1">
      <alignment horizontal="left" vertical="center"/>
    </xf>
    <xf numFmtId="0" fontId="49" fillId="13" borderId="1" xfId="56" applyFont="1" applyFill="1" applyBorder="1" applyAlignment="1">
      <alignment horizontal="left" vertical="center" wrapText="1"/>
    </xf>
    <xf numFmtId="0" fontId="40" fillId="13" borderId="1" xfId="56" applyFont="1" applyFill="1" applyBorder="1" applyAlignment="1">
      <alignment horizontal="center" vertical="center" wrapText="1"/>
    </xf>
    <xf numFmtId="43" fontId="40" fillId="13" borderId="1" xfId="1" applyFont="1" applyFill="1" applyBorder="1" applyAlignment="1">
      <alignment horizontal="right" vertical="center" wrapText="1"/>
    </xf>
    <xf numFmtId="0" fontId="40" fillId="13" borderId="1" xfId="0" applyFont="1" applyFill="1" applyBorder="1"/>
    <xf numFmtId="175" fontId="40" fillId="13" borderId="1" xfId="1" applyNumberFormat="1" applyFont="1" applyFill="1" applyBorder="1" applyAlignment="1">
      <alignment vertical="center"/>
    </xf>
    <xf numFmtId="0" fontId="40" fillId="13" borderId="1" xfId="56" applyFont="1" applyFill="1" applyBorder="1" applyAlignment="1">
      <alignment horizontal="left" vertical="center" wrapText="1"/>
    </xf>
    <xf numFmtId="175" fontId="40" fillId="13" borderId="1" xfId="1" applyNumberFormat="1" applyFont="1" applyFill="1" applyBorder="1" applyAlignment="1">
      <alignment horizontal="center" vertical="center"/>
    </xf>
    <xf numFmtId="2" fontId="40" fillId="6" borderId="1" xfId="0" applyNumberFormat="1" applyFont="1" applyFill="1" applyBorder="1" applyAlignment="1">
      <alignment horizontal="center" vertical="center"/>
    </xf>
    <xf numFmtId="175" fontId="39" fillId="6" borderId="1" xfId="1" applyNumberFormat="1" applyFont="1" applyFill="1" applyBorder="1" applyAlignment="1">
      <alignment vertical="center"/>
    </xf>
    <xf numFmtId="169" fontId="40" fillId="13" borderId="1" xfId="56" applyNumberFormat="1" applyFont="1" applyFill="1" applyBorder="1" applyAlignment="1">
      <alignment horizontal="center" vertical="center" wrapText="1"/>
    </xf>
    <xf numFmtId="0" fontId="40" fillId="13" borderId="63" xfId="0" applyFont="1" applyFill="1" applyBorder="1" applyAlignment="1">
      <alignment vertical="center"/>
    </xf>
    <xf numFmtId="0" fontId="40" fillId="13" borderId="63" xfId="0" applyFont="1" applyFill="1" applyBorder="1"/>
    <xf numFmtId="2" fontId="40" fillId="13" borderId="1" xfId="56" applyNumberFormat="1" applyFont="1" applyFill="1" applyBorder="1" applyAlignment="1">
      <alignment horizontal="right" vertical="center" wrapText="1"/>
    </xf>
    <xf numFmtId="0" fontId="40" fillId="20" borderId="1" xfId="0" applyFont="1" applyFill="1" applyBorder="1"/>
    <xf numFmtId="175" fontId="40" fillId="6" borderId="1" xfId="1" applyNumberFormat="1" applyFont="1" applyFill="1" applyBorder="1" applyAlignment="1">
      <alignment horizontal="center" vertical="center"/>
    </xf>
    <xf numFmtId="0" fontId="40" fillId="13" borderId="1" xfId="32" applyFont="1" applyFill="1" applyBorder="1" applyAlignment="1">
      <alignment vertical="center" wrapText="1"/>
    </xf>
    <xf numFmtId="0" fontId="39" fillId="13" borderId="63" xfId="0" applyFont="1" applyFill="1" applyBorder="1" applyAlignment="1">
      <alignment horizontal="left" vertical="center"/>
    </xf>
    <xf numFmtId="0" fontId="39" fillId="13" borderId="0" xfId="0" applyFont="1" applyFill="1" applyAlignment="1">
      <alignment wrapText="1"/>
    </xf>
    <xf numFmtId="0" fontId="40" fillId="13" borderId="63" xfId="56" applyFont="1" applyFill="1" applyBorder="1" applyAlignment="1">
      <alignment horizontal="center" vertical="center" wrapText="1"/>
    </xf>
    <xf numFmtId="43" fontId="40" fillId="13" borderId="63" xfId="1" applyFont="1" applyFill="1" applyBorder="1" applyAlignment="1">
      <alignment horizontal="right" vertical="center" wrapText="1"/>
    </xf>
    <xf numFmtId="43" fontId="40" fillId="13" borderId="63" xfId="0" applyNumberFormat="1" applyFont="1" applyFill="1" applyBorder="1" applyAlignment="1">
      <alignment vertical="center"/>
    </xf>
    <xf numFmtId="175" fontId="39" fillId="6" borderId="63" xfId="1" applyNumberFormat="1" applyFont="1" applyFill="1" applyBorder="1"/>
    <xf numFmtId="175" fontId="39" fillId="6" borderId="63" xfId="1" applyNumberFormat="1" applyFont="1" applyFill="1" applyBorder="1" applyAlignment="1">
      <alignment horizontal="center" vertical="center"/>
    </xf>
    <xf numFmtId="43" fontId="40" fillId="20" borderId="63" xfId="0" applyNumberFormat="1" applyFont="1" applyFill="1" applyBorder="1" applyAlignment="1">
      <alignment vertical="center"/>
    </xf>
    <xf numFmtId="43" fontId="40" fillId="38" borderId="1" xfId="0" applyNumberFormat="1" applyFont="1" applyFill="1" applyBorder="1" applyAlignment="1">
      <alignment vertical="center"/>
    </xf>
    <xf numFmtId="0" fontId="40" fillId="38" borderId="1" xfId="0" applyFont="1" applyFill="1" applyBorder="1"/>
    <xf numFmtId="175" fontId="40" fillId="38" borderId="1" xfId="1" applyNumberFormat="1" applyFont="1" applyFill="1" applyBorder="1" applyAlignment="1">
      <alignment horizontal="center" vertical="center"/>
    </xf>
    <xf numFmtId="43" fontId="40" fillId="38" borderId="0" xfId="0" applyNumberFormat="1" applyFont="1" applyFill="1" applyAlignment="1">
      <alignment horizontal="center" vertical="center"/>
    </xf>
    <xf numFmtId="2" fontId="40" fillId="38" borderId="1" xfId="0" applyNumberFormat="1" applyFont="1" applyFill="1" applyBorder="1" applyAlignment="1">
      <alignment horizontal="center" vertical="center"/>
    </xf>
    <xf numFmtId="175" fontId="40" fillId="38" borderId="1" xfId="1" applyNumberFormat="1" applyFont="1" applyFill="1" applyBorder="1"/>
    <xf numFmtId="175" fontId="40" fillId="20" borderId="63" xfId="1" applyNumberFormat="1" applyFont="1" applyFill="1" applyBorder="1" applyAlignment="1">
      <alignment horizontal="right" vertical="center" wrapText="1"/>
    </xf>
    <xf numFmtId="175" fontId="40" fillId="20" borderId="1" xfId="1" applyNumberFormat="1" applyFont="1" applyFill="1" applyBorder="1"/>
    <xf numFmtId="0" fontId="40" fillId="20" borderId="1" xfId="0" applyFont="1" applyFill="1" applyBorder="1" applyAlignment="1">
      <alignment vertical="center"/>
    </xf>
    <xf numFmtId="0" fontId="40" fillId="20" borderId="63" xfId="0" applyFont="1" applyFill="1" applyBorder="1" applyAlignment="1">
      <alignment horizontal="left" vertical="center"/>
    </xf>
    <xf numFmtId="0" fontId="40" fillId="20" borderId="63" xfId="3" applyFont="1" applyFill="1" applyBorder="1" applyAlignment="1">
      <alignment horizontal="left" wrapText="1" indent="2"/>
    </xf>
    <xf numFmtId="175" fontId="40" fillId="20" borderId="1" xfId="1" applyNumberFormat="1" applyFont="1" applyFill="1" applyBorder="1" applyAlignment="1">
      <alignment horizontal="center" vertical="center"/>
    </xf>
    <xf numFmtId="175" fontId="39" fillId="6" borderId="63" xfId="1" applyNumberFormat="1" applyFont="1" applyFill="1" applyBorder="1" applyAlignment="1">
      <alignment horizontal="center"/>
    </xf>
    <xf numFmtId="175" fontId="39" fillId="0" borderId="63" xfId="1" applyNumberFormat="1" applyFont="1" applyFill="1" applyBorder="1" applyAlignment="1">
      <alignment horizontal="center"/>
    </xf>
    <xf numFmtId="175" fontId="39" fillId="20" borderId="63" xfId="1" applyNumberFormat="1" applyFont="1" applyFill="1" applyBorder="1" applyAlignment="1">
      <alignment horizontal="center"/>
    </xf>
    <xf numFmtId="1" fontId="40" fillId="0" borderId="1" xfId="0" applyNumberFormat="1" applyFont="1" applyBorder="1" applyAlignment="1">
      <alignment horizontal="center" vertical="center"/>
    </xf>
    <xf numFmtId="43" fontId="40" fillId="8" borderId="1" xfId="0" applyNumberFormat="1" applyFont="1" applyFill="1" applyBorder="1" applyAlignment="1">
      <alignment vertical="center"/>
    </xf>
    <xf numFmtId="43" fontId="40" fillId="38" borderId="1" xfId="1" applyFont="1" applyFill="1" applyBorder="1" applyAlignment="1">
      <alignment horizontal="center" vertical="center"/>
    </xf>
    <xf numFmtId="43" fontId="3" fillId="6" borderId="1" xfId="0" applyNumberFormat="1" applyFont="1" applyFill="1" applyBorder="1" applyAlignment="1">
      <alignment vertical="center"/>
    </xf>
    <xf numFmtId="43" fontId="40" fillId="0" borderId="63" xfId="1" applyFont="1" applyFill="1" applyBorder="1" applyAlignment="1">
      <alignment horizontal="right" vertical="center" wrapText="1"/>
    </xf>
    <xf numFmtId="43" fontId="40" fillId="0" borderId="63" xfId="0" applyNumberFormat="1" applyFont="1" applyBorder="1" applyAlignment="1">
      <alignment vertical="center"/>
    </xf>
    <xf numFmtId="0" fontId="39" fillId="19" borderId="63" xfId="0" applyFont="1" applyFill="1" applyBorder="1" applyAlignment="1">
      <alignment horizontal="left" vertical="center"/>
    </xf>
    <xf numFmtId="0" fontId="39" fillId="19" borderId="63" xfId="84" applyFont="1" applyFill="1" applyBorder="1" applyAlignment="1">
      <alignment vertical="top" wrapText="1"/>
    </xf>
    <xf numFmtId="0" fontId="40" fillId="19" borderId="63" xfId="0" applyFont="1" applyFill="1" applyBorder="1" applyAlignment="1">
      <alignment horizontal="left" vertical="center"/>
    </xf>
    <xf numFmtId="0" fontId="40" fillId="19" borderId="63" xfId="0" applyFont="1" applyFill="1" applyBorder="1"/>
    <xf numFmtId="0" fontId="39" fillId="0" borderId="63" xfId="0" applyFont="1" applyBorder="1" applyAlignment="1">
      <alignment horizontal="center"/>
    </xf>
    <xf numFmtId="0" fontId="39" fillId="19" borderId="63" xfId="56" applyFont="1" applyFill="1" applyBorder="1" applyAlignment="1">
      <alignment horizontal="left" vertical="center" wrapText="1"/>
    </xf>
    <xf numFmtId="0" fontId="40" fillId="19" borderId="63" xfId="56" applyFont="1" applyFill="1" applyBorder="1" applyAlignment="1">
      <alignment horizontal="center" vertical="center" wrapText="1"/>
    </xf>
    <xf numFmtId="0" fontId="40" fillId="19" borderId="63" xfId="56" applyFont="1" applyFill="1" applyBorder="1" applyAlignment="1">
      <alignment horizontal="left" vertical="center" wrapText="1"/>
    </xf>
    <xf numFmtId="0" fontId="36" fillId="0" borderId="6" xfId="3" applyFont="1" applyBorder="1" applyAlignment="1">
      <alignment horizontal="center" vertical="center"/>
    </xf>
    <xf numFmtId="2" fontId="40" fillId="19" borderId="63" xfId="0" applyNumberFormat="1" applyFont="1" applyFill="1" applyBorder="1" applyAlignment="1">
      <alignment horizontal="center" vertical="center"/>
    </xf>
    <xf numFmtId="175" fontId="40" fillId="19" borderId="63" xfId="1" applyNumberFormat="1" applyFont="1" applyFill="1" applyBorder="1" applyAlignment="1">
      <alignment horizontal="center" vertical="center"/>
    </xf>
    <xf numFmtId="164" fontId="40" fillId="19" borderId="63" xfId="0" applyNumberFormat="1" applyFont="1" applyFill="1" applyBorder="1" applyAlignment="1">
      <alignment horizontal="center" vertical="center" wrapText="1"/>
    </xf>
    <xf numFmtId="43" fontId="40" fillId="19" borderId="63" xfId="1" applyFont="1" applyFill="1" applyBorder="1" applyAlignment="1">
      <alignment horizontal="right" vertical="center" wrapText="1"/>
    </xf>
    <xf numFmtId="43" fontId="40" fillId="19" borderId="1" xfId="0" applyNumberFormat="1" applyFont="1" applyFill="1" applyBorder="1" applyAlignment="1">
      <alignment vertical="center"/>
    </xf>
    <xf numFmtId="175" fontId="40" fillId="19" borderId="63" xfId="1" applyNumberFormat="1" applyFont="1" applyFill="1" applyBorder="1" applyAlignment="1">
      <alignment horizontal="center" vertical="center" wrapText="1"/>
    </xf>
    <xf numFmtId="0" fontId="40" fillId="19" borderId="1" xfId="0" applyFont="1" applyFill="1" applyBorder="1" applyAlignment="1">
      <alignment horizontal="left" vertical="center"/>
    </xf>
    <xf numFmtId="0" fontId="40" fillId="19" borderId="1" xfId="0" applyFont="1" applyFill="1" applyBorder="1" applyAlignment="1">
      <alignment vertical="center" wrapText="1"/>
    </xf>
    <xf numFmtId="0" fontId="40" fillId="19" borderId="1" xfId="56" applyFont="1" applyFill="1" applyBorder="1" applyAlignment="1">
      <alignment horizontal="center" vertical="center" wrapText="1"/>
    </xf>
    <xf numFmtId="43" fontId="40" fillId="19" borderId="1" xfId="1" applyFont="1" applyFill="1" applyBorder="1" applyAlignment="1">
      <alignment horizontal="right" vertical="center" wrapText="1"/>
    </xf>
    <xf numFmtId="0" fontId="40" fillId="19" borderId="1" xfId="0" applyFont="1" applyFill="1" applyBorder="1"/>
    <xf numFmtId="175" fontId="40" fillId="19" borderId="1" xfId="1" applyNumberFormat="1" applyFont="1" applyFill="1" applyBorder="1" applyAlignment="1">
      <alignment horizontal="center" vertical="center"/>
    </xf>
    <xf numFmtId="1" fontId="40" fillId="19" borderId="1" xfId="56" applyNumberFormat="1" applyFont="1" applyFill="1" applyBorder="1" applyAlignment="1">
      <alignment horizontal="center" vertical="center" wrapText="1"/>
    </xf>
    <xf numFmtId="43" fontId="40" fillId="19" borderId="9" xfId="1" applyFont="1" applyFill="1" applyBorder="1" applyAlignment="1">
      <alignment horizontal="center" vertical="center" wrapText="1"/>
    </xf>
    <xf numFmtId="0" fontId="40" fillId="19" borderId="0" xfId="0" applyFont="1" applyFill="1"/>
    <xf numFmtId="0" fontId="40" fillId="19" borderId="1" xfId="56" applyFont="1" applyFill="1" applyBorder="1" applyAlignment="1">
      <alignment horizontal="left" vertical="center" wrapText="1"/>
    </xf>
    <xf numFmtId="175" fontId="40" fillId="19" borderId="1" xfId="1" applyNumberFormat="1" applyFont="1" applyFill="1" applyBorder="1" applyAlignment="1">
      <alignment vertical="center"/>
    </xf>
    <xf numFmtId="43" fontId="40" fillId="19" borderId="9" xfId="56" applyNumberFormat="1" applyFont="1" applyFill="1" applyBorder="1" applyAlignment="1">
      <alignment horizontal="center" vertical="center" wrapText="1"/>
    </xf>
    <xf numFmtId="0" fontId="39" fillId="19" borderId="1" xfId="0" applyFont="1" applyFill="1" applyBorder="1" applyAlignment="1">
      <alignment horizontal="left" vertical="center"/>
    </xf>
    <xf numFmtId="0" fontId="39" fillId="19" borderId="1" xfId="56" applyFont="1" applyFill="1" applyBorder="1" applyAlignment="1">
      <alignment horizontal="left" vertical="center" wrapText="1"/>
    </xf>
    <xf numFmtId="2" fontId="40" fillId="19" borderId="1" xfId="0" applyNumberFormat="1" applyFont="1" applyFill="1" applyBorder="1" applyAlignment="1">
      <alignment horizontal="center" vertical="center"/>
    </xf>
    <xf numFmtId="175" fontId="39" fillId="19" borderId="1" xfId="1" applyNumberFormat="1" applyFont="1" applyFill="1" applyBorder="1" applyAlignment="1">
      <alignment vertical="center"/>
    </xf>
    <xf numFmtId="175" fontId="40" fillId="19" borderId="1" xfId="1" applyNumberFormat="1" applyFont="1" applyFill="1" applyBorder="1" applyAlignment="1">
      <alignment horizontal="center" vertical="center" wrapText="1"/>
    </xf>
    <xf numFmtId="43" fontId="40" fillId="19" borderId="1" xfId="56" applyNumberFormat="1" applyFont="1" applyFill="1" applyBorder="1" applyAlignment="1">
      <alignment horizontal="center" vertical="center" wrapText="1"/>
    </xf>
    <xf numFmtId="0" fontId="46" fillId="19" borderId="1" xfId="0" applyFont="1" applyFill="1" applyBorder="1" applyAlignment="1">
      <alignment horizontal="justify" vertical="center" wrapText="1"/>
    </xf>
    <xf numFmtId="0" fontId="40" fillId="19" borderId="1" xfId="56" applyFont="1" applyFill="1" applyBorder="1" applyAlignment="1">
      <alignment horizontal="right" vertical="center" wrapText="1"/>
    </xf>
    <xf numFmtId="43" fontId="39" fillId="19" borderId="1" xfId="56" applyNumberFormat="1" applyFont="1" applyFill="1" applyBorder="1" applyAlignment="1">
      <alignment horizontal="center" vertical="center" wrapText="1"/>
    </xf>
    <xf numFmtId="175" fontId="39" fillId="19" borderId="1" xfId="1" applyNumberFormat="1" applyFont="1" applyFill="1" applyBorder="1" applyAlignment="1">
      <alignment horizontal="center" vertical="center" wrapText="1"/>
    </xf>
    <xf numFmtId="0" fontId="39" fillId="19" borderId="1" xfId="56" applyFont="1" applyFill="1" applyBorder="1" applyAlignment="1">
      <alignment horizontal="center" vertical="center" wrapText="1"/>
    </xf>
    <xf numFmtId="0" fontId="9" fillId="19" borderId="1" xfId="0" applyFont="1" applyFill="1" applyBorder="1" applyAlignment="1">
      <alignment horizontal="justify" vertical="center" wrapText="1"/>
    </xf>
    <xf numFmtId="0" fontId="39" fillId="19" borderId="1" xfId="84" applyFont="1" applyFill="1" applyBorder="1" applyAlignment="1">
      <alignment vertical="top" wrapText="1"/>
    </xf>
    <xf numFmtId="0" fontId="39" fillId="19" borderId="1" xfId="0" applyFont="1" applyFill="1" applyBorder="1"/>
    <xf numFmtId="0" fontId="40" fillId="19" borderId="1" xfId="0" applyFont="1" applyFill="1" applyBorder="1" applyAlignment="1">
      <alignment horizontal="center" vertical="center"/>
    </xf>
    <xf numFmtId="0" fontId="40" fillId="19" borderId="1" xfId="0" applyFont="1" applyFill="1" applyBorder="1" applyAlignment="1">
      <alignment horizontal="right" vertical="center"/>
    </xf>
    <xf numFmtId="43" fontId="40" fillId="19" borderId="63" xfId="0" applyNumberFormat="1" applyFont="1" applyFill="1" applyBorder="1" applyAlignment="1">
      <alignment vertical="center"/>
    </xf>
    <xf numFmtId="1" fontId="40" fillId="19" borderId="63" xfId="56" applyNumberFormat="1" applyFont="1" applyFill="1" applyBorder="1" applyAlignment="1">
      <alignment horizontal="center" vertical="center" wrapText="1"/>
    </xf>
    <xf numFmtId="43" fontId="40" fillId="19" borderId="63" xfId="56" applyNumberFormat="1" applyFont="1" applyFill="1" applyBorder="1" applyAlignment="1">
      <alignment horizontal="center" vertical="center" wrapText="1"/>
    </xf>
    <xf numFmtId="0" fontId="40" fillId="19" borderId="0" xfId="0" applyFont="1" applyFill="1" applyAlignment="1">
      <alignment wrapText="1"/>
    </xf>
    <xf numFmtId="0" fontId="85" fillId="0" borderId="63" xfId="85" applyFont="1" applyBorder="1"/>
    <xf numFmtId="0" fontId="39" fillId="19" borderId="63" xfId="0" applyFont="1" applyFill="1" applyBorder="1" applyAlignment="1">
      <alignment horizontal="left" vertical="top" wrapText="1"/>
    </xf>
    <xf numFmtId="0" fontId="40" fillId="19" borderId="1" xfId="0" applyFont="1" applyFill="1" applyBorder="1" applyAlignment="1">
      <alignment horizontal="left" vertical="top" wrapText="1"/>
    </xf>
    <xf numFmtId="2" fontId="40" fillId="0" borderId="63" xfId="0" applyNumberFormat="1" applyFont="1" applyBorder="1" applyAlignment="1">
      <alignment vertical="center"/>
    </xf>
    <xf numFmtId="0" fontId="9" fillId="19" borderId="1" xfId="89" applyFont="1" applyFill="1" applyBorder="1" applyAlignment="1">
      <alignment horizontal="center" vertical="center"/>
    </xf>
    <xf numFmtId="0" fontId="39" fillId="19" borderId="1" xfId="0" applyFont="1" applyFill="1" applyBorder="1" applyAlignment="1">
      <alignment horizontal="center"/>
    </xf>
    <xf numFmtId="175" fontId="39" fillId="19" borderId="1" xfId="1" applyNumberFormat="1" applyFont="1" applyFill="1" applyBorder="1" applyAlignment="1">
      <alignment horizontal="center" vertical="center"/>
    </xf>
    <xf numFmtId="0" fontId="39" fillId="19" borderId="0" xfId="0" applyFont="1" applyFill="1" applyAlignment="1">
      <alignment horizontal="center"/>
    </xf>
    <xf numFmtId="43" fontId="40" fillId="0" borderId="63" xfId="0" applyNumberFormat="1" applyFont="1" applyBorder="1" applyAlignment="1">
      <alignment vertical="center" wrapText="1"/>
    </xf>
    <xf numFmtId="43" fontId="40" fillId="0" borderId="63" xfId="1" applyFont="1" applyBorder="1" applyAlignment="1">
      <alignment vertical="center" wrapText="1"/>
    </xf>
    <xf numFmtId="169" fontId="40" fillId="0" borderId="63" xfId="56" applyNumberFormat="1" applyFont="1" applyBorder="1" applyAlignment="1">
      <alignment horizontal="center" vertical="center" wrapText="1"/>
    </xf>
    <xf numFmtId="0" fontId="40" fillId="0" borderId="63" xfId="56" applyFont="1" applyBorder="1" applyAlignment="1">
      <alignment vertical="center" wrapText="1"/>
    </xf>
    <xf numFmtId="175" fontId="39" fillId="0" borderId="63" xfId="1" applyNumberFormat="1" applyFont="1" applyFill="1" applyBorder="1" applyAlignment="1">
      <alignment horizontal="center" vertical="center" wrapText="1"/>
    </xf>
    <xf numFmtId="0" fontId="40" fillId="19" borderId="1" xfId="0" applyFont="1" applyFill="1" applyBorder="1" applyAlignment="1">
      <alignment wrapText="1"/>
    </xf>
    <xf numFmtId="2" fontId="40" fillId="19" borderId="9" xfId="3" applyNumberFormat="1" applyFont="1" applyFill="1" applyBorder="1"/>
    <xf numFmtId="175" fontId="46" fillId="19" borderId="1" xfId="1" applyNumberFormat="1" applyFont="1" applyFill="1" applyBorder="1" applyAlignment="1">
      <alignment vertical="center"/>
    </xf>
    <xf numFmtId="43" fontId="40" fillId="0" borderId="63" xfId="1" applyFont="1" applyFill="1" applyBorder="1" applyAlignment="1">
      <alignment vertical="center" wrapText="1"/>
    </xf>
    <xf numFmtId="0" fontId="46" fillId="6" borderId="1" xfId="0" applyFont="1" applyFill="1" applyBorder="1" applyAlignment="1">
      <alignment horizontal="left" vertical="center"/>
    </xf>
    <xf numFmtId="0" fontId="3" fillId="6" borderId="63" xfId="0" applyFont="1" applyFill="1" applyBorder="1" applyAlignment="1">
      <alignment horizontal="left" vertical="top" wrapText="1"/>
    </xf>
    <xf numFmtId="164" fontId="3" fillId="6" borderId="1" xfId="0" applyNumberFormat="1" applyFont="1" applyFill="1" applyBorder="1" applyAlignment="1">
      <alignment horizontal="center" vertical="center" wrapText="1"/>
    </xf>
    <xf numFmtId="43" fontId="3" fillId="6" borderId="63" xfId="1" applyFont="1" applyFill="1" applyBorder="1" applyAlignment="1">
      <alignment horizontal="right" vertical="center" wrapText="1"/>
    </xf>
    <xf numFmtId="43" fontId="3" fillId="6" borderId="63" xfId="0" applyNumberFormat="1" applyFont="1" applyFill="1" applyBorder="1" applyAlignment="1">
      <alignment vertical="center"/>
    </xf>
    <xf numFmtId="43" fontId="46" fillId="6" borderId="63" xfId="56" applyNumberFormat="1" applyFont="1" applyFill="1" applyBorder="1" applyAlignment="1">
      <alignment horizontal="center" vertical="center" wrapText="1"/>
    </xf>
    <xf numFmtId="175" fontId="46" fillId="6" borderId="63" xfId="1" applyNumberFormat="1" applyFont="1" applyFill="1" applyBorder="1" applyAlignment="1">
      <alignment horizontal="center" vertical="center"/>
    </xf>
    <xf numFmtId="0" fontId="46" fillId="6" borderId="63" xfId="56" applyFont="1" applyFill="1" applyBorder="1" applyAlignment="1">
      <alignment horizontal="center" vertical="center" wrapText="1"/>
    </xf>
    <xf numFmtId="43" fontId="3" fillId="6" borderId="9" xfId="1" applyFont="1" applyFill="1" applyBorder="1" applyAlignment="1">
      <alignment horizontal="right" vertical="center" wrapText="1"/>
    </xf>
    <xf numFmtId="43" fontId="3" fillId="6" borderId="63" xfId="56" applyNumberFormat="1" applyFont="1" applyFill="1" applyBorder="1" applyAlignment="1">
      <alignment horizontal="center" vertical="center" wrapText="1"/>
    </xf>
    <xf numFmtId="43" fontId="46" fillId="6" borderId="0" xfId="0" applyNumberFormat="1" applyFont="1" applyFill="1"/>
    <xf numFmtId="0" fontId="46" fillId="6" borderId="0" xfId="0" applyFont="1" applyFill="1"/>
    <xf numFmtId="0" fontId="40" fillId="19" borderId="63" xfId="0" applyFont="1" applyFill="1" applyBorder="1" applyAlignment="1">
      <alignment vertical="center"/>
    </xf>
    <xf numFmtId="175" fontId="39" fillId="19" borderId="63" xfId="1" applyNumberFormat="1" applyFont="1" applyFill="1" applyBorder="1"/>
    <xf numFmtId="43" fontId="40" fillId="19" borderId="63" xfId="1" applyFont="1" applyFill="1" applyBorder="1" applyAlignment="1">
      <alignment horizontal="center" vertical="center" wrapText="1"/>
    </xf>
    <xf numFmtId="0" fontId="32" fillId="0" borderId="4" xfId="83" applyFont="1" applyBorder="1" applyAlignment="1">
      <alignment horizontal="center"/>
    </xf>
    <xf numFmtId="0" fontId="32" fillId="0" borderId="9" xfId="83" applyFont="1" applyBorder="1" applyAlignment="1">
      <alignment horizontal="center"/>
    </xf>
    <xf numFmtId="0" fontId="49" fillId="0" borderId="41" xfId="0" applyFont="1" applyBorder="1"/>
    <xf numFmtId="0" fontId="49" fillId="0" borderId="42" xfId="0" applyFont="1" applyBorder="1"/>
    <xf numFmtId="0" fontId="50" fillId="0" borderId="39" xfId="0" applyFont="1" applyBorder="1" applyAlignment="1">
      <alignment horizontal="center" vertical="center"/>
    </xf>
    <xf numFmtId="0" fontId="50" fillId="0" borderId="11" xfId="0" applyFont="1" applyBorder="1" applyAlignment="1">
      <alignment horizontal="center" vertical="center"/>
    </xf>
    <xf numFmtId="0" fontId="50" fillId="0" borderId="33" xfId="0" applyFont="1" applyBorder="1" applyAlignment="1">
      <alignment horizontal="center" vertical="center"/>
    </xf>
    <xf numFmtId="0" fontId="50" fillId="0" borderId="43" xfId="0" applyFont="1" applyBorder="1" applyAlignment="1">
      <alignment horizontal="center" vertical="center"/>
    </xf>
    <xf numFmtId="0" fontId="50" fillId="0" borderId="35" xfId="0" applyFont="1" applyBorder="1" applyAlignment="1">
      <alignment horizontal="center" vertical="center"/>
    </xf>
    <xf numFmtId="0" fontId="50" fillId="0" borderId="9" xfId="0" applyFont="1" applyBorder="1" applyAlignment="1">
      <alignment horizontal="center" vertical="center" wrapText="1"/>
    </xf>
    <xf numFmtId="0" fontId="50" fillId="0" borderId="14" xfId="0" applyFont="1" applyBorder="1" applyAlignment="1">
      <alignment horizontal="center" vertical="center"/>
    </xf>
    <xf numFmtId="0" fontId="50" fillId="0" borderId="6" xfId="32" applyFont="1" applyBorder="1" applyAlignment="1">
      <alignment vertical="center"/>
    </xf>
    <xf numFmtId="0" fontId="50" fillId="0" borderId="6" xfId="0" applyFont="1" applyBorder="1" applyAlignment="1">
      <alignment horizontal="center" vertical="center"/>
    </xf>
    <xf numFmtId="0" fontId="50" fillId="0" borderId="21" xfId="0" applyFont="1" applyBorder="1" applyAlignment="1">
      <alignment horizontal="center" vertical="center"/>
    </xf>
    <xf numFmtId="0" fontId="50" fillId="0" borderId="6" xfId="0" applyFont="1" applyBorder="1" applyAlignment="1">
      <alignment vertical="center"/>
    </xf>
    <xf numFmtId="0" fontId="49" fillId="0" borderId="50" xfId="0" applyFont="1" applyBorder="1" applyAlignment="1">
      <alignment horizontal="center" vertical="center"/>
    </xf>
    <xf numFmtId="0" fontId="49" fillId="0" borderId="1" xfId="0" applyFont="1" applyBorder="1" applyAlignment="1">
      <alignment horizontal="left" indent="1"/>
    </xf>
    <xf numFmtId="43" fontId="49" fillId="0" borderId="1" xfId="1" applyFont="1" applyBorder="1" applyAlignment="1">
      <alignment horizontal="center" vertical="center"/>
    </xf>
    <xf numFmtId="0" fontId="50" fillId="0" borderId="9" xfId="0" applyFont="1" applyBorder="1" applyAlignment="1">
      <alignment horizontal="center" vertical="center"/>
    </xf>
    <xf numFmtId="0" fontId="50" fillId="0" borderId="0" xfId="0" applyFont="1" applyAlignment="1">
      <alignment horizontal="center" vertical="center"/>
    </xf>
    <xf numFmtId="0" fontId="49" fillId="5" borderId="13" xfId="0" applyFont="1" applyFill="1" applyBorder="1" applyAlignment="1">
      <alignment horizontal="center"/>
    </xf>
    <xf numFmtId="43" fontId="50" fillId="0" borderId="1" xfId="1" applyFont="1" applyBorder="1" applyAlignment="1">
      <alignment horizontal="center" vertical="center"/>
    </xf>
    <xf numFmtId="0" fontId="49" fillId="5" borderId="1" xfId="0" applyFont="1" applyFill="1" applyBorder="1" applyAlignment="1">
      <alignment horizontal="left" wrapText="1" indent="1"/>
    </xf>
    <xf numFmtId="0" fontId="49" fillId="0" borderId="13" xfId="0" applyFont="1" applyBorder="1" applyAlignment="1">
      <alignment horizontal="center"/>
    </xf>
    <xf numFmtId="0" fontId="49" fillId="4" borderId="13" xfId="0" applyFont="1" applyFill="1" applyBorder="1" applyAlignment="1">
      <alignment horizontal="center"/>
    </xf>
    <xf numFmtId="0" fontId="50" fillId="4" borderId="63" xfId="0" applyFont="1" applyFill="1" applyBorder="1" applyAlignment="1">
      <alignment horizontal="left" wrapText="1" indent="1"/>
    </xf>
    <xf numFmtId="43" fontId="50" fillId="4" borderId="63" xfId="1" applyFont="1" applyFill="1" applyBorder="1" applyAlignment="1">
      <alignment horizontal="center" vertical="center"/>
    </xf>
    <xf numFmtId="0" fontId="50" fillId="4" borderId="14" xfId="0" applyFont="1" applyFill="1" applyBorder="1" applyAlignment="1">
      <alignment horizontal="center" vertical="center"/>
    </xf>
    <xf numFmtId="0" fontId="50" fillId="0" borderId="63" xfId="32" applyFont="1" applyBorder="1" applyAlignment="1">
      <alignment vertical="center"/>
    </xf>
    <xf numFmtId="0" fontId="49" fillId="5" borderId="13" xfId="32" applyFont="1" applyFill="1" applyBorder="1" applyAlignment="1">
      <alignment horizontal="center" vertical="center"/>
    </xf>
    <xf numFmtId="0" fontId="49" fillId="5" borderId="63" xfId="32" applyFont="1" applyFill="1" applyBorder="1" applyAlignment="1">
      <alignment horizontal="left" vertical="center"/>
    </xf>
    <xf numFmtId="43" fontId="49" fillId="0" borderId="1" xfId="1" applyFont="1" applyBorder="1"/>
    <xf numFmtId="0" fontId="50" fillId="5" borderId="14" xfId="0" applyFont="1" applyFill="1" applyBorder="1" applyAlignment="1">
      <alignment horizontal="center" vertical="center"/>
    </xf>
    <xf numFmtId="43" fontId="49" fillId="0" borderId="1" xfId="1" applyFont="1" applyBorder="1" applyAlignment="1">
      <alignment horizontal="right" vertical="center"/>
    </xf>
    <xf numFmtId="0" fontId="49" fillId="0" borderId="63" xfId="32" applyFont="1" applyBorder="1" applyAlignment="1">
      <alignment horizontal="left" vertical="center"/>
    </xf>
    <xf numFmtId="43" fontId="49" fillId="0" borderId="1" xfId="1" applyFont="1" applyBorder="1" applyAlignment="1">
      <alignment horizontal="right"/>
    </xf>
    <xf numFmtId="0" fontId="49" fillId="0" borderId="14" xfId="0" applyFont="1" applyBorder="1"/>
    <xf numFmtId="175" fontId="49" fillId="0" borderId="9" xfId="1" applyNumberFormat="1" applyFont="1" applyBorder="1" applyAlignment="1">
      <alignment horizontal="right"/>
    </xf>
    <xf numFmtId="0" fontId="49" fillId="0" borderId="14" xfId="0" applyFont="1" applyBorder="1" applyAlignment="1">
      <alignment horizontal="center"/>
    </xf>
    <xf numFmtId="3" fontId="49" fillId="0" borderId="0" xfId="0" applyNumberFormat="1" applyFont="1"/>
    <xf numFmtId="43" fontId="50" fillId="4" borderId="63" xfId="1" applyFont="1" applyFill="1" applyBorder="1" applyAlignment="1">
      <alignment horizontal="right"/>
    </xf>
    <xf numFmtId="0" fontId="49" fillId="4" borderId="14" xfId="0" applyFont="1" applyFill="1" applyBorder="1"/>
    <xf numFmtId="0" fontId="49" fillId="0" borderId="13" xfId="32" applyFont="1" applyBorder="1" applyAlignment="1">
      <alignment horizontal="center" vertical="center"/>
    </xf>
    <xf numFmtId="43" fontId="50" fillId="0" borderId="63" xfId="1" applyFont="1" applyFill="1" applyBorder="1" applyAlignment="1">
      <alignment horizontal="right"/>
    </xf>
    <xf numFmtId="43" fontId="49" fillId="0" borderId="63" xfId="1" applyFont="1" applyBorder="1" applyAlignment="1">
      <alignment horizontal="right"/>
    </xf>
    <xf numFmtId="0" fontId="50" fillId="4" borderId="63" xfId="0" applyFont="1" applyFill="1" applyBorder="1" applyAlignment="1">
      <alignment horizontal="left" indent="1"/>
    </xf>
    <xf numFmtId="43" fontId="50" fillId="4" borderId="63" xfId="1" applyFont="1" applyFill="1" applyBorder="1"/>
    <xf numFmtId="0" fontId="50" fillId="0" borderId="63" xfId="32" applyFont="1" applyBorder="1" applyAlignment="1">
      <alignment vertical="center" wrapText="1"/>
    </xf>
    <xf numFmtId="43" fontId="50" fillId="0" borderId="63" xfId="1" applyFont="1" applyBorder="1"/>
    <xf numFmtId="43" fontId="49" fillId="0" borderId="1" xfId="1" applyFont="1" applyFill="1" applyBorder="1"/>
    <xf numFmtId="43" fontId="50" fillId="0" borderId="63" xfId="1" applyFont="1" applyFill="1" applyBorder="1"/>
    <xf numFmtId="43" fontId="49" fillId="0" borderId="63" xfId="1" applyFont="1" applyBorder="1"/>
    <xf numFmtId="43" fontId="49" fillId="4" borderId="63" xfId="1" applyFont="1" applyFill="1" applyBorder="1"/>
    <xf numFmtId="175" fontId="49" fillId="0" borderId="9" xfId="1" applyNumberFormat="1" applyFont="1" applyFill="1" applyBorder="1" applyAlignment="1">
      <alignment horizontal="right"/>
    </xf>
    <xf numFmtId="0" fontId="95" fillId="0" borderId="63" xfId="32" applyFont="1" applyBorder="1" applyAlignment="1">
      <alignment horizontal="left" vertical="center" wrapText="1"/>
    </xf>
    <xf numFmtId="43" fontId="49" fillId="0" borderId="63" xfId="1" applyFont="1" applyFill="1" applyBorder="1" applyAlignment="1">
      <alignment vertical="center"/>
    </xf>
    <xf numFmtId="175" fontId="49" fillId="4" borderId="9" xfId="1" applyNumberFormat="1" applyFont="1" applyFill="1" applyBorder="1" applyAlignment="1">
      <alignment horizontal="right"/>
    </xf>
    <xf numFmtId="0" fontId="49" fillId="4" borderId="14" xfId="0" applyFont="1" applyFill="1" applyBorder="1" applyAlignment="1">
      <alignment horizontal="center"/>
    </xf>
    <xf numFmtId="43" fontId="50" fillId="0" borderId="1" xfId="1" applyFont="1" applyBorder="1" applyAlignment="1">
      <alignment horizontal="right"/>
    </xf>
    <xf numFmtId="0" fontId="50" fillId="0" borderId="14" xfId="0" applyFont="1" applyBorder="1" applyAlignment="1">
      <alignment horizontal="center"/>
    </xf>
    <xf numFmtId="4" fontId="50" fillId="0" borderId="0" xfId="0" applyNumberFormat="1" applyFont="1"/>
    <xf numFmtId="175" fontId="50" fillId="0" borderId="1" xfId="1" applyNumberFormat="1" applyFont="1" applyBorder="1" applyAlignment="1">
      <alignment horizontal="right"/>
    </xf>
    <xf numFmtId="3" fontId="50" fillId="0" borderId="0" xfId="0" applyNumberFormat="1" applyFont="1"/>
    <xf numFmtId="175" fontId="50" fillId="0" borderId="1" xfId="0" applyNumberFormat="1" applyFont="1" applyBorder="1" applyAlignment="1">
      <alignment horizontal="right"/>
    </xf>
    <xf numFmtId="175" fontId="50" fillId="0" borderId="35" xfId="0" applyNumberFormat="1" applyFont="1" applyBorder="1" applyAlignment="1">
      <alignment horizontal="right"/>
    </xf>
    <xf numFmtId="0" fontId="49" fillId="0" borderId="36" xfId="0" applyFont="1" applyBorder="1"/>
    <xf numFmtId="0" fontId="49" fillId="4" borderId="13" xfId="32" applyFont="1" applyFill="1" applyBorder="1" applyAlignment="1">
      <alignment horizontal="center" vertical="center"/>
    </xf>
    <xf numFmtId="0" fontId="94" fillId="42" borderId="13" xfId="32" applyFont="1" applyFill="1" applyBorder="1" applyAlignment="1">
      <alignment horizontal="center" vertical="center" wrapText="1"/>
    </xf>
    <xf numFmtId="0" fontId="50" fillId="42" borderId="63" xfId="32" applyFont="1" applyFill="1" applyBorder="1" applyAlignment="1">
      <alignment vertical="center" wrapText="1"/>
    </xf>
    <xf numFmtId="0" fontId="49" fillId="42" borderId="14" xfId="0" applyFont="1" applyFill="1" applyBorder="1"/>
    <xf numFmtId="0" fontId="94" fillId="42" borderId="63" xfId="32" applyFont="1" applyFill="1" applyBorder="1" applyAlignment="1">
      <alignment vertical="center" wrapText="1"/>
    </xf>
    <xf numFmtId="43" fontId="50" fillId="42" borderId="63" xfId="1" applyFont="1" applyFill="1" applyBorder="1"/>
    <xf numFmtId="43" fontId="50" fillId="42" borderId="1" xfId="1" applyFont="1" applyFill="1" applyBorder="1"/>
    <xf numFmtId="0" fontId="94" fillId="22" borderId="34" xfId="32" applyFont="1" applyFill="1" applyBorder="1" applyAlignment="1">
      <alignment horizontal="center" vertical="center" wrapText="1"/>
    </xf>
    <xf numFmtId="0" fontId="94" fillId="22" borderId="35" xfId="32" applyFont="1" applyFill="1" applyBorder="1" applyAlignment="1">
      <alignment vertical="center" wrapText="1"/>
    </xf>
    <xf numFmtId="43" fontId="50" fillId="22" borderId="1" xfId="1" applyFont="1" applyFill="1" applyBorder="1" applyAlignment="1">
      <alignment vertical="center"/>
    </xf>
    <xf numFmtId="0" fontId="49" fillId="22" borderId="14" xfId="0" applyFont="1" applyFill="1" applyBorder="1"/>
    <xf numFmtId="0" fontId="50" fillId="22" borderId="50" xfId="0" applyFont="1" applyFill="1" applyBorder="1"/>
    <xf numFmtId="0" fontId="50" fillId="22" borderId="6" xfId="0" applyFont="1" applyFill="1" applyBorder="1"/>
    <xf numFmtId="0" fontId="50" fillId="22" borderId="13" xfId="0" applyFont="1" applyFill="1" applyBorder="1"/>
    <xf numFmtId="0" fontId="50" fillId="22" borderId="1" xfId="0" applyFont="1" applyFill="1" applyBorder="1"/>
    <xf numFmtId="0" fontId="49" fillId="22" borderId="26" xfId="0" applyFont="1" applyFill="1" applyBorder="1"/>
    <xf numFmtId="0" fontId="50" fillId="22" borderId="5" xfId="0" applyFont="1" applyFill="1" applyBorder="1"/>
    <xf numFmtId="0" fontId="0" fillId="22" borderId="63" xfId="0" applyFill="1" applyBorder="1"/>
    <xf numFmtId="0" fontId="50" fillId="22" borderId="63" xfId="0" applyFont="1" applyFill="1" applyBorder="1"/>
    <xf numFmtId="43" fontId="50" fillId="22" borderId="63" xfId="0" applyNumberFormat="1" applyFont="1" applyFill="1" applyBorder="1"/>
    <xf numFmtId="0" fontId="40" fillId="8" borderId="1" xfId="0" applyFont="1" applyFill="1" applyBorder="1" applyAlignment="1">
      <alignment horizontal="left" vertical="center"/>
    </xf>
    <xf numFmtId="43" fontId="40" fillId="8" borderId="1" xfId="1" applyFont="1" applyFill="1" applyBorder="1" applyAlignment="1">
      <alignment vertical="center"/>
    </xf>
    <xf numFmtId="0" fontId="39" fillId="8" borderId="1" xfId="0" applyFont="1" applyFill="1" applyBorder="1" applyAlignment="1">
      <alignment horizontal="center" vertical="center" wrapText="1"/>
    </xf>
    <xf numFmtId="175" fontId="39" fillId="8" borderId="1" xfId="1" applyNumberFormat="1" applyFont="1" applyFill="1" applyBorder="1" applyAlignment="1">
      <alignment vertical="center" wrapText="1"/>
    </xf>
    <xf numFmtId="0" fontId="39" fillId="8" borderId="1" xfId="56" applyFont="1" applyFill="1" applyBorder="1" applyAlignment="1">
      <alignment horizontal="center" vertical="center" wrapText="1"/>
    </xf>
    <xf numFmtId="43" fontId="40" fillId="8" borderId="9" xfId="1" applyFont="1" applyFill="1" applyBorder="1"/>
    <xf numFmtId="43" fontId="40" fillId="8" borderId="1" xfId="0" applyNumberFormat="1" applyFont="1" applyFill="1" applyBorder="1"/>
    <xf numFmtId="0" fontId="40" fillId="8" borderId="0" xfId="0" applyFont="1" applyFill="1"/>
    <xf numFmtId="10" fontId="32" fillId="0" borderId="0" xfId="2" applyNumberFormat="1" applyFont="1" applyAlignment="1">
      <alignment horizontal="center"/>
    </xf>
    <xf numFmtId="164" fontId="32" fillId="0" borderId="63" xfId="83" applyNumberFormat="1" applyFont="1" applyBorder="1" applyAlignment="1">
      <alignment horizontal="center"/>
    </xf>
    <xf numFmtId="2" fontId="32" fillId="0" borderId="63" xfId="83" applyNumberFormat="1" applyFont="1" applyBorder="1" applyAlignment="1">
      <alignment horizontal="center"/>
    </xf>
    <xf numFmtId="2" fontId="32" fillId="0" borderId="63" xfId="83" applyNumberFormat="1" applyFont="1" applyBorder="1"/>
    <xf numFmtId="0" fontId="32" fillId="0" borderId="63" xfId="83" applyFont="1" applyBorder="1"/>
    <xf numFmtId="0" fontId="32" fillId="43" borderId="0" xfId="83" applyFont="1" applyFill="1"/>
    <xf numFmtId="0" fontId="32" fillId="43" borderId="5" xfId="83" applyFont="1" applyFill="1" applyBorder="1" applyAlignment="1">
      <alignment horizontal="center" vertical="center"/>
    </xf>
    <xf numFmtId="0" fontId="31" fillId="43" borderId="5" xfId="83" applyFont="1" applyFill="1" applyBorder="1" applyAlignment="1">
      <alignment horizontal="center" vertical="center"/>
    </xf>
    <xf numFmtId="164" fontId="32" fillId="43" borderId="0" xfId="83" applyNumberFormat="1" applyFont="1" applyFill="1" applyAlignment="1">
      <alignment horizontal="center"/>
    </xf>
    <xf numFmtId="2" fontId="32" fillId="43" borderId="0" xfId="83" applyNumberFormat="1" applyFont="1" applyFill="1" applyAlignment="1">
      <alignment horizontal="center"/>
    </xf>
    <xf numFmtId="2" fontId="31" fillId="43" borderId="5" xfId="83" applyNumberFormat="1" applyFont="1" applyFill="1" applyBorder="1" applyAlignment="1">
      <alignment horizontal="center" vertical="center"/>
    </xf>
    <xf numFmtId="2" fontId="32" fillId="8" borderId="63" xfId="83" applyNumberFormat="1" applyFont="1" applyFill="1" applyBorder="1" applyAlignment="1">
      <alignment horizontal="center"/>
    </xf>
    <xf numFmtId="0" fontId="32" fillId="8" borderId="63" xfId="83" applyFont="1" applyFill="1" applyBorder="1"/>
    <xf numFmtId="2" fontId="32" fillId="34" borderId="63" xfId="83" applyNumberFormat="1" applyFont="1" applyFill="1" applyBorder="1" applyAlignment="1">
      <alignment horizontal="center"/>
    </xf>
    <xf numFmtId="1" fontId="32" fillId="5" borderId="63" xfId="83" applyNumberFormat="1" applyFont="1" applyFill="1" applyBorder="1" applyAlignment="1">
      <alignment horizontal="center"/>
    </xf>
    <xf numFmtId="2" fontId="32" fillId="5" borderId="63" xfId="83" applyNumberFormat="1" applyFont="1" applyFill="1" applyBorder="1" applyAlignment="1">
      <alignment horizontal="center"/>
    </xf>
    <xf numFmtId="2" fontId="40" fillId="19" borderId="63" xfId="0" applyNumberFormat="1" applyFont="1" applyFill="1" applyBorder="1" applyAlignment="1">
      <alignment vertical="center"/>
    </xf>
    <xf numFmtId="175" fontId="40" fillId="20" borderId="63" xfId="1" applyNumberFormat="1" applyFont="1" applyFill="1" applyBorder="1" applyAlignment="1">
      <alignment vertical="center"/>
    </xf>
    <xf numFmtId="0" fontId="40" fillId="0" borderId="4" xfId="0" applyFont="1" applyBorder="1" applyAlignment="1">
      <alignment horizontal="left" vertical="center"/>
    </xf>
    <xf numFmtId="0" fontId="40" fillId="0" borderId="9" xfId="0" applyFont="1" applyBorder="1" applyAlignment="1">
      <alignment horizontal="left" vertical="center"/>
    </xf>
    <xf numFmtId="164" fontId="30" fillId="0" borderId="1" xfId="0" applyNumberFormat="1" applyFont="1" applyBorder="1" applyAlignment="1">
      <alignment horizontal="center" vertical="center"/>
    </xf>
    <xf numFmtId="0" fontId="40" fillId="0" borderId="0" xfId="0" applyFont="1" applyAlignment="1">
      <alignment horizontal="center" vertical="center"/>
    </xf>
    <xf numFmtId="168" fontId="40" fillId="0" borderId="4" xfId="30" applyNumberFormat="1" applyFont="1" applyBorder="1" applyAlignment="1">
      <alignment horizontal="left" vertical="center"/>
    </xf>
    <xf numFmtId="168" fontId="40" fillId="0" borderId="9" xfId="30" applyNumberFormat="1" applyFont="1" applyBorder="1" applyAlignment="1">
      <alignment horizontal="left" vertical="center"/>
    </xf>
    <xf numFmtId="0" fontId="39" fillId="0" borderId="1" xfId="0" applyFont="1" applyBorder="1" applyAlignment="1">
      <alignment horizontal="center" vertical="center"/>
    </xf>
    <xf numFmtId="0" fontId="44" fillId="0" borderId="0" xfId="0" applyFont="1" applyAlignment="1">
      <alignment horizontal="left" wrapText="1"/>
    </xf>
    <xf numFmtId="164" fontId="39" fillId="0" borderId="1" xfId="0" applyNumberFormat="1" applyFont="1" applyBorder="1" applyAlignment="1">
      <alignment horizontal="center" vertical="center"/>
    </xf>
    <xf numFmtId="164" fontId="39" fillId="0" borderId="5" xfId="0" applyNumberFormat="1" applyFont="1" applyBorder="1" applyAlignment="1">
      <alignment vertical="center" wrapText="1"/>
    </xf>
    <xf numFmtId="164" fontId="39" fillId="0" borderId="6" xfId="0" applyNumberFormat="1" applyFont="1" applyBorder="1" applyAlignment="1">
      <alignment vertical="center" wrapText="1"/>
    </xf>
    <xf numFmtId="164" fontId="39" fillId="0" borderId="5" xfId="0" applyNumberFormat="1" applyFont="1" applyBorder="1" applyAlignment="1">
      <alignment horizontal="center" vertical="center" wrapText="1"/>
    </xf>
    <xf numFmtId="164" fontId="39" fillId="0" borderId="6" xfId="0" applyNumberFormat="1" applyFont="1" applyBorder="1" applyAlignment="1">
      <alignment horizontal="center" vertical="center" wrapText="1"/>
    </xf>
    <xf numFmtId="0" fontId="49" fillId="0" borderId="0" xfId="0" applyFont="1"/>
    <xf numFmtId="0" fontId="50" fillId="0" borderId="40" xfId="0" applyFont="1" applyBorder="1" applyAlignment="1">
      <alignment horizontal="center" vertical="center"/>
    </xf>
    <xf numFmtId="0" fontId="50" fillId="0" borderId="41" xfId="0" applyFont="1" applyBorder="1" applyAlignment="1">
      <alignment horizontal="center" vertical="center"/>
    </xf>
    <xf numFmtId="0" fontId="50" fillId="0" borderId="42" xfId="0" applyFont="1" applyBorder="1" applyAlignment="1">
      <alignment horizontal="center" vertical="center"/>
    </xf>
    <xf numFmtId="0" fontId="50" fillId="0" borderId="28" xfId="0" applyFont="1" applyBorder="1" applyAlignment="1">
      <alignment horizontal="center" vertical="center"/>
    </xf>
    <xf numFmtId="0" fontId="50" fillId="0" borderId="29" xfId="0" applyFont="1" applyBorder="1" applyAlignment="1">
      <alignment horizontal="center" vertical="center"/>
    </xf>
    <xf numFmtId="0" fontId="50" fillId="0" borderId="64" xfId="0" applyFont="1" applyBorder="1" applyAlignment="1">
      <alignment horizontal="center" vertical="center"/>
    </xf>
    <xf numFmtId="0" fontId="50" fillId="0" borderId="65" xfId="0" applyFont="1" applyBorder="1" applyAlignment="1">
      <alignment horizontal="center" vertical="center"/>
    </xf>
    <xf numFmtId="0" fontId="50" fillId="0" borderId="39" xfId="0" applyFont="1" applyBorder="1" applyAlignment="1">
      <alignment horizontal="center" vertical="center"/>
    </xf>
    <xf numFmtId="0" fontId="50" fillId="0" borderId="34" xfId="0" applyFont="1" applyBorder="1" applyAlignment="1">
      <alignment horizontal="center" vertical="center"/>
    </xf>
    <xf numFmtId="0" fontId="50" fillId="0" borderId="45" xfId="0" applyFont="1" applyBorder="1" applyAlignment="1">
      <alignment horizontal="center" vertical="center"/>
    </xf>
    <xf numFmtId="0" fontId="50" fillId="0" borderId="46" xfId="0" applyFont="1" applyBorder="1" applyAlignment="1">
      <alignment horizontal="center" vertical="center"/>
    </xf>
    <xf numFmtId="0" fontId="50" fillId="0" borderId="43" xfId="0" applyFont="1" applyBorder="1" applyAlignment="1">
      <alignment horizontal="center" vertical="center"/>
    </xf>
    <xf numFmtId="0" fontId="50" fillId="0" borderId="14" xfId="0" applyFont="1" applyBorder="1" applyAlignment="1">
      <alignment horizontal="center"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39" fillId="20" borderId="1" xfId="56" applyFont="1" applyFill="1" applyBorder="1" applyAlignment="1">
      <alignment vertical="center" wrapText="1"/>
    </xf>
    <xf numFmtId="0" fontId="39" fillId="20" borderId="4" xfId="56" applyFont="1" applyFill="1" applyBorder="1" applyAlignment="1">
      <alignment vertical="center" wrapText="1"/>
    </xf>
    <xf numFmtId="0" fontId="39" fillId="0" borderId="39" xfId="0" applyFont="1" applyBorder="1" applyAlignment="1">
      <alignment horizontal="center" vertical="center" wrapText="1"/>
    </xf>
    <xf numFmtId="0" fontId="39" fillId="0" borderId="13" xfId="0" applyFont="1" applyBorder="1" applyAlignment="1">
      <alignment horizontal="center" vertical="center" wrapText="1"/>
    </xf>
    <xf numFmtId="0" fontId="39" fillId="0" borderId="11" xfId="0" applyFont="1" applyBorder="1" applyAlignment="1">
      <alignment horizontal="center" vertical="center" wrapText="1"/>
    </xf>
    <xf numFmtId="0" fontId="39" fillId="0" borderId="1" xfId="0" applyFont="1" applyBorder="1" applyAlignment="1">
      <alignment horizontal="center" vertical="center" wrapText="1"/>
    </xf>
    <xf numFmtId="0" fontId="39" fillId="0" borderId="38" xfId="56" applyFont="1" applyBorder="1" applyAlignment="1">
      <alignment horizontal="center" vertical="center" wrapText="1"/>
    </xf>
    <xf numFmtId="0" fontId="39" fillId="0" borderId="4" xfId="56" applyFont="1" applyBorder="1" applyAlignment="1">
      <alignment horizontal="center" vertical="center" wrapText="1"/>
    </xf>
    <xf numFmtId="0" fontId="41" fillId="0" borderId="7" xfId="56" quotePrefix="1" applyFont="1" applyBorder="1" applyAlignment="1">
      <alignment horizontal="center" vertical="center" wrapText="1"/>
    </xf>
    <xf numFmtId="0" fontId="41" fillId="0" borderId="32" xfId="56" quotePrefix="1" applyFont="1" applyBorder="1" applyAlignment="1">
      <alignment horizontal="center" vertical="center" wrapText="1"/>
    </xf>
    <xf numFmtId="0" fontId="41" fillId="0" borderId="51" xfId="0" applyFont="1" applyBorder="1" applyAlignment="1">
      <alignment horizontal="center" vertical="center" wrapText="1"/>
    </xf>
    <xf numFmtId="0" fontId="41" fillId="0" borderId="44" xfId="0" applyFont="1" applyBorder="1" applyAlignment="1">
      <alignment horizontal="center" vertical="center" wrapText="1"/>
    </xf>
    <xf numFmtId="0" fontId="68" fillId="0" borderId="51" xfId="0" applyFont="1" applyBorder="1" applyAlignment="1">
      <alignment horizontal="center" vertical="center"/>
    </xf>
    <xf numFmtId="0" fontId="68" fillId="0" borderId="44" xfId="0" applyFont="1" applyBorder="1" applyAlignment="1">
      <alignment horizontal="center" vertical="center"/>
    </xf>
    <xf numFmtId="0" fontId="41" fillId="0" borderId="39" xfId="0" applyFont="1" applyBorder="1" applyAlignment="1">
      <alignment horizontal="center" vertical="center" wrapText="1"/>
    </xf>
    <xf numFmtId="0" fontId="41" fillId="0" borderId="13" xfId="0" applyFont="1" applyBorder="1" applyAlignment="1">
      <alignment horizontal="center" vertical="center" wrapText="1"/>
    </xf>
    <xf numFmtId="0" fontId="41" fillId="0" borderId="11" xfId="0" applyFont="1" applyBorder="1" applyAlignment="1">
      <alignment horizontal="center" vertical="center" wrapText="1"/>
    </xf>
    <xf numFmtId="0" fontId="41" fillId="0" borderId="1" xfId="0" applyFont="1" applyBorder="1" applyAlignment="1">
      <alignment horizontal="center" vertical="center" wrapText="1"/>
    </xf>
    <xf numFmtId="0" fontId="39" fillId="0" borderId="62" xfId="0" applyFont="1" applyBorder="1" applyAlignment="1">
      <alignment horizontal="center" vertical="center"/>
    </xf>
    <xf numFmtId="0" fontId="39" fillId="0" borderId="33" xfId="0" applyFont="1" applyBorder="1" applyAlignment="1">
      <alignment horizontal="center" vertical="center"/>
    </xf>
    <xf numFmtId="0" fontId="39" fillId="0" borderId="5" xfId="0" applyFont="1" applyBorder="1" applyAlignment="1">
      <alignment horizontal="center" vertical="center"/>
    </xf>
    <xf numFmtId="0" fontId="39" fillId="0" borderId="6" xfId="0" applyFont="1" applyBorder="1" applyAlignment="1">
      <alignment horizontal="center" vertical="center"/>
    </xf>
    <xf numFmtId="0" fontId="39" fillId="0" borderId="63" xfId="56" applyFont="1" applyBorder="1" applyAlignment="1">
      <alignment horizontal="center" vertical="center" wrapText="1"/>
    </xf>
    <xf numFmtId="0" fontId="39" fillId="0" borderId="63" xfId="3" applyFont="1" applyBorder="1" applyAlignment="1">
      <alignment horizontal="center" vertical="center" wrapText="1"/>
    </xf>
    <xf numFmtId="0" fontId="40" fillId="0" borderId="62" xfId="0" applyFont="1" applyBorder="1" applyAlignment="1">
      <alignment horizontal="center" vertical="center"/>
    </xf>
    <xf numFmtId="0" fontId="40" fillId="0" borderId="33" xfId="0" applyFont="1" applyBorder="1" applyAlignment="1">
      <alignment horizontal="center" vertical="center"/>
    </xf>
    <xf numFmtId="0" fontId="39" fillId="0" borderId="1" xfId="56" applyFont="1" applyBorder="1" applyAlignment="1">
      <alignment horizontal="center" vertical="center" wrapText="1"/>
    </xf>
    <xf numFmtId="0" fontId="31" fillId="0" borderId="1" xfId="96" applyFont="1" applyBorder="1" applyAlignment="1">
      <alignment horizontal="center" vertical="center"/>
    </xf>
    <xf numFmtId="0" fontId="32" fillId="0" borderId="1" xfId="96" applyFont="1" applyBorder="1" applyAlignment="1">
      <alignment horizontal="justify"/>
    </xf>
    <xf numFmtId="0" fontId="32" fillId="0" borderId="1" xfId="96" applyFont="1" applyBorder="1" applyAlignment="1">
      <alignment horizontal="center"/>
    </xf>
    <xf numFmtId="0" fontId="32" fillId="0" borderId="1" xfId="96" applyFont="1" applyBorder="1" applyAlignment="1">
      <alignment horizontal="center" vertical="center"/>
    </xf>
    <xf numFmtId="0" fontId="31" fillId="0" borderId="1" xfId="96" applyFont="1" applyBorder="1" applyAlignment="1">
      <alignment horizontal="center"/>
    </xf>
    <xf numFmtId="0" fontId="31" fillId="0" borderId="1" xfId="96" applyFont="1" applyBorder="1" applyAlignment="1">
      <alignment horizontal="center" wrapText="1"/>
    </xf>
    <xf numFmtId="0" fontId="100" fillId="0" borderId="40" xfId="0" applyFont="1" applyBorder="1" applyAlignment="1">
      <alignment horizontal="center" vertical="center"/>
    </xf>
    <xf numFmtId="0" fontId="100" fillId="0" borderId="41" xfId="0" applyFont="1" applyBorder="1" applyAlignment="1">
      <alignment horizontal="center" vertical="center"/>
    </xf>
    <xf numFmtId="0" fontId="0" fillId="0" borderId="0" xfId="0"/>
    <xf numFmtId="0" fontId="39" fillId="0" borderId="50" xfId="0" applyFont="1" applyBorder="1" applyAlignment="1">
      <alignment horizontal="center" vertical="center"/>
    </xf>
    <xf numFmtId="0" fontId="39" fillId="0" borderId="26" xfId="0" applyFont="1" applyBorder="1" applyAlignment="1">
      <alignment horizontal="center" vertical="center"/>
    </xf>
    <xf numFmtId="0" fontId="33" fillId="0" borderId="43" xfId="0" applyFont="1" applyBorder="1" applyAlignment="1">
      <alignment horizontal="center" vertical="center"/>
    </xf>
    <xf numFmtId="0" fontId="33" fillId="0" borderId="14" xfId="0" applyFont="1" applyBorder="1" applyAlignment="1">
      <alignment horizontal="center" vertical="center"/>
    </xf>
    <xf numFmtId="0" fontId="39" fillId="0" borderId="57" xfId="0" applyFont="1" applyBorder="1" applyAlignment="1">
      <alignment horizontal="center" vertical="center"/>
    </xf>
    <xf numFmtId="0" fontId="32" fillId="0" borderId="4" xfId="89" applyFont="1" applyBorder="1" applyAlignment="1">
      <alignment horizontal="center"/>
    </xf>
    <xf numFmtId="0" fontId="32" fillId="0" borderId="9" xfId="89" applyFont="1" applyBorder="1" applyAlignment="1">
      <alignment horizontal="center"/>
    </xf>
    <xf numFmtId="0" fontId="30" fillId="0" borderId="4" xfId="3" applyFont="1" applyBorder="1" applyAlignment="1">
      <alignment horizontal="center" vertical="center"/>
    </xf>
    <xf numFmtId="0" fontId="30" fillId="0" borderId="9" xfId="3" applyFont="1" applyBorder="1" applyAlignment="1">
      <alignment horizontal="center" vertical="center"/>
    </xf>
    <xf numFmtId="0" fontId="33" fillId="0" borderId="1" xfId="32" applyFont="1" applyBorder="1" applyAlignment="1">
      <alignment horizontal="left" vertical="center"/>
    </xf>
    <xf numFmtId="0" fontId="92" fillId="0" borderId="1" xfId="32" applyFont="1" applyBorder="1" applyAlignment="1">
      <alignment horizontal="center" vertical="center"/>
    </xf>
    <xf numFmtId="0" fontId="92" fillId="0" borderId="1" xfId="32" applyFont="1" applyBorder="1" applyAlignment="1">
      <alignment horizontal="center" vertical="center" wrapText="1"/>
    </xf>
    <xf numFmtId="0" fontId="32" fillId="0" borderId="4" xfId="83" applyFont="1" applyBorder="1" applyAlignment="1">
      <alignment horizontal="center"/>
    </xf>
    <xf numFmtId="0" fontId="32" fillId="0" borderId="9" xfId="83" applyFont="1" applyBorder="1" applyAlignment="1">
      <alignment horizontal="center"/>
    </xf>
    <xf numFmtId="0" fontId="50" fillId="0" borderId="5" xfId="0" applyFont="1" applyBorder="1" applyAlignment="1">
      <alignment horizontal="center" vertical="center" wrapText="1"/>
    </xf>
    <xf numFmtId="0" fontId="50" fillId="0" borderId="6" xfId="0" applyFont="1" applyBorder="1" applyAlignment="1">
      <alignment horizontal="center" vertical="center" wrapText="1"/>
    </xf>
    <xf numFmtId="0" fontId="49" fillId="0" borderId="1" xfId="0" applyFont="1" applyBorder="1" applyAlignment="1">
      <alignment horizontal="left" wrapText="1"/>
    </xf>
    <xf numFmtId="0" fontId="49" fillId="0" borderId="1" xfId="0" applyFont="1" applyBorder="1" applyAlignment="1">
      <alignment horizontal="right" vertical="center" wrapText="1"/>
    </xf>
    <xf numFmtId="0" fontId="49" fillId="0" borderId="1" xfId="0" applyFont="1" applyBorder="1" applyAlignment="1">
      <alignment vertical="center" wrapText="1"/>
    </xf>
    <xf numFmtId="0" fontId="39" fillId="18" borderId="4" xfId="3" applyFont="1" applyFill="1" applyBorder="1" applyAlignment="1">
      <alignment horizontal="left"/>
    </xf>
    <xf numFmtId="0" fontId="39" fillId="18" borderId="9" xfId="3" applyFont="1" applyFill="1" applyBorder="1" applyAlignment="1">
      <alignment horizontal="left"/>
    </xf>
    <xf numFmtId="0" fontId="39" fillId="5" borderId="4" xfId="3" applyFont="1" applyFill="1" applyBorder="1" applyAlignment="1">
      <alignment horizontal="left"/>
    </xf>
    <xf numFmtId="0" fontId="39" fillId="5" borderId="9" xfId="3" applyFont="1" applyFill="1" applyBorder="1" applyAlignment="1">
      <alignment horizontal="left"/>
    </xf>
    <xf numFmtId="0" fontId="59" fillId="0" borderId="24" xfId="0" applyFont="1" applyBorder="1" applyAlignment="1">
      <alignment horizontal="center"/>
    </xf>
    <xf numFmtId="0" fontId="78" fillId="0" borderId="45" xfId="0" applyFont="1" applyBorder="1" applyAlignment="1">
      <alignment horizontal="center" vertical="center" wrapText="1"/>
    </xf>
    <xf numFmtId="0" fontId="78" fillId="0" borderId="46" xfId="0" applyFont="1" applyBorder="1" applyAlignment="1">
      <alignment horizontal="center" vertical="center" wrapText="1"/>
    </xf>
    <xf numFmtId="0" fontId="39" fillId="0" borderId="39" xfId="0" applyFont="1" applyBorder="1" applyAlignment="1">
      <alignment horizontal="center" vertical="center"/>
    </xf>
    <xf numFmtId="0" fontId="39" fillId="0" borderId="34" xfId="0" applyFont="1" applyBorder="1" applyAlignment="1">
      <alignment horizontal="center" vertical="center"/>
    </xf>
    <xf numFmtId="0" fontId="39" fillId="0" borderId="11" xfId="0" applyFont="1" applyBorder="1" applyAlignment="1">
      <alignment horizontal="center" vertical="center"/>
    </xf>
    <xf numFmtId="0" fontId="39" fillId="0" borderId="35" xfId="0" applyFont="1" applyBorder="1" applyAlignment="1">
      <alignment horizontal="center" vertical="center"/>
    </xf>
    <xf numFmtId="0" fontId="78" fillId="0" borderId="45" xfId="0" applyFont="1" applyBorder="1" applyAlignment="1">
      <alignment horizontal="center" wrapText="1"/>
    </xf>
    <xf numFmtId="0" fontId="78" fillId="0" borderId="46" xfId="0" applyFont="1" applyBorder="1" applyAlignment="1">
      <alignment horizontal="center" wrapText="1"/>
    </xf>
    <xf numFmtId="0" fontId="39" fillId="0" borderId="27" xfId="3" applyFont="1" applyBorder="1" applyAlignment="1">
      <alignment horizontal="center"/>
    </xf>
    <xf numFmtId="0" fontId="39" fillId="0" borderId="28" xfId="3" applyFont="1" applyBorder="1" applyAlignment="1">
      <alignment horizontal="center"/>
    </xf>
    <xf numFmtId="0" fontId="39" fillId="0" borderId="29" xfId="3" applyFont="1" applyBorder="1" applyAlignment="1">
      <alignment horizontal="center"/>
    </xf>
    <xf numFmtId="0" fontId="33" fillId="0" borderId="21" xfId="3" applyFont="1" applyBorder="1" applyAlignment="1">
      <alignment horizontal="center"/>
    </xf>
    <xf numFmtId="0" fontId="33" fillId="0" borderId="0" xfId="3" applyFont="1" applyAlignment="1">
      <alignment horizontal="center"/>
    </xf>
    <xf numFmtId="0" fontId="33" fillId="0" borderId="22" xfId="3" applyFont="1" applyBorder="1" applyAlignment="1">
      <alignment horizontal="center"/>
    </xf>
    <xf numFmtId="3" fontId="33" fillId="0" borderId="20" xfId="3" applyNumberFormat="1" applyFont="1" applyBorder="1" applyAlignment="1">
      <alignment horizontal="center"/>
    </xf>
    <xf numFmtId="0" fontId="33" fillId="0" borderId="4" xfId="3" applyFont="1" applyBorder="1" applyAlignment="1">
      <alignment horizontal="right"/>
    </xf>
    <xf numFmtId="0" fontId="33" fillId="0" borderId="19" xfId="3" applyFont="1" applyBorder="1" applyAlignment="1">
      <alignment horizontal="right"/>
    </xf>
    <xf numFmtId="0" fontId="33" fillId="0" borderId="9" xfId="3" applyFont="1" applyBorder="1" applyAlignment="1">
      <alignment horizontal="right"/>
    </xf>
    <xf numFmtId="0" fontId="67" fillId="15" borderId="3" xfId="3" applyFont="1" applyFill="1" applyBorder="1" applyAlignment="1">
      <alignment horizontal="center"/>
    </xf>
    <xf numFmtId="0" fontId="30" fillId="0" borderId="1" xfId="3" applyFont="1" applyBorder="1" applyAlignment="1">
      <alignment horizontal="center"/>
    </xf>
    <xf numFmtId="1" fontId="33" fillId="0" borderId="1" xfId="0" applyNumberFormat="1" applyFont="1" applyBorder="1" applyAlignment="1">
      <alignment horizontal="center"/>
    </xf>
    <xf numFmtId="0" fontId="33" fillId="0" borderId="1" xfId="0" applyFont="1" applyBorder="1" applyAlignment="1">
      <alignment horizontal="center"/>
    </xf>
    <xf numFmtId="176" fontId="33" fillId="0" borderId="1" xfId="0" applyNumberFormat="1" applyFont="1" applyBorder="1" applyAlignment="1">
      <alignment horizontal="center"/>
    </xf>
    <xf numFmtId="2" fontId="33" fillId="0" borderId="1" xfId="0" applyNumberFormat="1" applyFont="1" applyBorder="1" applyAlignment="1">
      <alignment horizontal="center"/>
    </xf>
    <xf numFmtId="0" fontId="30" fillId="0" borderId="1" xfId="0" applyFont="1" applyBorder="1" applyAlignment="1">
      <alignment horizontal="center"/>
    </xf>
    <xf numFmtId="0" fontId="30" fillId="0" borderId="4" xfId="0" applyFont="1" applyBorder="1" applyAlignment="1">
      <alignment horizontal="left"/>
    </xf>
    <xf numFmtId="0" fontId="30" fillId="0" borderId="19" xfId="0" applyFont="1" applyBorder="1" applyAlignment="1">
      <alignment horizontal="left"/>
    </xf>
    <xf numFmtId="0" fontId="30" fillId="0" borderId="9" xfId="0" applyFont="1" applyBorder="1" applyAlignment="1">
      <alignment horizontal="left"/>
    </xf>
    <xf numFmtId="0" fontId="33" fillId="0" borderId="1" xfId="0" applyFont="1" applyBorder="1" applyAlignment="1">
      <alignment horizontal="center" vertical="center" wrapText="1"/>
    </xf>
    <xf numFmtId="0" fontId="32" fillId="0" borderId="1" xfId="78" applyFont="1" applyBorder="1" applyAlignment="1">
      <alignment horizontal="center"/>
    </xf>
    <xf numFmtId="2" fontId="30" fillId="0" borderId="1" xfId="3" applyNumberFormat="1" applyFont="1" applyBorder="1" applyAlignment="1">
      <alignment horizontal="right" vertical="center"/>
    </xf>
    <xf numFmtId="164" fontId="33" fillId="0" borderId="0" xfId="3" applyNumberFormat="1" applyFont="1" applyAlignment="1">
      <alignment horizontal="center" vertical="center"/>
    </xf>
    <xf numFmtId="164" fontId="30" fillId="2" borderId="1" xfId="3" applyNumberFormat="1" applyFont="1" applyFill="1" applyBorder="1" applyAlignment="1">
      <alignment horizontal="center"/>
    </xf>
    <xf numFmtId="0" fontId="30" fillId="0" borderId="1" xfId="3" applyFont="1" applyBorder="1" applyAlignment="1">
      <alignment horizontal="left" vertical="center"/>
    </xf>
    <xf numFmtId="1" fontId="30" fillId="0" borderId="1" xfId="3" applyNumberFormat="1" applyFont="1" applyBorder="1" applyAlignment="1">
      <alignment horizontal="right" vertical="center"/>
    </xf>
    <xf numFmtId="1" fontId="30" fillId="0" borderId="1" xfId="3" applyNumberFormat="1" applyFont="1" applyBorder="1" applyAlignment="1">
      <alignment horizontal="right"/>
    </xf>
    <xf numFmtId="0" fontId="30" fillId="0" borderId="32" xfId="3" applyFont="1" applyBorder="1" applyAlignment="1">
      <alignment horizontal="center"/>
    </xf>
    <xf numFmtId="0" fontId="30" fillId="0" borderId="8" xfId="3" applyFont="1" applyBorder="1" applyAlignment="1">
      <alignment horizontal="center"/>
    </xf>
    <xf numFmtId="2" fontId="30" fillId="0" borderId="1" xfId="3" applyNumberFormat="1" applyFont="1" applyBorder="1" applyAlignment="1">
      <alignment horizontal="center"/>
    </xf>
    <xf numFmtId="2" fontId="33" fillId="0" borderId="1" xfId="3" applyNumberFormat="1" applyFont="1" applyBorder="1" applyAlignment="1">
      <alignment horizontal="right"/>
    </xf>
    <xf numFmtId="2" fontId="30" fillId="0" borderId="1" xfId="3" applyNumberFormat="1" applyFont="1" applyBorder="1" applyAlignment="1">
      <alignment horizontal="center" wrapText="1"/>
    </xf>
    <xf numFmtId="0" fontId="30" fillId="5" borderId="4" xfId="3" applyFont="1" applyFill="1" applyBorder="1" applyAlignment="1">
      <alignment horizontal="left" vertical="center"/>
    </xf>
    <xf numFmtId="0" fontId="30" fillId="5" borderId="19" xfId="3" applyFont="1" applyFill="1" applyBorder="1" applyAlignment="1">
      <alignment horizontal="left" vertical="center"/>
    </xf>
    <xf numFmtId="0" fontId="30" fillId="5" borderId="9" xfId="3" applyFont="1" applyFill="1" applyBorder="1" applyAlignment="1">
      <alignment horizontal="left" vertical="center"/>
    </xf>
    <xf numFmtId="0" fontId="30" fillId="0" borderId="1" xfId="3" applyFont="1" applyFill="1" applyBorder="1" applyAlignment="1">
      <alignment wrapText="1"/>
    </xf>
    <xf numFmtId="43" fontId="40" fillId="0" borderId="1" xfId="0" applyNumberFormat="1" applyFont="1" applyFill="1" applyBorder="1" applyAlignment="1">
      <alignment vertical="center"/>
    </xf>
    <xf numFmtId="0" fontId="40" fillId="0" borderId="1" xfId="0" applyFont="1" applyFill="1" applyBorder="1" applyAlignment="1">
      <alignment vertical="center"/>
    </xf>
    <xf numFmtId="43" fontId="40" fillId="19" borderId="1" xfId="1" applyFont="1" applyFill="1" applyBorder="1" applyAlignment="1">
      <alignment horizontal="center" vertical="center" wrapText="1"/>
    </xf>
    <xf numFmtId="164" fontId="40" fillId="19" borderId="1" xfId="0" applyNumberFormat="1" applyFont="1" applyFill="1" applyBorder="1" applyAlignment="1">
      <alignment horizontal="center" vertical="center" wrapText="1"/>
    </xf>
  </cellXfs>
  <cellStyles count="98">
    <cellStyle name="Calculation 2" xfId="7" xr:uid="{00000000-0005-0000-0000-000000000000}"/>
    <cellStyle name="Comma" xfId="1" builtinId="3"/>
    <cellStyle name="Comma 10" xfId="60" xr:uid="{00000000-0005-0000-0000-000002000000}"/>
    <cellStyle name="Comma 11" xfId="38" xr:uid="{00000000-0005-0000-0000-000003000000}"/>
    <cellStyle name="Comma 2" xfId="4" xr:uid="{00000000-0005-0000-0000-000004000000}"/>
    <cellStyle name="Comma 2 2" xfId="48" xr:uid="{00000000-0005-0000-0000-000005000000}"/>
    <cellStyle name="Comma 2 2 2" xfId="58" xr:uid="{00000000-0005-0000-0000-000006000000}"/>
    <cellStyle name="Comma 3" xfId="8" xr:uid="{00000000-0005-0000-0000-000007000000}"/>
    <cellStyle name="Comma 3 2" xfId="20" xr:uid="{00000000-0005-0000-0000-000008000000}"/>
    <cellStyle name="Comma 3 2 2" xfId="41" xr:uid="{00000000-0005-0000-0000-000009000000}"/>
    <cellStyle name="Comma 3 3" xfId="23" xr:uid="{00000000-0005-0000-0000-00000A000000}"/>
    <cellStyle name="Comma 3 4" xfId="26" xr:uid="{00000000-0005-0000-0000-00000B000000}"/>
    <cellStyle name="Comma 3 4 2" xfId="44" xr:uid="{00000000-0005-0000-0000-00000C000000}"/>
    <cellStyle name="Comma 3 4 2 2" xfId="70" xr:uid="{00000000-0005-0000-0000-00000D000000}"/>
    <cellStyle name="Comma 3 5" xfId="53" xr:uid="{00000000-0005-0000-0000-00000E000000}"/>
    <cellStyle name="Comma 4" xfId="9" xr:uid="{00000000-0005-0000-0000-00000F000000}"/>
    <cellStyle name="Comma 4 2" xfId="37" xr:uid="{00000000-0005-0000-0000-000010000000}"/>
    <cellStyle name="Comma 5" xfId="28" xr:uid="{00000000-0005-0000-0000-000011000000}"/>
    <cellStyle name="Comma 5 2" xfId="67" xr:uid="{00000000-0005-0000-0000-000012000000}"/>
    <cellStyle name="Comma 5 3" xfId="81" xr:uid="{00000000-0005-0000-0000-000013000000}"/>
    <cellStyle name="Comma 5 3 2" xfId="86" xr:uid="{00000000-0005-0000-0000-000014000000}"/>
    <cellStyle name="Comma 5 3 3" xfId="93" xr:uid="{00000000-0005-0000-0000-000015000000}"/>
    <cellStyle name="Comma 6" xfId="33" xr:uid="{00000000-0005-0000-0000-000016000000}"/>
    <cellStyle name="Comma 7" xfId="52" xr:uid="{00000000-0005-0000-0000-000017000000}"/>
    <cellStyle name="Comma 8" xfId="62" xr:uid="{00000000-0005-0000-0000-000018000000}"/>
    <cellStyle name="Comma 9" xfId="73" xr:uid="{00000000-0005-0000-0000-000019000000}"/>
    <cellStyle name="Comma_Cost summery of options" xfId="46" xr:uid="{00000000-0005-0000-0000-00001A000000}"/>
    <cellStyle name="Fixed" xfId="10" xr:uid="{00000000-0005-0000-0000-00001B000000}"/>
    <cellStyle name="Normal" xfId="0" builtinId="0"/>
    <cellStyle name="Normal 10" xfId="32" xr:uid="{00000000-0005-0000-0000-00001D000000}"/>
    <cellStyle name="Normal 10 3" xfId="35" xr:uid="{00000000-0005-0000-0000-00001E000000}"/>
    <cellStyle name="Normal 10 4" xfId="90" xr:uid="{00000000-0005-0000-0000-00001F000000}"/>
    <cellStyle name="Normal 11" xfId="69" xr:uid="{00000000-0005-0000-0000-000020000000}"/>
    <cellStyle name="Normal 11 2" xfId="96" xr:uid="{00000000-0005-0000-0000-000021000000}"/>
    <cellStyle name="Normal 12" xfId="72" xr:uid="{00000000-0005-0000-0000-000022000000}"/>
    <cellStyle name="Normal 13" xfId="75" xr:uid="{00000000-0005-0000-0000-000023000000}"/>
    <cellStyle name="Normal 13 2" xfId="61" xr:uid="{00000000-0005-0000-0000-000024000000}"/>
    <cellStyle name="Normal 13 3" xfId="87" xr:uid="{00000000-0005-0000-0000-000025000000}"/>
    <cellStyle name="Normal 13 4" xfId="94" xr:uid="{00000000-0005-0000-0000-000026000000}"/>
    <cellStyle name="Normal 14" xfId="77" xr:uid="{00000000-0005-0000-0000-000027000000}"/>
    <cellStyle name="Normal 15" xfId="76" xr:uid="{00000000-0005-0000-0000-000028000000}"/>
    <cellStyle name="Normal 16" xfId="85" xr:uid="{00000000-0005-0000-0000-000029000000}"/>
    <cellStyle name="Normal 2" xfId="3" xr:uid="{00000000-0005-0000-0000-00002A000000}"/>
    <cellStyle name="Normal 2 2" xfId="11" xr:uid="{00000000-0005-0000-0000-00002B000000}"/>
    <cellStyle name="Normal 2 3" xfId="12" xr:uid="{00000000-0005-0000-0000-00002C000000}"/>
    <cellStyle name="Normal 2 3 2" xfId="19" xr:uid="{00000000-0005-0000-0000-00002D000000}"/>
    <cellStyle name="Normal 2 3 2 2" xfId="39" xr:uid="{00000000-0005-0000-0000-00002E000000}"/>
    <cellStyle name="Normal 2 3 2 2 2" xfId="49" xr:uid="{00000000-0005-0000-0000-00002F000000}"/>
    <cellStyle name="Normal 2 3 2 2 3" xfId="83" xr:uid="{00000000-0005-0000-0000-000030000000}"/>
    <cellStyle name="Normal 2 3 2 2 3 2" xfId="89" xr:uid="{00000000-0005-0000-0000-000031000000}"/>
    <cellStyle name="Normal 2 3 3" xfId="22" xr:uid="{00000000-0005-0000-0000-000032000000}"/>
    <cellStyle name="Normal 2 3 4" xfId="25" xr:uid="{00000000-0005-0000-0000-000033000000}"/>
    <cellStyle name="Normal 2 3 4 2" xfId="43" xr:uid="{00000000-0005-0000-0000-000034000000}"/>
    <cellStyle name="Normal 2 3 4 2 2" xfId="65" xr:uid="{00000000-0005-0000-0000-000035000000}"/>
    <cellStyle name="Normal 2 3 4 2 2 2" xfId="80" xr:uid="{00000000-0005-0000-0000-000036000000}"/>
    <cellStyle name="Normal 2 3 4 2 3" xfId="71" xr:uid="{00000000-0005-0000-0000-000037000000}"/>
    <cellStyle name="Normal 3" xfId="6" xr:uid="{00000000-0005-0000-0000-000038000000}"/>
    <cellStyle name="Normal 3 2" xfId="45" xr:uid="{00000000-0005-0000-0000-000039000000}"/>
    <cellStyle name="Normal 36" xfId="13" xr:uid="{00000000-0005-0000-0000-00003A000000}"/>
    <cellStyle name="Normal 4" xfId="14" xr:uid="{00000000-0005-0000-0000-00003B000000}"/>
    <cellStyle name="Normal 4 2" xfId="24" xr:uid="{00000000-0005-0000-0000-00003C000000}"/>
    <cellStyle name="Normal 4 2 2" xfId="42" xr:uid="{00000000-0005-0000-0000-00003D000000}"/>
    <cellStyle name="Normal 4 2 2 2" xfId="64" xr:uid="{00000000-0005-0000-0000-00003E000000}"/>
    <cellStyle name="Normal 4 2 2 2 2" xfId="78" xr:uid="{00000000-0005-0000-0000-00003F000000}"/>
    <cellStyle name="Normal 4 2 2 3" xfId="79" xr:uid="{00000000-0005-0000-0000-000040000000}"/>
    <cellStyle name="Normal 4 3" xfId="54" xr:uid="{00000000-0005-0000-0000-000041000000}"/>
    <cellStyle name="Normal 5" xfId="27" xr:uid="{00000000-0005-0000-0000-000042000000}"/>
    <cellStyle name="Normal 5 2" xfId="34" xr:uid="{00000000-0005-0000-0000-000043000000}"/>
    <cellStyle name="Normal 5 2 2" xfId="66" xr:uid="{00000000-0005-0000-0000-000044000000}"/>
    <cellStyle name="Normal 5 3" xfId="84" xr:uid="{00000000-0005-0000-0000-000045000000}"/>
    <cellStyle name="Normal 5 3 2" xfId="91" xr:uid="{00000000-0005-0000-0000-000046000000}"/>
    <cellStyle name="Normal 6" xfId="31" xr:uid="{00000000-0005-0000-0000-000047000000}"/>
    <cellStyle name="Normal 6 2" xfId="97" xr:uid="{00000000-0005-0000-0000-000048000000}"/>
    <cellStyle name="Normal 7" xfId="47" xr:uid="{00000000-0005-0000-0000-000049000000}"/>
    <cellStyle name="Normal 7 2" xfId="36" xr:uid="{00000000-0005-0000-0000-00004A000000}"/>
    <cellStyle name="Normal 8" xfId="51" xr:uid="{00000000-0005-0000-0000-00004B000000}"/>
    <cellStyle name="Normal 8 2" xfId="55" xr:uid="{00000000-0005-0000-0000-00004C000000}"/>
    <cellStyle name="Normal 9" xfId="57" xr:uid="{00000000-0005-0000-0000-00004D000000}"/>
    <cellStyle name="Normal_Bill No 2" xfId="92" xr:uid="{00000000-0005-0000-0000-00004E000000}"/>
    <cellStyle name="Normal_Cost-summary" xfId="56" xr:uid="{00000000-0005-0000-0000-00004F000000}"/>
    <cellStyle name="Normal_FULL" xfId="30" xr:uid="{00000000-0005-0000-0000-000050000000}"/>
    <cellStyle name="Percent" xfId="2" builtinId="5"/>
    <cellStyle name="Percent 2" xfId="5" xr:uid="{00000000-0005-0000-0000-000052000000}"/>
    <cellStyle name="Percent 3" xfId="21" xr:uid="{00000000-0005-0000-0000-000053000000}"/>
    <cellStyle name="Percent 3 2" xfId="40" xr:uid="{00000000-0005-0000-0000-000054000000}"/>
    <cellStyle name="Percent 4" xfId="29" xr:uid="{00000000-0005-0000-0000-000055000000}"/>
    <cellStyle name="Percent 4 2" xfId="68" xr:uid="{00000000-0005-0000-0000-000056000000}"/>
    <cellStyle name="Percent 4 3" xfId="82" xr:uid="{00000000-0005-0000-0000-000057000000}"/>
    <cellStyle name="Percent 4 3 2" xfId="88" xr:uid="{00000000-0005-0000-0000-000058000000}"/>
    <cellStyle name="Percent 4 3 3" xfId="95" xr:uid="{00000000-0005-0000-0000-000059000000}"/>
    <cellStyle name="Percent 5" xfId="50" xr:uid="{00000000-0005-0000-0000-00005A000000}"/>
    <cellStyle name="Percent 6" xfId="63" xr:uid="{00000000-0005-0000-0000-00005B000000}"/>
    <cellStyle name="Percent 7" xfId="74" xr:uid="{00000000-0005-0000-0000-00005C000000}"/>
    <cellStyle name="Percent 8" xfId="59" xr:uid="{00000000-0005-0000-0000-00005D000000}"/>
    <cellStyle name="Standard 2" xfId="15" xr:uid="{00000000-0005-0000-0000-00005E000000}"/>
    <cellStyle name="Standard 3 2" xfId="16" xr:uid="{00000000-0005-0000-0000-00005F000000}"/>
    <cellStyle name="Text" xfId="17" xr:uid="{00000000-0005-0000-0000-000060000000}"/>
    <cellStyle name="Total2" xfId="18" xr:uid="{00000000-0005-0000-0000-000061000000}"/>
  </cellStyles>
  <dxfs count="0"/>
  <tableStyles count="0" defaultTableStyle="TableStyleMedium9"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3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3.xml"/><Relationship Id="rId89" Type="http://schemas.openxmlformats.org/officeDocument/2006/relationships/externalLink" Target="externalLinks/externalLink8.xml"/><Relationship Id="rId112" Type="http://schemas.openxmlformats.org/officeDocument/2006/relationships/externalLink" Target="externalLinks/externalLink31.xml"/><Relationship Id="rId16" Type="http://schemas.openxmlformats.org/officeDocument/2006/relationships/worksheet" Target="worksheets/sheet16.xml"/><Relationship Id="rId107" Type="http://schemas.openxmlformats.org/officeDocument/2006/relationships/externalLink" Target="externalLinks/externalLink2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21.xml"/><Relationship Id="rId123" Type="http://schemas.openxmlformats.org/officeDocument/2006/relationships/externalLink" Target="externalLinks/externalLink42.xml"/><Relationship Id="rId128"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9.xml"/><Relationship Id="rId95" Type="http://schemas.openxmlformats.org/officeDocument/2006/relationships/externalLink" Target="externalLinks/externalLink14.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32.xml"/><Relationship Id="rId118" Type="http://schemas.openxmlformats.org/officeDocument/2006/relationships/externalLink" Target="externalLinks/externalLink37.xml"/><Relationship Id="rId80" Type="http://schemas.openxmlformats.org/officeDocument/2006/relationships/worksheet" Target="worksheets/sheet80.xml"/><Relationship Id="rId85" Type="http://schemas.openxmlformats.org/officeDocument/2006/relationships/externalLink" Target="externalLinks/externalLink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22.xml"/><Relationship Id="rId108" Type="http://schemas.openxmlformats.org/officeDocument/2006/relationships/externalLink" Target="externalLinks/externalLink27.xml"/><Relationship Id="rId124" Type="http://schemas.openxmlformats.org/officeDocument/2006/relationships/externalLink" Target="externalLinks/externalLink43.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externalLink" Target="externalLinks/externalLink10.xml"/><Relationship Id="rId96"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33.xml"/><Relationship Id="rId119" Type="http://schemas.openxmlformats.org/officeDocument/2006/relationships/externalLink" Target="externalLinks/externalLink3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externalLink" Target="externalLinks/externalLink5.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28.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6.xml"/><Relationship Id="rId104" Type="http://schemas.openxmlformats.org/officeDocument/2006/relationships/externalLink" Target="externalLinks/externalLink23.xml"/><Relationship Id="rId120" Type="http://schemas.openxmlformats.org/officeDocument/2006/relationships/externalLink" Target="externalLinks/externalLink39.xml"/><Relationship Id="rId125" Type="http://schemas.openxmlformats.org/officeDocument/2006/relationships/externalLink" Target="externalLinks/externalLink4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6.xml"/><Relationship Id="rId110" Type="http://schemas.openxmlformats.org/officeDocument/2006/relationships/externalLink" Target="externalLinks/externalLink29.xml"/><Relationship Id="rId115" Type="http://schemas.openxmlformats.org/officeDocument/2006/relationships/externalLink" Target="externalLinks/externalLink34.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19.xml"/><Relationship Id="rId105" Type="http://schemas.openxmlformats.org/officeDocument/2006/relationships/externalLink" Target="externalLinks/externalLink24.xml"/><Relationship Id="rId126" Type="http://schemas.openxmlformats.org/officeDocument/2006/relationships/externalLink" Target="externalLinks/externalLink4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12.xml"/><Relationship Id="rId98" Type="http://schemas.openxmlformats.org/officeDocument/2006/relationships/externalLink" Target="externalLinks/externalLink17.xml"/><Relationship Id="rId121" Type="http://schemas.openxmlformats.org/officeDocument/2006/relationships/externalLink" Target="externalLinks/externalLink4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3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externalLink" Target="externalLinks/externalLink2.xml"/><Relationship Id="rId88" Type="http://schemas.openxmlformats.org/officeDocument/2006/relationships/externalLink" Target="externalLinks/externalLink7.xml"/><Relationship Id="rId111" Type="http://schemas.openxmlformats.org/officeDocument/2006/relationships/externalLink" Target="externalLinks/externalLink30.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25.xml"/><Relationship Id="rId127" Type="http://schemas.openxmlformats.org/officeDocument/2006/relationships/externalLink" Target="externalLinks/externalLink4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externalLink" Target="externalLinks/externalLink13.xml"/><Relationship Id="rId99" Type="http://schemas.openxmlformats.org/officeDocument/2006/relationships/externalLink" Target="externalLinks/externalLink18.xml"/><Relationship Id="rId101" Type="http://schemas.openxmlformats.org/officeDocument/2006/relationships/externalLink" Target="externalLinks/externalLink20.xml"/><Relationship Id="rId122" Type="http://schemas.openxmlformats.org/officeDocument/2006/relationships/externalLink" Target="externalLinks/externalLink4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50" b="1" i="0" u="none" strike="noStrike" baseline="0">
                <a:solidFill>
                  <a:srgbClr val="000000"/>
                </a:solidFill>
                <a:latin typeface="Arial"/>
                <a:ea typeface="Arial"/>
                <a:cs typeface="Arial"/>
              </a:defRPr>
            </a:pPr>
            <a:r>
              <a:rPr lang="en-US"/>
              <a:t>Project Cost</a:t>
            </a:r>
          </a:p>
        </c:rich>
      </c:tx>
      <c:layout>
        <c:manualLayout>
          <c:xMode val="edge"/>
          <c:yMode val="edge"/>
          <c:x val="0.41304399450068741"/>
          <c:y val="3.0237579525861542E-2"/>
        </c:manualLayout>
      </c:layout>
      <c:overlay val="0"/>
      <c:spPr>
        <a:noFill/>
        <a:ln w="25400">
          <a:noFill/>
        </a:ln>
      </c:spPr>
    </c:title>
    <c:autoTitleDeleted val="0"/>
    <c:plotArea>
      <c:layout>
        <c:manualLayout>
          <c:layoutTarget val="inner"/>
          <c:xMode val="edge"/>
          <c:yMode val="edge"/>
          <c:x val="0.18478282663282541"/>
          <c:y val="0.19006499525955367"/>
          <c:w val="0.5471020945403251"/>
          <c:h val="0.61339157561039825"/>
        </c:manualLayout>
      </c:layout>
      <c:barChart>
        <c:barDir val="col"/>
        <c:grouping val="clustered"/>
        <c:varyColors val="0"/>
        <c:ser>
          <c:idx val="0"/>
          <c:order val="0"/>
          <c:tx>
            <c:strRef>
              <c:f>'Project Cost NRS'!$B$7</c:f>
              <c:strCache>
                <c:ptCount val="1"/>
                <c:pt idx="0">
                  <c:v>Civil Surface Works </c:v>
                </c:pt>
              </c:strCache>
            </c:strRef>
          </c:tx>
          <c:spPr>
            <a:solidFill>
              <a:srgbClr val="9999FF"/>
            </a:solidFill>
            <a:ln w="12700">
              <a:solidFill>
                <a:srgbClr val="000000"/>
              </a:solidFill>
              <a:prstDash val="solid"/>
            </a:ln>
          </c:spPr>
          <c:invertIfNegative val="0"/>
          <c:val>
            <c:numRef>
              <c:f>'Project Cost NRS'!$D$7</c:f>
              <c:numCache>
                <c:formatCode>#,##0</c:formatCode>
                <c:ptCount val="1"/>
                <c:pt idx="0">
                  <c:v>0</c:v>
                </c:pt>
              </c:numCache>
            </c:numRef>
          </c:val>
          <c:extLst>
            <c:ext xmlns:c16="http://schemas.microsoft.com/office/drawing/2014/chart" uri="{C3380CC4-5D6E-409C-BE32-E72D297353CC}">
              <c16:uniqueId val="{00000000-A0A9-415D-AB36-7E75DC10641F}"/>
            </c:ext>
          </c:extLst>
        </c:ser>
        <c:ser>
          <c:idx val="1"/>
          <c:order val="1"/>
          <c:tx>
            <c:strRef>
              <c:f>'Project Cost NRS'!$B$8</c:f>
              <c:strCache>
                <c:ptCount val="1"/>
                <c:pt idx="0">
                  <c:v>Civil Underground Works </c:v>
                </c:pt>
              </c:strCache>
            </c:strRef>
          </c:tx>
          <c:spPr>
            <a:solidFill>
              <a:srgbClr val="993366"/>
            </a:solidFill>
            <a:ln w="12700">
              <a:solidFill>
                <a:srgbClr val="000000"/>
              </a:solidFill>
              <a:prstDash val="solid"/>
            </a:ln>
          </c:spPr>
          <c:invertIfNegative val="0"/>
          <c:val>
            <c:numRef>
              <c:f>'Project Cost NRS'!$D$8</c:f>
              <c:numCache>
                <c:formatCode>#,##0</c:formatCode>
                <c:ptCount val="1"/>
                <c:pt idx="0">
                  <c:v>0</c:v>
                </c:pt>
              </c:numCache>
            </c:numRef>
          </c:val>
          <c:extLst>
            <c:ext xmlns:c16="http://schemas.microsoft.com/office/drawing/2014/chart" uri="{C3380CC4-5D6E-409C-BE32-E72D297353CC}">
              <c16:uniqueId val="{00000001-A0A9-415D-AB36-7E75DC10641F}"/>
            </c:ext>
          </c:extLst>
        </c:ser>
        <c:ser>
          <c:idx val="2"/>
          <c:order val="2"/>
          <c:tx>
            <c:strRef>
              <c:f>'Project Cost NRS'!$B$10</c:f>
              <c:strCache>
                <c:ptCount val="1"/>
                <c:pt idx="0">
                  <c:v>Electromechanical, Hydro-mechanical &amp; Transmission Line </c:v>
                </c:pt>
              </c:strCache>
            </c:strRef>
          </c:tx>
          <c:spPr>
            <a:solidFill>
              <a:srgbClr val="FFFFCC"/>
            </a:solidFill>
            <a:ln w="12700">
              <a:solidFill>
                <a:srgbClr val="000000"/>
              </a:solidFill>
              <a:prstDash val="solid"/>
            </a:ln>
          </c:spPr>
          <c:invertIfNegative val="0"/>
          <c:val>
            <c:numRef>
              <c:f>'Project Cost NRS'!$D$14</c:f>
              <c:numCache>
                <c:formatCode>#,##0</c:formatCode>
                <c:ptCount val="1"/>
                <c:pt idx="0">
                  <c:v>0</c:v>
                </c:pt>
              </c:numCache>
            </c:numRef>
          </c:val>
          <c:extLst>
            <c:ext xmlns:c16="http://schemas.microsoft.com/office/drawing/2014/chart" uri="{C3380CC4-5D6E-409C-BE32-E72D297353CC}">
              <c16:uniqueId val="{00000002-A0A9-415D-AB36-7E75DC10641F}"/>
            </c:ext>
          </c:extLst>
        </c:ser>
        <c:ser>
          <c:idx val="3"/>
          <c:order val="3"/>
          <c:tx>
            <c:strRef>
              <c:f>'Project Cost NRS'!$B$17</c:f>
              <c:strCache>
                <c:ptCount val="1"/>
                <c:pt idx="0">
                  <c:v>Infrastructure Works</c:v>
                </c:pt>
              </c:strCache>
            </c:strRef>
          </c:tx>
          <c:spPr>
            <a:solidFill>
              <a:srgbClr val="CCFFFF"/>
            </a:solidFill>
            <a:ln w="12700">
              <a:solidFill>
                <a:srgbClr val="000000"/>
              </a:solidFill>
              <a:prstDash val="solid"/>
            </a:ln>
          </c:spPr>
          <c:invertIfNegative val="0"/>
          <c:val>
            <c:numRef>
              <c:f>'Project Cost NRS'!$D$20</c:f>
              <c:numCache>
                <c:formatCode>#,##0</c:formatCode>
                <c:ptCount val="1"/>
                <c:pt idx="0">
                  <c:v>121000000</c:v>
                </c:pt>
              </c:numCache>
            </c:numRef>
          </c:val>
          <c:extLst>
            <c:ext xmlns:c16="http://schemas.microsoft.com/office/drawing/2014/chart" uri="{C3380CC4-5D6E-409C-BE32-E72D297353CC}">
              <c16:uniqueId val="{00000003-A0A9-415D-AB36-7E75DC10641F}"/>
            </c:ext>
          </c:extLst>
        </c:ser>
        <c:ser>
          <c:idx val="4"/>
          <c:order val="4"/>
          <c:tx>
            <c:strRef>
              <c:f>'Project Cost NRS'!$B$21</c:f>
              <c:strCache>
                <c:ptCount val="1"/>
                <c:pt idx="0">
                  <c:v>General Items</c:v>
                </c:pt>
              </c:strCache>
            </c:strRef>
          </c:tx>
          <c:spPr>
            <a:solidFill>
              <a:srgbClr val="660066"/>
            </a:solidFill>
            <a:ln w="12700">
              <a:solidFill>
                <a:srgbClr val="000000"/>
              </a:solidFill>
              <a:prstDash val="solid"/>
            </a:ln>
          </c:spPr>
          <c:invertIfNegative val="0"/>
          <c:val>
            <c:numRef>
              <c:f>'Project Cost NRS'!$D$23</c:f>
              <c:numCache>
                <c:formatCode>#,##0</c:formatCode>
                <c:ptCount val="1"/>
                <c:pt idx="0">
                  <c:v>0</c:v>
                </c:pt>
              </c:numCache>
            </c:numRef>
          </c:val>
          <c:extLst>
            <c:ext xmlns:c16="http://schemas.microsoft.com/office/drawing/2014/chart" uri="{C3380CC4-5D6E-409C-BE32-E72D297353CC}">
              <c16:uniqueId val="{00000004-A0A9-415D-AB36-7E75DC10641F}"/>
            </c:ext>
          </c:extLst>
        </c:ser>
        <c:ser>
          <c:idx val="5"/>
          <c:order val="5"/>
          <c:tx>
            <c:strRef>
              <c:f>'Project Cost NRS'!$B$25</c:f>
              <c:strCache>
                <c:ptCount val="1"/>
                <c:pt idx="0">
                  <c:v>Other Costs </c:v>
                </c:pt>
              </c:strCache>
            </c:strRef>
          </c:tx>
          <c:spPr>
            <a:solidFill>
              <a:srgbClr val="FF8080"/>
            </a:solidFill>
            <a:ln w="12700">
              <a:solidFill>
                <a:srgbClr val="000000"/>
              </a:solidFill>
              <a:prstDash val="solid"/>
            </a:ln>
          </c:spPr>
          <c:invertIfNegative val="0"/>
          <c:val>
            <c:numRef>
              <c:f>'Project Cost NRS'!$D$30</c:f>
              <c:numCache>
                <c:formatCode>#,##0</c:formatCode>
                <c:ptCount val="1"/>
                <c:pt idx="0">
                  <c:v>0</c:v>
                </c:pt>
              </c:numCache>
            </c:numRef>
          </c:val>
          <c:extLst>
            <c:ext xmlns:c16="http://schemas.microsoft.com/office/drawing/2014/chart" uri="{C3380CC4-5D6E-409C-BE32-E72D297353CC}">
              <c16:uniqueId val="{00000005-A0A9-415D-AB36-7E75DC10641F}"/>
            </c:ext>
          </c:extLst>
        </c:ser>
        <c:ser>
          <c:idx val="6"/>
          <c:order val="6"/>
          <c:tx>
            <c:strRef>
              <c:f>'Project Cost NRS'!$B$32</c:f>
              <c:strCache>
                <c:ptCount val="1"/>
                <c:pt idx="0">
                  <c:v>Physical Contingencies</c:v>
                </c:pt>
              </c:strCache>
            </c:strRef>
          </c:tx>
          <c:spPr>
            <a:solidFill>
              <a:srgbClr val="0066CC"/>
            </a:solidFill>
            <a:ln w="12700">
              <a:solidFill>
                <a:srgbClr val="000000"/>
              </a:solidFill>
              <a:prstDash val="solid"/>
            </a:ln>
          </c:spPr>
          <c:invertIfNegative val="0"/>
          <c:val>
            <c:numRef>
              <c:f>'Project Cost NRS'!$D$36</c:f>
              <c:numCache>
                <c:formatCode>#,##0</c:formatCode>
                <c:ptCount val="1"/>
                <c:pt idx="0">
                  <c:v>0</c:v>
                </c:pt>
              </c:numCache>
            </c:numRef>
          </c:val>
          <c:extLst>
            <c:ext xmlns:c16="http://schemas.microsoft.com/office/drawing/2014/chart" uri="{C3380CC4-5D6E-409C-BE32-E72D297353CC}">
              <c16:uniqueId val="{00000006-A0A9-415D-AB36-7E75DC10641F}"/>
            </c:ext>
          </c:extLst>
        </c:ser>
        <c:ser>
          <c:idx val="7"/>
          <c:order val="7"/>
          <c:tx>
            <c:strRef>
              <c:f>'Project Cost NRS'!$B$37</c:f>
              <c:strCache>
                <c:ptCount val="1"/>
                <c:pt idx="0">
                  <c:v>Price Contingency</c:v>
                </c:pt>
              </c:strCache>
            </c:strRef>
          </c:tx>
          <c:spPr>
            <a:solidFill>
              <a:srgbClr val="CCCCFF"/>
            </a:solidFill>
            <a:ln w="12700">
              <a:solidFill>
                <a:srgbClr val="000000"/>
              </a:solidFill>
              <a:prstDash val="solid"/>
            </a:ln>
          </c:spPr>
          <c:invertIfNegative val="0"/>
          <c:val>
            <c:numRef>
              <c:f>'Project Cost NRS'!$D$40</c:f>
              <c:numCache>
                <c:formatCode>#,##0.00</c:formatCode>
                <c:ptCount val="1"/>
                <c:pt idx="0">
                  <c:v>0</c:v>
                </c:pt>
              </c:numCache>
            </c:numRef>
          </c:val>
          <c:extLst>
            <c:ext xmlns:c16="http://schemas.microsoft.com/office/drawing/2014/chart" uri="{C3380CC4-5D6E-409C-BE32-E72D297353CC}">
              <c16:uniqueId val="{00000007-A0A9-415D-AB36-7E75DC10641F}"/>
            </c:ext>
          </c:extLst>
        </c:ser>
        <c:ser>
          <c:idx val="8"/>
          <c:order val="8"/>
          <c:tx>
            <c:strRef>
              <c:f>'Project Cost NRS'!$B$41</c:f>
              <c:strCache>
                <c:ptCount val="1"/>
                <c:pt idx="0">
                  <c:v>Custom Tax </c:v>
                </c:pt>
              </c:strCache>
            </c:strRef>
          </c:tx>
          <c:spPr>
            <a:solidFill>
              <a:srgbClr val="000080"/>
            </a:solidFill>
            <a:ln w="12700">
              <a:solidFill>
                <a:srgbClr val="000000"/>
              </a:solidFill>
              <a:prstDash val="solid"/>
            </a:ln>
          </c:spPr>
          <c:invertIfNegative val="0"/>
          <c:val>
            <c:numRef>
              <c:f>'Project Cost NRS'!$D$43</c:f>
              <c:numCache>
                <c:formatCode>#,##0.00</c:formatCode>
                <c:ptCount val="1"/>
                <c:pt idx="0">
                  <c:v>0</c:v>
                </c:pt>
              </c:numCache>
            </c:numRef>
          </c:val>
          <c:extLst>
            <c:ext xmlns:c16="http://schemas.microsoft.com/office/drawing/2014/chart" uri="{C3380CC4-5D6E-409C-BE32-E72D297353CC}">
              <c16:uniqueId val="{00000008-A0A9-415D-AB36-7E75DC10641F}"/>
            </c:ext>
          </c:extLst>
        </c:ser>
        <c:ser>
          <c:idx val="11"/>
          <c:order val="9"/>
          <c:tx>
            <c:strRef>
              <c:f>'Project Cost NRS'!$B$44</c:f>
              <c:strCache>
                <c:ptCount val="1"/>
                <c:pt idx="0">
                  <c:v>VAT Amount </c:v>
                </c:pt>
              </c:strCache>
            </c:strRef>
          </c:tx>
          <c:invertIfNegative val="0"/>
          <c:val>
            <c:numRef>
              <c:f>'Project Cost NRS'!$D$45</c:f>
              <c:numCache>
                <c:formatCode>#,##0</c:formatCode>
                <c:ptCount val="1"/>
                <c:pt idx="0">
                  <c:v>0</c:v>
                </c:pt>
              </c:numCache>
            </c:numRef>
          </c:val>
          <c:extLst>
            <c:ext xmlns:c16="http://schemas.microsoft.com/office/drawing/2014/chart" uri="{C3380CC4-5D6E-409C-BE32-E72D297353CC}">
              <c16:uniqueId val="{00000009-A0A9-415D-AB36-7E75DC10641F}"/>
            </c:ext>
          </c:extLst>
        </c:ser>
        <c:ser>
          <c:idx val="9"/>
          <c:order val="10"/>
          <c:tx>
            <c:strRef>
              <c:f>'Project Cost NRS'!$B$47</c:f>
              <c:strCache>
                <c:ptCount val="1"/>
                <c:pt idx="0">
                  <c:v>TOTAL TAX AND VAT (Total of G &amp; H)</c:v>
                </c:pt>
              </c:strCache>
            </c:strRef>
          </c:tx>
          <c:spPr>
            <a:solidFill>
              <a:srgbClr val="FF00FF"/>
            </a:solidFill>
            <a:ln w="12700">
              <a:solidFill>
                <a:srgbClr val="000000"/>
              </a:solidFill>
              <a:prstDash val="solid"/>
            </a:ln>
          </c:spPr>
          <c:invertIfNegative val="0"/>
          <c:val>
            <c:numRef>
              <c:f>'Project Cost NRS'!$D$47</c:f>
              <c:numCache>
                <c:formatCode>#,##0</c:formatCode>
                <c:ptCount val="1"/>
                <c:pt idx="0">
                  <c:v>0</c:v>
                </c:pt>
              </c:numCache>
            </c:numRef>
          </c:val>
          <c:extLst>
            <c:ext xmlns:c16="http://schemas.microsoft.com/office/drawing/2014/chart" uri="{C3380CC4-5D6E-409C-BE32-E72D297353CC}">
              <c16:uniqueId val="{0000000A-A0A9-415D-AB36-7E75DC10641F}"/>
            </c:ext>
          </c:extLst>
        </c:ser>
        <c:ser>
          <c:idx val="10"/>
          <c:order val="11"/>
          <c:tx>
            <c:strRef>
              <c:f>'Project Cost NRS'!#REF!</c:f>
              <c:strCache>
                <c:ptCount val="1"/>
                <c:pt idx="0">
                  <c:v>#REF!</c:v>
                </c:pt>
              </c:strCache>
            </c:strRef>
          </c:tx>
          <c:spPr>
            <a:solidFill>
              <a:srgbClr val="FFFF00"/>
            </a:solidFill>
            <a:ln w="12700">
              <a:solidFill>
                <a:srgbClr val="000000"/>
              </a:solidFill>
              <a:prstDash val="solid"/>
            </a:ln>
          </c:spPr>
          <c:invertIfNegative val="0"/>
          <c:val>
            <c:numRef>
              <c:f>'Project Cost NRS'!#REF!</c:f>
              <c:numCache>
                <c:formatCode>General</c:formatCode>
                <c:ptCount val="1"/>
                <c:pt idx="0">
                  <c:v>1</c:v>
                </c:pt>
              </c:numCache>
            </c:numRef>
          </c:val>
          <c:extLst>
            <c:ext xmlns:c16="http://schemas.microsoft.com/office/drawing/2014/chart" uri="{C3380CC4-5D6E-409C-BE32-E72D297353CC}">
              <c16:uniqueId val="{0000000B-A0A9-415D-AB36-7E75DC10641F}"/>
            </c:ext>
          </c:extLst>
        </c:ser>
        <c:dLbls>
          <c:showLegendKey val="0"/>
          <c:showVal val="0"/>
          <c:showCatName val="0"/>
          <c:showSerName val="0"/>
          <c:showPercent val="0"/>
          <c:showBubbleSize val="0"/>
        </c:dLbls>
        <c:gapWidth val="150"/>
        <c:axId val="158376088"/>
        <c:axId val="202601880"/>
      </c:barChart>
      <c:catAx>
        <c:axId val="158376088"/>
        <c:scaling>
          <c:orientation val="minMax"/>
        </c:scaling>
        <c:delete val="0"/>
        <c:axPos val="b"/>
        <c:title>
          <c:tx>
            <c:rich>
              <a:bodyPr/>
              <a:lstStyle/>
              <a:p>
                <a:pPr>
                  <a:defRPr sz="1450" b="1" i="0" u="none" strike="noStrike" baseline="0">
                    <a:solidFill>
                      <a:srgbClr val="000000"/>
                    </a:solidFill>
                    <a:latin typeface="Arial"/>
                    <a:ea typeface="Arial"/>
                    <a:cs typeface="Arial"/>
                  </a:defRPr>
                </a:pPr>
                <a:r>
                  <a:rPr lang="en-US"/>
                  <a:t>Items</a:t>
                </a:r>
              </a:p>
            </c:rich>
          </c:tx>
          <c:layout>
            <c:manualLayout>
              <c:xMode val="edge"/>
              <c:yMode val="edge"/>
              <c:x val="0.42391351081114881"/>
              <c:y val="0.8984890723611006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450" b="0" i="0" u="none" strike="noStrike" baseline="0">
                <a:solidFill>
                  <a:srgbClr val="000000"/>
                </a:solidFill>
                <a:latin typeface="Arial"/>
                <a:ea typeface="Arial"/>
                <a:cs typeface="Arial"/>
              </a:defRPr>
            </a:pPr>
            <a:endParaRPr lang="en-US"/>
          </a:p>
        </c:txPr>
        <c:crossAx val="202601880"/>
        <c:crosses val="autoZero"/>
        <c:auto val="1"/>
        <c:lblAlgn val="ctr"/>
        <c:lblOffset val="100"/>
        <c:tickLblSkip val="1"/>
        <c:tickMarkSkip val="1"/>
        <c:noMultiLvlLbl val="0"/>
      </c:catAx>
      <c:valAx>
        <c:axId val="202601880"/>
        <c:scaling>
          <c:orientation val="minMax"/>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t>Cost</a:t>
                </a:r>
              </a:p>
            </c:rich>
          </c:tx>
          <c:layout>
            <c:manualLayout>
              <c:xMode val="edge"/>
              <c:yMode val="edge"/>
              <c:x val="1.9323709536308627E-2"/>
              <c:y val="0.4449248698281764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58376088"/>
        <c:crosses val="autoZero"/>
        <c:crossBetween val="between"/>
      </c:valAx>
      <c:spPr>
        <a:solidFill>
          <a:srgbClr val="C0C0C0"/>
        </a:solidFill>
        <a:ln w="12700">
          <a:solidFill>
            <a:srgbClr val="808080"/>
          </a:solidFill>
          <a:prstDash val="solid"/>
        </a:ln>
      </c:spPr>
    </c:plotArea>
    <c:legend>
      <c:legendPos val="r"/>
      <c:layout>
        <c:manualLayout>
          <c:xMode val="edge"/>
          <c:yMode val="edge"/>
          <c:x val="0.74516997875265556"/>
          <c:y val="0.26997867984950358"/>
          <c:w val="0.19725402491891067"/>
          <c:h val="0.36589659302296929"/>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7.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hyperlink" Target="#'Component Cost'!A1"/><Relationship Id="rId1" Type="http://schemas.openxmlformats.org/officeDocument/2006/relationships/hyperlink" Target="#'BoQ '!A1"/></Relationships>
</file>

<file path=xl/drawings/_rels/drawing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9.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1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19.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hyperlink" Target="#'Component Cost'!A1"/><Relationship Id="rId1" Type="http://schemas.openxmlformats.org/officeDocument/2006/relationships/hyperlink" Target="#'BoQ '!A1"/></Relationships>
</file>

<file path=xl/drawings/_rels/drawing20.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2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2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Component Cost'!A1"/></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drawing35.xml.rels><?xml version="1.0" encoding="UTF-8" standalone="yes"?>
<Relationships xmlns="http://schemas.openxmlformats.org/package/2006/relationships"><Relationship Id="rId1" Type="http://schemas.openxmlformats.org/officeDocument/2006/relationships/image" Target="../media/image1.emf"/></Relationships>
</file>

<file path=xl/drawings/_rels/drawing36.xml.rels><?xml version="1.0" encoding="UTF-8" standalone="yes"?>
<Relationships xmlns="http://schemas.openxmlformats.org/package/2006/relationships"><Relationship Id="rId1" Type="http://schemas.openxmlformats.org/officeDocument/2006/relationships/image" Target="../media/image1.emf"/></Relationships>
</file>

<file path=xl/drawings/_rels/drawing37.xml.rels><?xml version="1.0" encoding="UTF-8" standalone="yes"?>
<Relationships xmlns="http://schemas.openxmlformats.org/package/2006/relationships"><Relationship Id="rId1" Type="http://schemas.openxmlformats.org/officeDocument/2006/relationships/image" Target="../media/image1.emf"/></Relationships>
</file>

<file path=xl/drawings/_rels/drawing38.xml.rels><?xml version="1.0" encoding="UTF-8" standalone="yes"?>
<Relationships xmlns="http://schemas.openxmlformats.org/package/2006/relationships"><Relationship Id="rId1" Type="http://schemas.openxmlformats.org/officeDocument/2006/relationships/image" Target="../media/image1.emf"/></Relationships>
</file>

<file path=xl/drawings/_rels/drawing39.xml.rels><?xml version="1.0" encoding="UTF-8" standalone="yes"?>
<Relationships xmlns="http://schemas.openxmlformats.org/package/2006/relationships"><Relationship Id="rId1" Type="http://schemas.openxmlformats.org/officeDocument/2006/relationships/image" Target="../media/image1.emf"/></Relationships>
</file>

<file path=xl/drawings/_rels/drawing40.xml.rels><?xml version="1.0" encoding="UTF-8" standalone="yes"?>
<Relationships xmlns="http://schemas.openxmlformats.org/package/2006/relationships"><Relationship Id="rId1" Type="http://schemas.openxmlformats.org/officeDocument/2006/relationships/image" Target="../media/image1.emf"/></Relationships>
</file>

<file path=xl/drawings/_rels/drawing41.xml.rels><?xml version="1.0" encoding="UTF-8" standalone="yes"?>
<Relationships xmlns="http://schemas.openxmlformats.org/package/2006/relationships"><Relationship Id="rId2" Type="http://schemas.openxmlformats.org/officeDocument/2006/relationships/hyperlink" Target="#'Component Cost'!A1"/><Relationship Id="rId1" Type="http://schemas.openxmlformats.org/officeDocument/2006/relationships/chart" Target="../charts/chart1.xml"/></Relationships>
</file>

<file path=xl/drawings/_rels/drawing42.xml.rels><?xml version="1.0" encoding="UTF-8" standalone="yes"?>
<Relationships xmlns="http://schemas.openxmlformats.org/package/2006/relationships"><Relationship Id="rId1" Type="http://schemas.openxmlformats.org/officeDocument/2006/relationships/image" Target="../media/image1.emf"/></Relationships>
</file>

<file path=xl/drawings/_rels/drawing43.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4.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5.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6.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7.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8.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49.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50.xml.rels><?xml version="1.0" encoding="UTF-8" standalone="yes"?>
<Relationships xmlns="http://schemas.openxmlformats.org/package/2006/relationships"><Relationship Id="rId1" Type="http://schemas.openxmlformats.org/officeDocument/2006/relationships/image" Target="../media/image1.emf"/></Relationships>
</file>

<file path=xl/drawings/_rels/drawing51.xml.rels><?xml version="1.0" encoding="UTF-8" standalone="yes"?>
<Relationships xmlns="http://schemas.openxmlformats.org/package/2006/relationships"><Relationship Id="rId1" Type="http://schemas.openxmlformats.org/officeDocument/2006/relationships/image" Target="../media/image1.emf"/></Relationships>
</file>

<file path=xl/drawings/_rels/drawing52.xml.rels><?xml version="1.0" encoding="UTF-8" standalone="yes"?>
<Relationships xmlns="http://schemas.openxmlformats.org/package/2006/relationships"><Relationship Id="rId1" Type="http://schemas.openxmlformats.org/officeDocument/2006/relationships/image" Target="../media/image1.emf"/></Relationships>
</file>

<file path=xl/drawings/_rels/drawing53.xml.rels><?xml version="1.0" encoding="UTF-8" standalone="yes"?>
<Relationships xmlns="http://schemas.openxmlformats.org/package/2006/relationships"><Relationship Id="rId1" Type="http://schemas.openxmlformats.org/officeDocument/2006/relationships/image" Target="../media/image1.emf"/></Relationships>
</file>

<file path=xl/drawings/_rels/drawing5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5.xml.rels><?xml version="1.0" encoding="UTF-8" standalone="yes"?>
<Relationships xmlns="http://schemas.openxmlformats.org/package/2006/relationships"><Relationship Id="rId1" Type="http://schemas.openxmlformats.org/officeDocument/2006/relationships/image" Target="../media/image1.emf"/></Relationships>
</file>

<file path=xl/drawings/_rels/drawing56.xml.rels><?xml version="1.0" encoding="UTF-8" standalone="yes"?>
<Relationships xmlns="http://schemas.openxmlformats.org/package/2006/relationships"><Relationship Id="rId1" Type="http://schemas.openxmlformats.org/officeDocument/2006/relationships/image" Target="../media/image1.emf"/></Relationships>
</file>

<file path=xl/drawings/_rels/drawing5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BoQ '!A1"/></Relationships>
</file>

<file path=xl/drawings/_rels/drawing5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BoQ '!A1"/></Relationships>
</file>

<file path=xl/drawings/_rels/drawing59.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60.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61.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62.xml.rels><?xml version="1.0" encoding="UTF-8" standalone="yes"?>
<Relationships xmlns="http://schemas.openxmlformats.org/package/2006/relationships"><Relationship Id="rId1" Type="http://schemas.openxmlformats.org/officeDocument/2006/relationships/hyperlink" Target="#'Component Cost'!A1"/></Relationships>
</file>

<file path=xl/drawings/_rels/drawing63.xml.rels><?xml version="1.0" encoding="UTF-8" standalone="yes"?>
<Relationships xmlns="http://schemas.openxmlformats.org/package/2006/relationships"><Relationship Id="rId1" Type="http://schemas.openxmlformats.org/officeDocument/2006/relationships/hyperlink" Target="#'Component Cost'!A1"/></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0</xdr:row>
      <xdr:rowOff>47625</xdr:rowOff>
    </xdr:from>
    <xdr:to>
      <xdr:col>1</xdr:col>
      <xdr:colOff>1266825</xdr:colOff>
      <xdr:row>2</xdr:row>
      <xdr:rowOff>123825</xdr:rowOff>
    </xdr:to>
    <xdr:pic>
      <xdr:nvPicPr>
        <xdr:cNvPr id="2" name="Picture 2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52400" y="47625"/>
          <a:ext cx="1724025" cy="542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38100</xdr:colOff>
      <xdr:row>0</xdr:row>
      <xdr:rowOff>133350</xdr:rowOff>
    </xdr:from>
    <xdr:ext cx="2231436" cy="490682"/>
    <xdr:pic>
      <xdr:nvPicPr>
        <xdr:cNvPr id="2" name="Picture 2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8100" y="133350"/>
          <a:ext cx="2231436" cy="490682"/>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38100</xdr:colOff>
      <xdr:row>0</xdr:row>
      <xdr:rowOff>133350</xdr:rowOff>
    </xdr:from>
    <xdr:ext cx="2231436" cy="490682"/>
    <xdr:pic>
      <xdr:nvPicPr>
        <xdr:cNvPr id="2" name="Picture 2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8100" y="133350"/>
          <a:ext cx="2231436" cy="490682"/>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38100</xdr:colOff>
      <xdr:row>0</xdr:row>
      <xdr:rowOff>133350</xdr:rowOff>
    </xdr:from>
    <xdr:ext cx="2231436" cy="490682"/>
    <xdr:pic>
      <xdr:nvPicPr>
        <xdr:cNvPr id="2" name="Picture 2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8100" y="133350"/>
          <a:ext cx="2231436" cy="490682"/>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twoCellAnchor>
    <xdr:from>
      <xdr:col>11</xdr:col>
      <xdr:colOff>47624</xdr:colOff>
      <xdr:row>7</xdr:row>
      <xdr:rowOff>180975</xdr:rowOff>
    </xdr:from>
    <xdr:to>
      <xdr:col>13</xdr:col>
      <xdr:colOff>19049</xdr:colOff>
      <xdr:row>8</xdr:row>
      <xdr:rowOff>206188</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C00-000002000000}"/>
            </a:ext>
          </a:extLst>
        </xdr:cNvPr>
        <xdr:cNvSpPr txBox="1"/>
      </xdr:nvSpPr>
      <xdr:spPr>
        <a:xfrm>
          <a:off x="8801099" y="1323975"/>
          <a:ext cx="1190625" cy="19666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349623</xdr:colOff>
      <xdr:row>9</xdr:row>
      <xdr:rowOff>8965</xdr:rowOff>
    </xdr:from>
    <xdr:to>
      <xdr:col>14</xdr:col>
      <xdr:colOff>932330</xdr:colOff>
      <xdr:row>10</xdr:row>
      <xdr:rowOff>134471</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3808448" y="2123515"/>
          <a:ext cx="1192307" cy="316006"/>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xdr:from>
      <xdr:col>13</xdr:col>
      <xdr:colOff>381000</xdr:colOff>
      <xdr:row>0</xdr:row>
      <xdr:rowOff>0</xdr:rowOff>
    </xdr:from>
    <xdr:to>
      <xdr:col>15</xdr:col>
      <xdr:colOff>200025</xdr:colOff>
      <xdr:row>0</xdr:row>
      <xdr:rowOff>161925</xdr:rowOff>
    </xdr:to>
    <xdr:sp macro="" textlink="">
      <xdr:nvSpPr>
        <xdr:cNvPr id="2" name="Flowchart: Alternate Process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12230100" y="0"/>
          <a:ext cx="1000125" cy="1619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twoCellAnchor>
    <xdr:from>
      <xdr:col>13</xdr:col>
      <xdr:colOff>110067</xdr:colOff>
      <xdr:row>10</xdr:row>
      <xdr:rowOff>8467</xdr:rowOff>
    </xdr:from>
    <xdr:to>
      <xdr:col>15</xdr:col>
      <xdr:colOff>237067</xdr:colOff>
      <xdr:row>11</xdr:row>
      <xdr:rowOff>84668</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E00-000003000000}"/>
            </a:ext>
          </a:extLst>
        </xdr:cNvPr>
        <xdr:cNvSpPr/>
      </xdr:nvSpPr>
      <xdr:spPr>
        <a:xfrm>
          <a:off x="11959167" y="2313517"/>
          <a:ext cx="1308100" cy="266701"/>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a:t>
          </a:r>
          <a:r>
            <a:rPr lang="en-US" sz="1100" baseline="0"/>
            <a:t> Cost</a:t>
          </a:r>
          <a:endParaRPr lang="en-US" sz="1100"/>
        </a:p>
      </xdr:txBody>
    </xdr:sp>
    <xdr:clientData/>
  </xdr:twoCellAnchor>
  <xdr:twoCellAnchor>
    <xdr:from>
      <xdr:col>13</xdr:col>
      <xdr:colOff>381000</xdr:colOff>
      <xdr:row>0</xdr:row>
      <xdr:rowOff>0</xdr:rowOff>
    </xdr:from>
    <xdr:to>
      <xdr:col>15</xdr:col>
      <xdr:colOff>200025</xdr:colOff>
      <xdr:row>0</xdr:row>
      <xdr:rowOff>161925</xdr:rowOff>
    </xdr:to>
    <xdr:sp macro="" textlink="">
      <xdr:nvSpPr>
        <xdr:cNvPr id="4" name="Flowchart: Alternate Process 3">
          <a:hlinkClick xmlns:r="http://schemas.openxmlformats.org/officeDocument/2006/relationships" r:id="rId1"/>
          <a:extLst>
            <a:ext uri="{FF2B5EF4-FFF2-40B4-BE49-F238E27FC236}">
              <a16:creationId xmlns:a16="http://schemas.microsoft.com/office/drawing/2014/main" id="{00000000-0008-0000-0E00-000004000000}"/>
            </a:ext>
          </a:extLst>
        </xdr:cNvPr>
        <xdr:cNvSpPr/>
      </xdr:nvSpPr>
      <xdr:spPr>
        <a:xfrm>
          <a:off x="12230100" y="0"/>
          <a:ext cx="1000125" cy="1619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twoCellAnchor>
    <xdr:from>
      <xdr:col>13</xdr:col>
      <xdr:colOff>110067</xdr:colOff>
      <xdr:row>10</xdr:row>
      <xdr:rowOff>8467</xdr:rowOff>
    </xdr:from>
    <xdr:to>
      <xdr:col>15</xdr:col>
      <xdr:colOff>237067</xdr:colOff>
      <xdr:row>11</xdr:row>
      <xdr:rowOff>84668</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E00-000005000000}"/>
            </a:ext>
          </a:extLst>
        </xdr:cNvPr>
        <xdr:cNvSpPr/>
      </xdr:nvSpPr>
      <xdr:spPr>
        <a:xfrm>
          <a:off x="11959167" y="2313517"/>
          <a:ext cx="1308100" cy="266701"/>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a:t>
          </a:r>
          <a:r>
            <a:rPr lang="en-US" sz="1100" baseline="0"/>
            <a:t> Cost</a:t>
          </a:r>
          <a:endParaRPr lang="en-US" sz="1100"/>
        </a:p>
      </xdr:txBody>
    </xdr:sp>
    <xdr:clientData/>
  </xdr:twoCellAnchor>
  <xdr:oneCellAnchor>
    <xdr:from>
      <xdr:col>0</xdr:col>
      <xdr:colOff>16322</xdr:colOff>
      <xdr:row>0</xdr:row>
      <xdr:rowOff>8659</xdr:rowOff>
    </xdr:from>
    <xdr:ext cx="2231436" cy="490682"/>
    <xdr:pic>
      <xdr:nvPicPr>
        <xdr:cNvPr id="6" name="Picture 2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6322" y="8659"/>
          <a:ext cx="2231436" cy="490682"/>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twoCellAnchor>
    <xdr:from>
      <xdr:col>13</xdr:col>
      <xdr:colOff>144780</xdr:colOff>
      <xdr:row>9</xdr:row>
      <xdr:rowOff>0</xdr:rowOff>
    </xdr:from>
    <xdr:to>
      <xdr:col>15</xdr:col>
      <xdr:colOff>358140</xdr:colOff>
      <xdr:row>10</xdr:row>
      <xdr:rowOff>76200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11489055" y="2085975"/>
          <a:ext cx="143256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9.xml><?xml version="1.0" encoding="utf-8"?>
<xdr:wsDr xmlns:xdr="http://schemas.openxmlformats.org/drawingml/2006/spreadsheetDrawing" xmlns:a="http://schemas.openxmlformats.org/drawingml/2006/main">
  <xdr:twoCellAnchor>
    <xdr:from>
      <xdr:col>13</xdr:col>
      <xdr:colOff>38099</xdr:colOff>
      <xdr:row>9</xdr:row>
      <xdr:rowOff>1</xdr:rowOff>
    </xdr:from>
    <xdr:to>
      <xdr:col>15</xdr:col>
      <xdr:colOff>28575</xdr:colOff>
      <xdr:row>10</xdr:row>
      <xdr:rowOff>175261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12811124" y="2114551"/>
          <a:ext cx="1209676" cy="3657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5.xml><?xml version="1.0" encoding="utf-8"?>
<xdr:wsDr xmlns:xdr="http://schemas.openxmlformats.org/drawingml/2006/spreadsheetDrawing" xmlns:a="http://schemas.openxmlformats.org/drawingml/2006/main">
  <xdr:twoCellAnchor>
    <xdr:from>
      <xdr:col>13</xdr:col>
      <xdr:colOff>38099</xdr:colOff>
      <xdr:row>9</xdr:row>
      <xdr:rowOff>1</xdr:rowOff>
    </xdr:from>
    <xdr:to>
      <xdr:col>15</xdr:col>
      <xdr:colOff>28575</xdr:colOff>
      <xdr:row>10</xdr:row>
      <xdr:rowOff>175261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2953999" y="2114551"/>
          <a:ext cx="1209676" cy="3657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17.xml><?xml version="1.0" encoding="utf-8"?>
<xdr:wsDr xmlns:xdr="http://schemas.openxmlformats.org/drawingml/2006/spreadsheetDrawing" xmlns:a="http://schemas.openxmlformats.org/drawingml/2006/main">
  <xdr:twoCellAnchor>
    <xdr:from>
      <xdr:col>11</xdr:col>
      <xdr:colOff>47624</xdr:colOff>
      <xdr:row>7</xdr:row>
      <xdr:rowOff>180975</xdr:rowOff>
    </xdr:from>
    <xdr:to>
      <xdr:col>13</xdr:col>
      <xdr:colOff>19049</xdr:colOff>
      <xdr:row>8</xdr:row>
      <xdr:rowOff>206188</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900-000002000000}"/>
            </a:ext>
          </a:extLst>
        </xdr:cNvPr>
        <xdr:cNvSpPr txBox="1"/>
      </xdr:nvSpPr>
      <xdr:spPr>
        <a:xfrm>
          <a:off x="8915399" y="1323975"/>
          <a:ext cx="1190625" cy="19666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18.xml><?xml version="1.0" encoding="utf-8"?>
<xdr:wsDr xmlns:xdr="http://schemas.openxmlformats.org/drawingml/2006/spreadsheetDrawing" xmlns:a="http://schemas.openxmlformats.org/drawingml/2006/main">
  <xdr:twoCellAnchor>
    <xdr:from>
      <xdr:col>13</xdr:col>
      <xdr:colOff>349623</xdr:colOff>
      <xdr:row>9</xdr:row>
      <xdr:rowOff>8965</xdr:rowOff>
    </xdr:from>
    <xdr:to>
      <xdr:col>14</xdr:col>
      <xdr:colOff>932330</xdr:colOff>
      <xdr:row>10</xdr:row>
      <xdr:rowOff>134471</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1A00-000003000000}"/>
            </a:ext>
          </a:extLst>
        </xdr:cNvPr>
        <xdr:cNvSpPr/>
      </xdr:nvSpPr>
      <xdr:spPr>
        <a:xfrm>
          <a:off x="11752729" y="1945341"/>
          <a:ext cx="1210236" cy="313765"/>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 Cost</a:t>
          </a:r>
        </a:p>
      </xdr:txBody>
    </xdr:sp>
    <xdr:clientData/>
  </xdr:twoCellAnchor>
  <xdr:oneCellAnchor>
    <xdr:from>
      <xdr:col>0</xdr:col>
      <xdr:colOff>16322</xdr:colOff>
      <xdr:row>0</xdr:row>
      <xdr:rowOff>8659</xdr:rowOff>
    </xdr:from>
    <xdr:ext cx="2231436" cy="490682"/>
    <xdr:pic>
      <xdr:nvPicPr>
        <xdr:cNvPr id="4" name="Picture 21">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19.xml><?xml version="1.0" encoding="utf-8"?>
<xdr:wsDr xmlns:xdr="http://schemas.openxmlformats.org/drawingml/2006/spreadsheetDrawing" xmlns:a="http://schemas.openxmlformats.org/drawingml/2006/main">
  <xdr:twoCellAnchor>
    <xdr:from>
      <xdr:col>13</xdr:col>
      <xdr:colOff>381000</xdr:colOff>
      <xdr:row>0</xdr:row>
      <xdr:rowOff>0</xdr:rowOff>
    </xdr:from>
    <xdr:to>
      <xdr:col>15</xdr:col>
      <xdr:colOff>200025</xdr:colOff>
      <xdr:row>0</xdr:row>
      <xdr:rowOff>161925</xdr:rowOff>
    </xdr:to>
    <xdr:sp macro="" textlink="">
      <xdr:nvSpPr>
        <xdr:cNvPr id="2" name="Flowchart: Alternate Process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8058150" y="0"/>
          <a:ext cx="1000125" cy="1619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twoCellAnchor>
    <xdr:from>
      <xdr:col>13</xdr:col>
      <xdr:colOff>110067</xdr:colOff>
      <xdr:row>10</xdr:row>
      <xdr:rowOff>8467</xdr:rowOff>
    </xdr:from>
    <xdr:to>
      <xdr:col>15</xdr:col>
      <xdr:colOff>237067</xdr:colOff>
      <xdr:row>11</xdr:row>
      <xdr:rowOff>84668</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1B00-000003000000}"/>
            </a:ext>
          </a:extLst>
        </xdr:cNvPr>
        <xdr:cNvSpPr/>
      </xdr:nvSpPr>
      <xdr:spPr>
        <a:xfrm>
          <a:off x="7787217" y="1627717"/>
          <a:ext cx="1308100" cy="238126"/>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a:t>
          </a:r>
          <a:r>
            <a:rPr lang="en-US" sz="1100" baseline="0"/>
            <a:t> Cost</a:t>
          </a:r>
          <a:endParaRPr lang="en-US" sz="1100"/>
        </a:p>
      </xdr:txBody>
    </xdr:sp>
    <xdr:clientData/>
  </xdr:twoCellAnchor>
  <xdr:twoCellAnchor>
    <xdr:from>
      <xdr:col>13</xdr:col>
      <xdr:colOff>381000</xdr:colOff>
      <xdr:row>0</xdr:row>
      <xdr:rowOff>0</xdr:rowOff>
    </xdr:from>
    <xdr:to>
      <xdr:col>15</xdr:col>
      <xdr:colOff>200025</xdr:colOff>
      <xdr:row>0</xdr:row>
      <xdr:rowOff>161925</xdr:rowOff>
    </xdr:to>
    <xdr:sp macro="" textlink="">
      <xdr:nvSpPr>
        <xdr:cNvPr id="4" name="Flowchart: Alternate Process 3">
          <a:hlinkClick xmlns:r="http://schemas.openxmlformats.org/officeDocument/2006/relationships" r:id="rId1"/>
          <a:extLst>
            <a:ext uri="{FF2B5EF4-FFF2-40B4-BE49-F238E27FC236}">
              <a16:creationId xmlns:a16="http://schemas.microsoft.com/office/drawing/2014/main" id="{00000000-0008-0000-1B00-000004000000}"/>
            </a:ext>
          </a:extLst>
        </xdr:cNvPr>
        <xdr:cNvSpPr/>
      </xdr:nvSpPr>
      <xdr:spPr>
        <a:xfrm>
          <a:off x="8058150" y="0"/>
          <a:ext cx="1000125" cy="1619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twoCellAnchor>
    <xdr:from>
      <xdr:col>13</xdr:col>
      <xdr:colOff>110067</xdr:colOff>
      <xdr:row>10</xdr:row>
      <xdr:rowOff>8467</xdr:rowOff>
    </xdr:from>
    <xdr:to>
      <xdr:col>15</xdr:col>
      <xdr:colOff>237067</xdr:colOff>
      <xdr:row>11</xdr:row>
      <xdr:rowOff>84668</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B00-000005000000}"/>
            </a:ext>
          </a:extLst>
        </xdr:cNvPr>
        <xdr:cNvSpPr/>
      </xdr:nvSpPr>
      <xdr:spPr>
        <a:xfrm>
          <a:off x="7787217" y="1627717"/>
          <a:ext cx="1308100" cy="238126"/>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a:t>
          </a:r>
          <a:r>
            <a:rPr lang="en-US" sz="1100" baseline="0"/>
            <a:t> Cost</a:t>
          </a:r>
          <a:endParaRPr lang="en-US" sz="1100"/>
        </a:p>
      </xdr:txBody>
    </xdr:sp>
    <xdr:clientData/>
  </xdr:twoCellAnchor>
  <xdr:oneCellAnchor>
    <xdr:from>
      <xdr:col>0</xdr:col>
      <xdr:colOff>16322</xdr:colOff>
      <xdr:row>0</xdr:row>
      <xdr:rowOff>8659</xdr:rowOff>
    </xdr:from>
    <xdr:ext cx="2231436" cy="490682"/>
    <xdr:pic>
      <xdr:nvPicPr>
        <xdr:cNvPr id="6" name="Picture 2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6322" y="8659"/>
          <a:ext cx="2231436" cy="490682"/>
        </a:xfrm>
        <a:prstGeom prst="rect">
          <a:avLst/>
        </a:prstGeom>
        <a:noFill/>
      </xdr:spPr>
    </xdr:pic>
    <xdr:clientData/>
  </xdr:oneCellAnchor>
</xdr:wsDr>
</file>

<file path=xl/drawings/drawing20.xml><?xml version="1.0" encoding="utf-8"?>
<xdr:wsDr xmlns:xdr="http://schemas.openxmlformats.org/drawingml/2006/spreadsheetDrawing" xmlns:a="http://schemas.openxmlformats.org/drawingml/2006/main">
  <xdr:twoCellAnchor>
    <xdr:from>
      <xdr:col>13</xdr:col>
      <xdr:colOff>144780</xdr:colOff>
      <xdr:row>9</xdr:row>
      <xdr:rowOff>0</xdr:rowOff>
    </xdr:from>
    <xdr:to>
      <xdr:col>15</xdr:col>
      <xdr:colOff>358140</xdr:colOff>
      <xdr:row>10</xdr:row>
      <xdr:rowOff>76200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11489055" y="2085975"/>
          <a:ext cx="143256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21.xml><?xml version="1.0" encoding="utf-8"?>
<xdr:wsDr xmlns:xdr="http://schemas.openxmlformats.org/drawingml/2006/spreadsheetDrawing" xmlns:a="http://schemas.openxmlformats.org/drawingml/2006/main">
  <xdr:twoCellAnchor>
    <xdr:from>
      <xdr:col>13</xdr:col>
      <xdr:colOff>38099</xdr:colOff>
      <xdr:row>9</xdr:row>
      <xdr:rowOff>1</xdr:rowOff>
    </xdr:from>
    <xdr:to>
      <xdr:col>15</xdr:col>
      <xdr:colOff>28575</xdr:colOff>
      <xdr:row>10</xdr:row>
      <xdr:rowOff>175261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D00-000002000000}"/>
            </a:ext>
          </a:extLst>
        </xdr:cNvPr>
        <xdr:cNvSpPr txBox="1"/>
      </xdr:nvSpPr>
      <xdr:spPr>
        <a:xfrm>
          <a:off x="7962899" y="1457326"/>
          <a:ext cx="1209676"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22.xml><?xml version="1.0" encoding="utf-8"?>
<xdr:wsDr xmlns:xdr="http://schemas.openxmlformats.org/drawingml/2006/spreadsheetDrawing" xmlns:a="http://schemas.openxmlformats.org/drawingml/2006/main">
  <xdr:twoCellAnchor>
    <xdr:from>
      <xdr:col>13</xdr:col>
      <xdr:colOff>57151</xdr:colOff>
      <xdr:row>8</xdr:row>
      <xdr:rowOff>180975</xdr:rowOff>
    </xdr:from>
    <xdr:to>
      <xdr:col>14</xdr:col>
      <xdr:colOff>590551</xdr:colOff>
      <xdr:row>10</xdr:row>
      <xdr:rowOff>15240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E00-000002000000}"/>
            </a:ext>
          </a:extLst>
        </xdr:cNvPr>
        <xdr:cNvSpPr txBox="1"/>
      </xdr:nvSpPr>
      <xdr:spPr>
        <a:xfrm>
          <a:off x="12163426" y="2105025"/>
          <a:ext cx="1143000" cy="21526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7.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40.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41.xml><?xml version="1.0" encoding="utf-8"?>
<xdr:wsDr xmlns:xdr="http://schemas.openxmlformats.org/drawingml/2006/spreadsheetDrawing" xmlns:a="http://schemas.openxmlformats.org/drawingml/2006/main">
  <xdr:twoCellAnchor>
    <xdr:from>
      <xdr:col>0</xdr:col>
      <xdr:colOff>0</xdr:colOff>
      <xdr:row>56</xdr:row>
      <xdr:rowOff>182656</xdr:rowOff>
    </xdr:from>
    <xdr:to>
      <xdr:col>6</xdr:col>
      <xdr:colOff>647700</xdr:colOff>
      <xdr:row>86</xdr:row>
      <xdr:rowOff>135031</xdr:rowOff>
    </xdr:to>
    <xdr:graphicFrame macro="">
      <xdr:nvGraphicFramePr>
        <xdr:cNvPr id="2" name="Chart 9">
          <a:extLst>
            <a:ext uri="{FF2B5EF4-FFF2-40B4-BE49-F238E27FC236}">
              <a16:creationId xmlns:a16="http://schemas.microsoft.com/office/drawing/2014/main" id="{00000000-0008-0000-3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541866</xdr:colOff>
      <xdr:row>0</xdr:row>
      <xdr:rowOff>161925</xdr:rowOff>
    </xdr:from>
    <xdr:to>
      <xdr:col>10</xdr:col>
      <xdr:colOff>340783</xdr:colOff>
      <xdr:row>2</xdr:row>
      <xdr:rowOff>88900</xdr:rowOff>
    </xdr:to>
    <xdr:sp macro="" textlink="">
      <xdr:nvSpPr>
        <xdr:cNvPr id="3" name="Oval 2">
          <a:hlinkClick xmlns:r="http://schemas.openxmlformats.org/officeDocument/2006/relationships" r:id="rId2"/>
          <a:extLst>
            <a:ext uri="{FF2B5EF4-FFF2-40B4-BE49-F238E27FC236}">
              <a16:creationId xmlns:a16="http://schemas.microsoft.com/office/drawing/2014/main" id="{00000000-0008-0000-3700-000003000000}"/>
            </a:ext>
          </a:extLst>
        </xdr:cNvPr>
        <xdr:cNvSpPr/>
      </xdr:nvSpPr>
      <xdr:spPr>
        <a:xfrm>
          <a:off x="10384366" y="161925"/>
          <a:ext cx="1714500" cy="3714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Component</a:t>
          </a:r>
          <a:r>
            <a:rPr lang="en-US" sz="1100" baseline="0"/>
            <a:t> Cost</a:t>
          </a:r>
          <a:endParaRPr lang="en-US" sz="1100"/>
        </a:p>
      </xdr:txBody>
    </xdr:sp>
    <xdr:clientData/>
  </xdr:twoCellAnchor>
</xdr:wsDr>
</file>

<file path=xl/drawings/drawing42.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3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43.xml><?xml version="1.0" encoding="utf-8"?>
<xdr:wsDr xmlns:xdr="http://schemas.openxmlformats.org/drawingml/2006/spreadsheetDrawing" xmlns:a="http://schemas.openxmlformats.org/drawingml/2006/main">
  <xdr:twoCellAnchor>
    <xdr:from>
      <xdr:col>11</xdr:col>
      <xdr:colOff>57151</xdr:colOff>
      <xdr:row>7</xdr:row>
      <xdr:rowOff>180975</xdr:rowOff>
    </xdr:from>
    <xdr:to>
      <xdr:col>12</xdr:col>
      <xdr:colOff>590551</xdr:colOff>
      <xdr:row>9</xdr:row>
      <xdr:rowOff>95250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A00-000002000000}"/>
            </a:ext>
          </a:extLst>
        </xdr:cNvPr>
        <xdr:cNvSpPr txBox="1"/>
      </xdr:nvSpPr>
      <xdr:spPr>
        <a:xfrm>
          <a:off x="10125076" y="1514475"/>
          <a:ext cx="1143000" cy="29527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a:t>
          </a:r>
          <a:r>
            <a:rPr lang="en-US" sz="1100" baseline="0"/>
            <a:t> Cost</a:t>
          </a:r>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11</xdr:col>
      <xdr:colOff>57151</xdr:colOff>
      <xdr:row>7</xdr:row>
      <xdr:rowOff>180975</xdr:rowOff>
    </xdr:from>
    <xdr:to>
      <xdr:col>12</xdr:col>
      <xdr:colOff>590551</xdr:colOff>
      <xdr:row>9</xdr:row>
      <xdr:rowOff>95250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B00-000002000000}"/>
            </a:ext>
          </a:extLst>
        </xdr:cNvPr>
        <xdr:cNvSpPr txBox="1"/>
      </xdr:nvSpPr>
      <xdr:spPr>
        <a:xfrm>
          <a:off x="10620376" y="1323975"/>
          <a:ext cx="1143000" cy="29527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a:t>
          </a:r>
          <a:r>
            <a:rPr lang="en-US" sz="1100" baseline="0"/>
            <a:t> Cost</a:t>
          </a:r>
          <a:endParaRPr 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12</xdr:col>
      <xdr:colOff>47625</xdr:colOff>
      <xdr:row>48</xdr:row>
      <xdr:rowOff>190499</xdr:rowOff>
    </xdr:from>
    <xdr:to>
      <xdr:col>13</xdr:col>
      <xdr:colOff>309563</xdr:colOff>
      <xdr:row>50</xdr:row>
      <xdr:rowOff>135730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C00-000002000000}"/>
            </a:ext>
          </a:extLst>
        </xdr:cNvPr>
        <xdr:cNvSpPr txBox="1"/>
      </xdr:nvSpPr>
      <xdr:spPr>
        <a:xfrm>
          <a:off x="9703594" y="10370343"/>
          <a:ext cx="1190625" cy="326231"/>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13</xdr:col>
      <xdr:colOff>304800</xdr:colOff>
      <xdr:row>2</xdr:row>
      <xdr:rowOff>91440</xdr:rowOff>
    </xdr:from>
    <xdr:to>
      <xdr:col>15</xdr:col>
      <xdr:colOff>175260</xdr:colOff>
      <xdr:row>3</xdr:row>
      <xdr:rowOff>106680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3D00-000002000000}"/>
            </a:ext>
          </a:extLst>
        </xdr:cNvPr>
        <xdr:cNvSpPr/>
      </xdr:nvSpPr>
      <xdr:spPr>
        <a:xfrm>
          <a:off x="9281160" y="548640"/>
          <a:ext cx="1188720" cy="24384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Component Cost</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11</xdr:col>
      <xdr:colOff>47626</xdr:colOff>
      <xdr:row>6</xdr:row>
      <xdr:rowOff>161926</xdr:rowOff>
    </xdr:from>
    <xdr:to>
      <xdr:col>12</xdr:col>
      <xdr:colOff>600076</xdr:colOff>
      <xdr:row>8</xdr:row>
      <xdr:rowOff>47626</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9991726" y="1304926"/>
          <a:ext cx="1162050" cy="2667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11</xdr:col>
      <xdr:colOff>47625</xdr:colOff>
      <xdr:row>16</xdr:row>
      <xdr:rowOff>0</xdr:rowOff>
    </xdr:from>
    <xdr:to>
      <xdr:col>13</xdr:col>
      <xdr:colOff>19050</xdr:colOff>
      <xdr:row>17</xdr:row>
      <xdr:rowOff>85725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0420350" y="1333500"/>
          <a:ext cx="1190625" cy="27622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a:t>
          </a:r>
          <a:r>
            <a:rPr lang="en-US" sz="1100" baseline="0"/>
            <a:t> Cost</a:t>
          </a:r>
          <a:endParaRPr lang="en-US"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11</xdr:col>
      <xdr:colOff>47626</xdr:colOff>
      <xdr:row>17</xdr:row>
      <xdr:rowOff>0</xdr:rowOff>
    </xdr:from>
    <xdr:to>
      <xdr:col>12</xdr:col>
      <xdr:colOff>581026</xdr:colOff>
      <xdr:row>18</xdr:row>
      <xdr:rowOff>76200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000-000002000000}"/>
            </a:ext>
          </a:extLst>
        </xdr:cNvPr>
        <xdr:cNvSpPr txBox="1"/>
      </xdr:nvSpPr>
      <xdr:spPr>
        <a:xfrm>
          <a:off x="11496676" y="1333500"/>
          <a:ext cx="1143000" cy="2667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50.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2.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oneCellAnchor>
    <xdr:from>
      <xdr:col>0</xdr:col>
      <xdr:colOff>16322</xdr:colOff>
      <xdr:row>0</xdr:row>
      <xdr:rowOff>8659</xdr:rowOff>
    </xdr:from>
    <xdr:ext cx="2231436" cy="490682"/>
    <xdr:pic>
      <xdr:nvPicPr>
        <xdr:cNvPr id="4" name="Picture 21">
          <a:extLst>
            <a:ext uri="{FF2B5EF4-FFF2-40B4-BE49-F238E27FC236}">
              <a16:creationId xmlns:a16="http://schemas.microsoft.com/office/drawing/2014/main" id="{00000000-0008-0000-43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4.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16322</xdr:colOff>
      <xdr:row>0</xdr:row>
      <xdr:rowOff>8659</xdr:rowOff>
    </xdr:from>
    <xdr:ext cx="2231436" cy="490682"/>
    <xdr:pic>
      <xdr:nvPicPr>
        <xdr:cNvPr id="2" name="Picture 21">
          <a:extLst>
            <a:ext uri="{FF2B5EF4-FFF2-40B4-BE49-F238E27FC236}">
              <a16:creationId xmlns:a16="http://schemas.microsoft.com/office/drawing/2014/main" id="{00000000-0008-0000-4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6322" y="8659"/>
          <a:ext cx="2231436" cy="490682"/>
        </a:xfrm>
        <a:prstGeom prst="rect">
          <a:avLst/>
        </a:prstGeom>
        <a:noFill/>
      </xdr:spPr>
    </xdr:pic>
    <xdr:clientData/>
  </xdr:oneCellAnchor>
</xdr:wsDr>
</file>

<file path=xl/drawings/drawing57.xml><?xml version="1.0" encoding="utf-8"?>
<xdr:wsDr xmlns:xdr="http://schemas.openxmlformats.org/drawingml/2006/spreadsheetDrawing" xmlns:a="http://schemas.openxmlformats.org/drawingml/2006/main">
  <xdr:twoCellAnchor>
    <xdr:from>
      <xdr:col>14</xdr:col>
      <xdr:colOff>0</xdr:colOff>
      <xdr:row>3</xdr:row>
      <xdr:rowOff>0</xdr:rowOff>
    </xdr:from>
    <xdr:to>
      <xdr:col>15</xdr:col>
      <xdr:colOff>428625</xdr:colOff>
      <xdr:row>4</xdr:row>
      <xdr:rowOff>85725</xdr:rowOff>
    </xdr:to>
    <xdr:sp macro="" textlink="">
      <xdr:nvSpPr>
        <xdr:cNvPr id="2" name="Flowchart: Alternate Process 1">
          <a:hlinkClick xmlns:r="http://schemas.openxmlformats.org/officeDocument/2006/relationships" r:id="rId1"/>
          <a:extLst>
            <a:ext uri="{FF2B5EF4-FFF2-40B4-BE49-F238E27FC236}">
              <a16:creationId xmlns:a16="http://schemas.microsoft.com/office/drawing/2014/main" id="{00000000-0008-0000-4800-000002000000}"/>
            </a:ext>
          </a:extLst>
        </xdr:cNvPr>
        <xdr:cNvSpPr/>
      </xdr:nvSpPr>
      <xdr:spPr>
        <a:xfrm>
          <a:off x="10277475" y="571500"/>
          <a:ext cx="1800225" cy="2762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48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58.xml><?xml version="1.0" encoding="utf-8"?>
<xdr:wsDr xmlns:xdr="http://schemas.openxmlformats.org/drawingml/2006/spreadsheetDrawing" xmlns:a="http://schemas.openxmlformats.org/drawingml/2006/main">
  <xdr:twoCellAnchor>
    <xdr:from>
      <xdr:col>13</xdr:col>
      <xdr:colOff>123264</xdr:colOff>
      <xdr:row>4</xdr:row>
      <xdr:rowOff>123264</xdr:rowOff>
    </xdr:from>
    <xdr:to>
      <xdr:col>16</xdr:col>
      <xdr:colOff>103654</xdr:colOff>
      <xdr:row>6</xdr:row>
      <xdr:rowOff>18489</xdr:rowOff>
    </xdr:to>
    <xdr:sp macro="" textlink="">
      <xdr:nvSpPr>
        <xdr:cNvPr id="2" name="Flowchart: Alternate Process 1">
          <a:hlinkClick xmlns:r="http://schemas.openxmlformats.org/officeDocument/2006/relationships" r:id="rId1"/>
          <a:extLst>
            <a:ext uri="{FF2B5EF4-FFF2-40B4-BE49-F238E27FC236}">
              <a16:creationId xmlns:a16="http://schemas.microsoft.com/office/drawing/2014/main" id="{00000000-0008-0000-4900-000002000000}"/>
            </a:ext>
          </a:extLst>
        </xdr:cNvPr>
        <xdr:cNvSpPr/>
      </xdr:nvSpPr>
      <xdr:spPr>
        <a:xfrm>
          <a:off x="11067489" y="885264"/>
          <a:ext cx="1809190" cy="276225"/>
        </a:xfrm>
        <a:prstGeom prst="flowChartAlternateProcess">
          <a:avLst/>
        </a:prstGeom>
        <a:solidFill>
          <a:srgbClr val="FFFF00"/>
        </a:solidFill>
        <a:ln>
          <a:noFill/>
        </a:ln>
        <a:effectLst>
          <a:outerShdw blurRad="107950" dist="12700" dir="5400000" algn="ctr">
            <a:srgbClr val="000000"/>
          </a:outerShdw>
        </a:effectLst>
        <a:scene3d>
          <a:camera prst="perspectiveRelaxedModerately"/>
          <a:lightRig rig="soft" dir="t">
            <a:rot lat="0" lon="0" rev="0"/>
          </a:lightRig>
        </a:scene3d>
        <a:sp3d contourW="44450" prstMaterial="matte">
          <a:bevelT w="63500" h="63500" prst="coolSlant"/>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BOQ</a:t>
          </a:r>
        </a:p>
      </xdr:txBody>
    </xdr:sp>
    <xdr:clientData/>
  </xdr:twoCellAnchor>
  <xdr:oneCellAnchor>
    <xdr:from>
      <xdr:col>0</xdr:col>
      <xdr:colOff>16322</xdr:colOff>
      <xdr:row>0</xdr:row>
      <xdr:rowOff>8659</xdr:rowOff>
    </xdr:from>
    <xdr:ext cx="2231436" cy="490682"/>
    <xdr:pic>
      <xdr:nvPicPr>
        <xdr:cNvPr id="3" name="Picture 21">
          <a:extLst>
            <a:ext uri="{FF2B5EF4-FFF2-40B4-BE49-F238E27FC236}">
              <a16:creationId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322" y="8659"/>
          <a:ext cx="2231436" cy="490682"/>
        </a:xfrm>
        <a:prstGeom prst="rect">
          <a:avLst/>
        </a:prstGeom>
        <a:noFill/>
      </xdr:spPr>
    </xdr:pic>
    <xdr:clientData/>
  </xdr:oneCellAnchor>
</xdr:wsDr>
</file>

<file path=xl/drawings/drawing59.xml><?xml version="1.0" encoding="utf-8"?>
<xdr:wsDr xmlns:xdr="http://schemas.openxmlformats.org/drawingml/2006/spreadsheetDrawing" xmlns:a="http://schemas.openxmlformats.org/drawingml/2006/main">
  <xdr:twoCellAnchor>
    <xdr:from>
      <xdr:col>11</xdr:col>
      <xdr:colOff>57150</xdr:colOff>
      <xdr:row>7</xdr:row>
      <xdr:rowOff>9525</xdr:rowOff>
    </xdr:from>
    <xdr:to>
      <xdr:col>12</xdr:col>
      <xdr:colOff>590550</xdr:colOff>
      <xdr:row>8</xdr:row>
      <xdr:rowOff>76201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A00-000002000000}"/>
            </a:ext>
          </a:extLst>
        </xdr:cNvPr>
        <xdr:cNvSpPr txBox="1"/>
      </xdr:nvSpPr>
      <xdr:spPr>
        <a:xfrm>
          <a:off x="11210925" y="1343025"/>
          <a:ext cx="1143000" cy="25717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11</xdr:col>
      <xdr:colOff>38100</xdr:colOff>
      <xdr:row>7</xdr:row>
      <xdr:rowOff>38100</xdr:rowOff>
    </xdr:from>
    <xdr:to>
      <xdr:col>12</xdr:col>
      <xdr:colOff>581025</xdr:colOff>
      <xdr:row>8</xdr:row>
      <xdr:rowOff>85725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B00-000002000000}"/>
            </a:ext>
          </a:extLst>
        </xdr:cNvPr>
        <xdr:cNvSpPr txBox="1"/>
      </xdr:nvSpPr>
      <xdr:spPr>
        <a:xfrm>
          <a:off x="10077450" y="7400925"/>
          <a:ext cx="1152525" cy="23812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11</xdr:col>
      <xdr:colOff>57150</xdr:colOff>
      <xdr:row>6</xdr:row>
      <xdr:rowOff>180975</xdr:rowOff>
    </xdr:from>
    <xdr:to>
      <xdr:col>13</xdr:col>
      <xdr:colOff>38100</xdr:colOff>
      <xdr:row>8</xdr:row>
      <xdr:rowOff>66675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C00-000002000000}"/>
            </a:ext>
          </a:extLst>
        </xdr:cNvPr>
        <xdr:cNvSpPr txBox="1"/>
      </xdr:nvSpPr>
      <xdr:spPr>
        <a:xfrm>
          <a:off x="9191625" y="1323975"/>
          <a:ext cx="1200150" cy="2667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11</xdr:col>
      <xdr:colOff>57150</xdr:colOff>
      <xdr:row>5</xdr:row>
      <xdr:rowOff>0</xdr:rowOff>
    </xdr:from>
    <xdr:to>
      <xdr:col>13</xdr:col>
      <xdr:colOff>9525</xdr:colOff>
      <xdr:row>6</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9220200" y="1314450"/>
          <a:ext cx="1171575" cy="2667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11</xdr:col>
      <xdr:colOff>57150</xdr:colOff>
      <xdr:row>6</xdr:row>
      <xdr:rowOff>180975</xdr:rowOff>
    </xdr:from>
    <xdr:to>
      <xdr:col>13</xdr:col>
      <xdr:colOff>38100</xdr:colOff>
      <xdr:row>8</xdr:row>
      <xdr:rowOff>66675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E00-000002000000}"/>
            </a:ext>
          </a:extLst>
        </xdr:cNvPr>
        <xdr:cNvSpPr txBox="1"/>
      </xdr:nvSpPr>
      <xdr:spPr>
        <a:xfrm>
          <a:off x="9191625" y="1323975"/>
          <a:ext cx="1200150" cy="2667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en-US" sz="1100"/>
            <a:t>Component Cost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User\AppData\Roaming\Microsoft\Excel\PKT+Work\Solu%20Khola%20Dudh%20Koshi\Solu-update-dec-2011\Solu=CAM=upd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Users\User\AppData\Roaming\Microsoft\Excel\PKT+Work\Solu%20Khola%20Dudh%20Koshi\Solu-update-dec-2011\Solu=CAM=updat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office\UECCC\Spillway\Headpo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Users\User\AppData\Roaming\Microsoft\Excel\Work\SKDKHEP\14%20Feasibility%20Study%20Reports\05%20Design%20&amp;%20Calculations%20-%20Final%20Study\Optimization%20Study\HRT-Muna%20edit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Users\User\AppData\Roaming\Microsoft\Excel\Work\SKDKHEP\14%20Feasibility%20Study%20Reports\05%20Design%20&amp;%20Calculations%20-%20Final%20Study\Optimization%20Study\HRT-Muna%20edit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Users\User\AppData\Roaming\Microsoft\Excel\Users\139905assu\AppData\Roaming\Microsoft\Excel\Tunnel%20Costing.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Users\User\AppData\Roaming\Microsoft\Excel\Users\139905assu\AppData\Roaming\Microsoft\Excel\Tunnel%20Costing.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Users\bikash.BPCH\Desktop\REF%20&amp;%20all\Rate%20Analysis%20Nyadi.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Users\bikash.BPCH\Desktop\REF%20&amp;%20all\Rate%20Analysis%20Nyadi.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Share_all\Sahil\Bibhor\Rate%20Analysis_RMHE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Jobs\OPEN\751340%20Balephi\61Design_HW\final\settling%20basi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Users\User\AppData\Roaming\Microsoft\Excel\Work\Khare\mhs\overall%20design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Users\User\AppData\Roaming\Microsoft\Excel\Work\Khare\mhs\overall%20design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Users\User\AppData\Roaming\Microsoft\Excel\Users\DEll\Desktop\SKDKHEP-sudish\Draft%20Estimate.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sers\User\AppData\Roaming\Microsoft\Excel\Users\DEll\Desktop\SKDKHEP-sudish\Draft%20Estimate.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Projects\LiAHEP1138DB016%20Likhu%20khola%20A\E-TenderingBiddingQuotations\E125-General\tender%20documents\01%20CIVIL\Volume%20I\From%20NRJ\Rate%20analysis_LiAHE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Users\sunav\Downloads\kasuwa_headworks_hydraulicsizing.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11%20Backup%20MS%20Files\TA3%20Archive\SNP\27.%20Technical%20Update%20Study\Optimization%20&amp;%20Costing\Capacity%20Optimization%20and%20Costing\05112011COST_650MW.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Users\bikash.BPCH\Desktop\Rate%20Analysis%20Nyadi_20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Users\bikash.BPCH\Desktop\Rate%20Analysis%20Nyadi_200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Nitish\WORKING%20FOLDER\Due%20Diligence\Super%20Nyadi%20HPP\Cost%20estimate\Final\Civil\Final%20Cost%20Summary%20Sheet_Anu_edit%20Nitish%20(Autosav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Users\User\AppData\Roaming\Microsoft\Excel\OPEN\640%20Khare\61Hydraulics\Basic%20Desig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Users\User\AppData\Roaming\Microsoft\Excel\OPEN\640%20Khare\61Hydraulics\Basic%20Desig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Users\User\AppData\Roaming\Microsoft\Excel\My%20Documents\Basic%20Desig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Users\User\AppData\Roaming\Microsoft\Excel\My%20Documents\Basic%20Desig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Users\User\AppData\Roaming\Microsoft\Excel\Projects\Khare\751030%20Khare.ms\61Hydraulics\OLD\Basic%20Desig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User\AppData\Roaming\Microsoft\Excel\Projects\Khare\751030%20Khare.ms\61Hydraulics\OLD\Basic%20Desig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Users\User\AppData\Roaming\Microsoft\Excel\OPEN\751020%20Lower%20Hongu.np\61Design\14.5%20MW\Weir%20design_U.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I:\Users\User\AppData\Roaming\Microsoft\Excel\OPEN\751020%20Lower%20Hongu.np\61Design\14.5%20MW\Weir%20design_U.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dipraj\rate%20analysis\Inkhu%20rate%20analysis\Cost%20Estimation%20Tools\Revised_Bhuwan%20Dai.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Share_all\Pravash\from%20kirty\sankhuwa%20as%20khimti%20new.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Users\User\AppData\Roaming\Microsoft\Excel\OPEN\751020%20Lower%20Hongu.np\61Hydraulics\Headwork\Supporting%20xls\Basic%20Design%20L.%20Hongu.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Users\User\AppData\Roaming\Microsoft\Excel\OPEN\751020%20Lower%20Hongu.np\61Hydraulics\Headwork\Supporting%20xls\Basic%20Design%20L.%20Hongu.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I:\ED\Jobs\OPEN\930092%20DD%20&amp;%20TD%20of%20Landruk%20Modi%20HEP\03%20Report\02.%20Submitted\02%20Review%20report\04%20Final%20Review%20Report\BOQ\BOQ%20Comparision_26%20March%20202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92.168.0.17\Current_work\Likhu%20A\Tender%20Documents\LIKHU%20A%20TO%20CHECK-NRJ080816\lot%201%20headworks\lot1_Volume%20I\From%20NRJ\Rate%20analysis_LiAHEP.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Documents%20and%20Settings\khemraj\Application%20Data\Microsoft\Excel\Hydraulic%20Calculation-Boulder%20Lined%20Weir-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LHKSHP\Design\Weir%20hydraulics_diwash(final).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LHKSHP\Design\Weir%20hydraulics_diwash(fin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ED\Jobs\OPEN\930092%20DD%20&amp;%20TD%20of%20Landruk%20Modi%20HEP\40%20Cost%20Estimates\Landruk%20Modi%20Rate%20Analysis%20by%20SRD.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I:\Users\surendra\AppData\Roaming\Microsoft\Excel\BoQ-Manang%20Marsyangdi.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Users\surendra\AppData\Roaming\Microsoft\Excel\BoQ-Manang%20Marsyangdi.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BBDP%20Again\for%20anchor%20block%206%20trifur\BBDP%20Anchor%20Block%206Trifur.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BBDP%20Again\for%20anchor%20block%206%20trifur\BBDP%20Anchor%20Block%206Trifur.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Rate\Tunnel%20Optimisation%20adit.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I:\ED\Jobs\OPEN\930100%20TD%20of%20Myagdi%20Khola%20HPP\42%20Tender%20Documents\Civil%20Works\Rate%20Analysis_MKHEP-2022-05-17.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I:\ED\Jobs\OPEN\930100%20TD%20of%20Myagdi%20Khola%20HPP\42%20Tender%20Documents\Civil%20Works\Estimate%20MKHPP%202.June.21.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I:\Saphal\Refrences\Excel\Spell%20Number.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u"/>
      <sheetName val="FLOW"/>
      <sheetName val="Data-FDC"/>
      <sheetName val="ANNUAL"/>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u"/>
      <sheetName val="FLOW"/>
      <sheetName val="Data-FDC"/>
      <sheetName val="ANNUAL"/>
    </sheetNames>
    <sheetDataSet>
      <sheetData sheetId="0"/>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Penstock Optimization"/>
      <sheetName val="Spillway"/>
      <sheetName val="Sheet2"/>
      <sheetName val="BPT Design"/>
      <sheetName val="Sheet3"/>
      <sheetName val="BPT Stability"/>
      <sheetName val="Forebay Design"/>
      <sheetName val="Headpond Spillway Design"/>
      <sheetName val="Spillway Pipe Design"/>
      <sheetName val="Autocad_Plan"/>
      <sheetName val="Autocad_commands"/>
      <sheetName val="Quantity Estimation"/>
      <sheetName val="Vb"/>
    </sheetNames>
    <sheetDataSet>
      <sheetData sheetId="0" refreshError="1"/>
      <sheetData sheetId="1" refreshError="1"/>
      <sheetData sheetId="2" refreshError="1"/>
      <sheetData sheetId="3" refreshError="1"/>
      <sheetData sheetId="4" refreshError="1"/>
      <sheetData sheetId="5" refreshError="1"/>
      <sheetData sheetId="6">
        <row r="16">
          <cell r="D16">
            <v>15</v>
          </cell>
        </row>
        <row r="56">
          <cell r="D56">
            <v>3.554136238313375</v>
          </cell>
        </row>
        <row r="58">
          <cell r="D58">
            <v>30</v>
          </cell>
        </row>
        <row r="65">
          <cell r="D65">
            <v>4.054136238313375</v>
          </cell>
        </row>
        <row r="66">
          <cell r="D66">
            <v>3.2541362383133747</v>
          </cell>
        </row>
      </sheetData>
      <sheetData sheetId="7">
        <row r="22">
          <cell r="B22">
            <v>13</v>
          </cell>
        </row>
      </sheetData>
      <sheetData sheetId="8">
        <row r="11">
          <cell r="B11">
            <v>0.6</v>
          </cell>
        </row>
      </sheetData>
      <sheetData sheetId="9">
        <row r="2">
          <cell r="E2" t="str">
            <v>(list 0 0 0)</v>
          </cell>
        </row>
        <row r="3">
          <cell r="E3" t="str">
            <v>(list 4.16 1.2 0)</v>
          </cell>
        </row>
        <row r="4">
          <cell r="E4" t="str">
            <v>(list 19.16 1.2 0)</v>
          </cell>
        </row>
        <row r="5">
          <cell r="E5" t="str">
            <v>(list 23.87 0.1 0)</v>
          </cell>
        </row>
        <row r="6">
          <cell r="E6" t="str">
            <v>(list 23.87 -1.2 0)</v>
          </cell>
        </row>
        <row r="7">
          <cell r="E7" t="str">
            <v>(list 19.16 -2.3 0)</v>
          </cell>
        </row>
        <row r="8">
          <cell r="E8" t="str">
            <v>(list 4.16 -2.3 0)</v>
          </cell>
        </row>
        <row r="9">
          <cell r="E9" t="str">
            <v>(list 0 -1.1 0)</v>
          </cell>
        </row>
        <row r="10">
          <cell r="E10" t="str">
            <v>(list 0 0.45 0)</v>
          </cell>
        </row>
        <row r="11">
          <cell r="E11" t="str">
            <v>(list 4.16 1.65 0)</v>
          </cell>
        </row>
        <row r="12">
          <cell r="E12" t="str">
            <v>(list 19.16 1.65 0)</v>
          </cell>
        </row>
        <row r="13">
          <cell r="E13" t="str">
            <v>(list 23.87 0.55 0)</v>
          </cell>
        </row>
        <row r="14">
          <cell r="E14" t="str">
            <v>(list 0 -1.55 0)</v>
          </cell>
        </row>
        <row r="15">
          <cell r="E15" t="str">
            <v>(list 4.16 -2.75 0)</v>
          </cell>
        </row>
        <row r="16">
          <cell r="E16" t="str">
            <v>(list 19.16 -2.75 0)</v>
          </cell>
        </row>
        <row r="17">
          <cell r="E17" t="str">
            <v>(list 23.87 -1.65 0)</v>
          </cell>
        </row>
        <row r="18">
          <cell r="E18" t="str">
            <v>(list 4.16 0 0)</v>
          </cell>
        </row>
        <row r="19">
          <cell r="E19" t="str">
            <v>(list 18.56 0 0)</v>
          </cell>
        </row>
        <row r="20">
          <cell r="E20" t="str">
            <v>(list 4.16 -1.1 0)</v>
          </cell>
        </row>
        <row r="21">
          <cell r="E21" t="str">
            <v>(list 18.56 -1.1 0)</v>
          </cell>
        </row>
        <row r="22">
          <cell r="E22" t="str">
            <v>(list 18.56 1.2 0)</v>
          </cell>
        </row>
        <row r="23">
          <cell r="E23" t="str">
            <v>(list 18.56 -2.3 0)</v>
          </cell>
        </row>
        <row r="24">
          <cell r="E24" t="str">
            <v>(list 18.96 1.2 0)</v>
          </cell>
        </row>
        <row r="25">
          <cell r="E25" t="str">
            <v>(list 18.96 -2.3 0)</v>
          </cell>
        </row>
      </sheetData>
      <sheetData sheetId="10" refreshError="1"/>
      <sheetData sheetId="1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Headrace tunnel"/>
      <sheetName val="Headloss calculation"/>
      <sheetName val="Support Design Chart"/>
    </sheetNames>
    <sheetDataSet>
      <sheetData sheetId="0"/>
      <sheetData sheetId="1"/>
      <sheetData sheetId="2">
        <row r="10">
          <cell r="D10">
            <v>17.649999999999999</v>
          </cell>
        </row>
        <row r="16">
          <cell r="D16">
            <v>14.283185307179586</v>
          </cell>
        </row>
        <row r="18">
          <cell r="D18">
            <v>1</v>
          </cell>
        </row>
        <row r="19">
          <cell r="D19">
            <v>35</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Headrace tunnel"/>
      <sheetName val="Headloss calculation"/>
      <sheetName val="Support Design Chart"/>
    </sheetNames>
    <sheetDataSet>
      <sheetData sheetId="0"/>
      <sheetData sheetId="1"/>
      <sheetData sheetId="2">
        <row r="10">
          <cell r="D10">
            <v>17.649999999999999</v>
          </cell>
        </row>
        <row r="16">
          <cell r="D16">
            <v>14.283185307179586</v>
          </cell>
        </row>
        <row r="18">
          <cell r="D18">
            <v>1</v>
          </cell>
        </row>
        <row r="19">
          <cell r="D19">
            <v>35</v>
          </cell>
        </row>
      </sheetData>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PTIMIZATION"/>
      <sheetName val="Specific speed calculation"/>
      <sheetName val="Tunnel costing_BOQ"/>
      <sheetName val="Support design"/>
      <sheetName val="Unit rate"/>
      <sheetName val="Energy_INPUT&amp;OUTPUT"/>
      <sheetName val="Energy Summary"/>
      <sheetName val="Energy Simulation"/>
      <sheetName val="Inflow"/>
      <sheetName val="Area elevation"/>
      <sheetName val="Headloss"/>
      <sheetName val="Efficiency"/>
      <sheetName val="Tariff Calculation"/>
      <sheetName val="Inflow (from SWECO)"/>
    </sheetNames>
    <sheetDataSet>
      <sheetData sheetId="0"/>
      <sheetData sheetId="1">
        <row r="19">
          <cell r="B19">
            <v>0.11</v>
          </cell>
          <cell r="E19">
            <v>8.6937925734661228</v>
          </cell>
        </row>
      </sheetData>
      <sheetData sheetId="2"/>
      <sheetData sheetId="3"/>
      <sheetData sheetId="4"/>
      <sheetData sheetId="5">
        <row r="6">
          <cell r="E6">
            <v>75</v>
          </cell>
        </row>
      </sheetData>
      <sheetData sheetId="6">
        <row r="4">
          <cell r="D4">
            <v>6.5</v>
          </cell>
        </row>
        <row r="8">
          <cell r="B8" t="str">
            <v>Daily Average</v>
          </cell>
        </row>
        <row r="9">
          <cell r="C9">
            <v>940</v>
          </cell>
        </row>
        <row r="10">
          <cell r="C10">
            <v>934</v>
          </cell>
        </row>
        <row r="11">
          <cell r="C11">
            <v>890</v>
          </cell>
        </row>
        <row r="12">
          <cell r="C12">
            <v>607</v>
          </cell>
        </row>
        <row r="13">
          <cell r="C13">
            <v>333</v>
          </cell>
        </row>
        <row r="14">
          <cell r="C14">
            <v>327</v>
          </cell>
        </row>
        <row r="15">
          <cell r="C15">
            <v>4</v>
          </cell>
        </row>
        <row r="17">
          <cell r="C17">
            <v>160</v>
          </cell>
        </row>
        <row r="19">
          <cell r="C19">
            <v>2.5109910340763015</v>
          </cell>
        </row>
        <row r="20">
          <cell r="C20">
            <v>11240</v>
          </cell>
        </row>
        <row r="21">
          <cell r="C21">
            <v>1580</v>
          </cell>
        </row>
        <row r="23">
          <cell r="C23">
            <v>80</v>
          </cell>
        </row>
        <row r="25">
          <cell r="C25">
            <v>4450</v>
          </cell>
        </row>
        <row r="26">
          <cell r="C26">
            <v>9.01</v>
          </cell>
        </row>
        <row r="27">
          <cell r="C27">
            <v>1</v>
          </cell>
        </row>
        <row r="28">
          <cell r="C28">
            <v>8.2099999999999991</v>
          </cell>
        </row>
        <row r="29">
          <cell r="C29">
            <v>0.4</v>
          </cell>
        </row>
        <row r="30">
          <cell r="C30">
            <v>45</v>
          </cell>
        </row>
        <row r="31">
          <cell r="C31">
            <v>70</v>
          </cell>
        </row>
        <row r="32">
          <cell r="C32">
            <v>90</v>
          </cell>
        </row>
        <row r="34">
          <cell r="C34">
            <v>469.84300545664877</v>
          </cell>
        </row>
        <row r="36">
          <cell r="C36">
            <v>45</v>
          </cell>
        </row>
        <row r="37">
          <cell r="C37">
            <v>9.7889999999999997</v>
          </cell>
        </row>
        <row r="42">
          <cell r="C42">
            <v>10</v>
          </cell>
        </row>
        <row r="43">
          <cell r="C43">
            <v>940</v>
          </cell>
        </row>
        <row r="44">
          <cell r="C44">
            <v>40278</v>
          </cell>
        </row>
        <row r="45">
          <cell r="C45">
            <v>40330</v>
          </cell>
        </row>
        <row r="47">
          <cell r="C47">
            <v>40339</v>
          </cell>
        </row>
        <row r="48">
          <cell r="C48">
            <v>935</v>
          </cell>
        </row>
        <row r="49">
          <cell r="C49">
            <v>40340</v>
          </cell>
        </row>
        <row r="51">
          <cell r="C51">
            <v>40452</v>
          </cell>
        </row>
      </sheetData>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PTIMIZATION"/>
      <sheetName val="Specific speed calculation"/>
      <sheetName val="Tunnel costing_BOQ"/>
      <sheetName val="Support design"/>
      <sheetName val="Unit rate"/>
      <sheetName val="Energy_INPUT&amp;OUTPUT"/>
      <sheetName val="Energy Summary"/>
      <sheetName val="Energy Simulation"/>
      <sheetName val="Inflow"/>
      <sheetName val="Area elevation"/>
      <sheetName val="Headloss"/>
      <sheetName val="Efficiency"/>
      <sheetName val="Tariff Calculation"/>
      <sheetName val="Inflow (from SWECO)"/>
    </sheetNames>
    <sheetDataSet>
      <sheetData sheetId="0"/>
      <sheetData sheetId="1">
        <row r="19">
          <cell r="B19">
            <v>0.11</v>
          </cell>
          <cell r="E19">
            <v>8.6937925734661228</v>
          </cell>
        </row>
      </sheetData>
      <sheetData sheetId="2"/>
      <sheetData sheetId="3"/>
      <sheetData sheetId="4"/>
      <sheetData sheetId="5">
        <row r="6">
          <cell r="E6">
            <v>75</v>
          </cell>
        </row>
      </sheetData>
      <sheetData sheetId="6">
        <row r="4">
          <cell r="D4">
            <v>6.5</v>
          </cell>
        </row>
        <row r="8">
          <cell r="B8" t="str">
            <v>Daily Average</v>
          </cell>
        </row>
        <row r="9">
          <cell r="C9">
            <v>940</v>
          </cell>
        </row>
        <row r="10">
          <cell r="C10">
            <v>934</v>
          </cell>
        </row>
        <row r="11">
          <cell r="C11">
            <v>890</v>
          </cell>
        </row>
        <row r="12">
          <cell r="C12">
            <v>607</v>
          </cell>
        </row>
        <row r="13">
          <cell r="C13">
            <v>333</v>
          </cell>
        </row>
        <row r="14">
          <cell r="C14">
            <v>327</v>
          </cell>
        </row>
        <row r="15">
          <cell r="C15">
            <v>4</v>
          </cell>
        </row>
        <row r="17">
          <cell r="C17">
            <v>160</v>
          </cell>
        </row>
        <row r="19">
          <cell r="C19">
            <v>2.5109910340763015</v>
          </cell>
        </row>
        <row r="20">
          <cell r="C20">
            <v>11240</v>
          </cell>
        </row>
        <row r="21">
          <cell r="C21">
            <v>1580</v>
          </cell>
        </row>
        <row r="23">
          <cell r="C23">
            <v>80</v>
          </cell>
        </row>
        <row r="25">
          <cell r="C25">
            <v>4450</v>
          </cell>
        </row>
        <row r="26">
          <cell r="C26">
            <v>9.01</v>
          </cell>
        </row>
        <row r="27">
          <cell r="C27">
            <v>1</v>
          </cell>
        </row>
        <row r="28">
          <cell r="C28">
            <v>8.2099999999999991</v>
          </cell>
        </row>
        <row r="29">
          <cell r="C29">
            <v>0.4</v>
          </cell>
        </row>
        <row r="30">
          <cell r="C30">
            <v>45</v>
          </cell>
        </row>
        <row r="31">
          <cell r="C31">
            <v>70</v>
          </cell>
        </row>
        <row r="32">
          <cell r="C32">
            <v>90</v>
          </cell>
        </row>
        <row r="34">
          <cell r="C34">
            <v>469.84300545664877</v>
          </cell>
        </row>
        <row r="36">
          <cell r="C36">
            <v>45</v>
          </cell>
        </row>
        <row r="37">
          <cell r="C37">
            <v>9.7889999999999997</v>
          </cell>
        </row>
        <row r="42">
          <cell r="C42">
            <v>10</v>
          </cell>
        </row>
        <row r="43">
          <cell r="C43">
            <v>940</v>
          </cell>
        </row>
        <row r="44">
          <cell r="C44">
            <v>40278</v>
          </cell>
        </row>
        <row r="45">
          <cell r="C45">
            <v>40330</v>
          </cell>
        </row>
        <row r="47">
          <cell r="C47">
            <v>40339</v>
          </cell>
        </row>
        <row r="48">
          <cell r="C48">
            <v>935</v>
          </cell>
        </row>
        <row r="49">
          <cell r="C49">
            <v>40340</v>
          </cell>
        </row>
        <row r="51">
          <cell r="C51">
            <v>40452</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RATES INCLUDING TRANSPORATION"/>
      <sheetName val="Distances"/>
      <sheetName val="Site Clearance"/>
      <sheetName val="Excavation"/>
      <sheetName val="Filling"/>
      <sheetName val="Formwork"/>
      <sheetName val="Concrete"/>
      <sheetName val="Reinforcement"/>
      <sheetName val="Brickwork"/>
      <sheetName val="Plaster"/>
      <sheetName val="Masonry"/>
      <sheetName val="Gabion"/>
      <sheetName val="Grouting"/>
      <sheetName val="Protection"/>
      <sheetName val="Geotextile"/>
      <sheetName val="Roofing"/>
      <sheetName val="Painting"/>
      <sheetName val="Doors &amp; Windows"/>
      <sheetName val="Screeding &amp; Punning"/>
      <sheetName val="Underground"/>
      <sheetName val="Additionals"/>
      <sheetName val="Summary"/>
    </sheetNames>
    <sheetDataSet>
      <sheetData sheetId="0">
        <row r="19">
          <cell r="D19">
            <v>99</v>
          </cell>
        </row>
        <row r="27">
          <cell r="D27">
            <v>726.00000000000011</v>
          </cell>
        </row>
        <row r="28">
          <cell r="D28">
            <v>440</v>
          </cell>
        </row>
        <row r="29">
          <cell r="D29">
            <v>660</v>
          </cell>
        </row>
        <row r="30">
          <cell r="D30">
            <v>800</v>
          </cell>
        </row>
        <row r="32">
          <cell r="D32">
            <v>660</v>
          </cell>
        </row>
        <row r="33">
          <cell r="D33">
            <v>450</v>
          </cell>
        </row>
        <row r="34">
          <cell r="D34">
            <v>660</v>
          </cell>
        </row>
        <row r="35">
          <cell r="D35">
            <v>660</v>
          </cell>
        </row>
        <row r="36">
          <cell r="D36">
            <v>660</v>
          </cell>
        </row>
        <row r="37">
          <cell r="D37">
            <v>800</v>
          </cell>
        </row>
        <row r="129">
          <cell r="D129">
            <v>1500</v>
          </cell>
        </row>
        <row r="131">
          <cell r="D131">
            <v>200</v>
          </cell>
        </row>
        <row r="144">
          <cell r="D144">
            <v>70</v>
          </cell>
        </row>
        <row r="150">
          <cell r="D150">
            <v>350</v>
          </cell>
        </row>
        <row r="151">
          <cell r="D151">
            <v>250</v>
          </cell>
        </row>
        <row r="152">
          <cell r="D152">
            <v>241</v>
          </cell>
        </row>
        <row r="154">
          <cell r="D154">
            <v>500</v>
          </cell>
        </row>
        <row r="156">
          <cell r="D156">
            <v>4500</v>
          </cell>
        </row>
      </sheetData>
      <sheetData sheetId="1">
        <row r="19">
          <cell r="V19">
            <v>1730</v>
          </cell>
        </row>
        <row r="23">
          <cell r="V23">
            <v>2330</v>
          </cell>
        </row>
        <row r="27">
          <cell r="V27">
            <v>16050.1</v>
          </cell>
        </row>
        <row r="41">
          <cell r="V41">
            <v>76.05</v>
          </cell>
        </row>
        <row r="42">
          <cell r="V42">
            <v>77.16</v>
          </cell>
        </row>
        <row r="43">
          <cell r="V43">
            <v>123.94</v>
          </cell>
        </row>
        <row r="48">
          <cell r="V48">
            <v>105.57</v>
          </cell>
        </row>
        <row r="51">
          <cell r="V51">
            <v>87.94</v>
          </cell>
        </row>
        <row r="54">
          <cell r="V54">
            <v>433.15</v>
          </cell>
        </row>
        <row r="55">
          <cell r="V55">
            <v>318.14999999999998</v>
          </cell>
        </row>
        <row r="73">
          <cell r="V73">
            <v>424.88</v>
          </cell>
        </row>
        <row r="74">
          <cell r="V74">
            <v>36.31</v>
          </cell>
        </row>
        <row r="75">
          <cell r="V75">
            <v>25.32</v>
          </cell>
        </row>
        <row r="77">
          <cell r="V77">
            <v>6140.73</v>
          </cell>
        </row>
        <row r="78">
          <cell r="V78">
            <v>2540.2399999999998</v>
          </cell>
        </row>
        <row r="79">
          <cell r="V79">
            <v>2659.44</v>
          </cell>
        </row>
        <row r="81">
          <cell r="V81">
            <v>1845.99</v>
          </cell>
        </row>
        <row r="82">
          <cell r="V82">
            <v>118.24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RATES INCLUDING TRANSPORATION"/>
      <sheetName val="Distances"/>
      <sheetName val="Site Clearance"/>
      <sheetName val="Excavation"/>
      <sheetName val="Filling"/>
      <sheetName val="Formwork"/>
      <sheetName val="Concrete"/>
      <sheetName val="Reinforcement"/>
      <sheetName val="Brickwork"/>
      <sheetName val="Plaster"/>
      <sheetName val="Masonry"/>
      <sheetName val="Gabion"/>
      <sheetName val="Grouting"/>
      <sheetName val="Protection"/>
      <sheetName val="Geotextile"/>
      <sheetName val="Roofing"/>
      <sheetName val="Painting"/>
      <sheetName val="Doors &amp; Windows"/>
      <sheetName val="Screeding &amp; Punning"/>
      <sheetName val="Underground"/>
      <sheetName val="Additionals"/>
      <sheetName val="Summary"/>
    </sheetNames>
    <sheetDataSet>
      <sheetData sheetId="0" refreshError="1">
        <row r="19">
          <cell r="D19">
            <v>99</v>
          </cell>
        </row>
        <row r="27">
          <cell r="D27">
            <v>726.00000000000011</v>
          </cell>
        </row>
        <row r="28">
          <cell r="D28">
            <v>440</v>
          </cell>
        </row>
        <row r="29">
          <cell r="D29">
            <v>660</v>
          </cell>
        </row>
        <row r="30">
          <cell r="D30">
            <v>800</v>
          </cell>
        </row>
        <row r="32">
          <cell r="D32">
            <v>660</v>
          </cell>
        </row>
        <row r="33">
          <cell r="D33">
            <v>450</v>
          </cell>
        </row>
        <row r="34">
          <cell r="D34">
            <v>660</v>
          </cell>
        </row>
        <row r="35">
          <cell r="D35">
            <v>660</v>
          </cell>
        </row>
        <row r="36">
          <cell r="D36">
            <v>660</v>
          </cell>
        </row>
        <row r="37">
          <cell r="D37">
            <v>800</v>
          </cell>
        </row>
        <row r="129">
          <cell r="D129">
            <v>1500</v>
          </cell>
        </row>
        <row r="131">
          <cell r="D131">
            <v>200</v>
          </cell>
        </row>
        <row r="144">
          <cell r="D144">
            <v>70</v>
          </cell>
        </row>
        <row r="150">
          <cell r="D150">
            <v>350</v>
          </cell>
        </row>
        <row r="151">
          <cell r="D151">
            <v>250</v>
          </cell>
        </row>
        <row r="152">
          <cell r="D152">
            <v>241</v>
          </cell>
        </row>
        <row r="154">
          <cell r="D154">
            <v>500</v>
          </cell>
        </row>
        <row r="156">
          <cell r="D156">
            <v>4500</v>
          </cell>
        </row>
      </sheetData>
      <sheetData sheetId="1" refreshError="1">
        <row r="19">
          <cell r="V19">
            <v>1730</v>
          </cell>
        </row>
        <row r="23">
          <cell r="V23">
            <v>2330</v>
          </cell>
        </row>
        <row r="27">
          <cell r="V27">
            <v>16050.1</v>
          </cell>
        </row>
        <row r="41">
          <cell r="V41">
            <v>76.05</v>
          </cell>
        </row>
        <row r="42">
          <cell r="V42">
            <v>77.16</v>
          </cell>
        </row>
        <row r="43">
          <cell r="V43">
            <v>123.94</v>
          </cell>
        </row>
        <row r="48">
          <cell r="V48">
            <v>105.57</v>
          </cell>
        </row>
        <row r="51">
          <cell r="V51">
            <v>87.94</v>
          </cell>
        </row>
        <row r="54">
          <cell r="V54">
            <v>433.15</v>
          </cell>
        </row>
        <row r="55">
          <cell r="V55">
            <v>318.14999999999998</v>
          </cell>
        </row>
        <row r="73">
          <cell r="V73">
            <v>424.88</v>
          </cell>
        </row>
        <row r="74">
          <cell r="V74">
            <v>36.31</v>
          </cell>
        </row>
        <row r="75">
          <cell r="V75">
            <v>25.32</v>
          </cell>
        </row>
        <row r="77">
          <cell r="V77">
            <v>6140.73</v>
          </cell>
        </row>
        <row r="78">
          <cell r="V78">
            <v>2540.2399999999998</v>
          </cell>
        </row>
        <row r="79">
          <cell r="V79">
            <v>2659.44</v>
          </cell>
        </row>
        <row r="81">
          <cell r="V81">
            <v>1845.99</v>
          </cell>
        </row>
        <row r="82">
          <cell r="V82">
            <v>118.24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RATES INCLUDING TRANSPORATION"/>
      <sheetName val="Distances"/>
      <sheetName val="Site Clearance"/>
      <sheetName val="Excavation"/>
      <sheetName val="Filling"/>
      <sheetName val="Dry stone soling"/>
      <sheetName val="Formwork"/>
      <sheetName val="Surface_Rockbolt"/>
      <sheetName val="Surface Water Stopper"/>
      <sheetName val="Concrete"/>
      <sheetName val="Underground Concrete"/>
      <sheetName val="Reinforcement"/>
      <sheetName val="Underground Reinforcement"/>
      <sheetName val="Brickwork"/>
      <sheetName val="Plaster"/>
      <sheetName val="Masonry"/>
      <sheetName val="Gabion"/>
      <sheetName val="Grouting"/>
      <sheetName val="Protection(Boulder Riprap)"/>
      <sheetName val="Geotextile"/>
      <sheetName val="Roofing"/>
      <sheetName val="Painting"/>
      <sheetName val="Doors &amp; Windows"/>
      <sheetName val="Screeding &amp; Punning"/>
      <sheetName val="Boulder Riprap"/>
      <sheetName val="Exploratory Drilling 1"/>
      <sheetName val="Surface Shotcrete"/>
      <sheetName val="Underground"/>
      <sheetName val="Exploratory Drilling"/>
      <sheetName val="Mucking"/>
      <sheetName val="Underground Formworks"/>
      <sheetName val="U Formworks for vertical shaft"/>
      <sheetName val="Sheet3"/>
      <sheetName val="Steel Ribs"/>
      <sheetName val="Additionals"/>
      <sheetName val="Summary"/>
      <sheetName val="Sheet1"/>
      <sheetName val="15.Powerhouse"/>
      <sheetName val="PH Cost Estimate"/>
    </sheetNames>
    <sheetDataSet>
      <sheetData sheetId="0">
        <row r="20">
          <cell r="D20">
            <v>114.68</v>
          </cell>
        </row>
        <row r="39">
          <cell r="D39">
            <v>1100</v>
          </cell>
        </row>
        <row r="40">
          <cell r="D40">
            <v>1750</v>
          </cell>
        </row>
        <row r="44">
          <cell r="D44">
            <v>1100</v>
          </cell>
        </row>
        <row r="144">
          <cell r="D144">
            <v>108.16</v>
          </cell>
        </row>
        <row r="145">
          <cell r="D145">
            <v>1622.4</v>
          </cell>
        </row>
        <row r="151">
          <cell r="D151">
            <v>1081.5999999999999</v>
          </cell>
        </row>
        <row r="152">
          <cell r="D152">
            <v>3785.6</v>
          </cell>
        </row>
        <row r="154">
          <cell r="D154">
            <v>551.62</v>
          </cell>
        </row>
        <row r="157">
          <cell r="D157">
            <v>324.48</v>
          </cell>
        </row>
        <row r="158">
          <cell r="D158">
            <v>162.24</v>
          </cell>
        </row>
        <row r="170">
          <cell r="D170">
            <v>346.11</v>
          </cell>
        </row>
        <row r="171">
          <cell r="D171">
            <v>194.69</v>
          </cell>
        </row>
        <row r="172">
          <cell r="D172">
            <v>1081.5999999999999</v>
          </cell>
        </row>
        <row r="174">
          <cell r="D174">
            <v>27.04</v>
          </cell>
        </row>
      </sheetData>
      <sheetData sheetId="1">
        <row r="19">
          <cell r="V19">
            <v>1050</v>
          </cell>
        </row>
        <row r="20">
          <cell r="V20">
            <v>1000</v>
          </cell>
        </row>
        <row r="21">
          <cell r="V21">
            <v>1350</v>
          </cell>
        </row>
        <row r="22">
          <cell r="V22">
            <v>1450</v>
          </cell>
        </row>
        <row r="23">
          <cell r="V23">
            <v>2450</v>
          </cell>
        </row>
        <row r="24">
          <cell r="V24">
            <v>2700</v>
          </cell>
        </row>
        <row r="26">
          <cell r="V26">
            <v>1150</v>
          </cell>
        </row>
        <row r="27">
          <cell r="V27">
            <v>1100</v>
          </cell>
        </row>
        <row r="30">
          <cell r="V30">
            <v>88688.61</v>
          </cell>
        </row>
        <row r="31">
          <cell r="V31">
            <v>101688.61</v>
          </cell>
        </row>
        <row r="32">
          <cell r="V32">
            <v>94047.82</v>
          </cell>
        </row>
        <row r="33">
          <cell r="V33">
            <v>109848.61</v>
          </cell>
        </row>
        <row r="34">
          <cell r="V34">
            <v>112008.61</v>
          </cell>
        </row>
        <row r="35">
          <cell r="V35">
            <v>115258.61</v>
          </cell>
        </row>
        <row r="37">
          <cell r="V37">
            <v>91348.66</v>
          </cell>
        </row>
        <row r="38">
          <cell r="V38">
            <v>32348.66</v>
          </cell>
        </row>
        <row r="39">
          <cell r="V39">
            <v>392.92</v>
          </cell>
        </row>
        <row r="40">
          <cell r="V40">
            <v>116688.61</v>
          </cell>
        </row>
        <row r="41">
          <cell r="V41">
            <v>20.03</v>
          </cell>
        </row>
        <row r="42">
          <cell r="V42">
            <v>17.5</v>
          </cell>
        </row>
        <row r="46">
          <cell r="V46">
            <v>132.03</v>
          </cell>
        </row>
        <row r="48">
          <cell r="V48">
            <v>400.56</v>
          </cell>
        </row>
        <row r="49">
          <cell r="V49">
            <v>971.74</v>
          </cell>
        </row>
        <row r="50">
          <cell r="V50">
            <v>276.74</v>
          </cell>
        </row>
        <row r="51">
          <cell r="V51">
            <v>155.88</v>
          </cell>
        </row>
        <row r="53">
          <cell r="V53">
            <v>356.33</v>
          </cell>
        </row>
        <row r="55">
          <cell r="V55">
            <v>368.29</v>
          </cell>
        </row>
        <row r="56">
          <cell r="V56">
            <v>3246.49</v>
          </cell>
        </row>
        <row r="58">
          <cell r="V58">
            <v>31.52</v>
          </cell>
        </row>
        <row r="62">
          <cell r="V62">
            <v>112.37</v>
          </cell>
        </row>
        <row r="66">
          <cell r="V66">
            <v>42.52</v>
          </cell>
        </row>
        <row r="67">
          <cell r="V67">
            <v>86.52</v>
          </cell>
        </row>
        <row r="68">
          <cell r="V68">
            <v>391.52</v>
          </cell>
        </row>
        <row r="69">
          <cell r="V69">
            <v>127.45</v>
          </cell>
        </row>
        <row r="70">
          <cell r="V70">
            <v>316.52</v>
          </cell>
        </row>
        <row r="71">
          <cell r="V71">
            <v>874.59</v>
          </cell>
        </row>
        <row r="72">
          <cell r="V72">
            <v>20.100000000000001</v>
          </cell>
        </row>
        <row r="73">
          <cell r="V73">
            <v>25.3</v>
          </cell>
        </row>
        <row r="74">
          <cell r="V74">
            <v>2.1</v>
          </cell>
        </row>
        <row r="75">
          <cell r="V75">
            <v>25.41</v>
          </cell>
        </row>
        <row r="76">
          <cell r="V76">
            <v>23.2</v>
          </cell>
        </row>
        <row r="77">
          <cell r="V77">
            <v>176.01</v>
          </cell>
        </row>
        <row r="78">
          <cell r="V78">
            <v>30.3</v>
          </cell>
        </row>
        <row r="79">
          <cell r="V79">
            <v>743.7</v>
          </cell>
        </row>
        <row r="80">
          <cell r="V80">
            <v>301.52</v>
          </cell>
        </row>
        <row r="85">
          <cell r="V85">
            <v>191.19</v>
          </cell>
        </row>
        <row r="89">
          <cell r="V89">
            <v>690.02</v>
          </cell>
        </row>
        <row r="95">
          <cell r="V95">
            <v>218.72</v>
          </cell>
        </row>
        <row r="96">
          <cell r="V96">
            <v>344.1</v>
          </cell>
        </row>
        <row r="97">
          <cell r="V97">
            <v>559.91999999999996</v>
          </cell>
        </row>
      </sheetData>
      <sheetData sheetId="2"/>
      <sheetData sheetId="3">
        <row r="4">
          <cell r="A4">
            <v>1</v>
          </cell>
        </row>
      </sheetData>
      <sheetData sheetId="4">
        <row r="4">
          <cell r="A4">
            <v>1</v>
          </cell>
        </row>
      </sheetData>
      <sheetData sheetId="5">
        <row r="4">
          <cell r="A4">
            <v>1</v>
          </cell>
        </row>
      </sheetData>
      <sheetData sheetId="6">
        <row r="4">
          <cell r="B4" t="str">
            <v>Providing and laying dry stone masonry(coursed rubble) including dressing etc. complete as per specification, lead 30m</v>
          </cell>
        </row>
      </sheetData>
      <sheetData sheetId="7">
        <row r="4">
          <cell r="A4">
            <v>1</v>
          </cell>
        </row>
      </sheetData>
      <sheetData sheetId="8">
        <row r="4">
          <cell r="B4" t="str">
            <v>Rockbolts (25Φ)   Length = 1.5m</v>
          </cell>
        </row>
      </sheetData>
      <sheetData sheetId="9">
        <row r="4">
          <cell r="B4" t="str">
            <v>300mm PVC waterstopper</v>
          </cell>
        </row>
      </sheetData>
      <sheetData sheetId="10">
        <row r="4">
          <cell r="B4" t="str">
            <v>Providing and placing machine mixed cement concrete C10 for the foundation and footing etc. including compaction, curing, testing and  lead  30m. etc. all complete as per specification and drawing.</v>
          </cell>
        </row>
      </sheetData>
      <sheetData sheetId="11"/>
      <sheetData sheetId="12">
        <row r="4">
          <cell r="A4">
            <v>1</v>
          </cell>
        </row>
      </sheetData>
      <sheetData sheetId="13">
        <row r="4">
          <cell r="B4" t="str">
            <v xml:space="preserve"> Providing and laying  Reinforcement including cutting, bending, binding,  fixing in position and lead 30m. etc. all complete as per specification and drawing. 
(Diameter upto 8mm)</v>
          </cell>
        </row>
      </sheetData>
      <sheetData sheetId="14">
        <row r="4">
          <cell r="A4">
            <v>1</v>
          </cell>
        </row>
      </sheetData>
      <sheetData sheetId="15">
        <row r="4">
          <cell r="A4">
            <v>1</v>
          </cell>
        </row>
      </sheetData>
      <sheetData sheetId="16">
        <row r="4">
          <cell r="A4">
            <v>1</v>
          </cell>
        </row>
      </sheetData>
      <sheetData sheetId="17">
        <row r="4">
          <cell r="A4">
            <v>1</v>
          </cell>
        </row>
      </sheetData>
      <sheetData sheetId="18">
        <row r="4">
          <cell r="A4">
            <v>1</v>
          </cell>
        </row>
      </sheetData>
      <sheetData sheetId="19">
        <row r="4">
          <cell r="A4">
            <v>1</v>
          </cell>
        </row>
      </sheetData>
      <sheetData sheetId="20">
        <row r="4">
          <cell r="A4">
            <v>1</v>
          </cell>
        </row>
      </sheetData>
      <sheetData sheetId="21">
        <row r="4">
          <cell r="A4">
            <v>1</v>
          </cell>
        </row>
      </sheetData>
      <sheetData sheetId="22">
        <row r="4">
          <cell r="A4">
            <v>1</v>
          </cell>
        </row>
      </sheetData>
      <sheetData sheetId="23">
        <row r="4">
          <cell r="A4">
            <v>1</v>
          </cell>
        </row>
      </sheetData>
      <sheetData sheetId="24">
        <row r="4">
          <cell r="A4">
            <v>1</v>
          </cell>
        </row>
      </sheetData>
      <sheetData sheetId="25"/>
      <sheetData sheetId="26">
        <row r="4">
          <cell r="B4" t="str">
            <v xml:space="preserve">Drilling / Boring for sub-soil investigation drilling depth range 12-15m.                             </v>
          </cell>
        </row>
      </sheetData>
      <sheetData sheetId="27">
        <row r="3">
          <cell r="B3" t="str">
            <v>Shotcrete (Plain) T=100mm</v>
          </cell>
        </row>
      </sheetData>
      <sheetData sheetId="28">
        <row r="4">
          <cell r="A4">
            <v>1</v>
          </cell>
        </row>
      </sheetData>
      <sheetData sheetId="29">
        <row r="4">
          <cell r="B4" t="str">
            <v>Drilling for grouting depth upto 10 m and dia 50 mm (soft rock)</v>
          </cell>
        </row>
      </sheetData>
      <sheetData sheetId="30">
        <row r="12">
          <cell r="B12" t="str">
            <v>Mucking of the excavated materails from the tunnel within 1000 m distance</v>
          </cell>
        </row>
      </sheetData>
      <sheetData sheetId="31">
        <row r="4">
          <cell r="B4" t="str">
            <v>Providing, preparing and installing steel formworks and removing after completion for arch structure/ tunnel</v>
          </cell>
        </row>
      </sheetData>
      <sheetData sheetId="32">
        <row r="4">
          <cell r="B4" t="str">
            <v>Providing , Preparing and Installing form work including necessary supports and removing after completion for columns [Circular surface].(Scrap value neglected)
(Height upto 3m)</v>
          </cell>
        </row>
      </sheetData>
      <sheetData sheetId="33"/>
      <sheetData sheetId="34">
        <row r="3">
          <cell r="B3" t="str">
            <v xml:space="preserve">Providing and placing steel ribs   ( SAIL MA-ISHB 150)   </v>
          </cell>
        </row>
      </sheetData>
      <sheetData sheetId="35">
        <row r="4">
          <cell r="A4">
            <v>1</v>
          </cell>
        </row>
      </sheetData>
      <sheetData sheetId="36"/>
      <sheetData sheetId="37">
        <row r="3">
          <cell r="C3">
            <v>50.5</v>
          </cell>
        </row>
      </sheetData>
      <sheetData sheetId="38"/>
      <sheetData sheetId="3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ling basin III"/>
      <sheetName val="settling basin IV a"/>
      <sheetName val="settling basin IV b"/>
      <sheetName val="settling basin 200"/>
      <sheetName val="settling basin 220"/>
      <sheetName val="settling basin 240"/>
      <sheetName val="settling basin 250"/>
      <sheetName val="settling basin 260"/>
      <sheetName val="settling basin 280"/>
      <sheetName val="settling basin 300"/>
      <sheetName val="settling basin 320"/>
      <sheetName val="settling basin 340"/>
      <sheetName val="settling basin 360"/>
      <sheetName val="settling basin 380"/>
      <sheetName val="settling basin 400"/>
      <sheetName val="Hydrology"/>
    </sheetNames>
    <sheetDataSet>
      <sheetData sheetId="0"/>
      <sheetData sheetId="1"/>
      <sheetData sheetId="2"/>
      <sheetData sheetId="3"/>
      <sheetData sheetId="4"/>
      <sheetData sheetId="5">
        <row r="6">
          <cell r="D6">
            <v>3.8</v>
          </cell>
        </row>
        <row r="7">
          <cell r="D7">
            <v>1.026</v>
          </cell>
        </row>
        <row r="8">
          <cell r="D8">
            <v>2.98</v>
          </cell>
        </row>
        <row r="9">
          <cell r="D9">
            <v>0.34429530201342284</v>
          </cell>
        </row>
      </sheetData>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Format A (2)"/>
      <sheetName val="Side Intake and Orifice"/>
      <sheetName val="Trashracks"/>
      <sheetName val="Gravel Trap"/>
      <sheetName val="Gravel Flushing Chanel"/>
      <sheetName val="Intake Canal"/>
      <sheetName val="Settling Flushing Chanel "/>
      <sheetName val="Headrace Cana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Surge Shaft"/>
      <sheetName val="Penstock"/>
      <sheetName val="Format A"/>
    </sheetNames>
    <sheetDataSet>
      <sheetData sheetId="0"/>
      <sheetData sheetId="1" refreshError="1"/>
      <sheetData sheetId="2" refreshError="1"/>
      <sheetData sheetId="3" refreshError="1"/>
      <sheetData sheetId="4"/>
      <sheetData sheetId="5"/>
      <sheetData sheetId="6"/>
      <sheetData sheetId="7"/>
      <sheetData sheetId="8"/>
      <sheetData sheetId="9">
        <row r="8">
          <cell r="C8">
            <v>2.94</v>
          </cell>
        </row>
      </sheetData>
      <sheetData sheetId="10"/>
      <sheetData sheetId="11"/>
      <sheetData sheetId="12"/>
      <sheetData sheetId="13">
        <row r="13">
          <cell r="C13">
            <v>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Format A (2)"/>
      <sheetName val="Side Intake and Orifice"/>
      <sheetName val="Trashracks"/>
      <sheetName val="Gravel Trap"/>
      <sheetName val="Gravel Flushing Chanel"/>
      <sheetName val="Intake Canal"/>
      <sheetName val="Settling Flushing Chanel "/>
      <sheetName val="Headrace Cana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Surge Shaft"/>
      <sheetName val="Penstock"/>
      <sheetName val="Format A"/>
    </sheetNames>
    <sheetDataSet>
      <sheetData sheetId="0"/>
      <sheetData sheetId="1" refreshError="1"/>
      <sheetData sheetId="2" refreshError="1"/>
      <sheetData sheetId="3" refreshError="1"/>
      <sheetData sheetId="4"/>
      <sheetData sheetId="5"/>
      <sheetData sheetId="6"/>
      <sheetData sheetId="7"/>
      <sheetData sheetId="8"/>
      <sheetData sheetId="9">
        <row r="8">
          <cell r="C8">
            <v>2.94</v>
          </cell>
        </row>
      </sheetData>
      <sheetData sheetId="10"/>
      <sheetData sheetId="11"/>
      <sheetData sheetId="12"/>
      <sheetData sheetId="13">
        <row r="13">
          <cell r="C13">
            <v>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ost"/>
      <sheetName val="Rates"/>
      <sheetName val="Infrastructures &amp; General"/>
      <sheetName val="Abstract Surface Structure"/>
      <sheetName val="Abstract of underground Structu"/>
    </sheetNames>
    <sheetDataSet>
      <sheetData sheetId="0"/>
      <sheetData sheetId="1">
        <row r="34">
          <cell r="C34">
            <v>13940.3133975</v>
          </cell>
        </row>
        <row r="35">
          <cell r="C35">
            <v>10854.864518750001</v>
          </cell>
        </row>
        <row r="36">
          <cell r="C36">
            <v>504000.00000000006</v>
          </cell>
        </row>
        <row r="37">
          <cell r="C37">
            <v>110.88000000000002</v>
          </cell>
        </row>
      </sheetData>
      <sheetData sheetId="2"/>
      <sheetData sheetId="3"/>
      <sheetData sheetId="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ost"/>
      <sheetName val="Rates"/>
      <sheetName val="Infrastructures &amp; General"/>
      <sheetName val="Abstract Surface Structure"/>
      <sheetName val="Abstract of underground Structu"/>
    </sheetNames>
    <sheetDataSet>
      <sheetData sheetId="0"/>
      <sheetData sheetId="1">
        <row r="34">
          <cell r="C34">
            <v>13940.3133975</v>
          </cell>
        </row>
        <row r="35">
          <cell r="C35">
            <v>10854.864518750001</v>
          </cell>
        </row>
        <row r="36">
          <cell r="C36">
            <v>504000.00000000006</v>
          </cell>
        </row>
        <row r="37">
          <cell r="C37">
            <v>110.88000000000002</v>
          </cell>
        </row>
      </sheetData>
      <sheetData sheetId="2"/>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mechap070071"/>
      <sheetName val="District rates"/>
      <sheetName val="basic-rates at project site"/>
      <sheetName val="summary"/>
      <sheetName val="Siteprep"/>
      <sheetName val="Excavation"/>
      <sheetName val="Concrete and rebar work"/>
      <sheetName val="backfilling"/>
      <sheetName val="gabion"/>
      <sheetName val="stonemas"/>
      <sheetName val="formworks"/>
      <sheetName val="Plaster etc"/>
      <sheetName val="Painting work"/>
      <sheetName val="Brickwork"/>
      <sheetName val="Woodwork"/>
      <sheetName val="Metalwork"/>
      <sheetName val="Fencing work"/>
      <sheetName val="flooring"/>
      <sheetName val="False ceiling"/>
      <sheetName val="humepipe"/>
      <sheetName val="Sheet1"/>
    </sheetNames>
    <sheetDataSet>
      <sheetData sheetId="0"/>
      <sheetData sheetId="1"/>
      <sheetData sheetId="2">
        <row r="23">
          <cell r="F23" t="str">
            <v>NPR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m weir"/>
      <sheetName val="Sheet1"/>
      <sheetName val="Sheet2"/>
      <sheetName val="ds rating curve"/>
      <sheetName val="7m weir 4 x 4 undersluice (2)"/>
      <sheetName val="with gated undersliuce wier cal"/>
      <sheetName val="20m weir 2-4m x 4m gated US"/>
      <sheetName val="sidewall"/>
      <sheetName val="side intake"/>
      <sheetName val="settling velocity gravel trap"/>
      <sheetName val="Gravel Trap"/>
      <sheetName val="settling velocity desander"/>
      <sheetName val="desander"/>
      <sheetName val="Head losses"/>
    </sheetNames>
    <sheetDataSet>
      <sheetData sheetId="0">
        <row r="3">
          <cell r="B3">
            <v>30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iled Costing"/>
      <sheetName val="Summary"/>
      <sheetName val="SWECO's QRA"/>
      <sheetName val="Best, probable, worst"/>
    </sheetNames>
    <sheetDataSet>
      <sheetData sheetId="0"/>
      <sheetData sheetId="1"/>
      <sheetData sheetId="2" refreshError="1"/>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RATES INCLUDING TRANSPORATION"/>
      <sheetName val="Distances"/>
      <sheetName val="Site Clearance"/>
      <sheetName val="Excavation"/>
      <sheetName val="Filling"/>
      <sheetName val="Formwork"/>
      <sheetName val="Concrete"/>
      <sheetName val="Reinforcement"/>
      <sheetName val="Brickwork"/>
      <sheetName val="Plaster"/>
      <sheetName val="Masonry"/>
      <sheetName val="Gabion"/>
      <sheetName val="Grouting"/>
      <sheetName val="Protection"/>
      <sheetName val="Geotextile"/>
      <sheetName val="Roofing"/>
      <sheetName val="Painting"/>
      <sheetName val="Doors &amp; Windows"/>
      <sheetName val="Screeding &amp; Punning"/>
      <sheetName val="Underground"/>
      <sheetName val="Additionals"/>
      <sheetName val="Summary"/>
    </sheetNames>
    <sheetDataSet>
      <sheetData sheetId="0" refreshError="1">
        <row r="24">
          <cell r="D24">
            <v>660</v>
          </cell>
        </row>
        <row r="26">
          <cell r="D26">
            <v>450</v>
          </cell>
        </row>
        <row r="127">
          <cell r="D127">
            <v>450</v>
          </cell>
        </row>
      </sheetData>
      <sheetData sheetId="1" refreshError="1"/>
      <sheetData sheetId="2" refreshError="1">
        <row r="5">
          <cell r="B5" t="str">
            <v>BESISAHAR</v>
          </cell>
          <cell r="C5">
            <v>0</v>
          </cell>
          <cell r="D5">
            <v>0</v>
          </cell>
          <cell r="E5">
            <v>0</v>
          </cell>
        </row>
        <row r="6">
          <cell r="B6" t="str">
            <v>KATHMANDU</v>
          </cell>
          <cell r="C6">
            <v>172.4</v>
          </cell>
          <cell r="D6">
            <v>0</v>
          </cell>
          <cell r="E6">
            <v>0</v>
          </cell>
        </row>
        <row r="7">
          <cell r="B7" t="str">
            <v>POKHARA</v>
          </cell>
          <cell r="C7">
            <v>111.54</v>
          </cell>
          <cell r="D7">
            <v>0</v>
          </cell>
          <cell r="E7">
            <v>0</v>
          </cell>
        </row>
        <row r="8">
          <cell r="B8" t="str">
            <v>NARAYANGHAT</v>
          </cell>
          <cell r="C8">
            <v>103.95</v>
          </cell>
          <cell r="D8">
            <v>0</v>
          </cell>
          <cell r="E8">
            <v>0</v>
          </cell>
        </row>
        <row r="9">
          <cell r="B9" t="str">
            <v>BUTWAL</v>
          </cell>
          <cell r="C9">
            <v>217.75</v>
          </cell>
          <cell r="D9">
            <v>0</v>
          </cell>
          <cell r="E9">
            <v>0</v>
          </cell>
        </row>
        <row r="10">
          <cell r="B10" t="str">
            <v>BHAIRAHAWA</v>
          </cell>
          <cell r="C10">
            <v>236.72</v>
          </cell>
          <cell r="D10">
            <v>0</v>
          </cell>
          <cell r="E10">
            <v>0</v>
          </cell>
        </row>
        <row r="11">
          <cell r="B11" t="str">
            <v>NEPALGUNJ</v>
          </cell>
          <cell r="C11">
            <v>469.96</v>
          </cell>
          <cell r="D11">
            <v>0</v>
          </cell>
          <cell r="E11">
            <v>0</v>
          </cell>
        </row>
        <row r="12">
          <cell r="B12" t="str">
            <v>MUGLING</v>
          </cell>
          <cell r="C12">
            <v>67.790000000000006</v>
          </cell>
          <cell r="D12">
            <v>0</v>
          </cell>
          <cell r="E12">
            <v>0</v>
          </cell>
        </row>
        <row r="13">
          <cell r="B13" t="str">
            <v>DUMRE</v>
          </cell>
          <cell r="C13">
            <v>43.43</v>
          </cell>
          <cell r="D13">
            <v>0</v>
          </cell>
          <cell r="E13">
            <v>0</v>
          </cell>
        </row>
        <row r="14">
          <cell r="B14" t="str">
            <v>MALANGAWA</v>
          </cell>
          <cell r="C14">
            <v>303</v>
          </cell>
          <cell r="D14">
            <v>0</v>
          </cell>
          <cell r="E14">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RATES INCLUDING TRANSPORATION"/>
      <sheetName val="Distances"/>
      <sheetName val="Site Clearance"/>
      <sheetName val="Excavation"/>
      <sheetName val="Filling"/>
      <sheetName val="Formwork"/>
      <sheetName val="Concrete"/>
      <sheetName val="Reinforcement"/>
      <sheetName val="Brickwork"/>
      <sheetName val="Plaster"/>
      <sheetName val="Masonry"/>
      <sheetName val="Gabion"/>
      <sheetName val="Grouting"/>
      <sheetName val="Protection"/>
      <sheetName val="Geotextile"/>
      <sheetName val="Roofing"/>
      <sheetName val="Painting"/>
      <sheetName val="Doors &amp; Windows"/>
      <sheetName val="Screeding &amp; Punning"/>
      <sheetName val="Underground"/>
      <sheetName val="Additionals"/>
      <sheetName val="Summary"/>
    </sheetNames>
    <sheetDataSet>
      <sheetData sheetId="0" refreshError="1">
        <row r="24">
          <cell r="D24">
            <v>660</v>
          </cell>
        </row>
        <row r="26">
          <cell r="D26">
            <v>450</v>
          </cell>
        </row>
        <row r="127">
          <cell r="D127">
            <v>450</v>
          </cell>
        </row>
      </sheetData>
      <sheetData sheetId="1" refreshError="1"/>
      <sheetData sheetId="2" refreshError="1">
        <row r="5">
          <cell r="B5" t="str">
            <v>BESISAHAR</v>
          </cell>
          <cell r="C5">
            <v>0</v>
          </cell>
          <cell r="D5">
            <v>0</v>
          </cell>
          <cell r="E5">
            <v>0</v>
          </cell>
        </row>
        <row r="6">
          <cell r="B6" t="str">
            <v>KATHMANDU</v>
          </cell>
          <cell r="C6">
            <v>172.4</v>
          </cell>
          <cell r="D6">
            <v>0</v>
          </cell>
          <cell r="E6">
            <v>0</v>
          </cell>
        </row>
        <row r="7">
          <cell r="B7" t="str">
            <v>POKHARA</v>
          </cell>
          <cell r="C7">
            <v>111.54</v>
          </cell>
          <cell r="D7">
            <v>0</v>
          </cell>
          <cell r="E7">
            <v>0</v>
          </cell>
        </row>
        <row r="8">
          <cell r="B8" t="str">
            <v>NARAYANGHAT</v>
          </cell>
          <cell r="C8">
            <v>103.95</v>
          </cell>
          <cell r="D8">
            <v>0</v>
          </cell>
          <cell r="E8">
            <v>0</v>
          </cell>
        </row>
        <row r="9">
          <cell r="B9" t="str">
            <v>BUTWAL</v>
          </cell>
          <cell r="C9">
            <v>217.75</v>
          </cell>
          <cell r="D9">
            <v>0</v>
          </cell>
          <cell r="E9">
            <v>0</v>
          </cell>
        </row>
        <row r="10">
          <cell r="B10" t="str">
            <v>BHAIRAHAWA</v>
          </cell>
          <cell r="C10">
            <v>236.72</v>
          </cell>
          <cell r="D10">
            <v>0</v>
          </cell>
          <cell r="E10">
            <v>0</v>
          </cell>
        </row>
        <row r="11">
          <cell r="B11" t="str">
            <v>NEPALGUNJ</v>
          </cell>
          <cell r="C11">
            <v>469.96</v>
          </cell>
          <cell r="D11">
            <v>0</v>
          </cell>
          <cell r="E11">
            <v>0</v>
          </cell>
        </row>
        <row r="12">
          <cell r="B12" t="str">
            <v>MUGLING</v>
          </cell>
          <cell r="C12">
            <v>67.790000000000006</v>
          </cell>
          <cell r="D12">
            <v>0</v>
          </cell>
          <cell r="E12">
            <v>0</v>
          </cell>
        </row>
        <row r="13">
          <cell r="B13" t="str">
            <v>DUMRE</v>
          </cell>
          <cell r="C13">
            <v>43.43</v>
          </cell>
          <cell r="D13">
            <v>0</v>
          </cell>
          <cell r="E13">
            <v>0</v>
          </cell>
        </row>
        <row r="14">
          <cell r="B14" t="str">
            <v>MALANGAWA</v>
          </cell>
          <cell r="C14">
            <v>303</v>
          </cell>
          <cell r="D14">
            <v>0</v>
          </cell>
          <cell r="E14">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works"/>
      <sheetName val="Summary Sheet @Headworks"/>
      <sheetName val="Head Race Tunnel"/>
      <sheetName val="Niche Excavation"/>
      <sheetName val="Summary Sheet HRT_Niche"/>
      <sheetName val="Adit Tunnel 1"/>
      <sheetName val="Summary Sheet Adit 1"/>
      <sheetName val="Adit Tunnel 2"/>
      <sheetName val="Summary Sheet Adit 2"/>
      <sheetName val="Surge Tank"/>
      <sheetName val="Summary SHeet S_Tank_Rock Trap"/>
      <sheetName val="Adit to Surge Shaft"/>
      <sheetName val="Summary Sheet Adit to Surgge"/>
      <sheetName val="Prnstock Shaft "/>
      <sheetName val="Summary Sheet Penstock Shaft"/>
      <sheetName val="Adit to Penstock Shaft"/>
      <sheetName val="Summary Sheet Adit to Penstock "/>
      <sheetName val="Access to Penstock Shaft Frm PH"/>
      <sheetName val="Summary Sheet Access to Penstoc"/>
      <sheetName val="powerhouse "/>
      <sheetName val="tailrace canal and portal"/>
      <sheetName val="transformer cavern"/>
      <sheetName val="access tunneL  and portaL"/>
      <sheetName val="tailrace tunnel"/>
      <sheetName val="final summary sheet"/>
      <sheetName val="Final Summary SHeet All"/>
      <sheetName val="Summary of Civil Works"/>
      <sheetName val="Basic Rates"/>
      <sheetName val="RATES INCLUDING TRANSPORATION"/>
      <sheetName val="Distances"/>
      <sheetName val="Site Clearance"/>
      <sheetName val="Excavation"/>
      <sheetName val="Filling"/>
      <sheetName val="Dry stone soling"/>
      <sheetName val="Formwork"/>
      <sheetName val="Surface_Rockbolt"/>
      <sheetName val="Surface Water Stopper"/>
      <sheetName val="Concrete"/>
      <sheetName val="Reinforcement"/>
      <sheetName val="Underground Reinforcement"/>
      <sheetName val="Brickwork"/>
      <sheetName val="Plaster"/>
      <sheetName val="Masonry"/>
      <sheetName val="Gabion"/>
      <sheetName val="Grouting"/>
      <sheetName val="Protection(Boulder Riprap)"/>
      <sheetName val="Geotextile"/>
      <sheetName val="Roofing"/>
      <sheetName val="Painting"/>
      <sheetName val="Doors &amp; Windows"/>
      <sheetName val="Screeding &amp; Punning"/>
      <sheetName val="Surface Shotcrete"/>
      <sheetName val="Boulder Riprap"/>
      <sheetName val="Hard stone lining"/>
      <sheetName val="Underground"/>
      <sheetName val="Laying stone Aggregate"/>
      <sheetName val="Surface Wiremesh"/>
      <sheetName val="Exploratory Drilling"/>
      <sheetName val="Mucking"/>
      <sheetName val="Underground Formworks"/>
      <sheetName val="Steel Ribs"/>
      <sheetName val="Additionals"/>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8">
          <cell r="D38">
            <v>784.16000000000008</v>
          </cell>
        </row>
        <row r="134">
          <cell r="D134">
            <v>324.48</v>
          </cell>
        </row>
        <row r="143">
          <cell r="D143">
            <v>1946.88</v>
          </cell>
        </row>
        <row r="144">
          <cell r="D144">
            <v>2271.36</v>
          </cell>
        </row>
      </sheetData>
      <sheetData sheetId="28">
        <row r="20">
          <cell r="V20">
            <v>1865.76</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 val="Headrace Canal "/>
      <sheetName val="Submergence"/>
      <sheetName val="Headrace Tunnel I"/>
      <sheetName val="Headrace Tunnel II Phase 1"/>
      <sheetName val="Headrace Canal Option II"/>
      <sheetName val="Headrace Tunnel II Phase 2"/>
      <sheetName val="Basic Design"/>
      <sheetName val="HeadLossApril (2)"/>
      <sheetName val="Headloss final"/>
    </sheetNames>
    <sheetDataSet>
      <sheetData sheetId="0"/>
      <sheetData sheetId="1"/>
      <sheetData sheetId="2"/>
      <sheetData sheetId="3"/>
      <sheetData sheetId="4">
        <row r="22">
          <cell r="B22">
            <v>207.30894043101549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 val="Headrace Canal "/>
      <sheetName val="Submergence"/>
      <sheetName val="Headrace Tunnel I"/>
      <sheetName val="Headrace Tunnel II Phase 1"/>
      <sheetName val="Headrace Canal Option II"/>
      <sheetName val="Headrace Tunnel II Phase 2"/>
      <sheetName val="Basic Design"/>
      <sheetName val="HeadLossApril (2)"/>
    </sheetNames>
    <sheetDataSet>
      <sheetData sheetId="0"/>
      <sheetData sheetId="1"/>
      <sheetData sheetId="2"/>
      <sheetData sheetId="3"/>
      <sheetData sheetId="4">
        <row r="22">
          <cell r="B22">
            <v>207.30894043101549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Format A (2)"/>
      <sheetName val="Side Intake and Orifice"/>
      <sheetName val="Trashracks"/>
      <sheetName val="Gravel Trap"/>
      <sheetName val="Gravel Flushing Chanel"/>
      <sheetName val="Intake Canal"/>
      <sheetName val="Settling Basin"/>
      <sheetName val="Settling Flushing Chanel "/>
      <sheetName val="Headrace Canal "/>
      <sheetName val="Headrace Tunnel1 - Option 1"/>
      <sheetName val="Headrace Canal  (2)"/>
      <sheetName val="Headrace Tunnel2 - Option 1"/>
      <sheetName val="Headrace Tunnel - Option2"/>
      <sheetName val="HeadLoss"/>
      <sheetName val="Hydraulic Gadient"/>
      <sheetName val="Format A"/>
    </sheetNames>
    <sheetDataSet>
      <sheetData sheetId="0" refreshError="1">
        <row r="7">
          <cell r="B7">
            <v>2.94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0">
          <cell r="C10">
            <v>0.02</v>
          </cell>
        </row>
      </sheetData>
      <sheetData sheetId="14" refreshError="1">
        <row r="31">
          <cell r="I31">
            <v>2.8266242162540216</v>
          </cell>
        </row>
      </sheetData>
      <sheetData sheetId="15" refreshError="1"/>
      <sheetData sheetId="16" refreshError="1">
        <row r="20">
          <cell r="H20">
            <v>3.375</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Format A (2)"/>
      <sheetName val="Side Intake and Orifice"/>
      <sheetName val="Trashracks"/>
      <sheetName val="Gravel Trap"/>
      <sheetName val="Gravel Flushing Chanel"/>
      <sheetName val="Intake Canal"/>
      <sheetName val="Settling Basin"/>
      <sheetName val="Settling Flushing Chanel "/>
      <sheetName val="Headrace Canal "/>
      <sheetName val="Headrace Tunnel1 - Option 1"/>
      <sheetName val="Headrace Canal  (2)"/>
      <sheetName val="Headrace Tunnel2 - Option 1"/>
      <sheetName val="Headrace Tunnel - Option2"/>
      <sheetName val="HeadLoss"/>
      <sheetName val="Hydraulic Gadient"/>
      <sheetName val="Format A"/>
    </sheetNames>
    <sheetDataSet>
      <sheetData sheetId="0" refreshError="1">
        <row r="7">
          <cell r="B7">
            <v>2.94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0">
          <cell r="C10">
            <v>0.02</v>
          </cell>
        </row>
      </sheetData>
      <sheetData sheetId="14" refreshError="1">
        <row r="31">
          <cell r="I31">
            <v>2.8266242162540216</v>
          </cell>
        </row>
      </sheetData>
      <sheetData sheetId="15" refreshError="1"/>
      <sheetData sheetId="16" refreshError="1">
        <row r="20">
          <cell r="H20">
            <v>3.375</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s>
    <sheetDataSet>
      <sheetData sheetId="0"/>
      <sheetData sheetId="1" refreshError="1"/>
      <sheetData sheetId="2" refreshError="1"/>
      <sheetData sheetId="3" refreshError="1"/>
      <sheetData sheetId="4"/>
      <sheetData sheetId="5"/>
      <sheetData sheetId="6">
        <row r="14">
          <cell r="B14">
            <v>1535.41</v>
          </cell>
        </row>
        <row r="19">
          <cell r="B19">
            <v>1537.81</v>
          </cell>
        </row>
      </sheetData>
      <sheetData sheetId="7"/>
      <sheetData sheetId="8"/>
      <sheetData sheetId="9"/>
      <sheetData sheetId="10">
        <row r="18">
          <cell r="H18">
            <v>1.6415788877562578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s>
    <sheetDataSet>
      <sheetData sheetId="0"/>
      <sheetData sheetId="1" refreshError="1"/>
      <sheetData sheetId="2" refreshError="1"/>
      <sheetData sheetId="3" refreshError="1"/>
      <sheetData sheetId="4"/>
      <sheetData sheetId="5"/>
      <sheetData sheetId="6">
        <row r="14">
          <cell r="B14">
            <v>1535.41</v>
          </cell>
        </row>
        <row r="19">
          <cell r="B19">
            <v>1537.81</v>
          </cell>
        </row>
      </sheetData>
      <sheetData sheetId="7"/>
      <sheetData sheetId="8"/>
      <sheetData sheetId="9"/>
      <sheetData sheetId="10">
        <row r="18">
          <cell r="H18">
            <v>1.6415788877562578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rLH"/>
      <sheetName val="WeirLH (as MicroH)(ok)"/>
      <sheetName val="Hydraulic jump (Dip)"/>
      <sheetName val="Hydraulic Jump (2)"/>
      <sheetName val="HJ-Profile"/>
      <sheetName val="Free flow weir in flood flow"/>
      <sheetName val="Exit gradient"/>
      <sheetName val="Scour depth"/>
      <sheetName val="Sheet1"/>
      <sheetName val="stnUS"/>
      <sheetName val="stnD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rLH"/>
      <sheetName val="WeirLH (as MicroH)(ok)"/>
      <sheetName val="Hydraulic jump (Dip)"/>
      <sheetName val="Hydraulic Jump (2)"/>
      <sheetName val="HJ-Profile"/>
      <sheetName val="Free flow weir in flood flow"/>
      <sheetName val="Exit gradient"/>
      <sheetName val="Scour depth"/>
      <sheetName val="Sheet1"/>
      <sheetName val="stnUS"/>
      <sheetName val="stnD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Input_def"/>
      <sheetName val="Input_opt"/>
      <sheetName val="Database"/>
      <sheetName val="UnitCost"/>
      <sheetName val="1.5MVASS_b3"/>
      <sheetName val="3MVASS_b2"/>
      <sheetName val="6MVASS_b1"/>
      <sheetName val="TL_Cost"/>
      <sheetName val="Kevin'slaw"/>
      <sheetName val="Reliability_Analysis"/>
      <sheetName val="Conductor_selection"/>
      <sheetName val="Chart1"/>
      <sheetName val="Summary"/>
      <sheetName val="output_Reprt"/>
      <sheetName val="R_X values"/>
      <sheetName val="PU_RX"/>
      <sheetName val="shee3"/>
    </sheetNames>
    <sheetDataSet>
      <sheetData sheetId="0">
        <row r="27">
          <cell r="C27" t="str">
            <v>Lag</v>
          </cell>
        </row>
        <row r="28">
          <cell r="C28" t="str">
            <v>Lead</v>
          </cell>
        </row>
        <row r="45">
          <cell r="C45">
            <v>11</v>
          </cell>
        </row>
        <row r="46">
          <cell r="C46">
            <v>33</v>
          </cell>
        </row>
        <row r="47">
          <cell r="C47">
            <v>66</v>
          </cell>
        </row>
        <row r="48">
          <cell r="C48">
            <v>132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sluice hydraulics NWL  (2)"/>
      <sheetName val="fine trash rack "/>
      <sheetName val="submergence depth "/>
      <sheetName val="side intake "/>
      <sheetName val="hl loss"/>
      <sheetName val="gravel trap "/>
      <sheetName val="fixing of water way crest "/>
      <sheetName val="undersluice hydraulics HFL"/>
      <sheetName val="undersluice hydraulics NWL "/>
      <sheetName val="undersluice HFL "/>
      <sheetName val="boulder weir "/>
      <sheetName val="ogee weir "/>
      <sheetName val="head over the weir "/>
      <sheetName val="sheet pile "/>
      <sheetName val="khosla analysis"/>
      <sheetName val="floor thickness "/>
      <sheetName val="Protection works "/>
      <sheetName val="vertical drop weir "/>
      <sheetName val="undersluice "/>
      <sheetName val="Sheet1"/>
      <sheetName val="Sheet2"/>
      <sheetName val="Sheet3"/>
    </sheetNames>
    <sheetDataSet>
      <sheetData sheetId="0"/>
      <sheetData sheetId="1"/>
      <sheetData sheetId="2"/>
      <sheetData sheetId="3"/>
      <sheetData sheetId="4"/>
      <sheetData sheetId="5"/>
      <sheetData sheetId="6">
        <row r="1">
          <cell r="D1">
            <v>426</v>
          </cell>
        </row>
        <row r="2">
          <cell r="D2">
            <v>426</v>
          </cell>
        </row>
        <row r="348">
          <cell r="D348">
            <v>12</v>
          </cell>
        </row>
        <row r="349">
          <cell r="D349">
            <v>2</v>
          </cell>
        </row>
        <row r="351">
          <cell r="D351">
            <v>412</v>
          </cell>
        </row>
        <row r="353">
          <cell r="D353">
            <v>10.3</v>
          </cell>
        </row>
        <row r="397">
          <cell r="D397">
            <v>40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s>
    <sheetDataSet>
      <sheetData sheetId="0"/>
      <sheetData sheetId="1" refreshError="1"/>
      <sheetData sheetId="2" refreshError="1"/>
      <sheetData sheetId="3" refreshError="1"/>
      <sheetData sheetId="4"/>
      <sheetData sheetId="5"/>
      <sheetData sheetId="6"/>
      <sheetData sheetId="7"/>
      <sheetData sheetId="8"/>
      <sheetData sheetId="9"/>
      <sheetData sheetId="10">
        <row r="22">
          <cell r="H22">
            <v>51.720844308653703</v>
          </cell>
        </row>
      </sheetData>
      <sheetData sheetId="11"/>
      <sheetData sheetId="12"/>
      <sheetData sheetId="13"/>
      <sheetData sheetId="14"/>
      <sheetData sheetId="15">
        <row r="20">
          <cell r="C20">
            <v>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Data"/>
      <sheetName val="Hydrograph"/>
      <sheetName val="Return Period"/>
      <sheetName val="Flow Duration Curve"/>
      <sheetName val="Hydrology"/>
      <sheetName val="Metrology  Data"/>
      <sheetName val="Water Level"/>
      <sheetName val="Weir Design"/>
      <sheetName val="Weir Uplift"/>
      <sheetName val="Format A (2)"/>
      <sheetName val="Side Intake and Orifice"/>
      <sheetName val="Trashracks"/>
      <sheetName val="Gravel Trap"/>
      <sheetName val="Gravel Flushing Chanel"/>
      <sheetName val="Intake Canal"/>
      <sheetName val="Settling Basin"/>
      <sheetName val="Settling Flushing Chanel "/>
      <sheetName val="Headrace Tunnel1 - Option 1"/>
      <sheetName val="Headrace Canal  (2)"/>
      <sheetName val="Headrace Canal  (3)"/>
      <sheetName val="Headrace Tunnel2 - Option 1"/>
      <sheetName val="Headrace Tunnel2 - Option 1 (2)"/>
      <sheetName val="Headrace Tunnel - Option2"/>
      <sheetName val="HeadLoss"/>
      <sheetName val="Hydraulic Gadient"/>
      <sheetName val="Hydraulic Gadient (2)"/>
      <sheetName val="HeadLoss (2)"/>
      <sheetName val="HeadLoss HFL"/>
      <sheetName val="HeadLossApril"/>
      <sheetName val="HeadLossApril (3)"/>
      <sheetName val="Headrace Tunnel III Phase 1"/>
      <sheetName val="Headrace Canal Option III"/>
      <sheetName val="Headrace Tunnel III Phase 2"/>
      <sheetName val="Surge Shaft 3m dia"/>
      <sheetName val="Surge Shaft 4m dia"/>
      <sheetName val="Penstock"/>
      <sheetName val="Side Intake and Orifice (2)"/>
      <sheetName val="Headrace Canal  before st"/>
      <sheetName val="Format A (3)"/>
      <sheetName val="Hydraulig Jump"/>
    </sheetNames>
    <sheetDataSet>
      <sheetData sheetId="0"/>
      <sheetData sheetId="1" refreshError="1"/>
      <sheetData sheetId="2" refreshError="1"/>
      <sheetData sheetId="3" refreshError="1"/>
      <sheetData sheetId="4"/>
      <sheetData sheetId="5"/>
      <sheetData sheetId="6"/>
      <sheetData sheetId="7"/>
      <sheetData sheetId="8"/>
      <sheetData sheetId="9"/>
      <sheetData sheetId="10">
        <row r="22">
          <cell r="H22">
            <v>51.720844308653703</v>
          </cell>
        </row>
      </sheetData>
      <sheetData sheetId="11"/>
      <sheetData sheetId="12"/>
      <sheetData sheetId="13"/>
      <sheetData sheetId="14"/>
      <sheetData sheetId="15">
        <row r="20">
          <cell r="C20">
            <v>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 COST"/>
      <sheetName val="Summary item rate- underground"/>
      <sheetName val="Summary item rate - surface"/>
      <sheetName val="RATE"/>
      <sheetName val="FS cost estimate"/>
      <sheetName val="Gates and Trashrack QTY"/>
      <sheetName val="HM (I)"/>
      <sheetName val="HM (FSR)"/>
      <sheetName val="HM (II)"/>
      <sheetName val="HM (III)"/>
      <sheetName val="HM (Pref)"/>
      <sheetName val="HM"/>
      <sheetName val="EM and TL"/>
      <sheetName val="Project Cost NRS (FSR)"/>
      <sheetName val="Project Cost NRS (I)"/>
      <sheetName val="BoQ "/>
      <sheetName val="Civil summary "/>
      <sheetName val="Project Cost NRS (II)"/>
      <sheetName val="Project Cost NRS (III)"/>
      <sheetName val="Project Cost NRS (Pref)"/>
      <sheetName val="FS cost estimate (2)"/>
      <sheetName val="BOQ comparision"/>
      <sheetName val="FSR_BOQ Summary (HCE)"/>
      <sheetName val="BOQ Summary(I)"/>
      <sheetName val="BOQ Summary (II)"/>
      <sheetName val="BOQ Summary(III)"/>
      <sheetName val="BOQ Summary (Pref)"/>
      <sheetName val="BOQ Summary"/>
      <sheetName val="Comparision Chart"/>
      <sheetName val="FSR_BOQ Summary"/>
      <sheetName val="FSR_HCE MODIFIED COST"/>
      <sheetName val="diversion"/>
      <sheetName val="weir and stilling basin"/>
      <sheetName val="undersluice and trashpassage"/>
      <sheetName val="intake, GT&amp;Flushing Culvert"/>
      <sheetName val="approach culvert"/>
      <sheetName val="SUMMARY"/>
      <sheetName val="Settling Basin"/>
      <sheetName val="inlet portal"/>
      <sheetName val="SETTLING"/>
      <sheetName val="Access Tunnel"/>
      <sheetName val="Approach Tunnel"/>
      <sheetName val="Adit Tunnel(A1)"/>
      <sheetName val="Tunnel to HRT"/>
      <sheetName val="HEADRACE TUNNEL"/>
      <sheetName val="HEADRACE TUNNEL-FSR"/>
      <sheetName val="Adit Tunnel"/>
      <sheetName val="Drop Shaft 1"/>
      <sheetName val="Drop Shaft 2"/>
      <sheetName val="Tunnel betn 2 drop shaft"/>
      <sheetName val="Tunnel towards PH"/>
      <sheetName val="rock trap"/>
      <sheetName val="Outlet portal"/>
      <sheetName val="ADIT PORTAL"/>
      <sheetName val="bulk head gate"/>
      <sheetName val="penstock"/>
      <sheetName val="anchor block"/>
      <sheetName val="surgeshaft"/>
      <sheetName val="Anchor Block Saddle Support"/>
      <sheetName val="summary penstock, tailrace, ph"/>
      <sheetName val="powerhouse"/>
      <sheetName val="Switchyard "/>
      <sheetName val="tailrace"/>
      <sheetName val="approach canal and culvert"/>
      <sheetName val="gravel flushing culvert"/>
      <sheetName val="FOREBAY"/>
      <sheetName val="sediment flushing spillway"/>
      <sheetName val="Coffer dam &amp; Diversion"/>
      <sheetName val="Project Cost NRS"/>
      <sheetName val="BoQ"/>
      <sheetName val="BoQ_formated for tender_2"/>
      <sheetName val="BoQ Summary for Tender_1"/>
      <sheetName val="Dayworks schedule_3"/>
      <sheetName val="Land Aquisition"/>
      <sheetName val="HM Cost"/>
      <sheetName val="EM Cost"/>
      <sheetName val="1.Coffer Dam(Temp diversion)"/>
      <sheetName val="Sheet1"/>
      <sheetName val="Sheet2"/>
      <sheetName val="2. Collection Pond"/>
      <sheetName val="3.Siphon Main Section"/>
      <sheetName val="4.Headpond  and Spillway"/>
      <sheetName val="4. Power Culvert"/>
      <sheetName val="5. Floodwall Headworks"/>
      <sheetName val="4.1.Inlet portal"/>
      <sheetName val="4.4.Outlet Portal"/>
      <sheetName val="5.HRT Tunnel"/>
      <sheetName val="6.Surge Tunnel"/>
      <sheetName val="7.Surge portal"/>
      <sheetName val="7.Adit Tunnel"/>
      <sheetName val="4.2. Adit Portal"/>
      <sheetName val="Surge ventilation"/>
      <sheetName val="Surge Shaft"/>
      <sheetName val="9.Powerhouse"/>
      <sheetName val="10.Tailrace"/>
      <sheetName val="Switchyard"/>
      <sheetName val="Powerhouse Floodwall"/>
      <sheetName val="12.ROAD"/>
    </sheetNames>
    <sheetDataSet>
      <sheetData sheetId="0"/>
      <sheetData sheetId="1"/>
      <sheetData sheetId="2"/>
      <sheetData sheetId="3">
        <row r="8">
          <cell r="J8">
            <v>89.100000000000009</v>
          </cell>
        </row>
        <row r="42">
          <cell r="J42">
            <v>135000</v>
          </cell>
        </row>
      </sheetData>
      <sheetData sheetId="4">
        <row r="2">
          <cell r="F2">
            <v>167689971</v>
          </cell>
        </row>
      </sheetData>
      <sheetData sheetId="5"/>
      <sheetData sheetId="6">
        <row r="26">
          <cell r="F26">
            <v>624700906.39473927</v>
          </cell>
        </row>
      </sheetData>
      <sheetData sheetId="7"/>
      <sheetData sheetId="8">
        <row r="26">
          <cell r="F26">
            <v>636768389.45869505</v>
          </cell>
        </row>
      </sheetData>
      <sheetData sheetId="9">
        <row r="26">
          <cell r="F26">
            <v>672805954.60668683</v>
          </cell>
        </row>
      </sheetData>
      <sheetData sheetId="10"/>
      <sheetData sheetId="11">
        <row r="26">
          <cell r="F26">
            <v>585000000</v>
          </cell>
        </row>
      </sheetData>
      <sheetData sheetId="12"/>
      <sheetData sheetId="13"/>
      <sheetData sheetId="14">
        <row r="8">
          <cell r="E8">
            <v>86691.973800089312</v>
          </cell>
        </row>
      </sheetData>
      <sheetData sheetId="15"/>
      <sheetData sheetId="16"/>
      <sheetData sheetId="17">
        <row r="8">
          <cell r="E8">
            <v>86691.973800089312</v>
          </cell>
        </row>
      </sheetData>
      <sheetData sheetId="18">
        <row r="8">
          <cell r="E8">
            <v>86691.973800089312</v>
          </cell>
        </row>
      </sheetData>
      <sheetData sheetId="19"/>
      <sheetData sheetId="20"/>
      <sheetData sheetId="21"/>
      <sheetData sheetId="22">
        <row r="206">
          <cell r="F206">
            <v>377186883.33901012</v>
          </cell>
        </row>
      </sheetData>
      <sheetData sheetId="23">
        <row r="165">
          <cell r="F165">
            <v>1922825565.164448</v>
          </cell>
        </row>
      </sheetData>
      <sheetData sheetId="24">
        <row r="165">
          <cell r="F165">
            <v>1922825565.164448</v>
          </cell>
        </row>
      </sheetData>
      <sheetData sheetId="25">
        <row r="165">
          <cell r="F165">
            <v>1922825565.164448</v>
          </cell>
        </row>
      </sheetData>
      <sheetData sheetId="26"/>
      <sheetData sheetId="27"/>
      <sheetData sheetId="28">
        <row r="6">
          <cell r="C6">
            <v>1140</v>
          </cell>
        </row>
      </sheetData>
      <sheetData sheetId="29"/>
      <sheetData sheetId="30"/>
      <sheetData sheetId="31">
        <row r="16">
          <cell r="J16">
            <v>41889408.347132958</v>
          </cell>
        </row>
      </sheetData>
      <sheetData sheetId="32">
        <row r="5">
          <cell r="B5">
            <v>0</v>
          </cell>
        </row>
      </sheetData>
      <sheetData sheetId="33"/>
      <sheetData sheetId="34"/>
      <sheetData sheetId="35"/>
      <sheetData sheetId="36">
        <row r="35">
          <cell r="C35">
            <v>0</v>
          </cell>
        </row>
      </sheetData>
      <sheetData sheetId="37"/>
      <sheetData sheetId="38">
        <row r="8">
          <cell r="I8">
            <v>9126408.1951655038</v>
          </cell>
        </row>
      </sheetData>
      <sheetData sheetId="39"/>
      <sheetData sheetId="40"/>
      <sheetData sheetId="41"/>
      <sheetData sheetId="42"/>
      <sheetData sheetId="43">
        <row r="23">
          <cell r="J23">
            <v>574.3895080759371</v>
          </cell>
        </row>
      </sheetData>
      <sheetData sheetId="44">
        <row r="23">
          <cell r="J23">
            <v>115993.37469450643</v>
          </cell>
        </row>
      </sheetData>
      <sheetData sheetId="45"/>
      <sheetData sheetId="46">
        <row r="23">
          <cell r="J23">
            <v>17435.862816181896</v>
          </cell>
        </row>
      </sheetData>
      <sheetData sheetId="47">
        <row r="23">
          <cell r="J23">
            <v>2093.3924107379248</v>
          </cell>
        </row>
      </sheetData>
      <sheetData sheetId="48">
        <row r="23">
          <cell r="J23">
            <v>2074.2365495326612</v>
          </cell>
        </row>
      </sheetData>
      <sheetData sheetId="49">
        <row r="23">
          <cell r="J23">
            <v>3485.5054462418802</v>
          </cell>
        </row>
      </sheetData>
      <sheetData sheetId="50">
        <row r="23">
          <cell r="J23">
            <v>4172.5609391619555</v>
          </cell>
        </row>
      </sheetData>
      <sheetData sheetId="51">
        <row r="11">
          <cell r="M11">
            <v>1738489.9384999999</v>
          </cell>
        </row>
      </sheetData>
      <sheetData sheetId="52"/>
      <sheetData sheetId="53">
        <row r="109">
          <cell r="L109">
            <v>65745340.131945714</v>
          </cell>
        </row>
      </sheetData>
      <sheetData sheetId="54"/>
      <sheetData sheetId="55">
        <row r="9">
          <cell r="B9" t="str">
            <v>Site clearance</v>
          </cell>
        </row>
      </sheetData>
      <sheetData sheetId="56"/>
      <sheetData sheetId="57">
        <row r="13">
          <cell r="J13">
            <v>144.21275</v>
          </cell>
        </row>
      </sheetData>
      <sheetData sheetId="58">
        <row r="15">
          <cell r="J15">
            <v>13389.420000000002</v>
          </cell>
        </row>
      </sheetData>
      <sheetData sheetId="59">
        <row r="69">
          <cell r="D69">
            <v>1300</v>
          </cell>
        </row>
      </sheetData>
      <sheetData sheetId="60">
        <row r="7">
          <cell r="C7" t="str">
            <v>Site Clearance</v>
          </cell>
        </row>
      </sheetData>
      <sheetData sheetId="61">
        <row r="12">
          <cell r="H12">
            <v>3941</v>
          </cell>
        </row>
      </sheetData>
      <sheetData sheetId="62">
        <row r="7">
          <cell r="B7">
            <v>1</v>
          </cell>
        </row>
      </sheetData>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mechap070071"/>
      <sheetName val="District rates"/>
      <sheetName val="basic-rates at project site"/>
      <sheetName val="summary"/>
      <sheetName val="Siteprep"/>
      <sheetName val="Excavation"/>
      <sheetName val="Concrete and rebar work"/>
      <sheetName val="backfilling"/>
      <sheetName val="gabion"/>
      <sheetName val="stonemas"/>
      <sheetName val="formworks"/>
      <sheetName val="Plaster etc"/>
      <sheetName val="Painting work"/>
      <sheetName val="Brickwork"/>
      <sheetName val="Woodwork"/>
      <sheetName val="Metalwork"/>
      <sheetName val="Fencing work"/>
      <sheetName val="flooring"/>
      <sheetName val="False ceiling"/>
      <sheetName val="humepipe"/>
      <sheetName val="Sheet1"/>
    </sheetNames>
    <sheetDataSet>
      <sheetData sheetId="0"/>
      <sheetData sheetId="1"/>
      <sheetData sheetId="2">
        <row r="23">
          <cell r="F23" t="str">
            <v>NPR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ign Data"/>
      <sheetName val="Plan Sheet"/>
      <sheetName val="Plan"/>
      <sheetName val="Calculations"/>
      <sheetName val="Help"/>
    </sheetNames>
    <sheetDataSet>
      <sheetData sheetId="0" refreshError="1"/>
      <sheetData sheetId="1" refreshError="1"/>
      <sheetData sheetId="2" refreshError="1"/>
      <sheetData sheetId="3">
        <row r="27">
          <cell r="S27" t="str">
            <v>unstable</v>
          </cell>
        </row>
      </sheetData>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ter elev."/>
      <sheetName val="Water level"/>
      <sheetName val="Final"/>
      <sheetName val="Final_int"/>
      <sheetName val="Low bed"/>
      <sheetName val="Low bed_int"/>
      <sheetName val="subs weir(100)"/>
      <sheetName val="Design @10"/>
      <sheetName val="subs weir(ds)"/>
      <sheetName val="Final (drain holes)"/>
      <sheetName val="Final (d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ter elev."/>
      <sheetName val="Water level"/>
      <sheetName val="Final"/>
      <sheetName val="Final_int"/>
      <sheetName val="Low bed"/>
      <sheetName val="Low bed_int"/>
      <sheetName val="subs weir(100)"/>
      <sheetName val="Design @10"/>
      <sheetName val="subs weir(ds)"/>
      <sheetName val="Final (drain holes)"/>
      <sheetName val="Final (d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nnel excavation rate"/>
      <sheetName val=" Excavation_ Breakdown"/>
      <sheetName val="Transport (2)"/>
      <sheetName val="Assumption"/>
      <sheetName val="Materials rate"/>
      <sheetName val="Summary item rate - surface"/>
      <sheetName val="Summary item rate- underground"/>
      <sheetName val="Rate of local material"/>
      <sheetName val="Tranportation_norms"/>
      <sheetName val="Transport"/>
      <sheetName val="Summary Item rate-surface"/>
      <sheetName val="Transportation"/>
      <sheetName val="basic-rates"/>
      <sheetName val="Equipment cost rate"/>
      <sheetName val="Site prp."/>
      <sheetName val="Excavation"/>
      <sheetName val="Summary_surface Excavation"/>
      <sheetName val="hauling"/>
      <sheetName val="Backfilling"/>
      <sheetName val="Investigation Drilling"/>
      <sheetName val="Concrete"/>
      <sheetName val="Reinforcement"/>
      <sheetName val="Formwork"/>
      <sheetName val="Stone Masonry"/>
      <sheetName val="Gabion"/>
      <sheetName val="Filter"/>
      <sheetName val="Stone Pitching"/>
      <sheetName val="Boulder lining"/>
      <sheetName val="Geotextile"/>
      <sheetName val="subbase-gravel"/>
      <sheetName val="Brickwork"/>
      <sheetName val="Plaster"/>
      <sheetName val="woodwork"/>
      <sheetName val="roofing"/>
      <sheetName val="Painting"/>
      <sheetName val="Fencing"/>
      <sheetName val="Embankment"/>
      <sheetName val="Surfcace Rockbolt"/>
      <sheetName val="tunnel pre 5.65m dia"/>
      <sheetName val="3.2 m dia twin tunnel"/>
      <sheetName val="stone soling"/>
      <sheetName val="misc"/>
      <sheetName val="Summary(underground)"/>
      <sheetName val="Labor rate -undergrounds"/>
      <sheetName val="compare"/>
      <sheetName val="tunnel exc."/>
      <sheetName val="mucking"/>
      <sheetName val="Rockbolt "/>
      <sheetName val="Shotcrete"/>
      <sheetName val="100 -350 mm Shotcrete "/>
      <sheetName val="wiremesh"/>
      <sheetName val="wire mesh"/>
      <sheetName val="Concrete-underground"/>
      <sheetName val="Formworks- Steel"/>
      <sheetName val="steel ribs "/>
      <sheetName val="Grouting"/>
      <sheetName val="injection grouting"/>
    </sheetNames>
    <sheetDataSet>
      <sheetData sheetId="0"/>
      <sheetData sheetId="1"/>
      <sheetData sheetId="2"/>
      <sheetData sheetId="3">
        <row r="2">
          <cell r="A2" t="str">
            <v>Landruk Modi Hydropower Project(RATE ANALYSIS)</v>
          </cell>
        </row>
      </sheetData>
      <sheetData sheetId="4"/>
      <sheetData sheetId="5">
        <row r="17">
          <cell r="D17">
            <v>70.122399999999999</v>
          </cell>
        </row>
      </sheetData>
      <sheetData sheetId="6">
        <row r="7">
          <cell r="D7">
            <v>7949.2254999999996</v>
          </cell>
        </row>
      </sheetData>
      <sheetData sheetId="7"/>
      <sheetData sheetId="8"/>
      <sheetData sheetId="9">
        <row r="5">
          <cell r="K5">
            <v>113.89</v>
          </cell>
        </row>
      </sheetData>
      <sheetData sheetId="10"/>
      <sheetData sheetId="11">
        <row r="7">
          <cell r="AA7">
            <v>9.2903040000000006E-2</v>
          </cell>
        </row>
      </sheetData>
      <sheetData sheetId="12">
        <row r="98">
          <cell r="D98">
            <v>2004.68</v>
          </cell>
        </row>
      </sheetData>
      <sheetData sheetId="13"/>
      <sheetData sheetId="14">
        <row r="7">
          <cell r="H7">
            <v>325.59999999999997</v>
          </cell>
        </row>
      </sheetData>
      <sheetData sheetId="15">
        <row r="7">
          <cell r="H7">
            <v>555</v>
          </cell>
        </row>
      </sheetData>
      <sheetData sheetId="16">
        <row r="12">
          <cell r="B12" t="str">
            <v>Excavation on common Soil including disposal using equipment(upto 10m lead and 1.5m lift)</v>
          </cell>
        </row>
      </sheetData>
      <sheetData sheetId="17">
        <row r="39">
          <cell r="H39">
            <v>296</v>
          </cell>
        </row>
      </sheetData>
      <sheetData sheetId="18">
        <row r="4">
          <cell r="B4" t="str">
            <v>Filling with ordinary soils in 15 cm thick layers and hand compaction (haulage distance 10 m ) With sprinkling water</v>
          </cell>
        </row>
      </sheetData>
      <sheetData sheetId="19">
        <row r="13">
          <cell r="H13">
            <v>19094.926599999999</v>
          </cell>
        </row>
      </sheetData>
      <sheetData sheetId="20">
        <row r="4">
          <cell r="B4" t="str">
            <v xml:space="preserve">Machine Mixed Concreting Works(of Foundations,super structures,  including supply of materials and haulage dist up to 30 m) Concrete grade C35 </v>
          </cell>
        </row>
      </sheetData>
      <sheetData sheetId="21">
        <row r="13">
          <cell r="H13">
            <v>146524.71999999997</v>
          </cell>
        </row>
      </sheetData>
      <sheetData sheetId="22">
        <row r="11">
          <cell r="H11">
            <v>3055</v>
          </cell>
        </row>
      </sheetData>
      <sheetData sheetId="23">
        <row r="4">
          <cell r="B4" t="str">
            <v>Rubble masonry works including supply of hard stone blocks, preparing cement mortar, and const. of wall (up to 5 m high and lead up to 30 m ) using Machine</v>
          </cell>
        </row>
      </sheetData>
      <sheetData sheetId="24">
        <row r="10">
          <cell r="H10">
            <v>687.8</v>
          </cell>
        </row>
      </sheetData>
      <sheetData sheetId="25">
        <row r="4">
          <cell r="B4" t="str">
            <v>Laying 500 mm thick filter layer of 75mm to 6mm stone aggregates including haulage up to 10m distance.</v>
          </cell>
        </row>
      </sheetData>
      <sheetData sheetId="26">
        <row r="4">
          <cell r="B4" t="str">
            <v>Providing &amp; laying dry stone pitching in protection work, lead 30m lift 1.5m with dtone size not less than 0.01 m3 including levelling etc. complete</v>
          </cell>
        </row>
      </sheetData>
      <sheetData sheetId="27">
        <row r="21">
          <cell r="B21" t="str">
            <v>Boulder Riprap for scour protection and river training works with stone weighing not less than 75 kg and packed with stone 20-40 kg, lead 30m</v>
          </cell>
        </row>
      </sheetData>
      <sheetData sheetId="28">
        <row r="4">
          <cell r="B4" t="str">
            <v>Supply and Laying of geotextile materials</v>
          </cell>
        </row>
      </sheetData>
      <sheetData sheetId="29">
        <row r="8">
          <cell r="H8">
            <v>34.85</v>
          </cell>
        </row>
      </sheetData>
      <sheetData sheetId="30">
        <row r="4">
          <cell r="B4" t="str">
            <v>Brick work in 1:3 cement sand mortar (Machine Mixed)</v>
          </cell>
        </row>
      </sheetData>
      <sheetData sheetId="31">
        <row r="4">
          <cell r="B4" t="str">
            <v>Providing and applying 12.5 mm thick cement plaster including mortar mixing, scaffolding, curing etc complete as per specification lead 30 m (manual mixing)</v>
          </cell>
        </row>
      </sheetData>
      <sheetData sheetId="32">
        <row r="4">
          <cell r="B4" t="str">
            <v>Making salwood frame and fixing of door size 900 x 2100 mm  (75mm X 100mm)</v>
          </cell>
        </row>
      </sheetData>
      <sheetData sheetId="33">
        <row r="4">
          <cell r="B4" t="str">
            <v>CGI Sheet roofing works with supply of materials complete</v>
          </cell>
        </row>
      </sheetData>
      <sheetData sheetId="34">
        <row r="4">
          <cell r="B4" t="str">
            <v>Two coats of white washing</v>
          </cell>
        </row>
      </sheetData>
      <sheetData sheetId="35">
        <row r="4">
          <cell r="B4" t="str">
            <v>Barbed wire fencing works with five rows and two diagonal barbed wires and column at 3m spacing ,size of timber column is 75 mm * 100 mm * 2100 mm</v>
          </cell>
        </row>
      </sheetData>
      <sheetData sheetId="36">
        <row r="4">
          <cell r="B4" t="str">
            <v>Formation of embankment of river materials/tunnel muck including compaction in layers not exceeding 150 mm, watering and haulage 10 m etc. all complete as per specification using roller</v>
          </cell>
        </row>
      </sheetData>
      <sheetData sheetId="37">
        <row r="4">
          <cell r="B4" t="str">
            <v xml:space="preserve">Installation of rock bolt (25 mm dia or as specified grouted) in fractured rock , drill dia &lt; 120 mm including drilling work </v>
          </cell>
        </row>
      </sheetData>
      <sheetData sheetId="38">
        <row r="6">
          <cell r="E6">
            <v>61.6</v>
          </cell>
        </row>
      </sheetData>
      <sheetData sheetId="39"/>
      <sheetData sheetId="40">
        <row r="4">
          <cell r="B4" t="str">
            <v>Stone Soiling</v>
          </cell>
        </row>
      </sheetData>
      <sheetData sheetId="41">
        <row r="11">
          <cell r="H11">
            <v>194.5</v>
          </cell>
        </row>
      </sheetData>
      <sheetData sheetId="42"/>
      <sheetData sheetId="43"/>
      <sheetData sheetId="44"/>
      <sheetData sheetId="45">
        <row r="24">
          <cell r="H24">
            <v>3256</v>
          </cell>
        </row>
      </sheetData>
      <sheetData sheetId="46">
        <row r="19">
          <cell r="H19">
            <v>118.80000000000001</v>
          </cell>
        </row>
      </sheetData>
      <sheetData sheetId="47">
        <row r="8">
          <cell r="K8">
            <v>5.7800396087530954</v>
          </cell>
        </row>
      </sheetData>
      <sheetData sheetId="48"/>
      <sheetData sheetId="49">
        <row r="255">
          <cell r="K255">
            <v>400</v>
          </cell>
        </row>
      </sheetData>
      <sheetData sheetId="50"/>
      <sheetData sheetId="51">
        <row r="9">
          <cell r="H9">
            <v>281.16000000000003</v>
          </cell>
        </row>
      </sheetData>
      <sheetData sheetId="52">
        <row r="5">
          <cell r="K5">
            <v>0.45</v>
          </cell>
        </row>
      </sheetData>
      <sheetData sheetId="53">
        <row r="15">
          <cell r="R15">
            <v>0</v>
          </cell>
        </row>
      </sheetData>
      <sheetData sheetId="54">
        <row r="5">
          <cell r="K5">
            <v>515.5335</v>
          </cell>
        </row>
      </sheetData>
      <sheetData sheetId="55"/>
      <sheetData sheetId="56">
        <row r="12">
          <cell r="H12">
            <v>1338.9750000000001</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form"/>
      <sheetName val="BoQ-draft"/>
      <sheetName val="BoQ-submitted"/>
      <sheetName val="Sheet2"/>
      <sheetName val="Sheet3"/>
    </sheetNames>
    <sheetDataSet>
      <sheetData sheetId="0"/>
      <sheetData sheetId="1">
        <row r="6">
          <cell r="I6">
            <v>75.3</v>
          </cell>
        </row>
      </sheetData>
      <sheetData sheetId="2"/>
      <sheetData sheetId="3"/>
      <sheetData sheetId="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form"/>
      <sheetName val="BoQ-draft"/>
      <sheetName val="BoQ-submitted"/>
      <sheetName val="Sheet2"/>
      <sheetName val="Sheet3"/>
    </sheetNames>
    <sheetDataSet>
      <sheetData sheetId="0"/>
      <sheetData sheetId="1">
        <row r="6">
          <cell r="I6">
            <v>75.3</v>
          </cell>
        </row>
      </sheetData>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s"/>
      <sheetName val="Input Data"/>
      <sheetName val="Forces and Checks"/>
      <sheetName val="Final Shape&amp; Force Diag."/>
    </sheetNames>
    <sheetDataSet>
      <sheetData sheetId="0"/>
      <sheetData sheetId="1">
        <row r="16">
          <cell r="I16">
            <v>7</v>
          </cell>
        </row>
        <row r="17">
          <cell r="I17">
            <v>1.9686005621452132</v>
          </cell>
        </row>
        <row r="19">
          <cell r="N19">
            <v>6.9966861224231085</v>
          </cell>
        </row>
        <row r="20">
          <cell r="N20">
            <v>3.9009677961912455</v>
          </cell>
        </row>
      </sheetData>
      <sheetData sheetId="2"/>
      <sheetData sheetId="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s"/>
      <sheetName val="Input Data"/>
      <sheetName val="Forces and Checks"/>
      <sheetName val="Final Shape&amp; Force Diag."/>
    </sheetNames>
    <sheetDataSet>
      <sheetData sheetId="0"/>
      <sheetData sheetId="1">
        <row r="16">
          <cell r="I16">
            <v>7</v>
          </cell>
        </row>
        <row r="17">
          <cell r="I17">
            <v>1.9686005621452132</v>
          </cell>
        </row>
        <row r="19">
          <cell r="N19">
            <v>6.9966861224231085</v>
          </cell>
        </row>
        <row r="20">
          <cell r="N20">
            <v>3.9009677961912455</v>
          </cell>
        </row>
      </sheetData>
      <sheetData sheetId="2"/>
      <sheetData sheetId="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mization (2)"/>
      <sheetName val="A"/>
      <sheetName val="B"/>
      <sheetName val="C"/>
      <sheetName val="D"/>
      <sheetName val="E"/>
      <sheetName val="F"/>
      <sheetName val="G"/>
      <sheetName val="H"/>
      <sheetName val="I"/>
      <sheetName val="Optimization"/>
      <sheetName val="cost estimation_1"/>
      <sheetName val="Input Sheet"/>
      <sheetName val="adit_tunnel"/>
      <sheetName val="J"/>
      <sheetName val="K"/>
      <sheetName val="L"/>
      <sheetName val="M"/>
      <sheetName val="N"/>
      <sheetName val="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C7">
            <v>5200</v>
          </cell>
        </row>
      </sheetData>
      <sheetData sheetId="13"/>
      <sheetData sheetId="14"/>
      <sheetData sheetId="15"/>
      <sheetData sheetId="16"/>
      <sheetData sheetId="17"/>
      <sheetData sheetId="18"/>
      <sheetData sheetId="1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istances"/>
      <sheetName val="RATES INCLUDING TRANSPORATION"/>
      <sheetName val="Site Clearance"/>
      <sheetName val="Excavation"/>
      <sheetName val="Filling"/>
      <sheetName val="Dry stone soling"/>
      <sheetName val="Formwork"/>
      <sheetName val="Surface_Rockbolt"/>
      <sheetName val="Surface Water Stopper"/>
      <sheetName val="Concrete"/>
      <sheetName val="Underground Concrete"/>
      <sheetName val="Reinforcement"/>
      <sheetName val="Underground Reinforcement"/>
      <sheetName val="Brickwork"/>
      <sheetName val="Plaster"/>
      <sheetName val="Masonry"/>
      <sheetName val="Gabion"/>
      <sheetName val="Grouting"/>
      <sheetName val="Protection(Boulder Riprap)"/>
      <sheetName val="Geotextile"/>
      <sheetName val="Roofing"/>
      <sheetName val="Painting"/>
      <sheetName val="Doors &amp; Windows"/>
      <sheetName val="Screeding &amp; Punning"/>
      <sheetName val="Boulder Riprap"/>
      <sheetName val="Exploratory Drilling 1"/>
      <sheetName val="Surface Shotcrete"/>
      <sheetName val="Underground"/>
      <sheetName val="Spilling rate"/>
      <sheetName val="Exploratory Drilling"/>
      <sheetName val="Mucking"/>
      <sheetName val="Underground Formworks"/>
      <sheetName val="U Formworks for vertical shaft"/>
      <sheetName val="Sheet3"/>
      <sheetName val="Steel Ribs"/>
      <sheetName val="Additionals"/>
      <sheetName val="Summary"/>
      <sheetName val="Sheet1"/>
    </sheetNames>
    <sheetDataSet>
      <sheetData sheetId="0" refreshError="1"/>
      <sheetData sheetId="1" refreshError="1"/>
      <sheetData sheetId="2" refreshError="1"/>
      <sheetData sheetId="3" refreshError="1"/>
      <sheetData sheetId="4" refreshError="1"/>
      <sheetData sheetId="5" refreshError="1"/>
      <sheetData sheetId="6" refreshError="1">
        <row r="14">
          <cell r="H14">
            <v>4965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7">
          <cell r="H17">
            <v>4485.5</v>
          </cell>
        </row>
      </sheetData>
      <sheetData sheetId="26" refreshError="1"/>
      <sheetData sheetId="27" refreshError="1"/>
      <sheetData sheetId="28" refreshError="1">
        <row r="148">
          <cell r="H148">
            <v>2755.1750000000002</v>
          </cell>
        </row>
        <row r="149">
          <cell r="H149">
            <v>5510.35</v>
          </cell>
        </row>
        <row r="180">
          <cell r="H180">
            <v>5767.1</v>
          </cell>
        </row>
        <row r="181">
          <cell r="H181">
            <v>8650.65</v>
          </cell>
        </row>
      </sheetData>
      <sheetData sheetId="29" refreshError="1"/>
      <sheetData sheetId="30" refreshError="1"/>
      <sheetData sheetId="31" refreshError="1"/>
      <sheetData sheetId="32" refreshError="1">
        <row r="16">
          <cell r="H16">
            <v>1351.7811658333335</v>
          </cell>
        </row>
        <row r="32">
          <cell r="H32">
            <v>1116.875515</v>
          </cell>
        </row>
      </sheetData>
      <sheetData sheetId="33" refreshError="1"/>
      <sheetData sheetId="34" refreshError="1"/>
      <sheetData sheetId="35" refreshError="1"/>
      <sheetData sheetId="36" refreshError="1"/>
      <sheetData sheetId="37" refreshError="1">
        <row r="7">
          <cell r="K7">
            <v>40.5</v>
          </cell>
        </row>
        <row r="22">
          <cell r="K22">
            <v>351.34500000000003</v>
          </cell>
        </row>
        <row r="24">
          <cell r="K24">
            <v>1375.6949999999999</v>
          </cell>
        </row>
        <row r="51">
          <cell r="K51">
            <v>216.5</v>
          </cell>
        </row>
        <row r="54">
          <cell r="K54">
            <v>1563.5</v>
          </cell>
        </row>
        <row r="61">
          <cell r="K61">
            <v>1226.1157142857141</v>
          </cell>
        </row>
        <row r="128">
          <cell r="K128">
            <v>13018</v>
          </cell>
        </row>
        <row r="134">
          <cell r="K134">
            <v>18138</v>
          </cell>
        </row>
        <row r="140">
          <cell r="K140">
            <v>25291.875</v>
          </cell>
        </row>
        <row r="144">
          <cell r="K144">
            <v>11390.5</v>
          </cell>
        </row>
        <row r="149">
          <cell r="K149">
            <v>176233</v>
          </cell>
        </row>
        <row r="172">
          <cell r="K172">
            <v>9781.5</v>
          </cell>
        </row>
        <row r="183">
          <cell r="K183">
            <v>5201.5</v>
          </cell>
        </row>
        <row r="189">
          <cell r="K189">
            <v>54.5</v>
          </cell>
        </row>
        <row r="199">
          <cell r="K199">
            <v>233</v>
          </cell>
        </row>
        <row r="222">
          <cell r="K222">
            <v>6624.65</v>
          </cell>
        </row>
        <row r="224">
          <cell r="K224">
            <v>16575</v>
          </cell>
        </row>
        <row r="225">
          <cell r="K225">
            <v>10548</v>
          </cell>
        </row>
        <row r="230">
          <cell r="K230">
            <v>5767.1</v>
          </cell>
        </row>
        <row r="235">
          <cell r="K235">
            <v>655</v>
          </cell>
        </row>
        <row r="241">
          <cell r="K241">
            <v>3755.5</v>
          </cell>
        </row>
        <row r="243">
          <cell r="K243">
            <v>4779</v>
          </cell>
        </row>
        <row r="244">
          <cell r="K244">
            <v>5984.5</v>
          </cell>
        </row>
        <row r="256">
          <cell r="K256">
            <v>16339.5</v>
          </cell>
        </row>
        <row r="257">
          <cell r="K257">
            <v>19397</v>
          </cell>
        </row>
        <row r="266">
          <cell r="K266">
            <v>338528.5</v>
          </cell>
        </row>
        <row r="279">
          <cell r="K279">
            <v>183080</v>
          </cell>
        </row>
      </sheetData>
      <sheetData sheetId="3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2)"/>
      <sheetName val="4.Approach culvcert RIYAZ"/>
      <sheetName val="civil cost"/>
      <sheetName val="Steel Cost"/>
      <sheetName val="BoQ Summary_ "/>
      <sheetName val="General Items"/>
      <sheetName val="Project Cost NRS (2)"/>
      <sheetName val="BoQ items with Description"/>
      <sheetName val="Myagdi Diversion"/>
      <sheetName val="Kunaban Diversion"/>
      <sheetName val="HM_Pipe Cost"/>
      <sheetName val="Connecting Canal"/>
      <sheetName val="Provisional Sum"/>
      <sheetName val="Daywork Schedule"/>
      <sheetName val="Summary"/>
      <sheetName val="Rate_Surface"/>
      <sheetName val="cost per unit length"/>
      <sheetName val="Cost comparision prefeasibility"/>
      <sheetName val="Project Cost NRS"/>
      <sheetName val="Headworks river protection"/>
      <sheetName val="Weir &amp; Stilling basin"/>
      <sheetName val="Undersluice, T.passage,Fish.Lad"/>
      <sheetName val="Intake and Gravel Trap"/>
      <sheetName val="S.basin,HP&amp;Spillway(Opt.1)"/>
      <sheetName val="Headrace Pipe (Opt. 1)"/>
      <sheetName val="Approach Canal(opt. 2)"/>
      <sheetName val="S.basin,HP&amp;Spillway(Opt.2)"/>
      <sheetName val="Audit tunnel Portal"/>
      <sheetName val="Portals"/>
      <sheetName val="5. Portals"/>
      <sheetName val="6. Headrace Tunnel"/>
      <sheetName val="Surface Penstock"/>
      <sheetName val="8. Ventilation Tunnel"/>
      <sheetName val="10. Vertical Penstock Shaft"/>
      <sheetName val="11. Inclined Penstock Tunnel"/>
      <sheetName val="Inlet Portal"/>
      <sheetName val="HRT  (Alt.)"/>
      <sheetName val="Adit Tunnel"/>
      <sheetName val="Surge "/>
      <sheetName val="Aeration tunnel (Alt.)"/>
      <sheetName val="Outlet Portal"/>
      <sheetName val="Vertical Shaft"/>
      <sheetName val="Valve Control Tunnel (Alt.)"/>
      <sheetName val="Valve House Access Portal"/>
      <sheetName val="Valve house Access Tunnel"/>
      <sheetName val="Horizontal Shaft Tunnel-I"/>
      <sheetName val="Horizontal Shaft Tunnel-II"/>
      <sheetName val="Powrhouse Adit Portal"/>
      <sheetName val="Powerhouse Adit Tunnel"/>
      <sheetName val="Powerhouse"/>
      <sheetName val="Switchyard "/>
      <sheetName val="Tailrace Culvert"/>
      <sheetName val="Rivertraining at Powerhouse"/>
      <sheetName val="12. Powerhouse &amp; Control Buildi"/>
      <sheetName val="13. Tailrace Canal"/>
      <sheetName val="15. Ghatte Khola Diversion"/>
      <sheetName val="14. Protection Work at PH Site"/>
      <sheetName val="15. Ghatte Khola Diversion_new"/>
      <sheetName val="Sheet1"/>
      <sheetName val="Surge Tunnel+Portal"/>
    </sheetNames>
    <sheetDataSet>
      <sheetData sheetId="0"/>
      <sheetData sheetId="1"/>
      <sheetData sheetId="2"/>
      <sheetData sheetId="3"/>
      <sheetData sheetId="4"/>
      <sheetData sheetId="5"/>
      <sheetData sheetId="6"/>
      <sheetData sheetId="7">
        <row r="12">
          <cell r="F12">
            <v>25718437.0196013</v>
          </cell>
        </row>
        <row r="23">
          <cell r="F23">
            <v>36492905.090000004</v>
          </cell>
        </row>
        <row r="42">
          <cell r="F42">
            <v>87618444.320000008</v>
          </cell>
        </row>
        <row r="56">
          <cell r="F56">
            <v>115484609.46000001</v>
          </cell>
        </row>
        <row r="250">
          <cell r="F250">
            <v>1323443637.26667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Sheet1"/>
      <sheetName val="Spell Number"/>
    </sheetNames>
    <definedNames>
      <definedName name="SpellNumber"/>
    </definedNames>
    <sheetDataSet>
      <sheetData sheetId="0" refreshError="1"/>
      <sheetData sheetId="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6.xml"/><Relationship Id="rId1" Type="http://schemas.openxmlformats.org/officeDocument/2006/relationships/printerSettings" Target="../printerSettings/printerSettings22.bin"/><Relationship Id="rId4" Type="http://schemas.openxmlformats.org/officeDocument/2006/relationships/comments" Target="../comments13.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23.bin"/><Relationship Id="rId4" Type="http://schemas.openxmlformats.org/officeDocument/2006/relationships/comments" Target="../comments1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9.xml"/><Relationship Id="rId1" Type="http://schemas.openxmlformats.org/officeDocument/2006/relationships/printerSettings" Target="../printerSettings/printerSettings25.bin"/><Relationship Id="rId4" Type="http://schemas.openxmlformats.org/officeDocument/2006/relationships/comments" Target="../comments1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0.xml"/><Relationship Id="rId1" Type="http://schemas.openxmlformats.org/officeDocument/2006/relationships/printerSettings" Target="../printerSettings/printerSettings26.bin"/><Relationship Id="rId4" Type="http://schemas.openxmlformats.org/officeDocument/2006/relationships/comments" Target="../comments1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printerSettings" Target="../printerSettings/printerSettings27.bin"/><Relationship Id="rId4" Type="http://schemas.openxmlformats.org/officeDocument/2006/relationships/comments" Target="../comments1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2.xml"/><Relationship Id="rId1" Type="http://schemas.openxmlformats.org/officeDocument/2006/relationships/printerSettings" Target="../printerSettings/printerSettings28.bin"/><Relationship Id="rId4" Type="http://schemas.openxmlformats.org/officeDocument/2006/relationships/comments" Target="../comments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4.xml"/><Relationship Id="rId1" Type="http://schemas.openxmlformats.org/officeDocument/2006/relationships/printerSettings" Target="../printerSettings/printerSettings30.bin"/><Relationship Id="rId4" Type="http://schemas.openxmlformats.org/officeDocument/2006/relationships/comments" Target="../comments19.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5.xml"/><Relationship Id="rId1" Type="http://schemas.openxmlformats.org/officeDocument/2006/relationships/printerSettings" Target="../printerSettings/printerSettings31.bin"/><Relationship Id="rId4" Type="http://schemas.openxmlformats.org/officeDocument/2006/relationships/comments" Target="../comments20.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6.xml"/><Relationship Id="rId1" Type="http://schemas.openxmlformats.org/officeDocument/2006/relationships/printerSettings" Target="../printerSettings/printerSettings32.bin"/><Relationship Id="rId4" Type="http://schemas.openxmlformats.org/officeDocument/2006/relationships/comments" Target="../comments21.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8.xml"/><Relationship Id="rId1" Type="http://schemas.openxmlformats.org/officeDocument/2006/relationships/printerSettings" Target="../printerSettings/printerSettings34.bin"/><Relationship Id="rId4" Type="http://schemas.openxmlformats.org/officeDocument/2006/relationships/comments" Target="../comments22.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9.xml"/><Relationship Id="rId1" Type="http://schemas.openxmlformats.org/officeDocument/2006/relationships/printerSettings" Target="../printerSettings/printerSettings35.bin"/><Relationship Id="rId4" Type="http://schemas.openxmlformats.org/officeDocument/2006/relationships/comments" Target="../comments23.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9.xml"/><Relationship Id="rId1" Type="http://schemas.openxmlformats.org/officeDocument/2006/relationships/printerSettings" Target="../printerSettings/printerSettings45.bin"/><Relationship Id="rId4" Type="http://schemas.openxmlformats.org/officeDocument/2006/relationships/comments" Target="../comments24.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40.xml"/><Relationship Id="rId1" Type="http://schemas.openxmlformats.org/officeDocument/2006/relationships/printerSettings" Target="../printerSettings/printerSettings46.bin"/><Relationship Id="rId4" Type="http://schemas.openxmlformats.org/officeDocument/2006/relationships/comments" Target="../comments25.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1.xml"/><Relationship Id="rId1" Type="http://schemas.openxmlformats.org/officeDocument/2006/relationships/printerSettings" Target="../printerSettings/printerSettings52.bin"/><Relationship Id="rId4" Type="http://schemas.openxmlformats.org/officeDocument/2006/relationships/comments" Target="../comments28.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drawing" Target="../drawings/drawing45.xml"/></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46.xml"/><Relationship Id="rId1" Type="http://schemas.openxmlformats.org/officeDocument/2006/relationships/printerSettings" Target="../printerSettings/printerSettings55.bin"/><Relationship Id="rId4" Type="http://schemas.openxmlformats.org/officeDocument/2006/relationships/comments" Target="../comments3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5.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drawing" Target="../drawings/drawing49.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60.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55.xml"/><Relationship Id="rId1" Type="http://schemas.openxmlformats.org/officeDocument/2006/relationships/printerSettings" Target="../printerSettings/printerSettings61.bin"/><Relationship Id="rId4" Type="http://schemas.openxmlformats.org/officeDocument/2006/relationships/comments" Target="../comments33.xml"/></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56.xml"/><Relationship Id="rId1" Type="http://schemas.openxmlformats.org/officeDocument/2006/relationships/printerSettings" Target="../printerSettings/printerSettings62.bin"/><Relationship Id="rId4" Type="http://schemas.openxmlformats.org/officeDocument/2006/relationships/comments" Target="../comments34.xml"/></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57.xml"/><Relationship Id="rId1" Type="http://schemas.openxmlformats.org/officeDocument/2006/relationships/printerSettings" Target="../printerSettings/printerSettings63.bin"/><Relationship Id="rId4" Type="http://schemas.openxmlformats.org/officeDocument/2006/relationships/comments" Target="../comments35.xml"/></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58.xml"/><Relationship Id="rId1" Type="http://schemas.openxmlformats.org/officeDocument/2006/relationships/printerSettings" Target="../printerSettings/printerSettings64.bin"/><Relationship Id="rId4" Type="http://schemas.openxmlformats.org/officeDocument/2006/relationships/comments" Target="../comments36.xml"/></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59.xml"/><Relationship Id="rId1" Type="http://schemas.openxmlformats.org/officeDocument/2006/relationships/printerSettings" Target="../printerSettings/printerSettings65.bin"/><Relationship Id="rId4" Type="http://schemas.openxmlformats.org/officeDocument/2006/relationships/comments" Target="../comments37.xml"/></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60.xml"/><Relationship Id="rId1" Type="http://schemas.openxmlformats.org/officeDocument/2006/relationships/printerSettings" Target="../printerSettings/printerSettings66.bin"/><Relationship Id="rId4" Type="http://schemas.openxmlformats.org/officeDocument/2006/relationships/comments" Target="../comments38.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7.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2:E81"/>
  <sheetViews>
    <sheetView workbookViewId="0"/>
  </sheetViews>
  <sheetFormatPr defaultColWidth="9.109375" defaultRowHeight="16.8"/>
  <cols>
    <col min="1" max="1" width="13.33203125" style="4" bestFit="1" customWidth="1"/>
    <col min="2" max="2" width="38.6640625" style="4" bestFit="1" customWidth="1"/>
    <col min="3" max="3" width="9.109375" style="1"/>
    <col min="4" max="4" width="28.44140625" style="4" customWidth="1"/>
    <col min="5" max="16384" width="9.109375" style="4"/>
  </cols>
  <sheetData>
    <row r="2" spans="1:4">
      <c r="A2" s="50" t="s">
        <v>0</v>
      </c>
      <c r="B2" s="51" t="s">
        <v>95</v>
      </c>
    </row>
    <row r="3" spans="1:4">
      <c r="A3" s="53" t="s">
        <v>1</v>
      </c>
      <c r="B3" s="98" t="s">
        <v>181</v>
      </c>
    </row>
    <row r="4" spans="1:4">
      <c r="A4" s="53" t="s">
        <v>2</v>
      </c>
      <c r="B4" s="54" t="s">
        <v>180</v>
      </c>
    </row>
    <row r="5" spans="1:4">
      <c r="A5" s="53" t="s">
        <v>4</v>
      </c>
      <c r="B5" s="52"/>
    </row>
    <row r="6" spans="1:4">
      <c r="A6" s="52"/>
      <c r="B6" s="52"/>
    </row>
    <row r="7" spans="1:4">
      <c r="A7" s="53" t="s">
        <v>5</v>
      </c>
      <c r="B7" s="52" t="s">
        <v>96</v>
      </c>
    </row>
    <row r="8" spans="1:4">
      <c r="A8" s="53" t="s">
        <v>6</v>
      </c>
      <c r="B8" s="55">
        <v>42787</v>
      </c>
    </row>
    <row r="10" spans="1:4" ht="42.75" customHeight="1">
      <c r="A10" s="43" t="s">
        <v>32</v>
      </c>
      <c r="B10" s="43" t="s">
        <v>33</v>
      </c>
      <c r="D10" s="43" t="s">
        <v>34</v>
      </c>
    </row>
    <row r="11" spans="1:4" ht="20.25" customHeight="1">
      <c r="A11" s="14">
        <v>1</v>
      </c>
      <c r="B11" s="24" t="s">
        <v>35</v>
      </c>
      <c r="C11" s="14" t="s">
        <v>19</v>
      </c>
      <c r="D11" s="14">
        <v>48</v>
      </c>
    </row>
    <row r="12" spans="1:4" ht="20.25" customHeight="1">
      <c r="A12" s="14"/>
      <c r="B12" s="24"/>
      <c r="C12" s="14"/>
      <c r="D12" s="14"/>
    </row>
    <row r="13" spans="1:4" ht="20.25" customHeight="1">
      <c r="A13" s="14">
        <v>2</v>
      </c>
      <c r="B13" s="24" t="s">
        <v>65</v>
      </c>
      <c r="C13" s="14" t="s">
        <v>21</v>
      </c>
      <c r="D13" s="14">
        <v>180</v>
      </c>
    </row>
    <row r="14" spans="1:4">
      <c r="A14" s="14">
        <v>3</v>
      </c>
      <c r="B14" s="24" t="s">
        <v>39</v>
      </c>
      <c r="C14" s="14" t="s">
        <v>21</v>
      </c>
      <c r="D14" s="14">
        <v>220</v>
      </c>
    </row>
    <row r="15" spans="1:4">
      <c r="A15" s="14">
        <v>4</v>
      </c>
      <c r="B15" s="24" t="s">
        <v>63</v>
      </c>
      <c r="C15" s="14" t="s">
        <v>21</v>
      </c>
      <c r="D15" s="14">
        <v>920</v>
      </c>
    </row>
    <row r="16" spans="1:4">
      <c r="A16" s="14">
        <v>5</v>
      </c>
      <c r="B16" s="24" t="s">
        <v>28</v>
      </c>
      <c r="C16" s="14" t="s">
        <v>21</v>
      </c>
      <c r="D16" s="25">
        <v>1500</v>
      </c>
    </row>
    <row r="17" spans="1:4">
      <c r="A17" s="14"/>
      <c r="B17" s="24"/>
      <c r="C17" s="14"/>
      <c r="D17" s="25"/>
    </row>
    <row r="18" spans="1:4">
      <c r="A18" s="14">
        <v>6</v>
      </c>
      <c r="B18" s="24" t="s">
        <v>31</v>
      </c>
      <c r="C18" s="14" t="s">
        <v>21</v>
      </c>
      <c r="D18" s="14">
        <v>120</v>
      </c>
    </row>
    <row r="19" spans="1:4">
      <c r="A19" s="14">
        <v>7</v>
      </c>
      <c r="B19" s="24" t="s">
        <v>91</v>
      </c>
      <c r="C19" s="14" t="s">
        <v>21</v>
      </c>
      <c r="D19" s="14">
        <v>180</v>
      </c>
    </row>
    <row r="20" spans="1:4">
      <c r="A20" s="14"/>
      <c r="B20" s="24"/>
      <c r="C20" s="14"/>
      <c r="D20" s="14"/>
    </row>
    <row r="21" spans="1:4">
      <c r="A21" s="14">
        <v>8</v>
      </c>
      <c r="B21" s="24" t="s">
        <v>36</v>
      </c>
      <c r="C21" s="14" t="s">
        <v>19</v>
      </c>
      <c r="D21" s="14">
        <v>120</v>
      </c>
    </row>
    <row r="22" spans="1:4">
      <c r="A22" s="14"/>
      <c r="B22" s="24"/>
      <c r="C22" s="14"/>
      <c r="D22" s="14"/>
    </row>
    <row r="23" spans="1:4">
      <c r="A23" s="14"/>
      <c r="B23" s="24"/>
      <c r="C23" s="14"/>
      <c r="D23" s="14"/>
    </row>
    <row r="24" spans="1:4">
      <c r="A24" s="14">
        <v>9</v>
      </c>
      <c r="B24" s="24" t="s">
        <v>67</v>
      </c>
      <c r="C24" s="14" t="s">
        <v>21</v>
      </c>
      <c r="D24" s="14">
        <v>11500</v>
      </c>
    </row>
    <row r="25" spans="1:4">
      <c r="A25" s="14">
        <v>10</v>
      </c>
      <c r="B25" s="24" t="s">
        <v>68</v>
      </c>
      <c r="C25" s="14" t="s">
        <v>21</v>
      </c>
      <c r="D25" s="14">
        <v>13500</v>
      </c>
    </row>
    <row r="26" spans="1:4">
      <c r="A26" s="14">
        <v>11</v>
      </c>
      <c r="B26" s="24" t="s">
        <v>69</v>
      </c>
      <c r="C26" s="14" t="s">
        <v>21</v>
      </c>
      <c r="D26" s="14">
        <v>15500</v>
      </c>
    </row>
    <row r="27" spans="1:4">
      <c r="A27" s="14">
        <v>12</v>
      </c>
      <c r="B27" s="24" t="s">
        <v>70</v>
      </c>
      <c r="C27" s="14" t="s">
        <v>21</v>
      </c>
      <c r="D27" s="14">
        <v>8500</v>
      </c>
    </row>
    <row r="28" spans="1:4">
      <c r="A28" s="14">
        <v>13</v>
      </c>
      <c r="B28" s="24" t="s">
        <v>164</v>
      </c>
      <c r="C28" s="14" t="s">
        <v>21</v>
      </c>
      <c r="D28" s="14">
        <v>6900</v>
      </c>
    </row>
    <row r="29" spans="1:4">
      <c r="A29" s="14"/>
      <c r="B29" s="24"/>
      <c r="C29" s="14"/>
      <c r="D29" s="14"/>
    </row>
    <row r="30" spans="1:4">
      <c r="A30" s="14">
        <v>14</v>
      </c>
      <c r="B30" s="24" t="s">
        <v>66</v>
      </c>
      <c r="C30" s="14" t="s">
        <v>19</v>
      </c>
      <c r="D30" s="14">
        <v>3000</v>
      </c>
    </row>
    <row r="31" spans="1:4">
      <c r="A31" s="14">
        <v>15</v>
      </c>
      <c r="B31" s="24" t="s">
        <v>73</v>
      </c>
      <c r="C31" s="14" t="s">
        <v>19</v>
      </c>
      <c r="D31" s="14">
        <v>2500</v>
      </c>
    </row>
    <row r="32" spans="1:4">
      <c r="A32" s="14"/>
      <c r="B32" s="24"/>
      <c r="C32" s="14"/>
      <c r="D32" s="14"/>
    </row>
    <row r="33" spans="1:4">
      <c r="A33" s="14">
        <v>16</v>
      </c>
      <c r="B33" s="24" t="s">
        <v>37</v>
      </c>
      <c r="C33" s="14" t="s">
        <v>21</v>
      </c>
      <c r="D33" s="14">
        <v>6000</v>
      </c>
    </row>
    <row r="34" spans="1:4">
      <c r="A34" s="14">
        <v>17</v>
      </c>
      <c r="B34" s="24" t="s">
        <v>50</v>
      </c>
      <c r="C34" s="14" t="s">
        <v>21</v>
      </c>
      <c r="D34" s="14">
        <v>6500</v>
      </c>
    </row>
    <row r="35" spans="1:4">
      <c r="A35" s="14">
        <v>18</v>
      </c>
      <c r="B35" s="24" t="s">
        <v>51</v>
      </c>
      <c r="C35" s="14" t="s">
        <v>21</v>
      </c>
      <c r="D35" s="14">
        <v>7500</v>
      </c>
    </row>
    <row r="36" spans="1:4">
      <c r="A36" s="14"/>
      <c r="B36" s="24"/>
      <c r="C36" s="14"/>
      <c r="D36" s="14"/>
    </row>
    <row r="37" spans="1:4">
      <c r="A37" s="14"/>
      <c r="B37" s="24"/>
      <c r="C37" s="14"/>
      <c r="D37" s="14"/>
    </row>
    <row r="38" spans="1:4">
      <c r="A38" s="14">
        <v>19</v>
      </c>
      <c r="B38" s="24" t="s">
        <v>71</v>
      </c>
      <c r="C38" s="14" t="s">
        <v>21</v>
      </c>
      <c r="D38" s="14">
        <v>4000</v>
      </c>
    </row>
    <row r="39" spans="1:4">
      <c r="A39" s="14">
        <v>20</v>
      </c>
      <c r="B39" s="14" t="s">
        <v>89</v>
      </c>
      <c r="C39" s="14" t="s">
        <v>19</v>
      </c>
      <c r="D39" s="14">
        <v>2500</v>
      </c>
    </row>
    <row r="40" spans="1:4">
      <c r="A40" s="14"/>
      <c r="B40" s="14"/>
      <c r="C40" s="14"/>
      <c r="D40" s="14"/>
    </row>
    <row r="41" spans="1:4">
      <c r="A41" s="14"/>
      <c r="B41" s="14"/>
      <c r="C41" s="14"/>
      <c r="D41" s="14"/>
    </row>
    <row r="42" spans="1:4">
      <c r="A42" s="14">
        <v>21</v>
      </c>
      <c r="B42" s="24" t="s">
        <v>41</v>
      </c>
      <c r="C42" s="14" t="s">
        <v>19</v>
      </c>
      <c r="D42" s="14">
        <v>600</v>
      </c>
    </row>
    <row r="43" spans="1:4">
      <c r="A43" s="14">
        <v>22</v>
      </c>
      <c r="B43" s="24" t="s">
        <v>88</v>
      </c>
      <c r="C43" s="14" t="s">
        <v>19</v>
      </c>
      <c r="D43" s="14">
        <v>750</v>
      </c>
    </row>
    <row r="44" spans="1:4">
      <c r="A44" s="14"/>
      <c r="B44" s="24"/>
      <c r="C44" s="14"/>
      <c r="D44" s="14"/>
    </row>
    <row r="45" spans="1:4">
      <c r="A45" s="14">
        <v>23</v>
      </c>
      <c r="B45" s="24" t="s">
        <v>40</v>
      </c>
      <c r="C45" s="14" t="s">
        <v>21</v>
      </c>
      <c r="D45" s="25">
        <v>780</v>
      </c>
    </row>
    <row r="46" spans="1:4">
      <c r="A46" s="14"/>
      <c r="B46" s="24"/>
      <c r="C46" s="14"/>
      <c r="D46" s="25"/>
    </row>
    <row r="47" spans="1:4">
      <c r="A47" s="14"/>
      <c r="B47" s="24"/>
      <c r="C47" s="14"/>
      <c r="D47" s="25"/>
    </row>
    <row r="48" spans="1:4">
      <c r="A48" s="14">
        <v>24</v>
      </c>
      <c r="B48" s="24" t="s">
        <v>38</v>
      </c>
      <c r="C48" s="14" t="s">
        <v>25</v>
      </c>
      <c r="D48" s="14">
        <v>100000</v>
      </c>
    </row>
    <row r="49" spans="1:5">
      <c r="A49" s="14"/>
      <c r="B49" s="24"/>
      <c r="C49" s="14"/>
      <c r="D49" s="14"/>
    </row>
    <row r="50" spans="1:5">
      <c r="A50" s="14"/>
      <c r="B50" s="24"/>
      <c r="C50" s="14"/>
      <c r="D50" s="14"/>
    </row>
    <row r="51" spans="1:5">
      <c r="A51" s="14">
        <v>25</v>
      </c>
      <c r="B51" s="24" t="s">
        <v>72</v>
      </c>
      <c r="C51" s="14" t="s">
        <v>19</v>
      </c>
      <c r="D51" s="14">
        <v>7000</v>
      </c>
    </row>
    <row r="52" spans="1:5">
      <c r="A52" s="14"/>
      <c r="B52" s="24"/>
      <c r="C52" s="14"/>
      <c r="D52" s="14"/>
    </row>
    <row r="53" spans="1:5">
      <c r="A53" s="14"/>
      <c r="B53" s="24"/>
      <c r="C53" s="14"/>
      <c r="D53" s="14"/>
    </row>
    <row r="54" spans="1:5">
      <c r="A54" s="14">
        <v>26</v>
      </c>
      <c r="B54" s="24" t="s">
        <v>42</v>
      </c>
      <c r="C54" s="14" t="s">
        <v>46</v>
      </c>
      <c r="D54" s="14">
        <f>825.5*1.2</f>
        <v>990.59999999999991</v>
      </c>
      <c r="E54" s="42"/>
    </row>
    <row r="55" spans="1:5">
      <c r="A55" s="14">
        <v>27</v>
      </c>
      <c r="B55" s="24" t="s">
        <v>43</v>
      </c>
      <c r="C55" s="14" t="s">
        <v>46</v>
      </c>
      <c r="D55" s="14">
        <f>1207.5*1.1</f>
        <v>1328.25</v>
      </c>
      <c r="E55" s="42"/>
    </row>
    <row r="56" spans="1:5">
      <c r="A56" s="14">
        <v>28</v>
      </c>
      <c r="B56" s="24" t="s">
        <v>44</v>
      </c>
      <c r="C56" s="14" t="s">
        <v>46</v>
      </c>
      <c r="D56" s="23">
        <f>1245*1.1</f>
        <v>1369.5</v>
      </c>
      <c r="E56" s="42"/>
    </row>
    <row r="57" spans="1:5">
      <c r="A57" s="14"/>
      <c r="B57" s="24"/>
      <c r="C57" s="14"/>
      <c r="D57" s="23"/>
      <c r="E57" s="42"/>
    </row>
    <row r="58" spans="1:5">
      <c r="A58" s="14">
        <v>29</v>
      </c>
      <c r="B58" s="24" t="s">
        <v>45</v>
      </c>
      <c r="C58" s="14" t="s">
        <v>46</v>
      </c>
      <c r="D58" s="14">
        <v>3000</v>
      </c>
    </row>
    <row r="59" spans="1:5">
      <c r="A59" s="14">
        <v>30</v>
      </c>
      <c r="B59" s="24" t="s">
        <v>49</v>
      </c>
      <c r="C59" s="14" t="s">
        <v>19</v>
      </c>
      <c r="D59" s="23">
        <f>1233.5*1.15</f>
        <v>1418.5249999999999</v>
      </c>
    </row>
    <row r="60" spans="1:5">
      <c r="A60" s="14">
        <v>31</v>
      </c>
      <c r="B60" s="24" t="s">
        <v>52</v>
      </c>
      <c r="C60" s="14" t="s">
        <v>47</v>
      </c>
      <c r="D60" s="14">
        <v>200</v>
      </c>
    </row>
    <row r="61" spans="1:5">
      <c r="A61" s="14">
        <v>32</v>
      </c>
      <c r="B61" s="24" t="s">
        <v>78</v>
      </c>
      <c r="C61" s="14" t="s">
        <v>19</v>
      </c>
      <c r="D61" s="14">
        <v>600</v>
      </c>
    </row>
    <row r="62" spans="1:5">
      <c r="A62" s="14">
        <v>33</v>
      </c>
      <c r="B62" s="24" t="s">
        <v>48</v>
      </c>
      <c r="C62" s="14" t="s">
        <v>19</v>
      </c>
      <c r="D62" s="14">
        <v>500</v>
      </c>
    </row>
    <row r="63" spans="1:5">
      <c r="A63" s="14">
        <v>34</v>
      </c>
      <c r="B63" s="24" t="s">
        <v>57</v>
      </c>
      <c r="C63" s="14" t="s">
        <v>21</v>
      </c>
      <c r="D63" s="14">
        <v>4500</v>
      </c>
    </row>
    <row r="64" spans="1:5">
      <c r="A64" s="14">
        <v>35</v>
      </c>
      <c r="B64" s="24" t="s">
        <v>74</v>
      </c>
      <c r="C64" s="14" t="s">
        <v>19</v>
      </c>
      <c r="D64" s="14">
        <v>1700</v>
      </c>
    </row>
    <row r="65" spans="1:4">
      <c r="A65" s="14">
        <v>36</v>
      </c>
      <c r="B65" s="24" t="s">
        <v>75</v>
      </c>
      <c r="C65" s="14" t="s">
        <v>19</v>
      </c>
      <c r="D65" s="14">
        <v>3000</v>
      </c>
    </row>
    <row r="66" spans="1:4">
      <c r="A66" s="14">
        <v>37</v>
      </c>
      <c r="B66" s="24" t="s">
        <v>58</v>
      </c>
      <c r="C66" s="14" t="s">
        <v>19</v>
      </c>
      <c r="D66" s="14">
        <v>2175</v>
      </c>
    </row>
    <row r="67" spans="1:4">
      <c r="A67" s="14">
        <v>38</v>
      </c>
      <c r="B67" s="24" t="s">
        <v>60</v>
      </c>
      <c r="C67" s="14" t="s">
        <v>19</v>
      </c>
      <c r="D67" s="25">
        <v>3200</v>
      </c>
    </row>
    <row r="68" spans="1:4">
      <c r="A68" s="14">
        <v>39</v>
      </c>
      <c r="B68" s="24" t="s">
        <v>59</v>
      </c>
      <c r="C68" s="14" t="s">
        <v>19</v>
      </c>
      <c r="D68" s="25">
        <v>4500</v>
      </c>
    </row>
    <row r="69" spans="1:4">
      <c r="A69" s="14">
        <v>40</v>
      </c>
      <c r="B69" s="24" t="s">
        <v>61</v>
      </c>
      <c r="C69" s="14" t="s">
        <v>19</v>
      </c>
      <c r="D69" s="14">
        <v>7000</v>
      </c>
    </row>
    <row r="70" spans="1:4">
      <c r="A70" s="14">
        <v>41</v>
      </c>
      <c r="B70" s="24" t="s">
        <v>77</v>
      </c>
      <c r="C70" s="14" t="s">
        <v>21</v>
      </c>
      <c r="D70" s="14">
        <v>14000</v>
      </c>
    </row>
    <row r="71" spans="1:4">
      <c r="A71" s="14">
        <v>42</v>
      </c>
      <c r="B71" s="24" t="s">
        <v>81</v>
      </c>
      <c r="C71" s="14" t="s">
        <v>53</v>
      </c>
      <c r="D71" s="25">
        <v>2200</v>
      </c>
    </row>
    <row r="72" spans="1:4">
      <c r="A72" s="14">
        <v>43</v>
      </c>
      <c r="B72" s="24" t="s">
        <v>82</v>
      </c>
      <c r="C72" s="14" t="s">
        <v>53</v>
      </c>
      <c r="D72" s="25">
        <v>3000</v>
      </c>
    </row>
    <row r="73" spans="1:4">
      <c r="A73" s="14">
        <v>44</v>
      </c>
      <c r="B73" s="24" t="s">
        <v>83</v>
      </c>
      <c r="C73" s="14" t="s">
        <v>53</v>
      </c>
      <c r="D73" s="25">
        <v>3500</v>
      </c>
    </row>
    <row r="74" spans="1:4">
      <c r="A74" s="14">
        <v>45</v>
      </c>
      <c r="B74" s="26" t="s">
        <v>62</v>
      </c>
      <c r="C74" s="14" t="s">
        <v>53</v>
      </c>
      <c r="D74" s="14">
        <v>6400</v>
      </c>
    </row>
    <row r="75" spans="1:4">
      <c r="A75" s="14">
        <v>46</v>
      </c>
      <c r="B75" s="26" t="s">
        <v>76</v>
      </c>
      <c r="C75" s="14" t="s">
        <v>25</v>
      </c>
      <c r="D75" s="14">
        <v>56000</v>
      </c>
    </row>
    <row r="76" spans="1:4">
      <c r="A76" s="14">
        <v>47</v>
      </c>
      <c r="B76" s="24" t="s">
        <v>54</v>
      </c>
      <c r="C76" s="14" t="s">
        <v>53</v>
      </c>
      <c r="D76" s="14">
        <v>220000</v>
      </c>
    </row>
    <row r="77" spans="1:4">
      <c r="A77" s="14">
        <v>48</v>
      </c>
      <c r="B77" s="24" t="s">
        <v>56</v>
      </c>
      <c r="C77" s="14" t="s">
        <v>27</v>
      </c>
      <c r="D77" s="14">
        <v>1500</v>
      </c>
    </row>
    <row r="78" spans="1:4">
      <c r="A78" s="14">
        <v>49</v>
      </c>
      <c r="B78" s="24" t="s">
        <v>79</v>
      </c>
      <c r="C78" s="44" t="s">
        <v>19</v>
      </c>
      <c r="D78" s="27">
        <v>3200</v>
      </c>
    </row>
    <row r="79" spans="1:4">
      <c r="A79" s="14">
        <v>50</v>
      </c>
      <c r="B79" s="24" t="s">
        <v>80</v>
      </c>
      <c r="C79" s="44" t="s">
        <v>19</v>
      </c>
      <c r="D79" s="27">
        <v>4500</v>
      </c>
    </row>
    <row r="80" spans="1:4">
      <c r="A80" s="14">
        <v>51</v>
      </c>
      <c r="B80" s="14" t="s">
        <v>90</v>
      </c>
      <c r="C80" s="44" t="s">
        <v>27</v>
      </c>
      <c r="D80" s="14">
        <v>2000</v>
      </c>
    </row>
    <row r="81" spans="3:3">
      <c r="C81" s="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0000"/>
  </sheetPr>
  <dimension ref="A2:K139"/>
  <sheetViews>
    <sheetView workbookViewId="0"/>
  </sheetViews>
  <sheetFormatPr defaultRowHeight="13.2"/>
  <cols>
    <col min="1" max="1" width="12.33203125" bestFit="1" customWidth="1"/>
    <col min="2" max="2" width="31.88671875" bestFit="1" customWidth="1"/>
    <col min="5" max="5" width="9.33203125" bestFit="1" customWidth="1"/>
    <col min="6" max="6" width="22.44140625" bestFit="1" customWidth="1"/>
    <col min="7" max="7" width="8.6640625" bestFit="1" customWidth="1"/>
    <col min="8" max="8" width="11.88671875" bestFit="1" customWidth="1"/>
    <col min="9" max="9" width="7.44140625" bestFit="1" customWidth="1"/>
    <col min="10" max="10" width="11.5546875" bestFit="1" customWidth="1"/>
    <col min="11" max="11" width="11.6640625" bestFit="1" customWidth="1"/>
  </cols>
  <sheetData>
    <row r="2" spans="1:11" ht="16.8">
      <c r="A2" s="28" t="s">
        <v>0</v>
      </c>
      <c r="B2" s="51" t="e">
        <f>#REF!</f>
        <v>#REF!</v>
      </c>
      <c r="C2" s="29"/>
      <c r="D2" s="29"/>
      <c r="E2" s="30"/>
      <c r="F2" s="30"/>
      <c r="G2" s="30"/>
      <c r="H2" s="30"/>
      <c r="I2" s="30"/>
      <c r="J2" s="30"/>
      <c r="K2" s="31"/>
    </row>
    <row r="3" spans="1:11" ht="16.8">
      <c r="A3" s="33" t="s">
        <v>1</v>
      </c>
      <c r="B3" s="99" t="e">
        <f>#REF!</f>
        <v>#REF!</v>
      </c>
      <c r="C3" s="34"/>
      <c r="D3" s="34"/>
      <c r="E3" s="35"/>
      <c r="F3" s="35"/>
      <c r="G3" s="35"/>
      <c r="H3" s="35"/>
      <c r="I3" s="35"/>
      <c r="J3" s="35"/>
      <c r="K3" s="32"/>
    </row>
    <row r="4" spans="1:11" ht="16.8">
      <c r="A4" s="33" t="s">
        <v>2</v>
      </c>
      <c r="B4" s="54" t="e">
        <f>#REF!</f>
        <v>#REF!</v>
      </c>
      <c r="C4" s="34"/>
      <c r="D4" s="34"/>
      <c r="E4" s="35"/>
      <c r="F4" s="35"/>
      <c r="G4" s="35"/>
      <c r="H4" s="35"/>
      <c r="I4" s="35"/>
      <c r="J4" s="35"/>
      <c r="K4" s="32"/>
    </row>
    <row r="5" spans="1:11" ht="16.8">
      <c r="A5" s="33" t="s">
        <v>3</v>
      </c>
      <c r="B5" s="36" t="s">
        <v>136</v>
      </c>
      <c r="C5" s="34"/>
      <c r="D5" s="34"/>
      <c r="E5" s="35"/>
      <c r="F5" s="35"/>
      <c r="G5" s="35"/>
      <c r="H5" s="35"/>
      <c r="I5" s="35"/>
      <c r="J5" s="35"/>
      <c r="K5" s="32"/>
    </row>
    <row r="6" spans="1:11" ht="16.8">
      <c r="A6" s="33" t="s">
        <v>4</v>
      </c>
      <c r="B6" s="37"/>
      <c r="C6" s="34"/>
      <c r="D6" s="34"/>
      <c r="E6" s="35"/>
      <c r="F6" s="35"/>
      <c r="G6" s="35"/>
      <c r="H6" s="35"/>
      <c r="I6" s="35"/>
      <c r="J6" s="35"/>
      <c r="K6" s="32"/>
    </row>
    <row r="7" spans="1:11" ht="16.8">
      <c r="A7" s="32"/>
      <c r="B7" s="32"/>
      <c r="C7" s="34"/>
      <c r="D7" s="34"/>
      <c r="E7" s="35"/>
      <c r="F7" s="35"/>
      <c r="G7" s="35"/>
      <c r="H7" s="35"/>
      <c r="I7" s="35"/>
      <c r="J7" s="35"/>
      <c r="K7" s="32"/>
    </row>
    <row r="8" spans="1:11" ht="16.8">
      <c r="A8" s="33" t="s">
        <v>5</v>
      </c>
      <c r="B8" s="32" t="s">
        <v>166</v>
      </c>
      <c r="C8" s="34"/>
      <c r="D8" s="34"/>
      <c r="E8" s="35"/>
      <c r="F8" s="35"/>
      <c r="G8" s="35"/>
      <c r="H8" s="35"/>
      <c r="I8" s="35"/>
      <c r="J8" s="35"/>
      <c r="K8" s="32"/>
    </row>
    <row r="9" spans="1:11" ht="16.8">
      <c r="A9" s="33" t="s">
        <v>6</v>
      </c>
      <c r="B9" s="55">
        <v>42787</v>
      </c>
      <c r="C9" s="38"/>
      <c r="D9" s="38"/>
      <c r="E9" s="39"/>
      <c r="F9" s="39"/>
      <c r="G9" s="39"/>
      <c r="H9" s="39"/>
      <c r="I9" s="39"/>
      <c r="J9" s="35"/>
      <c r="K9" s="32"/>
    </row>
    <row r="10" spans="1:11" ht="16.8">
      <c r="A10" s="4"/>
      <c r="B10" s="4"/>
      <c r="C10" s="19"/>
      <c r="D10" s="19"/>
      <c r="E10" s="20"/>
      <c r="F10" s="20"/>
      <c r="G10" s="20"/>
      <c r="H10" s="20"/>
      <c r="I10" s="20"/>
      <c r="J10" s="20"/>
      <c r="K10" s="4"/>
    </row>
    <row r="11" spans="1:11" ht="16.8">
      <c r="A11" s="4"/>
      <c r="B11" s="4"/>
      <c r="C11" s="19"/>
      <c r="D11" s="19"/>
      <c r="E11" s="20"/>
      <c r="F11" s="20"/>
      <c r="G11" s="20"/>
      <c r="H11" s="20"/>
      <c r="I11" s="20"/>
      <c r="J11" s="20"/>
      <c r="K11" s="4"/>
    </row>
    <row r="12" spans="1:11" ht="16.8">
      <c r="A12" s="2" t="s">
        <v>7</v>
      </c>
      <c r="B12" s="2" t="s">
        <v>8</v>
      </c>
      <c r="C12" s="2" t="s">
        <v>9</v>
      </c>
      <c r="D12" s="2" t="s">
        <v>10</v>
      </c>
      <c r="E12" s="3" t="s">
        <v>11</v>
      </c>
      <c r="F12" s="3" t="s">
        <v>12</v>
      </c>
      <c r="G12" s="3" t="s">
        <v>13</v>
      </c>
      <c r="H12" s="3" t="s">
        <v>14</v>
      </c>
      <c r="I12" s="3" t="s">
        <v>15</v>
      </c>
      <c r="J12" s="3" t="s">
        <v>16</v>
      </c>
      <c r="K12" s="2" t="s">
        <v>17</v>
      </c>
    </row>
    <row r="13" spans="1:11" ht="16.8">
      <c r="A13" s="5">
        <v>1</v>
      </c>
      <c r="B13" s="6" t="s">
        <v>18</v>
      </c>
      <c r="C13" s="7" t="s">
        <v>19</v>
      </c>
      <c r="D13" s="7"/>
      <c r="E13" s="8"/>
      <c r="F13" s="8"/>
      <c r="G13" s="8"/>
      <c r="H13" s="8"/>
      <c r="I13" s="8"/>
      <c r="J13" s="40"/>
      <c r="K13" s="9"/>
    </row>
    <row r="14" spans="1:11" ht="16.8">
      <c r="A14" s="10"/>
      <c r="B14" s="11" t="s">
        <v>137</v>
      </c>
      <c r="C14" s="12"/>
      <c r="D14" s="45">
        <v>1</v>
      </c>
      <c r="E14" s="22"/>
      <c r="F14" s="22"/>
      <c r="G14" s="13"/>
      <c r="H14" s="13"/>
      <c r="I14" s="13">
        <f>400+((5/100)*400)</f>
        <v>420</v>
      </c>
      <c r="J14" s="13">
        <f>I14</f>
        <v>420</v>
      </c>
      <c r="K14" s="14" t="s">
        <v>84</v>
      </c>
    </row>
    <row r="15" spans="1:11" ht="16.8">
      <c r="A15" s="10"/>
      <c r="B15" s="11"/>
      <c r="C15" s="12"/>
      <c r="D15" s="45">
        <v>1</v>
      </c>
      <c r="E15" s="22"/>
      <c r="F15" s="22"/>
      <c r="G15" s="13"/>
      <c r="H15" s="13"/>
      <c r="I15" s="13">
        <v>344</v>
      </c>
      <c r="J15" s="13">
        <f>I15</f>
        <v>344</v>
      </c>
      <c r="K15" s="14"/>
    </row>
    <row r="16" spans="1:11" ht="16.8">
      <c r="A16" s="10"/>
      <c r="B16" s="14"/>
      <c r="C16" s="12"/>
      <c r="D16" s="12"/>
      <c r="E16" s="13"/>
      <c r="F16" s="13"/>
      <c r="G16" s="13"/>
      <c r="H16" s="13"/>
      <c r="I16" s="15" t="s">
        <v>20</v>
      </c>
      <c r="J16" s="46">
        <f>SUM(J14:J15)</f>
        <v>764</v>
      </c>
      <c r="K16" s="14"/>
    </row>
    <row r="17" spans="1:11" ht="16.8">
      <c r="A17" s="5">
        <f>A13+1</f>
        <v>2</v>
      </c>
      <c r="B17" s="6" t="s">
        <v>138</v>
      </c>
      <c r="C17" s="7" t="s">
        <v>21</v>
      </c>
      <c r="D17" s="7"/>
      <c r="E17" s="8"/>
      <c r="F17" s="8"/>
      <c r="G17" s="8"/>
      <c r="H17" s="8"/>
      <c r="I17" s="8"/>
      <c r="J17" s="8"/>
      <c r="K17" s="41">
        <v>0.99</v>
      </c>
    </row>
    <row r="18" spans="1:11" ht="16.8">
      <c r="A18" s="10"/>
      <c r="B18" s="11" t="s">
        <v>137</v>
      </c>
      <c r="C18" s="12"/>
      <c r="D18" s="45">
        <v>2</v>
      </c>
      <c r="E18" s="22">
        <v>92.9</v>
      </c>
      <c r="F18" s="13"/>
      <c r="G18" s="13"/>
      <c r="H18" s="13"/>
      <c r="I18" s="22">
        <v>140.34</v>
      </c>
      <c r="J18" s="13">
        <f>ROUND(D18*E18*I18,2)</f>
        <v>26075.17</v>
      </c>
      <c r="K18" s="16" t="s">
        <v>84</v>
      </c>
    </row>
    <row r="19" spans="1:11" ht="16.8">
      <c r="A19" s="10"/>
      <c r="B19" s="14"/>
      <c r="C19" s="12"/>
      <c r="D19" s="12"/>
      <c r="E19" s="13"/>
      <c r="F19" s="13"/>
      <c r="G19" s="13"/>
      <c r="H19" s="13"/>
      <c r="I19" s="15" t="s">
        <v>20</v>
      </c>
      <c r="J19" s="46">
        <f>SUM(J18:J18)</f>
        <v>26075.17</v>
      </c>
      <c r="K19" s="17"/>
    </row>
    <row r="20" spans="1:11" ht="16.8">
      <c r="A20" s="5">
        <f>A17+1</f>
        <v>3</v>
      </c>
      <c r="B20" s="6" t="s">
        <v>22</v>
      </c>
      <c r="C20" s="7" t="s">
        <v>21</v>
      </c>
      <c r="D20" s="7"/>
      <c r="E20" s="8"/>
      <c r="F20" s="8"/>
      <c r="G20" s="8"/>
      <c r="H20" s="8"/>
      <c r="I20" s="8"/>
      <c r="J20" s="40"/>
      <c r="K20" s="9"/>
    </row>
    <row r="21" spans="1:11" ht="16.8">
      <c r="A21" s="10"/>
      <c r="B21" s="11" t="s">
        <v>139</v>
      </c>
      <c r="C21" s="12"/>
      <c r="D21" s="45">
        <v>1</v>
      </c>
      <c r="E21" s="22">
        <v>92.9</v>
      </c>
      <c r="F21" s="13"/>
      <c r="G21" s="13"/>
      <c r="H21" s="13"/>
      <c r="I21" s="22">
        <v>131.84</v>
      </c>
      <c r="J21" s="13">
        <f>ROUND(D21*E21*I21,2)</f>
        <v>12247.94</v>
      </c>
      <c r="K21" s="16"/>
    </row>
    <row r="22" spans="1:11" ht="16.8">
      <c r="A22" s="10"/>
      <c r="B22" s="11" t="s">
        <v>140</v>
      </c>
      <c r="C22" s="12"/>
      <c r="D22" s="45">
        <v>1</v>
      </c>
      <c r="E22" s="22">
        <v>92.9</v>
      </c>
      <c r="F22" s="13"/>
      <c r="G22" s="13"/>
      <c r="H22" s="13"/>
      <c r="I22" s="22">
        <v>126.8724</v>
      </c>
      <c r="J22" s="13">
        <f>ROUND(D22*E22*I22,2)</f>
        <v>11786.45</v>
      </c>
      <c r="K22" s="16"/>
    </row>
    <row r="23" spans="1:11" ht="16.8">
      <c r="A23" s="10"/>
      <c r="B23" s="14"/>
      <c r="C23" s="12"/>
      <c r="D23" s="12"/>
      <c r="E23" s="13"/>
      <c r="F23" s="13"/>
      <c r="G23" s="13"/>
      <c r="H23" s="13"/>
      <c r="I23" s="15" t="s">
        <v>20</v>
      </c>
      <c r="J23" s="46">
        <f>SUM(J21:J22)</f>
        <v>24034.39</v>
      </c>
      <c r="K23" s="14"/>
    </row>
    <row r="24" spans="1:11" ht="16.8">
      <c r="A24" s="5">
        <f>A20+1</f>
        <v>4</v>
      </c>
      <c r="B24" s="6" t="s">
        <v>23</v>
      </c>
      <c r="C24" s="7" t="s">
        <v>19</v>
      </c>
      <c r="D24" s="7"/>
      <c r="E24" s="8"/>
      <c r="F24" s="8"/>
      <c r="G24" s="8"/>
      <c r="H24" s="8"/>
      <c r="I24" s="8"/>
      <c r="J24" s="40"/>
      <c r="K24" s="9"/>
    </row>
    <row r="25" spans="1:11" ht="16.8">
      <c r="A25" s="10"/>
      <c r="B25" s="18" t="s">
        <v>141</v>
      </c>
      <c r="C25" s="12"/>
      <c r="D25" s="45"/>
      <c r="E25" s="22"/>
      <c r="F25" s="22"/>
      <c r="G25" s="22"/>
      <c r="H25" s="22"/>
      <c r="I25" s="13"/>
      <c r="J25" s="13">
        <f>ROUND(D25*E25*H25,2)</f>
        <v>0</v>
      </c>
      <c r="K25" s="16"/>
    </row>
    <row r="26" spans="1:11" ht="16.8">
      <c r="A26" s="10"/>
      <c r="B26" s="18" t="s">
        <v>142</v>
      </c>
      <c r="C26" s="12"/>
      <c r="D26" s="45">
        <v>2</v>
      </c>
      <c r="E26" s="22">
        <v>92.9</v>
      </c>
      <c r="F26" s="22">
        <v>3</v>
      </c>
      <c r="G26" s="22"/>
      <c r="H26" s="22"/>
      <c r="I26" s="13"/>
      <c r="J26" s="13">
        <f>F26*E26*D26</f>
        <v>557.40000000000009</v>
      </c>
      <c r="K26" s="16"/>
    </row>
    <row r="27" spans="1:11" ht="16.8">
      <c r="A27" s="10"/>
      <c r="B27" s="14"/>
      <c r="C27" s="12"/>
      <c r="D27" s="12"/>
      <c r="E27" s="13"/>
      <c r="F27" s="13"/>
      <c r="G27" s="13"/>
      <c r="H27" s="13"/>
      <c r="I27" s="15" t="s">
        <v>20</v>
      </c>
      <c r="J27" s="46">
        <f>SUM(J25:J26)</f>
        <v>557.40000000000009</v>
      </c>
      <c r="K27" s="16"/>
    </row>
    <row r="28" spans="1:11" ht="16.8">
      <c r="A28" s="5">
        <f>A24+1</f>
        <v>5</v>
      </c>
      <c r="B28" s="6" t="s">
        <v>143</v>
      </c>
      <c r="C28" s="7" t="s">
        <v>19</v>
      </c>
      <c r="D28" s="7"/>
      <c r="E28" s="8"/>
      <c r="F28" s="8"/>
      <c r="G28" s="8"/>
      <c r="H28" s="8"/>
      <c r="I28" s="8"/>
      <c r="J28" s="40"/>
      <c r="K28" s="9"/>
    </row>
    <row r="29" spans="1:11" ht="16.8">
      <c r="A29" s="10"/>
      <c r="B29" s="18" t="s">
        <v>144</v>
      </c>
      <c r="C29" s="12"/>
      <c r="D29" s="45">
        <v>4</v>
      </c>
      <c r="E29" s="22">
        <v>92.9</v>
      </c>
      <c r="F29" s="22"/>
      <c r="G29" s="22">
        <v>4.0999999999999996</v>
      </c>
      <c r="H29" s="13"/>
      <c r="I29" s="13"/>
      <c r="J29" s="13">
        <f>ROUND(D29*E29*G29,2)</f>
        <v>1523.56</v>
      </c>
      <c r="K29" s="16"/>
    </row>
    <row r="30" spans="1:11" ht="16.8">
      <c r="A30" s="10"/>
      <c r="B30" s="18" t="s">
        <v>145</v>
      </c>
      <c r="C30" s="12"/>
      <c r="D30" s="45">
        <v>4</v>
      </c>
      <c r="E30" s="22">
        <v>92.9</v>
      </c>
      <c r="F30" s="22"/>
      <c r="G30" s="22">
        <v>3.6</v>
      </c>
      <c r="H30" s="13"/>
      <c r="I30" s="13"/>
      <c r="J30" s="13">
        <f>ROUND(D30*E30*G30,2)</f>
        <v>1337.76</v>
      </c>
      <c r="K30" s="16"/>
    </row>
    <row r="31" spans="1:11" ht="16.8">
      <c r="A31" s="10"/>
      <c r="B31" s="18" t="s">
        <v>146</v>
      </c>
      <c r="C31" s="12"/>
      <c r="D31" s="45"/>
      <c r="E31" s="22"/>
      <c r="F31" s="22"/>
      <c r="G31" s="21"/>
      <c r="H31" s="13"/>
      <c r="I31" s="22"/>
      <c r="J31" s="13">
        <f>ROUND(D31*I31,2)</f>
        <v>0</v>
      </c>
      <c r="K31" s="16"/>
    </row>
    <row r="32" spans="1:11" ht="16.8">
      <c r="A32" s="10"/>
      <c r="B32" s="14"/>
      <c r="C32" s="12"/>
      <c r="D32" s="12"/>
      <c r="E32" s="13"/>
      <c r="F32" s="13"/>
      <c r="G32" s="13"/>
      <c r="H32" s="13"/>
      <c r="I32" s="15" t="s">
        <v>20</v>
      </c>
      <c r="J32" s="46">
        <f>SUM(J29:J31)</f>
        <v>2861.3199999999997</v>
      </c>
      <c r="K32" s="16"/>
    </row>
    <row r="33" spans="1:11" ht="16.8">
      <c r="A33" s="5">
        <f>A28+1</f>
        <v>6</v>
      </c>
      <c r="B33" s="6" t="s">
        <v>147</v>
      </c>
      <c r="C33" s="7" t="s">
        <v>19</v>
      </c>
      <c r="D33" s="7"/>
      <c r="E33" s="8"/>
      <c r="F33" s="8"/>
      <c r="G33" s="8"/>
      <c r="H33" s="8"/>
      <c r="I33" s="8"/>
      <c r="J33" s="40"/>
      <c r="K33" s="9"/>
    </row>
    <row r="34" spans="1:11" ht="16.8">
      <c r="A34" s="10"/>
      <c r="B34" s="18" t="s">
        <v>148</v>
      </c>
      <c r="C34" s="12"/>
      <c r="D34" s="45"/>
      <c r="E34" s="22"/>
      <c r="F34" s="22"/>
      <c r="G34" s="22"/>
      <c r="H34" s="22"/>
      <c r="I34" s="22"/>
      <c r="J34" s="13">
        <f>ROUND(D34*E34*H34,2)</f>
        <v>0</v>
      </c>
      <c r="K34" s="14"/>
    </row>
    <row r="35" spans="1:11" ht="16.8">
      <c r="A35" s="10"/>
      <c r="B35" s="18" t="s">
        <v>102</v>
      </c>
      <c r="C35" s="12"/>
      <c r="D35" s="45"/>
      <c r="E35" s="22"/>
      <c r="F35" s="22"/>
      <c r="G35" s="22"/>
      <c r="H35" s="22"/>
      <c r="I35" s="22"/>
      <c r="J35" s="13">
        <f>I35*D35</f>
        <v>0</v>
      </c>
      <c r="K35" s="14"/>
    </row>
    <row r="36" spans="1:11" ht="16.8">
      <c r="A36" s="10"/>
      <c r="B36" s="14"/>
      <c r="C36" s="12"/>
      <c r="D36" s="13"/>
      <c r="E36" s="13"/>
      <c r="F36" s="13"/>
      <c r="G36" s="13"/>
      <c r="H36" s="13"/>
      <c r="I36" s="15" t="s">
        <v>20</v>
      </c>
      <c r="J36" s="46">
        <f>SUM(J34:J35)</f>
        <v>0</v>
      </c>
      <c r="K36" s="16"/>
    </row>
    <row r="37" spans="1:11" ht="16.8">
      <c r="A37" s="5">
        <f>A33+1</f>
        <v>7</v>
      </c>
      <c r="B37" s="6" t="s">
        <v>183</v>
      </c>
      <c r="C37" s="7" t="s">
        <v>21</v>
      </c>
      <c r="D37" s="7"/>
      <c r="E37" s="8"/>
      <c r="F37" s="8"/>
      <c r="G37" s="8"/>
      <c r="H37" s="8"/>
      <c r="I37" s="8"/>
      <c r="J37" s="40"/>
      <c r="K37" s="9"/>
    </row>
    <row r="38" spans="1:11" ht="16.8">
      <c r="A38" s="10"/>
      <c r="B38" s="14"/>
      <c r="C38" s="12"/>
      <c r="D38" s="45">
        <v>1</v>
      </c>
      <c r="E38" s="22"/>
      <c r="F38" s="22"/>
      <c r="G38" s="22">
        <v>7.4999999999999997E-2</v>
      </c>
      <c r="H38" s="13"/>
      <c r="I38" s="13">
        <v>744</v>
      </c>
      <c r="J38" s="13">
        <f>I38*G38</f>
        <v>55.8</v>
      </c>
      <c r="K38" s="16"/>
    </row>
    <row r="39" spans="1:11" ht="16.8">
      <c r="A39" s="10"/>
      <c r="B39" s="14"/>
      <c r="C39" s="12"/>
      <c r="D39" s="12"/>
      <c r="E39" s="13"/>
      <c r="F39" s="13"/>
      <c r="G39" s="13"/>
      <c r="H39" s="13"/>
      <c r="I39" s="15" t="s">
        <v>20</v>
      </c>
      <c r="J39" s="46">
        <f>SUM(J38:J38)</f>
        <v>55.8</v>
      </c>
      <c r="K39" s="16"/>
    </row>
    <row r="40" spans="1:11" ht="16.8">
      <c r="A40" s="5">
        <f>A37+1</f>
        <v>8</v>
      </c>
      <c r="B40" s="6" t="s">
        <v>29</v>
      </c>
      <c r="C40" s="7" t="s">
        <v>21</v>
      </c>
      <c r="D40" s="7"/>
      <c r="E40" s="8"/>
      <c r="F40" s="8"/>
      <c r="G40" s="8"/>
      <c r="H40" s="8"/>
      <c r="I40" s="8"/>
      <c r="J40" s="40"/>
      <c r="K40" s="9"/>
    </row>
    <row r="41" spans="1:11" ht="16.8">
      <c r="A41" s="10"/>
      <c r="B41" s="11" t="s">
        <v>149</v>
      </c>
      <c r="C41" s="12"/>
      <c r="D41" s="45">
        <v>2</v>
      </c>
      <c r="E41" s="22">
        <v>92.9</v>
      </c>
      <c r="F41" s="22"/>
      <c r="G41" s="22"/>
      <c r="H41" s="13"/>
      <c r="I41" s="20">
        <v>7.1</v>
      </c>
      <c r="J41" s="13">
        <f>I41*E41*D41</f>
        <v>1319.18</v>
      </c>
      <c r="K41" s="16"/>
    </row>
    <row r="42" spans="1:11" ht="16.8">
      <c r="A42" s="10"/>
      <c r="B42" s="11" t="s">
        <v>150</v>
      </c>
      <c r="C42" s="12"/>
      <c r="D42" s="45">
        <v>2</v>
      </c>
      <c r="E42" s="22">
        <v>2</v>
      </c>
      <c r="F42" s="22"/>
      <c r="G42" s="22"/>
      <c r="H42" s="13"/>
      <c r="I42" s="20">
        <v>1.7996000000000001</v>
      </c>
      <c r="J42" s="13">
        <f>I42*E42*D42</f>
        <v>7.1984000000000004</v>
      </c>
      <c r="K42" s="16"/>
    </row>
    <row r="43" spans="1:11" ht="16.8">
      <c r="A43" s="10"/>
      <c r="B43" s="11" t="s">
        <v>146</v>
      </c>
      <c r="C43" s="12"/>
      <c r="D43" s="45">
        <v>1</v>
      </c>
      <c r="E43" s="22"/>
      <c r="F43" s="22"/>
      <c r="G43" s="22"/>
      <c r="H43" s="13"/>
      <c r="I43" s="13"/>
      <c r="J43" s="13"/>
      <c r="K43" s="16"/>
    </row>
    <row r="44" spans="1:11" ht="16.8">
      <c r="A44" s="10"/>
      <c r="B44" s="14"/>
      <c r="C44" s="12"/>
      <c r="D44" s="12"/>
      <c r="E44" s="13"/>
      <c r="F44" s="13"/>
      <c r="G44" s="13"/>
      <c r="H44" s="13"/>
      <c r="I44" s="15" t="s">
        <v>20</v>
      </c>
      <c r="J44" s="46">
        <f>SUM(J41:J43)</f>
        <v>1326.3784000000001</v>
      </c>
      <c r="K44" s="14"/>
    </row>
    <row r="45" spans="1:11" ht="16.8">
      <c r="A45" s="5">
        <f>A40+1</f>
        <v>9</v>
      </c>
      <c r="B45" s="6" t="s">
        <v>24</v>
      </c>
      <c r="C45" s="7" t="s">
        <v>25</v>
      </c>
      <c r="D45" s="7"/>
      <c r="E45" s="8"/>
      <c r="F45" s="8"/>
      <c r="G45" s="8"/>
      <c r="H45" s="8"/>
      <c r="I45" s="8"/>
      <c r="J45" s="8"/>
      <c r="K45" s="41"/>
    </row>
    <row r="46" spans="1:11" ht="16.8">
      <c r="A46" s="10"/>
      <c r="B46" s="11" t="s">
        <v>26</v>
      </c>
      <c r="C46" s="12"/>
      <c r="D46" s="47" t="s">
        <v>86</v>
      </c>
      <c r="E46" s="48">
        <v>1.6933559954059599E-2</v>
      </c>
      <c r="F46" s="49" t="s">
        <v>87</v>
      </c>
      <c r="G46" s="45"/>
      <c r="H46" s="45"/>
      <c r="I46" s="13"/>
      <c r="J46" s="13">
        <f>ROUND(E46*J44*7.85,2)</f>
        <v>176.31</v>
      </c>
      <c r="K46" s="16"/>
    </row>
    <row r="47" spans="1:11" ht="16.8">
      <c r="A47" s="10"/>
      <c r="B47" s="14"/>
      <c r="C47" s="12"/>
      <c r="D47" s="45"/>
      <c r="E47" s="22"/>
      <c r="F47" s="22"/>
      <c r="G47" s="22"/>
      <c r="H47" s="22"/>
      <c r="I47" s="15" t="s">
        <v>20</v>
      </c>
      <c r="J47" s="46">
        <f>SUM(J46:J46)</f>
        <v>176.31</v>
      </c>
      <c r="K47" s="14"/>
    </row>
    <row r="48" spans="1:11" ht="16.8">
      <c r="A48" s="5">
        <f>A45+1</f>
        <v>10</v>
      </c>
      <c r="B48" s="6" t="s">
        <v>151</v>
      </c>
      <c r="C48" s="7" t="s">
        <v>21</v>
      </c>
      <c r="D48" s="7"/>
      <c r="E48" s="8"/>
      <c r="F48" s="8"/>
      <c r="G48" s="8"/>
      <c r="H48" s="8"/>
      <c r="I48" s="8"/>
      <c r="J48" s="8"/>
      <c r="K48" s="41"/>
    </row>
    <row r="49" spans="1:11" ht="16.8">
      <c r="A49" s="10"/>
      <c r="B49" s="11" t="s">
        <v>152</v>
      </c>
      <c r="C49" s="12"/>
      <c r="D49" s="45"/>
      <c r="E49" s="22"/>
      <c r="F49" s="13"/>
      <c r="G49" s="13"/>
      <c r="H49" s="13"/>
      <c r="I49" s="22"/>
      <c r="J49" s="13">
        <f>ROUND(D49*E49*I49,2)</f>
        <v>0</v>
      </c>
      <c r="K49" s="16"/>
    </row>
    <row r="50" spans="1:11" ht="16.8">
      <c r="A50" s="10"/>
      <c r="B50" s="11"/>
      <c r="C50" s="12"/>
      <c r="D50" s="12"/>
      <c r="E50" s="13"/>
      <c r="F50" s="13"/>
      <c r="G50" s="13"/>
      <c r="H50" s="13"/>
      <c r="I50" s="15" t="s">
        <v>20</v>
      </c>
      <c r="J50" s="46">
        <f>SUM(J49)</f>
        <v>0</v>
      </c>
      <c r="K50" s="14"/>
    </row>
    <row r="51" spans="1:11" ht="16.8">
      <c r="A51" s="5">
        <f>A48+1</f>
        <v>11</v>
      </c>
      <c r="B51" s="6" t="s">
        <v>153</v>
      </c>
      <c r="C51" s="7" t="s">
        <v>19</v>
      </c>
      <c r="D51" s="7"/>
      <c r="E51" s="8"/>
      <c r="F51" s="8"/>
      <c r="G51" s="8"/>
      <c r="H51" s="8"/>
      <c r="I51" s="8"/>
      <c r="J51" s="8"/>
      <c r="K51" s="41"/>
    </row>
    <row r="52" spans="1:11" ht="16.8">
      <c r="A52" s="10"/>
      <c r="B52" s="11" t="s">
        <v>154</v>
      </c>
      <c r="C52" s="12"/>
      <c r="D52" s="45"/>
      <c r="E52" s="22"/>
      <c r="F52" s="22"/>
      <c r="G52" s="13"/>
      <c r="H52" s="13"/>
      <c r="I52" s="13"/>
      <c r="J52" s="13">
        <f>ROUND(D52*E52*F52,2)</f>
        <v>0</v>
      </c>
      <c r="K52" s="16"/>
    </row>
    <row r="53" spans="1:11" ht="16.8">
      <c r="A53" s="10"/>
      <c r="B53" s="11"/>
      <c r="C53" s="12"/>
      <c r="D53" s="12"/>
      <c r="E53" s="13"/>
      <c r="F53" s="13"/>
      <c r="G53" s="13"/>
      <c r="H53" s="13"/>
      <c r="I53" s="15"/>
      <c r="J53" s="46">
        <f>SUM(J52)</f>
        <v>0</v>
      </c>
      <c r="K53" s="14"/>
    </row>
    <row r="54" spans="1:11" ht="16.8">
      <c r="A54" s="5">
        <f>A51+1</f>
        <v>12</v>
      </c>
      <c r="B54" s="6" t="s">
        <v>155</v>
      </c>
      <c r="C54" s="7" t="s">
        <v>27</v>
      </c>
      <c r="D54" s="7"/>
      <c r="E54" s="8"/>
      <c r="F54" s="8"/>
      <c r="G54" s="8"/>
      <c r="H54" s="8"/>
      <c r="I54" s="8"/>
      <c r="J54" s="8"/>
      <c r="K54" s="41"/>
    </row>
    <row r="55" spans="1:11" ht="16.8">
      <c r="A55" s="10"/>
      <c r="B55" s="11" t="s">
        <v>137</v>
      </c>
      <c r="C55" s="12"/>
      <c r="D55" s="94">
        <v>12</v>
      </c>
      <c r="E55" s="22">
        <v>14.2</v>
      </c>
      <c r="F55" s="13"/>
      <c r="G55" s="13"/>
      <c r="H55" s="13"/>
      <c r="I55" s="13"/>
      <c r="J55" s="13">
        <f>E55*D55</f>
        <v>170.39999999999998</v>
      </c>
      <c r="K55" s="16" t="s">
        <v>156</v>
      </c>
    </row>
    <row r="56" spans="1:11" ht="16.8">
      <c r="A56" s="10"/>
      <c r="B56" s="11"/>
      <c r="C56" s="12"/>
      <c r="D56" s="12"/>
      <c r="E56" s="13"/>
      <c r="F56" s="13"/>
      <c r="G56" s="13"/>
      <c r="H56" s="13"/>
      <c r="I56" s="15" t="s">
        <v>20</v>
      </c>
      <c r="J56" s="46">
        <f>SUM(J55:J55)</f>
        <v>170.39999999999998</v>
      </c>
      <c r="K56" s="14"/>
    </row>
    <row r="57" spans="1:11" ht="16.8">
      <c r="A57" s="5">
        <f>A54+1</f>
        <v>13</v>
      </c>
      <c r="B57" s="6" t="s">
        <v>157</v>
      </c>
      <c r="C57" s="7" t="s">
        <v>19</v>
      </c>
      <c r="D57" s="7"/>
      <c r="E57" s="8"/>
      <c r="F57" s="8"/>
      <c r="G57" s="8"/>
      <c r="H57" s="8"/>
      <c r="I57" s="8"/>
      <c r="J57" s="8"/>
      <c r="K57" s="41"/>
    </row>
    <row r="58" spans="1:11" ht="16.8">
      <c r="A58" s="10"/>
      <c r="B58" s="11" t="s">
        <v>137</v>
      </c>
      <c r="C58" s="12"/>
      <c r="D58" s="45"/>
      <c r="E58" s="22"/>
      <c r="F58" s="13"/>
      <c r="G58" s="13"/>
      <c r="H58" s="13"/>
      <c r="I58" s="13"/>
      <c r="J58" s="13">
        <f>ROUND(D58*E58,2)</f>
        <v>0</v>
      </c>
      <c r="K58" s="16"/>
    </row>
    <row r="59" spans="1:11" ht="16.8">
      <c r="A59" s="10"/>
      <c r="B59" s="14"/>
      <c r="C59" s="12"/>
      <c r="D59" s="12"/>
      <c r="E59" s="13"/>
      <c r="F59" s="13"/>
      <c r="G59" s="13"/>
      <c r="H59" s="13"/>
      <c r="I59" s="15" t="s">
        <v>20</v>
      </c>
      <c r="J59" s="46">
        <f>SUM(J58:J58)</f>
        <v>0</v>
      </c>
      <c r="K59" s="14"/>
    </row>
    <row r="60" spans="1:11" ht="16.8">
      <c r="A60" s="5">
        <f>A57+1</f>
        <v>14</v>
      </c>
      <c r="B60" s="6" t="s">
        <v>158</v>
      </c>
      <c r="C60" s="7" t="s">
        <v>27</v>
      </c>
      <c r="D60" s="7"/>
      <c r="E60" s="8"/>
      <c r="F60" s="8"/>
      <c r="G60" s="8"/>
      <c r="H60" s="8"/>
      <c r="I60" s="8"/>
      <c r="J60" s="8"/>
      <c r="K60" s="41"/>
    </row>
    <row r="61" spans="1:11" ht="16.8">
      <c r="A61" s="10"/>
      <c r="B61" s="11" t="s">
        <v>137</v>
      </c>
      <c r="C61" s="12"/>
      <c r="D61" s="45">
        <v>12</v>
      </c>
      <c r="E61" s="22">
        <v>14.2</v>
      </c>
      <c r="F61" s="13"/>
      <c r="G61" s="13"/>
      <c r="H61" s="13"/>
      <c r="I61" s="13"/>
      <c r="J61" s="13">
        <f>D61*E61</f>
        <v>170.39999999999998</v>
      </c>
      <c r="K61" s="16" t="s">
        <v>156</v>
      </c>
    </row>
    <row r="62" spans="1:11" ht="16.8">
      <c r="A62" s="10"/>
      <c r="B62" s="14"/>
      <c r="C62" s="12"/>
      <c r="D62" s="12"/>
      <c r="E62" s="13"/>
      <c r="F62" s="13"/>
      <c r="G62" s="13"/>
      <c r="H62" s="13"/>
      <c r="I62" s="15" t="s">
        <v>20</v>
      </c>
      <c r="J62" s="46">
        <f>SUM(J61:J61)</f>
        <v>170.39999999999998</v>
      </c>
      <c r="K62" s="14"/>
    </row>
    <row r="63" spans="1:11" ht="16.8">
      <c r="A63" s="5">
        <f>A60+1</f>
        <v>15</v>
      </c>
      <c r="B63" s="6" t="s">
        <v>159</v>
      </c>
      <c r="C63" s="7" t="s">
        <v>27</v>
      </c>
      <c r="D63" s="7"/>
      <c r="E63" s="8"/>
      <c r="F63" s="8"/>
      <c r="G63" s="8"/>
      <c r="H63" s="8"/>
      <c r="I63" s="8"/>
      <c r="J63" s="8"/>
      <c r="K63" s="41"/>
    </row>
    <row r="64" spans="1:11" ht="16.8">
      <c r="A64" s="14"/>
      <c r="B64" s="11" t="s">
        <v>160</v>
      </c>
      <c r="C64" s="12"/>
      <c r="D64" s="45"/>
      <c r="E64" s="22"/>
      <c r="F64" s="13"/>
      <c r="G64" s="13"/>
      <c r="H64" s="13"/>
      <c r="I64" s="13"/>
      <c r="J64" s="13">
        <f>ROUND(E64*D64,2)</f>
        <v>0</v>
      </c>
      <c r="K64" s="16"/>
    </row>
    <row r="65" spans="1:11" ht="16.8">
      <c r="A65" s="14"/>
      <c r="B65" s="14"/>
      <c r="C65" s="12"/>
      <c r="D65" s="12"/>
      <c r="E65" s="13"/>
      <c r="F65" s="13"/>
      <c r="G65" s="13"/>
      <c r="H65" s="13"/>
      <c r="I65" s="15" t="s">
        <v>20</v>
      </c>
      <c r="J65" s="46">
        <f>SUM(J64:J64)</f>
        <v>0</v>
      </c>
      <c r="K65" s="14"/>
    </row>
    <row r="66" spans="1:11" ht="16.8">
      <c r="A66" s="5">
        <f>A63+1</f>
        <v>16</v>
      </c>
      <c r="B66" s="6" t="s">
        <v>161</v>
      </c>
      <c r="C66" s="7" t="s">
        <v>27</v>
      </c>
      <c r="D66" s="7"/>
      <c r="E66" s="8"/>
      <c r="F66" s="8"/>
      <c r="G66" s="8"/>
      <c r="H66" s="8"/>
      <c r="I66" s="8"/>
      <c r="J66" s="8"/>
      <c r="K66" s="41"/>
    </row>
    <row r="67" spans="1:11" ht="16.8">
      <c r="A67" s="14"/>
      <c r="B67" s="11" t="s">
        <v>162</v>
      </c>
      <c r="C67" s="12"/>
      <c r="D67" s="45"/>
      <c r="E67" s="22"/>
      <c r="F67" s="13"/>
      <c r="G67" s="13"/>
      <c r="H67" s="13"/>
      <c r="I67" s="13"/>
      <c r="J67" s="13">
        <f>ROUND(E67*D67,2)</f>
        <v>0</v>
      </c>
      <c r="K67" s="16"/>
    </row>
    <row r="68" spans="1:11" ht="16.8">
      <c r="A68" s="14"/>
      <c r="B68" s="11" t="s">
        <v>163</v>
      </c>
      <c r="C68" s="12"/>
      <c r="D68" s="45"/>
      <c r="E68" s="22"/>
      <c r="F68" s="13"/>
      <c r="G68" s="13"/>
      <c r="H68" s="13"/>
      <c r="I68" s="13"/>
      <c r="J68" s="13">
        <f>ROUND(E68*D68,2)</f>
        <v>0</v>
      </c>
      <c r="K68" s="16"/>
    </row>
    <row r="69" spans="1:11" ht="16.8">
      <c r="A69" s="14"/>
      <c r="B69" s="14"/>
      <c r="C69" s="12"/>
      <c r="D69" s="12"/>
      <c r="E69" s="13"/>
      <c r="F69" s="13"/>
      <c r="G69" s="13"/>
      <c r="H69" s="13"/>
      <c r="I69" s="15" t="s">
        <v>20</v>
      </c>
      <c r="J69" s="46">
        <f>SUM(J67:J68)</f>
        <v>0</v>
      </c>
      <c r="K69" s="14"/>
    </row>
    <row r="139" spans="4:4">
      <c r="D139" s="102">
        <f>'4.Approach culvcert RIYAZ'!J2</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M84"/>
  <sheetViews>
    <sheetView workbookViewId="0"/>
  </sheetViews>
  <sheetFormatPr defaultRowHeight="13.2"/>
  <cols>
    <col min="2" max="2" width="55" bestFit="1" customWidth="1"/>
    <col min="3" max="3" width="13.6640625" bestFit="1" customWidth="1"/>
    <col min="4" max="4" width="10.109375" bestFit="1" customWidth="1"/>
    <col min="5" max="5" width="11.6640625" bestFit="1" customWidth="1"/>
    <col min="6" max="6" width="15.33203125" bestFit="1" customWidth="1"/>
    <col min="7" max="7" width="9.6640625" bestFit="1" customWidth="1"/>
    <col min="8" max="8" width="9.33203125" customWidth="1"/>
  </cols>
  <sheetData>
    <row r="1" spans="1:13" ht="19.8">
      <c r="A1" s="56"/>
      <c r="B1" s="56"/>
      <c r="C1" s="56"/>
      <c r="D1" s="56"/>
      <c r="E1" s="56"/>
      <c r="F1" s="56"/>
      <c r="G1" s="56"/>
      <c r="H1" s="56"/>
      <c r="I1" s="56"/>
      <c r="J1" s="56"/>
      <c r="K1" s="56"/>
      <c r="L1" s="56"/>
      <c r="M1" s="56"/>
    </row>
    <row r="2" spans="1:13" ht="16.8">
      <c r="A2" s="57"/>
      <c r="B2" s="58"/>
      <c r="C2" s="59"/>
      <c r="D2" s="59"/>
      <c r="E2" s="60"/>
      <c r="F2" s="59"/>
      <c r="G2" s="59"/>
      <c r="H2" s="60"/>
      <c r="I2" s="60"/>
      <c r="J2" s="60"/>
      <c r="K2" s="60"/>
      <c r="L2" s="60"/>
      <c r="M2" s="61"/>
    </row>
    <row r="3" spans="1:13" ht="18">
      <c r="A3" s="2308" t="s">
        <v>104</v>
      </c>
      <c r="B3" s="2308"/>
      <c r="C3" s="2308"/>
      <c r="D3" s="2308"/>
      <c r="E3" s="2308"/>
      <c r="F3" s="2308"/>
      <c r="G3" s="2308"/>
      <c r="H3" s="2308"/>
      <c r="I3" s="2308"/>
      <c r="J3" s="2308"/>
      <c r="K3" s="2308"/>
      <c r="L3" s="2308"/>
      <c r="M3" s="2308"/>
    </row>
    <row r="4" spans="1:13" ht="18">
      <c r="A4" s="62"/>
      <c r="B4" s="63"/>
      <c r="C4" s="64"/>
      <c r="D4" s="64"/>
      <c r="E4" s="64"/>
      <c r="F4" s="64"/>
      <c r="G4" s="65"/>
      <c r="H4" s="65"/>
      <c r="I4" s="60"/>
      <c r="J4" s="60"/>
      <c r="K4" s="60"/>
      <c r="L4" s="60"/>
      <c r="M4" s="61"/>
    </row>
    <row r="5" spans="1:13" ht="18">
      <c r="A5" s="66" t="s">
        <v>105</v>
      </c>
      <c r="B5" s="67"/>
      <c r="C5" s="68" t="s">
        <v>106</v>
      </c>
      <c r="D5" s="69">
        <f ca="1">NOW()</f>
        <v>44942.414779166669</v>
      </c>
      <c r="E5" s="2309" t="s">
        <v>107</v>
      </c>
      <c r="F5" s="2310"/>
      <c r="G5" s="70"/>
      <c r="H5" s="2307"/>
      <c r="I5" s="2307"/>
      <c r="J5" s="60"/>
      <c r="K5" s="60"/>
      <c r="L5" s="59"/>
      <c r="M5" s="61"/>
    </row>
    <row r="6" spans="1:13" ht="18">
      <c r="A6" s="71" t="s">
        <v>108</v>
      </c>
      <c r="B6" s="72" t="s">
        <v>109</v>
      </c>
      <c r="C6" s="73" t="s">
        <v>110</v>
      </c>
      <c r="D6" s="74">
        <v>930061</v>
      </c>
      <c r="E6" s="2309" t="s">
        <v>111</v>
      </c>
      <c r="F6" s="2310"/>
      <c r="G6" s="70"/>
      <c r="H6" s="2307"/>
      <c r="I6" s="2307"/>
      <c r="J6" s="60"/>
      <c r="K6" s="60"/>
      <c r="L6" s="59"/>
      <c r="M6" s="61"/>
    </row>
    <row r="7" spans="1:13" ht="18">
      <c r="A7" s="66"/>
      <c r="B7" s="75"/>
      <c r="C7" s="73" t="s">
        <v>112</v>
      </c>
      <c r="D7" s="76"/>
      <c r="E7" s="2305" t="s">
        <v>113</v>
      </c>
      <c r="F7" s="2306"/>
      <c r="G7" s="77"/>
      <c r="H7" s="2307"/>
      <c r="I7" s="2307"/>
      <c r="J7" s="60"/>
      <c r="K7" s="60"/>
      <c r="L7" s="59"/>
      <c r="M7" s="61"/>
    </row>
    <row r="8" spans="1:13" ht="18">
      <c r="A8" s="78"/>
      <c r="B8" s="78"/>
      <c r="C8" s="78"/>
      <c r="D8" s="78"/>
      <c r="E8" s="78"/>
      <c r="F8" s="78"/>
      <c r="G8" s="78"/>
      <c r="H8" s="78"/>
      <c r="I8" s="78"/>
      <c r="J8" s="78"/>
      <c r="K8" s="78"/>
      <c r="L8" s="78"/>
      <c r="M8" s="78"/>
    </row>
    <row r="9" spans="1:13" ht="18">
      <c r="A9" s="78"/>
      <c r="B9" s="78"/>
      <c r="C9" s="78"/>
      <c r="D9" s="78"/>
      <c r="E9" s="78"/>
      <c r="F9" s="78"/>
      <c r="G9" s="78"/>
      <c r="H9" s="78"/>
      <c r="I9" s="78"/>
      <c r="J9" s="78"/>
      <c r="K9" s="78"/>
      <c r="L9" s="78"/>
      <c r="M9" s="78"/>
    </row>
    <row r="10" spans="1:13" ht="18">
      <c r="A10" s="2311" t="s">
        <v>114</v>
      </c>
      <c r="B10" s="2311" t="s">
        <v>115</v>
      </c>
      <c r="C10" s="2313" t="s">
        <v>116</v>
      </c>
      <c r="D10" s="2313" t="s">
        <v>117</v>
      </c>
      <c r="E10" s="2314" t="s">
        <v>118</v>
      </c>
      <c r="F10" s="2316" t="s">
        <v>119</v>
      </c>
      <c r="G10" s="2311" t="s">
        <v>120</v>
      </c>
      <c r="H10" s="78"/>
      <c r="I10" s="78"/>
      <c r="J10" s="78"/>
      <c r="K10" s="78"/>
      <c r="L10" s="78"/>
      <c r="M10" s="78"/>
    </row>
    <row r="11" spans="1:13" ht="18">
      <c r="A11" s="2311"/>
      <c r="B11" s="2311"/>
      <c r="C11" s="2313"/>
      <c r="D11" s="2313"/>
      <c r="E11" s="2315"/>
      <c r="F11" s="2317"/>
      <c r="G11" s="2311"/>
      <c r="H11" s="78"/>
      <c r="I11" s="78"/>
      <c r="J11" s="78"/>
      <c r="K11" s="78"/>
      <c r="L11" s="78"/>
      <c r="M11" s="78"/>
    </row>
    <row r="12" spans="1:13" ht="18">
      <c r="A12" s="79"/>
      <c r="B12" s="80" t="s">
        <v>30</v>
      </c>
      <c r="C12" s="81"/>
      <c r="D12" s="81"/>
      <c r="E12" s="82"/>
      <c r="F12" s="81"/>
      <c r="G12" s="79"/>
      <c r="H12" s="78"/>
      <c r="I12" s="78"/>
      <c r="J12" s="78"/>
      <c r="K12" s="78"/>
      <c r="L12" s="78"/>
      <c r="M12" s="78"/>
    </row>
    <row r="13" spans="1:13" ht="19.8">
      <c r="A13" s="66">
        <v>1</v>
      </c>
      <c r="B13" s="89" t="s">
        <v>121</v>
      </c>
      <c r="C13" s="83" t="e">
        <f>#REF!+#REF!+#REF!+#REF!+#REF!</f>
        <v>#REF!</v>
      </c>
      <c r="D13" s="84" t="s">
        <v>122</v>
      </c>
      <c r="E13" s="85"/>
      <c r="F13" s="86" t="e">
        <f>+C13*E13</f>
        <v>#REF!</v>
      </c>
      <c r="G13" s="87"/>
      <c r="H13" s="78"/>
      <c r="I13" s="78"/>
      <c r="J13" s="78"/>
      <c r="K13" s="78"/>
      <c r="L13" s="78"/>
      <c r="M13" s="78"/>
    </row>
    <row r="14" spans="1:13" ht="19.8">
      <c r="A14" s="88">
        <f>A13+1</f>
        <v>2</v>
      </c>
      <c r="B14" s="89" t="s">
        <v>97</v>
      </c>
      <c r="C14" s="83" t="e">
        <f>#REF!+#REF!+#REF!+#REF!</f>
        <v>#REF!</v>
      </c>
      <c r="D14" s="84" t="s">
        <v>123</v>
      </c>
      <c r="E14" s="85"/>
      <c r="F14" s="86" t="e">
        <f t="shared" ref="F14:F37" si="0">+C14*E14</f>
        <v>#REF!</v>
      </c>
      <c r="G14" s="87"/>
      <c r="H14" s="78"/>
      <c r="I14" s="78"/>
      <c r="J14" s="78"/>
      <c r="K14" s="78"/>
      <c r="L14" s="78"/>
      <c r="M14" s="78"/>
    </row>
    <row r="15" spans="1:13" ht="19.8">
      <c r="A15" s="88">
        <f>A14+1</f>
        <v>3</v>
      </c>
      <c r="B15" s="89" t="s">
        <v>138</v>
      </c>
      <c r="C15" s="83" t="e">
        <f>#REF!</f>
        <v>#REF!</v>
      </c>
      <c r="D15" s="84" t="s">
        <v>123</v>
      </c>
      <c r="E15" s="85"/>
      <c r="F15" s="86" t="e">
        <f t="shared" si="0"/>
        <v>#REF!</v>
      </c>
      <c r="G15" s="87"/>
      <c r="H15" s="78"/>
      <c r="I15" s="78"/>
      <c r="J15" s="78"/>
      <c r="K15" s="78"/>
      <c r="L15" s="78"/>
      <c r="M15" s="78"/>
    </row>
    <row r="16" spans="1:13" ht="19.8">
      <c r="A16" s="88">
        <f>A15+1</f>
        <v>4</v>
      </c>
      <c r="B16" s="89" t="s">
        <v>124</v>
      </c>
      <c r="C16" s="83" t="e">
        <f>#REF!+#REF!+#REF!+#REF!</f>
        <v>#REF!</v>
      </c>
      <c r="D16" s="84" t="s">
        <v>123</v>
      </c>
      <c r="E16" s="85"/>
      <c r="F16" s="86" t="e">
        <f t="shared" si="0"/>
        <v>#REF!</v>
      </c>
      <c r="G16" s="87" t="s">
        <v>125</v>
      </c>
      <c r="H16" s="78"/>
      <c r="I16" s="78"/>
      <c r="J16" s="78"/>
      <c r="K16" s="78"/>
      <c r="L16" s="78"/>
      <c r="M16" s="78"/>
    </row>
    <row r="17" spans="1:13" ht="19.8">
      <c r="A17" s="88">
        <f>A16+1</f>
        <v>5</v>
      </c>
      <c r="B17" s="91" t="s">
        <v>127</v>
      </c>
      <c r="C17" s="83" t="e">
        <f>#REF!+#REF!+#REF!+#REF!+#REF!+#REF!+#REF!+#REF!+#REF!+#REF!</f>
        <v>#REF!</v>
      </c>
      <c r="D17" s="84" t="s">
        <v>122</v>
      </c>
      <c r="E17" s="85"/>
      <c r="F17" s="86" t="e">
        <f t="shared" si="0"/>
        <v>#REF!</v>
      </c>
      <c r="G17" s="87"/>
      <c r="H17" s="78"/>
      <c r="I17" s="78"/>
      <c r="J17" s="78"/>
      <c r="K17" s="78"/>
      <c r="L17" s="78"/>
      <c r="M17" s="78"/>
    </row>
    <row r="18" spans="1:13" ht="19.8">
      <c r="A18" s="88">
        <f>A17+1</f>
        <v>6</v>
      </c>
      <c r="B18" s="89" t="s">
        <v>128</v>
      </c>
      <c r="C18" s="83" t="e">
        <f>#REF!+#REF!+#REF!+#REF!+#REF!</f>
        <v>#REF!</v>
      </c>
      <c r="D18" s="84" t="s">
        <v>123</v>
      </c>
      <c r="E18" s="85"/>
      <c r="F18" s="86" t="e">
        <f t="shared" si="0"/>
        <v>#REF!</v>
      </c>
      <c r="G18" s="87"/>
      <c r="H18" s="78"/>
      <c r="I18" s="78"/>
      <c r="J18" s="78"/>
      <c r="K18" s="78"/>
      <c r="L18" s="78"/>
      <c r="M18" s="78"/>
    </row>
    <row r="19" spans="1:13" ht="19.8">
      <c r="A19" s="88">
        <f t="shared" ref="A19:A37" si="1">A18+1</f>
        <v>7</v>
      </c>
      <c r="B19" s="89" t="s">
        <v>129</v>
      </c>
      <c r="C19" s="83" t="e">
        <f>#REF!+#REF!+#REF!+#REF!+#REF!+#REF!</f>
        <v>#REF!</v>
      </c>
      <c r="D19" s="84" t="s">
        <v>123</v>
      </c>
      <c r="E19" s="85"/>
      <c r="F19" s="86" t="e">
        <f t="shared" si="0"/>
        <v>#REF!</v>
      </c>
      <c r="G19" s="87"/>
      <c r="H19" s="78"/>
      <c r="I19" s="78"/>
      <c r="J19" s="78"/>
      <c r="K19" s="78"/>
      <c r="L19" s="78"/>
      <c r="M19" s="78"/>
    </row>
    <row r="20" spans="1:13" ht="18">
      <c r="A20" s="88">
        <f t="shared" si="1"/>
        <v>8</v>
      </c>
      <c r="B20" s="89" t="s">
        <v>132</v>
      </c>
      <c r="C20" s="83" t="e">
        <f>#REF!+#REF!+#REF!+#REF!+#REF!</f>
        <v>#REF!</v>
      </c>
      <c r="D20" s="84" t="s">
        <v>25</v>
      </c>
      <c r="E20" s="85"/>
      <c r="F20" s="86" t="e">
        <f t="shared" si="0"/>
        <v>#REF!</v>
      </c>
      <c r="G20" s="87"/>
      <c r="H20" s="78"/>
      <c r="I20" s="78"/>
      <c r="J20" s="78"/>
      <c r="K20" s="78"/>
      <c r="L20" s="78"/>
      <c r="M20" s="78"/>
    </row>
    <row r="21" spans="1:13" ht="19.8">
      <c r="A21" s="88">
        <f t="shared" si="1"/>
        <v>9</v>
      </c>
      <c r="B21" s="89" t="s">
        <v>130</v>
      </c>
      <c r="C21" s="83" t="e">
        <f>#REF!</f>
        <v>#REF!</v>
      </c>
      <c r="D21" s="84" t="s">
        <v>123</v>
      </c>
      <c r="E21" s="85"/>
      <c r="F21" s="86" t="e">
        <f t="shared" si="0"/>
        <v>#REF!</v>
      </c>
      <c r="G21" s="87"/>
      <c r="H21" s="78"/>
      <c r="I21" s="78"/>
      <c r="J21" s="78"/>
      <c r="K21" s="78"/>
      <c r="L21" s="78"/>
      <c r="M21" s="78"/>
    </row>
    <row r="22" spans="1:13" ht="18">
      <c r="A22" s="88">
        <f t="shared" si="1"/>
        <v>10</v>
      </c>
      <c r="B22" s="89" t="s">
        <v>133</v>
      </c>
      <c r="C22" s="83" t="e">
        <f>#REF!</f>
        <v>#REF!</v>
      </c>
      <c r="D22" s="84" t="s">
        <v>25</v>
      </c>
      <c r="E22" s="85"/>
      <c r="F22" s="86" t="e">
        <f t="shared" si="0"/>
        <v>#REF!</v>
      </c>
      <c r="G22" s="87"/>
      <c r="H22" s="78"/>
      <c r="I22" s="78"/>
      <c r="J22" s="78"/>
      <c r="K22" s="78"/>
      <c r="L22" s="78"/>
      <c r="M22" s="78"/>
    </row>
    <row r="23" spans="1:13" ht="19.8">
      <c r="A23" s="88">
        <f t="shared" si="1"/>
        <v>11</v>
      </c>
      <c r="B23" s="89" t="s">
        <v>131</v>
      </c>
      <c r="C23" s="83" t="e">
        <f>#REF!</f>
        <v>#REF!</v>
      </c>
      <c r="D23" s="84" t="s">
        <v>123</v>
      </c>
      <c r="E23" s="85"/>
      <c r="F23" s="86" t="e">
        <f t="shared" si="0"/>
        <v>#REF!</v>
      </c>
      <c r="G23" s="87"/>
      <c r="H23" s="78"/>
      <c r="I23" s="78"/>
      <c r="J23" s="78"/>
      <c r="K23" s="78"/>
      <c r="L23" s="78"/>
      <c r="M23" s="78"/>
    </row>
    <row r="24" spans="1:13" ht="18">
      <c r="A24" s="88">
        <f t="shared" si="1"/>
        <v>12</v>
      </c>
      <c r="B24" s="89" t="s">
        <v>134</v>
      </c>
      <c r="C24" s="83" t="e">
        <f>#REF!</f>
        <v>#REF!</v>
      </c>
      <c r="D24" s="84" t="s">
        <v>25</v>
      </c>
      <c r="E24" s="85"/>
      <c r="F24" s="86" t="e">
        <f t="shared" si="0"/>
        <v>#REF!</v>
      </c>
      <c r="G24" s="87"/>
      <c r="H24" s="78"/>
      <c r="I24" s="78"/>
      <c r="J24" s="78"/>
      <c r="K24" s="78"/>
      <c r="L24" s="78"/>
      <c r="M24" s="78"/>
    </row>
    <row r="25" spans="1:13" ht="19.8">
      <c r="A25" s="88">
        <f t="shared" si="1"/>
        <v>13</v>
      </c>
      <c r="B25" s="89" t="s">
        <v>98</v>
      </c>
      <c r="C25" s="83" t="e">
        <f>#REF!+#REF!</f>
        <v>#REF!</v>
      </c>
      <c r="D25" s="84" t="s">
        <v>123</v>
      </c>
      <c r="E25" s="85"/>
      <c r="F25" s="86" t="e">
        <f t="shared" si="0"/>
        <v>#REF!</v>
      </c>
      <c r="G25" s="87"/>
      <c r="H25" s="78"/>
      <c r="I25" s="78"/>
      <c r="J25" s="78"/>
      <c r="K25" s="78"/>
      <c r="L25" s="78"/>
      <c r="M25" s="78"/>
    </row>
    <row r="26" spans="1:13" ht="19.8">
      <c r="A26" s="88">
        <f t="shared" si="1"/>
        <v>14</v>
      </c>
      <c r="B26" s="89" t="s">
        <v>126</v>
      </c>
      <c r="C26" s="90" t="e">
        <f>#REF!+#REF!</f>
        <v>#REF!</v>
      </c>
      <c r="D26" s="84" t="s">
        <v>122</v>
      </c>
      <c r="E26" s="85"/>
      <c r="F26" s="86" t="e">
        <f t="shared" si="0"/>
        <v>#REF!</v>
      </c>
      <c r="G26" s="87"/>
      <c r="H26" s="78"/>
      <c r="I26" s="78"/>
      <c r="J26" s="78"/>
      <c r="K26" s="78"/>
      <c r="L26" s="78"/>
      <c r="M26" s="78"/>
    </row>
    <row r="27" spans="1:13" ht="19.8">
      <c r="A27" s="88">
        <f t="shared" si="1"/>
        <v>15</v>
      </c>
      <c r="B27" s="89" t="s">
        <v>135</v>
      </c>
      <c r="C27" s="90" t="e">
        <f>#REF!</f>
        <v>#REF!</v>
      </c>
      <c r="D27" s="84" t="s">
        <v>122</v>
      </c>
      <c r="E27" s="85"/>
      <c r="F27" s="86" t="e">
        <f t="shared" si="0"/>
        <v>#REF!</v>
      </c>
      <c r="G27" s="87"/>
      <c r="H27" s="78"/>
      <c r="I27" s="78"/>
      <c r="J27" s="78"/>
      <c r="K27" s="78"/>
      <c r="L27" s="78"/>
      <c r="M27" s="78"/>
    </row>
    <row r="28" spans="1:13" ht="19.8">
      <c r="A28" s="88">
        <f t="shared" si="1"/>
        <v>16</v>
      </c>
      <c r="B28" s="89" t="s">
        <v>99</v>
      </c>
      <c r="C28" s="90" t="e">
        <f>#REF!</f>
        <v>#REF!</v>
      </c>
      <c r="D28" s="84" t="s">
        <v>122</v>
      </c>
      <c r="E28" s="85"/>
      <c r="F28" s="86" t="e">
        <f t="shared" si="0"/>
        <v>#REF!</v>
      </c>
      <c r="G28" s="87"/>
      <c r="H28" s="78"/>
      <c r="I28" s="78"/>
      <c r="J28" s="78"/>
      <c r="K28" s="78"/>
      <c r="L28" s="78"/>
      <c r="M28" s="78"/>
    </row>
    <row r="29" spans="1:13" ht="19.8">
      <c r="A29" s="88">
        <f t="shared" si="1"/>
        <v>17</v>
      </c>
      <c r="B29" s="89" t="s">
        <v>100</v>
      </c>
      <c r="C29" s="90" t="e">
        <f>#REF!</f>
        <v>#REF!</v>
      </c>
      <c r="D29" s="84" t="s">
        <v>122</v>
      </c>
      <c r="E29" s="85"/>
      <c r="F29" s="86" t="e">
        <f t="shared" si="0"/>
        <v>#REF!</v>
      </c>
      <c r="G29" s="87"/>
      <c r="H29" s="78"/>
      <c r="I29" s="78"/>
      <c r="J29" s="78"/>
      <c r="K29" s="78"/>
      <c r="L29" s="78"/>
      <c r="M29" s="78"/>
    </row>
    <row r="30" spans="1:13" ht="19.8">
      <c r="A30" s="88">
        <f t="shared" si="1"/>
        <v>18</v>
      </c>
      <c r="B30" s="89" t="s">
        <v>103</v>
      </c>
      <c r="C30" s="90" t="e">
        <f>#REF!</f>
        <v>#REF!</v>
      </c>
      <c r="D30" s="84" t="s">
        <v>123</v>
      </c>
      <c r="E30" s="85"/>
      <c r="F30" s="86" t="e">
        <f t="shared" si="0"/>
        <v>#REF!</v>
      </c>
      <c r="G30" s="87"/>
      <c r="H30" s="78"/>
      <c r="I30" s="78"/>
      <c r="J30" s="78"/>
      <c r="K30" s="78"/>
      <c r="L30" s="78"/>
      <c r="M30" s="78"/>
    </row>
    <row r="31" spans="1:13" ht="19.8">
      <c r="A31" s="88">
        <f t="shared" si="1"/>
        <v>19</v>
      </c>
      <c r="B31" s="89" t="s">
        <v>94</v>
      </c>
      <c r="C31" s="90" t="e">
        <f>#REF!+#REF!+#REF!</f>
        <v>#REF!</v>
      </c>
      <c r="D31" s="84" t="s">
        <v>123</v>
      </c>
      <c r="E31" s="85"/>
      <c r="F31" s="86" t="e">
        <f t="shared" si="0"/>
        <v>#REF!</v>
      </c>
      <c r="G31" s="87"/>
      <c r="H31" s="78"/>
      <c r="I31" s="78"/>
      <c r="J31" s="78"/>
      <c r="K31" s="78"/>
      <c r="L31" s="78"/>
      <c r="M31" s="78"/>
    </row>
    <row r="32" spans="1:13" ht="18">
      <c r="A32" s="88">
        <f t="shared" si="1"/>
        <v>20</v>
      </c>
      <c r="B32" s="89" t="s">
        <v>155</v>
      </c>
      <c r="C32" s="90" t="e">
        <f>#REF!+#REF!</f>
        <v>#REF!</v>
      </c>
      <c r="D32" s="84" t="s">
        <v>27</v>
      </c>
      <c r="E32" s="89"/>
      <c r="F32" s="86" t="e">
        <f t="shared" si="0"/>
        <v>#REF!</v>
      </c>
      <c r="G32" s="89"/>
      <c r="H32" s="78"/>
      <c r="I32" s="78"/>
      <c r="J32" s="78"/>
      <c r="K32" s="78"/>
      <c r="L32" s="78"/>
      <c r="M32" s="78"/>
    </row>
    <row r="33" spans="1:13" ht="18">
      <c r="A33" s="88">
        <f t="shared" si="1"/>
        <v>21</v>
      </c>
      <c r="B33" s="89" t="s">
        <v>158</v>
      </c>
      <c r="C33" s="90" t="e">
        <f>#REF!+#REF!</f>
        <v>#REF!</v>
      </c>
      <c r="D33" s="84" t="s">
        <v>27</v>
      </c>
      <c r="E33" s="89"/>
      <c r="F33" s="86" t="e">
        <f t="shared" si="0"/>
        <v>#REF!</v>
      </c>
      <c r="G33" s="89"/>
      <c r="H33" s="78"/>
      <c r="I33" s="78"/>
      <c r="J33" s="78"/>
      <c r="K33" s="78"/>
      <c r="M33" s="78"/>
    </row>
    <row r="34" spans="1:13" ht="18">
      <c r="A34" s="88">
        <f t="shared" si="1"/>
        <v>22</v>
      </c>
      <c r="B34" s="95" t="s">
        <v>43</v>
      </c>
      <c r="C34" s="89"/>
      <c r="E34" s="89"/>
      <c r="F34" s="86">
        <f t="shared" si="0"/>
        <v>0</v>
      </c>
      <c r="G34" s="89"/>
      <c r="H34" s="78"/>
      <c r="I34" s="78"/>
      <c r="J34" s="78"/>
      <c r="K34" s="78"/>
      <c r="L34" s="78"/>
      <c r="M34" s="78"/>
    </row>
    <row r="35" spans="1:13" ht="19.8">
      <c r="A35" s="88">
        <f t="shared" si="1"/>
        <v>23</v>
      </c>
      <c r="B35" s="89" t="s">
        <v>64</v>
      </c>
      <c r="C35" s="90" t="e">
        <f>#REF!</f>
        <v>#REF!</v>
      </c>
      <c r="D35" s="84" t="s">
        <v>123</v>
      </c>
      <c r="E35" s="89"/>
      <c r="F35" s="86" t="e">
        <f t="shared" si="0"/>
        <v>#REF!</v>
      </c>
      <c r="G35" s="89"/>
      <c r="H35" s="78"/>
      <c r="I35" s="78"/>
      <c r="J35" s="78"/>
      <c r="K35" s="78"/>
      <c r="L35" s="78"/>
      <c r="M35" s="78"/>
    </row>
    <row r="36" spans="1:13" ht="18">
      <c r="A36" s="88">
        <f t="shared" si="1"/>
        <v>24</v>
      </c>
      <c r="B36" s="89" t="s">
        <v>92</v>
      </c>
      <c r="C36" s="90" t="e">
        <f>#REF!</f>
        <v>#REF!</v>
      </c>
      <c r="D36" s="84" t="s">
        <v>55</v>
      </c>
      <c r="E36" s="89"/>
      <c r="F36" s="86" t="e">
        <f t="shared" si="0"/>
        <v>#REF!</v>
      </c>
      <c r="G36" s="89"/>
      <c r="H36" s="78"/>
      <c r="I36" s="78"/>
      <c r="J36" s="78"/>
      <c r="K36" s="78"/>
      <c r="L36" s="78"/>
      <c r="M36" s="78"/>
    </row>
    <row r="37" spans="1:13" ht="18">
      <c r="A37" s="88">
        <f t="shared" si="1"/>
        <v>25</v>
      </c>
      <c r="B37" s="89" t="s">
        <v>93</v>
      </c>
      <c r="C37" s="90" t="e">
        <f>#REF!</f>
        <v>#REF!</v>
      </c>
      <c r="D37" s="84" t="s">
        <v>55</v>
      </c>
      <c r="E37" s="89"/>
      <c r="F37" s="86" t="e">
        <f t="shared" si="0"/>
        <v>#REF!</v>
      </c>
      <c r="G37" s="89"/>
      <c r="H37" s="78"/>
      <c r="I37" s="78"/>
      <c r="J37" s="78"/>
      <c r="K37" s="78"/>
      <c r="L37" s="78"/>
      <c r="M37" s="78"/>
    </row>
    <row r="38" spans="1:13" ht="18">
      <c r="A38" s="78"/>
      <c r="B38" s="78"/>
      <c r="C38" s="78"/>
      <c r="D38" s="78"/>
      <c r="E38" s="78"/>
      <c r="F38" s="78"/>
      <c r="G38" s="78"/>
      <c r="H38" s="78"/>
      <c r="I38" s="78"/>
      <c r="J38" s="78"/>
      <c r="K38" s="78"/>
      <c r="L38" s="78"/>
      <c r="M38" s="78"/>
    </row>
    <row r="39" spans="1:13" ht="18">
      <c r="A39" s="78"/>
      <c r="B39" s="78"/>
      <c r="C39" s="78"/>
      <c r="D39" s="78"/>
      <c r="E39" s="78"/>
      <c r="F39" s="78"/>
      <c r="G39" s="78"/>
      <c r="H39" s="78"/>
      <c r="I39" s="78"/>
      <c r="J39" s="78"/>
      <c r="K39" s="78"/>
      <c r="L39" s="78"/>
      <c r="M39" s="78"/>
    </row>
    <row r="40" spans="1:13" ht="18">
      <c r="A40" s="78"/>
      <c r="B40" s="78"/>
      <c r="C40" s="78"/>
      <c r="D40" s="78"/>
      <c r="E40" s="78"/>
      <c r="F40" s="78"/>
      <c r="G40" s="78"/>
      <c r="H40" s="78"/>
      <c r="I40" s="78"/>
      <c r="J40" s="78"/>
      <c r="K40" s="78"/>
      <c r="L40" s="78"/>
      <c r="M40" s="78"/>
    </row>
    <row r="41" spans="1:13" ht="18">
      <c r="A41" s="78"/>
      <c r="B41" s="78"/>
      <c r="C41" s="78"/>
      <c r="D41" s="78"/>
      <c r="E41" s="78"/>
      <c r="F41" s="78"/>
      <c r="G41" s="78"/>
      <c r="H41" s="78"/>
      <c r="I41" s="78"/>
      <c r="J41" s="78"/>
      <c r="K41" s="78"/>
      <c r="L41" s="78"/>
      <c r="M41" s="78"/>
    </row>
    <row r="42" spans="1:13" ht="18">
      <c r="A42" s="78"/>
      <c r="B42" s="78"/>
      <c r="C42" s="78"/>
      <c r="D42" s="78"/>
      <c r="E42" s="78"/>
      <c r="F42" s="78"/>
      <c r="G42" s="78"/>
      <c r="H42" s="78"/>
      <c r="I42" s="78"/>
      <c r="J42" s="78"/>
      <c r="K42" s="78"/>
      <c r="L42" s="78"/>
      <c r="M42" s="78"/>
    </row>
    <row r="43" spans="1:13" ht="18">
      <c r="A43" s="78"/>
      <c r="B43" s="78"/>
      <c r="C43" s="78"/>
      <c r="D43" s="78"/>
      <c r="E43" s="78"/>
      <c r="F43" s="78"/>
      <c r="G43" s="78"/>
      <c r="H43" s="78"/>
      <c r="I43" s="78"/>
      <c r="J43" s="78"/>
      <c r="K43" s="78"/>
      <c r="L43" s="78"/>
      <c r="M43" s="78"/>
    </row>
    <row r="44" spans="1:13" ht="18">
      <c r="A44" s="78"/>
      <c r="B44" s="78"/>
      <c r="C44" s="78"/>
      <c r="D44" s="78"/>
      <c r="E44" s="78"/>
      <c r="F44" s="78"/>
      <c r="G44" s="78"/>
      <c r="H44" s="78"/>
      <c r="I44" s="78"/>
      <c r="J44" s="78"/>
      <c r="K44" s="78"/>
      <c r="L44" s="78"/>
      <c r="M44" s="78"/>
    </row>
    <row r="45" spans="1:13" ht="18">
      <c r="A45" s="78"/>
      <c r="B45" s="78"/>
      <c r="C45" s="78"/>
      <c r="D45" s="78"/>
      <c r="E45" s="78"/>
      <c r="F45" s="78"/>
      <c r="G45" s="78"/>
      <c r="H45" s="78"/>
      <c r="I45" s="78"/>
      <c r="J45" s="78"/>
      <c r="K45" s="78"/>
      <c r="L45" s="78"/>
      <c r="M45" s="78"/>
    </row>
    <row r="46" spans="1:13" ht="18">
      <c r="A46" s="78"/>
      <c r="B46" s="78"/>
      <c r="C46" s="78"/>
      <c r="D46" s="78"/>
      <c r="E46" s="78"/>
      <c r="F46" s="78"/>
      <c r="G46" s="78"/>
      <c r="H46" s="78"/>
      <c r="I46" s="78"/>
      <c r="J46" s="78"/>
      <c r="K46" s="78"/>
      <c r="L46" s="78"/>
      <c r="M46" s="78"/>
    </row>
    <row r="47" spans="1:13" ht="18">
      <c r="A47" s="78"/>
      <c r="B47" s="78"/>
      <c r="C47" s="78"/>
      <c r="D47" s="78"/>
      <c r="E47" s="78"/>
      <c r="F47" s="78"/>
      <c r="G47" s="78"/>
      <c r="H47" s="78"/>
      <c r="I47" s="78"/>
      <c r="J47" s="78"/>
      <c r="K47" s="78"/>
      <c r="L47" s="78"/>
      <c r="M47" s="78"/>
    </row>
    <row r="48" spans="1:13" ht="18">
      <c r="A48" s="78"/>
      <c r="B48" s="78"/>
      <c r="C48" s="78"/>
      <c r="D48" s="78"/>
      <c r="E48" s="78"/>
      <c r="F48" s="78"/>
      <c r="G48" s="78"/>
      <c r="H48" s="78"/>
      <c r="I48" s="78"/>
      <c r="J48" s="78"/>
      <c r="K48" s="78"/>
      <c r="L48" s="78"/>
      <c r="M48" s="78"/>
    </row>
    <row r="49" spans="1:13" ht="18">
      <c r="A49" s="78"/>
      <c r="B49" s="78"/>
      <c r="C49" s="78"/>
      <c r="D49" s="78"/>
      <c r="E49" s="78"/>
      <c r="F49" s="78"/>
      <c r="G49" s="78"/>
      <c r="H49" s="78"/>
      <c r="I49" s="78"/>
      <c r="J49" s="78"/>
      <c r="K49" s="78"/>
      <c r="L49" s="78"/>
      <c r="M49" s="78"/>
    </row>
    <row r="50" spans="1:13" ht="18">
      <c r="A50" s="78"/>
      <c r="I50" s="78"/>
      <c r="J50" s="78"/>
      <c r="K50" s="78"/>
      <c r="L50" s="78"/>
      <c r="M50" s="78"/>
    </row>
    <row r="51" spans="1:13" ht="18">
      <c r="A51" s="78"/>
      <c r="B51" s="78"/>
      <c r="C51" s="78"/>
      <c r="D51" s="78"/>
      <c r="E51" s="78"/>
      <c r="F51" s="78"/>
      <c r="G51" s="78"/>
      <c r="H51" s="78"/>
      <c r="I51" s="78"/>
      <c r="J51" s="78"/>
      <c r="K51" s="78"/>
      <c r="L51" s="78"/>
      <c r="M51" s="78"/>
    </row>
    <row r="52" spans="1:13" ht="18">
      <c r="A52" s="78"/>
      <c r="B52" s="78"/>
      <c r="C52" s="78"/>
      <c r="D52" s="78"/>
      <c r="E52" s="78"/>
      <c r="F52" s="78"/>
      <c r="G52" s="78"/>
      <c r="H52" s="78"/>
      <c r="I52" s="78"/>
      <c r="J52" s="78"/>
      <c r="K52" s="78"/>
      <c r="L52" s="78"/>
      <c r="M52" s="78"/>
    </row>
    <row r="53" spans="1:13" ht="18">
      <c r="A53" s="78"/>
      <c r="B53" s="78"/>
      <c r="C53" s="78"/>
      <c r="D53" s="78"/>
      <c r="E53" s="78"/>
      <c r="F53" s="78"/>
      <c r="G53" s="78"/>
      <c r="H53" s="78"/>
      <c r="I53" s="78"/>
      <c r="J53" s="78"/>
      <c r="K53" s="78"/>
      <c r="L53" s="78"/>
      <c r="M53" s="78"/>
    </row>
    <row r="54" spans="1:13" ht="18">
      <c r="A54" s="78"/>
      <c r="B54" s="78"/>
      <c r="C54" s="78"/>
      <c r="D54" s="78"/>
      <c r="E54" s="78"/>
      <c r="F54" s="78"/>
      <c r="G54" s="78"/>
      <c r="H54" s="78"/>
      <c r="I54" s="78"/>
      <c r="J54" s="78"/>
      <c r="K54" s="78"/>
      <c r="L54" s="78"/>
      <c r="M54" s="78"/>
    </row>
    <row r="55" spans="1:13" ht="18">
      <c r="A55" s="78"/>
      <c r="B55" s="78"/>
      <c r="C55" s="78"/>
      <c r="D55" s="78"/>
      <c r="E55" s="78"/>
      <c r="F55" s="78"/>
      <c r="G55" s="78"/>
      <c r="H55" s="78"/>
      <c r="I55" s="78"/>
      <c r="J55" s="78"/>
      <c r="K55" s="78"/>
      <c r="L55" s="78"/>
      <c r="M55" s="78"/>
    </row>
    <row r="56" spans="1:13" ht="18">
      <c r="A56" s="78"/>
      <c r="B56" s="78"/>
      <c r="C56" s="78"/>
      <c r="D56" s="78"/>
      <c r="E56" s="78"/>
      <c r="F56" s="78"/>
      <c r="G56" s="78"/>
      <c r="H56" s="78"/>
      <c r="I56" s="78"/>
      <c r="J56" s="78"/>
      <c r="K56" s="78"/>
      <c r="L56" s="78"/>
      <c r="M56" s="78"/>
    </row>
    <row r="57" spans="1:13" ht="18">
      <c r="A57" s="78"/>
      <c r="J57" s="78"/>
      <c r="K57" s="78"/>
      <c r="L57" s="78"/>
      <c r="M57" s="78"/>
    </row>
    <row r="58" spans="1:13" ht="18">
      <c r="A58" s="78"/>
      <c r="B58" s="78"/>
      <c r="C58" s="78"/>
      <c r="D58" s="78"/>
      <c r="E58" s="78"/>
      <c r="F58" s="78"/>
      <c r="G58" s="78"/>
      <c r="H58" s="78"/>
      <c r="I58" s="78"/>
      <c r="J58" s="78"/>
      <c r="K58" s="78"/>
      <c r="L58" s="78"/>
      <c r="M58" s="78"/>
    </row>
    <row r="59" spans="1:13" ht="18">
      <c r="A59" s="78"/>
      <c r="B59" s="78"/>
      <c r="C59" s="78"/>
      <c r="D59" s="78"/>
      <c r="E59" s="78"/>
      <c r="F59" s="78"/>
      <c r="G59" s="78"/>
      <c r="H59" s="78"/>
      <c r="I59" s="78"/>
      <c r="J59" s="78"/>
      <c r="K59" s="2312"/>
      <c r="L59" s="2312"/>
      <c r="M59" s="92"/>
    </row>
    <row r="60" spans="1:13" ht="18">
      <c r="A60" s="78"/>
      <c r="B60" s="78"/>
      <c r="C60" s="78"/>
      <c r="D60" s="78"/>
      <c r="E60" s="78"/>
      <c r="F60" s="78"/>
      <c r="G60" s="78"/>
      <c r="H60" s="78"/>
      <c r="I60" s="78"/>
      <c r="J60" s="78"/>
      <c r="K60" s="2312"/>
      <c r="L60" s="2312"/>
      <c r="M60" s="93"/>
    </row>
    <row r="61" spans="1:13" ht="18">
      <c r="A61" s="78"/>
      <c r="B61" s="78"/>
      <c r="C61" s="78"/>
      <c r="D61" s="78"/>
      <c r="E61" s="78"/>
      <c r="F61" s="78"/>
      <c r="G61" s="78"/>
      <c r="H61" s="78"/>
      <c r="I61" s="78"/>
      <c r="J61" s="78"/>
      <c r="K61" s="78"/>
      <c r="L61" s="78"/>
      <c r="M61" s="78"/>
    </row>
    <row r="62" spans="1:13" ht="18">
      <c r="A62" s="78"/>
      <c r="B62" s="78"/>
      <c r="C62" s="78"/>
      <c r="D62" s="78"/>
      <c r="E62" s="78"/>
      <c r="F62" s="78"/>
      <c r="G62" s="78"/>
      <c r="H62" s="78"/>
      <c r="I62" s="78"/>
      <c r="J62" s="78"/>
      <c r="K62" s="78"/>
      <c r="L62" s="78"/>
      <c r="M62" s="78"/>
    </row>
    <row r="63" spans="1:13" ht="18">
      <c r="A63" s="78"/>
      <c r="B63" s="78"/>
      <c r="C63" s="78"/>
      <c r="D63" s="78"/>
      <c r="E63" s="78"/>
      <c r="F63" s="78"/>
      <c r="G63" s="78"/>
      <c r="H63" s="78"/>
      <c r="I63" s="78"/>
      <c r="J63" s="78"/>
      <c r="K63" s="78"/>
      <c r="L63" s="78"/>
      <c r="M63" s="78"/>
    </row>
    <row r="64" spans="1:13" ht="18">
      <c r="A64" s="78"/>
      <c r="B64" s="78"/>
      <c r="C64" s="78"/>
      <c r="D64" s="78"/>
      <c r="E64" s="78"/>
      <c r="F64" s="78"/>
      <c r="G64" s="78"/>
      <c r="H64" s="78"/>
      <c r="I64" s="78"/>
      <c r="J64" s="78"/>
      <c r="K64" s="78"/>
      <c r="L64" s="78"/>
      <c r="M64" s="78"/>
    </row>
    <row r="65" spans="1:13" ht="18">
      <c r="A65" s="78"/>
      <c r="B65" s="78"/>
      <c r="C65" s="78"/>
      <c r="D65" s="78"/>
      <c r="E65" s="78"/>
      <c r="F65" s="78"/>
      <c r="G65" s="78"/>
      <c r="H65" s="78"/>
      <c r="I65" s="78"/>
      <c r="J65" s="78"/>
      <c r="K65" s="78"/>
      <c r="L65" s="78"/>
      <c r="M65" s="78"/>
    </row>
    <row r="66" spans="1:13" ht="18">
      <c r="A66" s="78"/>
      <c r="B66" s="78"/>
      <c r="C66" s="78"/>
      <c r="D66" s="78"/>
      <c r="E66" s="78"/>
      <c r="F66" s="78"/>
      <c r="G66" s="78"/>
      <c r="H66" s="78"/>
      <c r="I66" s="78"/>
      <c r="J66" s="78"/>
      <c r="K66" s="78"/>
      <c r="L66" s="78"/>
      <c r="M66" s="78"/>
    </row>
    <row r="67" spans="1:13" ht="18">
      <c r="A67" s="78"/>
      <c r="B67" s="78"/>
      <c r="C67" s="78"/>
      <c r="D67" s="78"/>
      <c r="E67" s="78"/>
      <c r="F67" s="78"/>
      <c r="G67" s="78"/>
      <c r="H67" s="78"/>
      <c r="I67" s="78"/>
      <c r="J67" s="78"/>
      <c r="K67" s="78"/>
      <c r="L67" s="78"/>
      <c r="M67" s="78"/>
    </row>
    <row r="68" spans="1:13" ht="18">
      <c r="A68" s="78"/>
      <c r="B68" s="78"/>
      <c r="C68" s="78"/>
      <c r="D68" s="78"/>
      <c r="E68" s="78"/>
      <c r="F68" s="78"/>
      <c r="G68" s="78"/>
      <c r="H68" s="78"/>
      <c r="I68" s="78"/>
      <c r="J68" s="78"/>
      <c r="K68" s="78"/>
      <c r="L68" s="78"/>
      <c r="M68" s="78"/>
    </row>
    <row r="69" spans="1:13" ht="18">
      <c r="A69" s="78"/>
      <c r="B69" s="78"/>
      <c r="C69" s="78"/>
      <c r="D69" s="78"/>
      <c r="E69" s="78"/>
      <c r="F69" s="78"/>
      <c r="G69" s="78"/>
      <c r="H69" s="78"/>
      <c r="I69" s="78"/>
      <c r="J69" s="78"/>
      <c r="K69" s="78"/>
      <c r="L69" s="78"/>
      <c r="M69" s="78"/>
    </row>
    <row r="70" spans="1:13" ht="18">
      <c r="A70" s="78"/>
      <c r="B70" s="78"/>
      <c r="C70" s="78"/>
      <c r="D70" s="78"/>
      <c r="E70" s="78"/>
      <c r="F70" s="78"/>
      <c r="G70" s="78"/>
      <c r="H70" s="78"/>
      <c r="I70" s="78"/>
      <c r="J70" s="78"/>
      <c r="K70" s="78"/>
      <c r="L70" s="78"/>
      <c r="M70" s="78"/>
    </row>
    <row r="71" spans="1:13" ht="18">
      <c r="A71" s="78"/>
      <c r="B71" s="78"/>
      <c r="C71" s="78"/>
      <c r="D71" s="78"/>
      <c r="E71" s="78"/>
      <c r="F71" s="78"/>
      <c r="G71" s="78"/>
      <c r="H71" s="78"/>
      <c r="I71" s="78"/>
      <c r="J71" s="78"/>
      <c r="K71" s="78"/>
      <c r="L71" s="78"/>
      <c r="M71" s="78"/>
    </row>
    <row r="72" spans="1:13" ht="18">
      <c r="A72" s="78"/>
      <c r="B72" s="78"/>
      <c r="C72" s="78"/>
      <c r="D72" s="78"/>
      <c r="E72" s="78"/>
      <c r="F72" s="78"/>
      <c r="G72" s="78"/>
      <c r="H72" s="78"/>
      <c r="I72" s="78"/>
      <c r="J72" s="78"/>
      <c r="K72" s="78"/>
      <c r="L72" s="78"/>
      <c r="M72" s="78"/>
    </row>
    <row r="73" spans="1:13" ht="18">
      <c r="A73" s="78"/>
      <c r="B73" s="78"/>
      <c r="C73" s="78"/>
      <c r="D73" s="78"/>
      <c r="E73" s="78"/>
      <c r="F73" s="78"/>
      <c r="G73" s="78"/>
      <c r="H73" s="78"/>
      <c r="I73" s="78"/>
      <c r="J73" s="78"/>
      <c r="K73" s="78"/>
      <c r="L73" s="78"/>
      <c r="M73" s="78"/>
    </row>
    <row r="74" spans="1:13" ht="18">
      <c r="A74" s="78"/>
      <c r="B74" s="78"/>
      <c r="C74" s="78"/>
      <c r="D74" s="78"/>
      <c r="E74" s="78"/>
      <c r="F74" s="78"/>
      <c r="G74" s="78"/>
      <c r="H74" s="78"/>
      <c r="I74" s="78"/>
      <c r="J74" s="78"/>
      <c r="K74" s="78"/>
      <c r="L74" s="78"/>
      <c r="M74" s="78"/>
    </row>
    <row r="75" spans="1:13" ht="18">
      <c r="A75" s="78"/>
      <c r="B75" s="78"/>
      <c r="C75" s="78"/>
      <c r="D75" s="78"/>
      <c r="E75" s="78"/>
      <c r="F75" s="78"/>
      <c r="G75" s="78"/>
      <c r="H75" s="78"/>
      <c r="I75" s="78"/>
      <c r="J75" s="78"/>
      <c r="K75" s="78"/>
      <c r="L75" s="78"/>
      <c r="M75" s="78"/>
    </row>
    <row r="76" spans="1:13" ht="18">
      <c r="A76" s="78"/>
      <c r="B76" s="78"/>
      <c r="C76" s="78"/>
      <c r="D76" s="78"/>
      <c r="E76" s="78"/>
      <c r="F76" s="78"/>
      <c r="G76" s="78"/>
      <c r="H76" s="78"/>
      <c r="I76" s="78"/>
      <c r="J76" s="78"/>
      <c r="K76" s="78"/>
      <c r="L76" s="78"/>
      <c r="M76" s="78"/>
    </row>
    <row r="77" spans="1:13" ht="18">
      <c r="A77" s="78"/>
      <c r="B77" s="78"/>
      <c r="C77" s="78"/>
      <c r="D77" s="78"/>
      <c r="E77" s="78"/>
      <c r="F77" s="78"/>
      <c r="G77" s="78"/>
      <c r="H77" s="78"/>
      <c r="I77" s="78"/>
      <c r="J77" s="78"/>
      <c r="K77" s="78"/>
      <c r="L77" s="78"/>
      <c r="M77" s="78"/>
    </row>
    <row r="78" spans="1:13" ht="18">
      <c r="A78" s="78"/>
      <c r="B78" s="78"/>
      <c r="C78" s="78"/>
      <c r="D78" s="78"/>
      <c r="E78" s="78"/>
      <c r="F78" s="78"/>
      <c r="G78" s="78"/>
      <c r="H78" s="78"/>
      <c r="I78" s="78"/>
      <c r="J78" s="78"/>
      <c r="K78" s="78"/>
      <c r="L78" s="78"/>
      <c r="M78" s="78"/>
    </row>
    <row r="79" spans="1:13" ht="18">
      <c r="A79" s="78"/>
      <c r="B79" s="78"/>
      <c r="C79" s="78"/>
      <c r="D79" s="78"/>
      <c r="E79" s="78"/>
      <c r="F79" s="78"/>
      <c r="G79" s="78"/>
    </row>
    <row r="80" spans="1:13" ht="18">
      <c r="A80" s="78"/>
      <c r="B80" s="78"/>
      <c r="C80" s="78"/>
      <c r="E80" s="78"/>
      <c r="F80" s="78"/>
      <c r="G80" s="78"/>
    </row>
    <row r="81" spans="2:5" ht="18">
      <c r="B81" s="78"/>
      <c r="C81" s="78"/>
      <c r="E81" s="78"/>
    </row>
    <row r="82" spans="2:5" ht="18">
      <c r="C82" s="78"/>
      <c r="E82" s="78"/>
    </row>
    <row r="83" spans="2:5" ht="18">
      <c r="E83" s="78"/>
    </row>
    <row r="84" spans="2:5" ht="18">
      <c r="E84" s="78"/>
    </row>
  </sheetData>
  <mergeCells count="16">
    <mergeCell ref="G10:G11"/>
    <mergeCell ref="K59:L59"/>
    <mergeCell ref="K60:L60"/>
    <mergeCell ref="A10:A11"/>
    <mergeCell ref="B10:B11"/>
    <mergeCell ref="C10:C11"/>
    <mergeCell ref="D10:D11"/>
    <mergeCell ref="E10:E11"/>
    <mergeCell ref="F10:F11"/>
    <mergeCell ref="E7:F7"/>
    <mergeCell ref="H7:I7"/>
    <mergeCell ref="A3:M3"/>
    <mergeCell ref="E5:F5"/>
    <mergeCell ref="H5:I5"/>
    <mergeCell ref="E6:F6"/>
    <mergeCell ref="H6:I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F8"/>
  <sheetViews>
    <sheetView workbookViewId="0"/>
  </sheetViews>
  <sheetFormatPr defaultRowHeight="18"/>
  <cols>
    <col min="1" max="6" width="20.6640625" style="217" customWidth="1"/>
  </cols>
  <sheetData>
    <row r="1" spans="1:6" s="211" customFormat="1">
      <c r="A1" s="214" t="s">
        <v>302</v>
      </c>
      <c r="B1" s="215" t="s">
        <v>303</v>
      </c>
      <c r="C1" s="215" t="s">
        <v>117</v>
      </c>
      <c r="D1" s="215" t="s">
        <v>116</v>
      </c>
      <c r="E1" s="215" t="s">
        <v>34</v>
      </c>
      <c r="F1" s="216" t="s">
        <v>304</v>
      </c>
    </row>
    <row r="2" spans="1:6">
      <c r="A2" s="220" t="s">
        <v>320</v>
      </c>
      <c r="B2" s="220" t="s">
        <v>321</v>
      </c>
      <c r="C2" s="220" t="s">
        <v>322</v>
      </c>
      <c r="D2" s="221">
        <v>2.7020483539219664</v>
      </c>
      <c r="E2" s="222">
        <v>200000</v>
      </c>
      <c r="F2" s="222">
        <f>D2*E2</f>
        <v>540409.67078439333</v>
      </c>
    </row>
    <row r="3" spans="1:6">
      <c r="A3" s="220" t="s">
        <v>323</v>
      </c>
      <c r="B3" s="220" t="s">
        <v>324</v>
      </c>
      <c r="C3" s="220" t="s">
        <v>325</v>
      </c>
      <c r="D3" s="221">
        <v>221.36</v>
      </c>
      <c r="E3" s="223">
        <f>E2</f>
        <v>200000</v>
      </c>
      <c r="F3" s="222">
        <f>D3*E3</f>
        <v>44272000</v>
      </c>
    </row>
    <row r="4" spans="1:6">
      <c r="A4" s="220" t="s">
        <v>326</v>
      </c>
      <c r="B4" s="220"/>
      <c r="C4" s="220" t="s">
        <v>325</v>
      </c>
      <c r="D4" s="220">
        <v>100</v>
      </c>
      <c r="E4" s="223">
        <f>E3</f>
        <v>200000</v>
      </c>
      <c r="F4" s="222">
        <f>D4*E4</f>
        <v>20000000</v>
      </c>
    </row>
    <row r="5" spans="1:6">
      <c r="F5" s="219">
        <f>SUM(F2:F4)</f>
        <v>64812409.670784391</v>
      </c>
    </row>
    <row r="6" spans="1:6">
      <c r="D6" s="217" t="s">
        <v>327</v>
      </c>
      <c r="E6" s="225">
        <v>0.3</v>
      </c>
      <c r="F6" s="218">
        <f>F5*(1+E6)</f>
        <v>84256132.572019711</v>
      </c>
    </row>
    <row r="8" spans="1:6">
      <c r="F8" s="2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499984740745262"/>
  </sheetPr>
  <dimension ref="A1:M69"/>
  <sheetViews>
    <sheetView tabSelected="1" topLeftCell="A60" workbookViewId="0">
      <selection activeCell="D69" sqref="D69"/>
    </sheetView>
  </sheetViews>
  <sheetFormatPr defaultRowHeight="13.2"/>
  <cols>
    <col min="1" max="1" width="3.109375" customWidth="1"/>
    <col min="2" max="2" width="14" bestFit="1" customWidth="1"/>
    <col min="3" max="3" width="67.5546875" customWidth="1"/>
    <col min="4" max="4" width="22.88671875" customWidth="1"/>
    <col min="5" max="5" width="14.6640625" customWidth="1"/>
    <col min="6" max="6" width="21.5546875" hidden="1" customWidth="1"/>
    <col min="7" max="7" width="11.6640625" hidden="1" customWidth="1"/>
    <col min="8" max="8" width="18.6640625" hidden="1" customWidth="1"/>
    <col min="9" max="9" width="18.88671875" customWidth="1"/>
    <col min="10" max="10" width="16.5546875" bestFit="1" customWidth="1"/>
    <col min="11" max="11" width="17.33203125" bestFit="1" customWidth="1"/>
    <col min="12" max="12" width="16.5546875" bestFit="1" customWidth="1"/>
    <col min="13" max="13" width="14.5546875" bestFit="1" customWidth="1"/>
  </cols>
  <sheetData>
    <row r="1" spans="2:11" ht="13.8" thickBot="1"/>
    <row r="2" spans="2:11" ht="19.8" thickBot="1">
      <c r="B2" s="2319" t="s">
        <v>3075</v>
      </c>
      <c r="C2" s="2320"/>
      <c r="D2" s="2320"/>
      <c r="E2" s="2321"/>
      <c r="F2" s="520"/>
      <c r="G2" s="520"/>
      <c r="H2" s="520"/>
    </row>
    <row r="3" spans="2:11" ht="19.8" thickBot="1">
      <c r="B3" s="2319" t="s">
        <v>2798</v>
      </c>
      <c r="C3" s="2322"/>
      <c r="D3" s="2322"/>
      <c r="E3" s="2323"/>
      <c r="F3" s="2195"/>
      <c r="G3" s="2196"/>
      <c r="H3" s="520"/>
    </row>
    <row r="4" spans="2:11" ht="19.2">
      <c r="B4" s="2324" t="s">
        <v>332</v>
      </c>
      <c r="C4" s="2326" t="s">
        <v>1163</v>
      </c>
      <c r="D4" s="2198" t="s">
        <v>857</v>
      </c>
      <c r="E4" s="2328" t="s">
        <v>17</v>
      </c>
      <c r="F4" s="2199"/>
      <c r="G4" s="2330" t="s">
        <v>120</v>
      </c>
      <c r="H4" s="2318"/>
    </row>
    <row r="5" spans="2:11" s="326" customFormat="1" ht="19.8" thickBot="1">
      <c r="B5" s="2325"/>
      <c r="C5" s="2327"/>
      <c r="D5" s="2201" t="s">
        <v>3076</v>
      </c>
      <c r="E5" s="2329"/>
      <c r="F5" s="2202"/>
      <c r="G5" s="2331"/>
      <c r="H5" s="2318"/>
    </row>
    <row r="6" spans="2:11" s="326" customFormat="1" ht="19.2">
      <c r="B6" s="2197"/>
      <c r="C6" s="2204" t="s">
        <v>3104</v>
      </c>
      <c r="D6" s="2205"/>
      <c r="E6" s="2200"/>
      <c r="F6" s="2202"/>
      <c r="G6" s="2203"/>
      <c r="H6" s="520"/>
    </row>
    <row r="7" spans="2:11" s="326" customFormat="1" ht="19.2">
      <c r="B7" s="2206"/>
      <c r="C7" s="2207" t="s">
        <v>3105</v>
      </c>
      <c r="D7" s="2205"/>
      <c r="E7" s="2200"/>
      <c r="F7" s="2202"/>
      <c r="G7" s="2203"/>
      <c r="H7" s="520"/>
    </row>
    <row r="8" spans="2:11" s="326" customFormat="1" ht="19.2">
      <c r="B8" s="2208" t="s">
        <v>1607</v>
      </c>
      <c r="C8" s="2209" t="s">
        <v>289</v>
      </c>
      <c r="D8" s="2210">
        <f>'2.BOQ with cost'!G39</f>
        <v>187010000</v>
      </c>
      <c r="E8" s="2203"/>
      <c r="F8" s="2211" t="s">
        <v>173</v>
      </c>
      <c r="G8" s="2203"/>
      <c r="H8" s="2212" t="s">
        <v>1162</v>
      </c>
      <c r="I8" s="1628"/>
      <c r="J8" s="1767"/>
    </row>
    <row r="9" spans="2:11" s="326" customFormat="1" ht="19.2">
      <c r="B9" s="2213" t="str">
        <f>'2.BOQ_ for Tender'!A40</f>
        <v>CW.02</v>
      </c>
      <c r="C9" s="2207" t="s">
        <v>3106</v>
      </c>
      <c r="D9" s="2214"/>
      <c r="E9" s="2203"/>
      <c r="F9" s="2211"/>
      <c r="G9" s="2203"/>
      <c r="H9" s="2212"/>
      <c r="I9" s="1628"/>
      <c r="J9" s="1767"/>
    </row>
    <row r="10" spans="2:11" s="326" customFormat="1" ht="38.4">
      <c r="B10" s="2213" t="str">
        <f>'2.BOQ_ for Tender'!A41</f>
        <v>CW.02.1</v>
      </c>
      <c r="C10" s="2215" t="s">
        <v>3113</v>
      </c>
      <c r="D10" s="2210">
        <f>'2.BOQ with cost'!G41</f>
        <v>20772244.230009377</v>
      </c>
      <c r="E10" s="2203"/>
      <c r="F10" s="2211"/>
      <c r="G10" s="2203"/>
      <c r="H10" s="2212"/>
      <c r="I10" s="1628"/>
      <c r="J10" s="1767"/>
      <c r="K10" s="1768"/>
    </row>
    <row r="11" spans="2:11" s="326" customFormat="1" ht="38.4">
      <c r="B11" s="2216" t="str">
        <f>'2.BOQ_ for Tender'!A42</f>
        <v>CW.02.2</v>
      </c>
      <c r="C11" s="2215" t="s">
        <v>3114</v>
      </c>
      <c r="D11" s="2210">
        <f>'2.BOQ with cost'!G42</f>
        <v>21692306.298937999</v>
      </c>
      <c r="E11" s="2203"/>
      <c r="F11" s="2211"/>
      <c r="G11" s="2203"/>
      <c r="H11" s="2212"/>
      <c r="I11" s="1790"/>
      <c r="J11" s="1793"/>
      <c r="K11" s="1768"/>
    </row>
    <row r="12" spans="2:11" s="326" customFormat="1" ht="76.8">
      <c r="B12" s="2216" t="str">
        <f>'2.BOQ_ for Tender'!A43</f>
        <v>CW.02.3</v>
      </c>
      <c r="C12" s="2215" t="s">
        <v>3363</v>
      </c>
      <c r="D12" s="2210">
        <f>'2.BOQ with cost'!G43</f>
        <v>15000000</v>
      </c>
      <c r="E12" s="2203"/>
      <c r="F12" s="2211"/>
      <c r="G12" s="2203"/>
      <c r="H12" s="2212"/>
      <c r="I12" s="1790"/>
      <c r="J12" s="1793"/>
      <c r="K12" s="1768"/>
    </row>
    <row r="13" spans="2:11" s="326" customFormat="1" ht="19.2">
      <c r="B13" s="2217"/>
      <c r="C13" s="2218" t="s">
        <v>3339</v>
      </c>
      <c r="D13" s="2219">
        <f>SUM(D7:D12)</f>
        <v>244474550.52894738</v>
      </c>
      <c r="E13" s="2220"/>
      <c r="F13" s="2211"/>
      <c r="G13" s="2203"/>
      <c r="H13" s="2212"/>
      <c r="I13" s="1790"/>
      <c r="J13" s="1793"/>
      <c r="K13" s="1768"/>
    </row>
    <row r="14" spans="2:11" s="326" customFormat="1" ht="19.2">
      <c r="B14" s="2216"/>
      <c r="C14" s="2221" t="s">
        <v>2909</v>
      </c>
      <c r="D14" s="2214"/>
      <c r="E14" s="2203"/>
      <c r="F14" s="2211"/>
      <c r="G14" s="2203"/>
      <c r="H14" s="2212"/>
      <c r="I14" s="1588"/>
      <c r="J14" s="1767"/>
    </row>
    <row r="15" spans="2:11" s="326" customFormat="1" ht="19.2">
      <c r="B15" s="2222" t="s">
        <v>1672</v>
      </c>
      <c r="C15" s="2223" t="s">
        <v>3077</v>
      </c>
      <c r="D15" s="2224">
        <f>'2.BOQ with cost'!G64</f>
        <v>21464957.991499998</v>
      </c>
      <c r="E15" s="2225"/>
      <c r="F15" s="2211" t="s">
        <v>1174</v>
      </c>
      <c r="G15" s="2203"/>
      <c r="H15" s="2212"/>
    </row>
    <row r="16" spans="2:11" s="326" customFormat="1" ht="19.2">
      <c r="B16" s="2222" t="s">
        <v>1727</v>
      </c>
      <c r="C16" s="2223" t="s">
        <v>3078</v>
      </c>
      <c r="D16" s="2226">
        <f>'2.BOQ with cost'!G96</f>
        <v>96909919.095172957</v>
      </c>
      <c r="E16" s="2225"/>
      <c r="F16" s="2211"/>
      <c r="G16" s="2203"/>
      <c r="H16" s="2212"/>
      <c r="I16" s="1628"/>
      <c r="J16" s="1767"/>
      <c r="K16" s="1768"/>
    </row>
    <row r="17" spans="2:13" ht="19.2">
      <c r="B17" s="2222" t="s">
        <v>1759</v>
      </c>
      <c r="C17" s="2227" t="s">
        <v>3079</v>
      </c>
      <c r="D17" s="2228">
        <f>'2.BOQ with cost'!G121</f>
        <v>93494565.361233294</v>
      </c>
      <c r="E17" s="2229"/>
      <c r="F17" s="2230" t="e">
        <f>#REF!</f>
        <v>#REF!</v>
      </c>
      <c r="G17" s="2231"/>
      <c r="H17" s="2232">
        <v>33872469</v>
      </c>
      <c r="I17" s="1790"/>
      <c r="J17" s="1793"/>
      <c r="K17" s="1768"/>
    </row>
    <row r="18" spans="2:13" ht="19.2">
      <c r="B18" s="2222" t="s">
        <v>1781</v>
      </c>
      <c r="C18" s="2223" t="s">
        <v>3080</v>
      </c>
      <c r="D18" s="2228">
        <f>'2.BOQ with cost'!G146</f>
        <v>35380313.386348791</v>
      </c>
      <c r="E18" s="2229"/>
      <c r="F18" s="2230" t="e">
        <f>#REF!</f>
        <v>#REF!</v>
      </c>
      <c r="G18" s="2231"/>
      <c r="H18" s="2232">
        <v>485355988</v>
      </c>
      <c r="I18" s="1790"/>
      <c r="J18" s="1767"/>
      <c r="K18" s="1768"/>
    </row>
    <row r="19" spans="2:13" ht="19.2">
      <c r="B19" s="2222" t="s">
        <v>1825</v>
      </c>
      <c r="C19" s="2223" t="s">
        <v>1601</v>
      </c>
      <c r="D19" s="2228">
        <f>'2.BOQ with cost'!G176</f>
        <v>83976629.084606528</v>
      </c>
      <c r="E19" s="2229"/>
      <c r="F19" s="2230" t="e">
        <f>#REF!</f>
        <v>#REF!</v>
      </c>
      <c r="G19" s="2231"/>
      <c r="H19" s="2232">
        <v>42950489</v>
      </c>
      <c r="I19" s="1790"/>
      <c r="J19" s="1767"/>
      <c r="K19" s="1768"/>
    </row>
    <row r="20" spans="2:13" ht="18" customHeight="1">
      <c r="B20" s="2222" t="s">
        <v>1845</v>
      </c>
      <c r="C20" s="2223" t="s">
        <v>1602</v>
      </c>
      <c r="D20" s="2228">
        <f>'2.BOQ with cost'!G193</f>
        <v>8499278.0700000003</v>
      </c>
      <c r="E20" s="2229"/>
      <c r="F20" s="2230" t="e">
        <f>#REF!</f>
        <v>#REF!</v>
      </c>
      <c r="G20" s="2231"/>
      <c r="H20" s="2232">
        <v>43334387</v>
      </c>
      <c r="I20" s="1790"/>
      <c r="J20" s="1767"/>
      <c r="K20" s="1768"/>
      <c r="L20" s="1766"/>
      <c r="M20" s="1766"/>
    </row>
    <row r="21" spans="2:13" ht="18" customHeight="1">
      <c r="B21" s="2222" t="s">
        <v>1864</v>
      </c>
      <c r="C21" s="2223" t="s">
        <v>1603</v>
      </c>
      <c r="D21" s="2228">
        <f>'2.BOQ with cost'!G209</f>
        <v>2235495.165</v>
      </c>
      <c r="E21" s="2229"/>
      <c r="F21" s="2230"/>
      <c r="G21" s="2231"/>
      <c r="H21" s="2232"/>
      <c r="I21" s="1790"/>
      <c r="J21" s="1793"/>
      <c r="K21" s="1768"/>
    </row>
    <row r="22" spans="2:13" ht="18" customHeight="1">
      <c r="B22" s="2222" t="s">
        <v>1904</v>
      </c>
      <c r="C22" s="2223" t="s">
        <v>2925</v>
      </c>
      <c r="D22" s="2228">
        <f>'2.BOQ with cost'!G231</f>
        <v>20386915.489057366</v>
      </c>
      <c r="E22" s="2229"/>
      <c r="F22" s="2230"/>
      <c r="G22" s="2231"/>
      <c r="H22" s="2232"/>
      <c r="I22" s="1790"/>
      <c r="J22" s="1793"/>
      <c r="K22" s="1768"/>
    </row>
    <row r="23" spans="2:13" ht="18" customHeight="1">
      <c r="B23" s="2222" t="s">
        <v>1938</v>
      </c>
      <c r="C23" s="2223" t="s">
        <v>3081</v>
      </c>
      <c r="D23" s="2228">
        <f>'2.BOQ with cost'!G242</f>
        <v>4516188.0444</v>
      </c>
      <c r="E23" s="2229"/>
      <c r="F23" s="2230"/>
      <c r="G23" s="2231"/>
      <c r="H23" s="2232"/>
      <c r="I23" s="1790"/>
      <c r="J23" s="1793"/>
      <c r="K23" s="1768"/>
    </row>
    <row r="24" spans="2:13" ht="18" customHeight="1">
      <c r="B24" s="2222"/>
      <c r="C24" s="2218" t="s">
        <v>1557</v>
      </c>
      <c r="D24" s="2233">
        <f>SUM(D15:D23)</f>
        <v>366864261.68731892</v>
      </c>
      <c r="E24" s="2234"/>
      <c r="F24" s="2230"/>
      <c r="G24" s="2231"/>
      <c r="H24" s="2232"/>
      <c r="I24" s="1790"/>
      <c r="J24" s="1793"/>
      <c r="K24" s="1768"/>
    </row>
    <row r="25" spans="2:13" ht="18" customHeight="1">
      <c r="B25" s="2235"/>
      <c r="C25" s="2221" t="s">
        <v>2910</v>
      </c>
      <c r="D25" s="2228"/>
      <c r="E25" s="2229"/>
      <c r="F25" s="2230"/>
      <c r="G25" s="2231"/>
      <c r="H25" s="2232"/>
      <c r="I25" s="1790"/>
      <c r="J25" s="1793"/>
      <c r="K25" s="1768"/>
    </row>
    <row r="26" spans="2:13" ht="18" customHeight="1">
      <c r="B26" s="2235" t="s">
        <v>2004</v>
      </c>
      <c r="C26" s="2227" t="s">
        <v>3082</v>
      </c>
      <c r="D26" s="2236">
        <f>'2.BOQ with cost'!G261</f>
        <v>59747312.653999999</v>
      </c>
      <c r="E26" s="2229"/>
      <c r="F26" s="2230"/>
      <c r="G26" s="2231"/>
      <c r="H26" s="2232"/>
      <c r="I26" s="1790"/>
      <c r="J26" s="1793"/>
      <c r="K26" s="1768"/>
    </row>
    <row r="27" spans="2:13" ht="18" customHeight="1">
      <c r="B27" s="2235" t="s">
        <v>2025</v>
      </c>
      <c r="C27" s="2227" t="s">
        <v>3083</v>
      </c>
      <c r="D27" s="2237">
        <f>'2.BOQ with cost'!G293</f>
        <v>54339069.985271662</v>
      </c>
      <c r="E27" s="2229"/>
      <c r="F27" s="2230"/>
      <c r="G27" s="2231"/>
      <c r="H27" s="2232"/>
      <c r="I27" s="1790"/>
      <c r="J27" s="1793"/>
      <c r="K27" s="1768"/>
    </row>
    <row r="28" spans="2:13" ht="19.2">
      <c r="B28" s="2235" t="s">
        <v>2044</v>
      </c>
      <c r="C28" s="2227" t="s">
        <v>3084</v>
      </c>
      <c r="D28" s="2224">
        <f>'2.BOQ with cost'!G317</f>
        <v>120191691.40542458</v>
      </c>
      <c r="E28" s="2229"/>
      <c r="F28" s="2230"/>
      <c r="G28" s="2231"/>
      <c r="H28" s="2232"/>
      <c r="I28" s="65"/>
      <c r="J28" s="1793"/>
      <c r="K28" s="1768"/>
    </row>
    <row r="29" spans="2:13" ht="19.2">
      <c r="B29" s="2235" t="s">
        <v>2060</v>
      </c>
      <c r="C29" s="2227" t="s">
        <v>3085</v>
      </c>
      <c r="D29" s="2224">
        <f>'2.BOQ with cost'!G340</f>
        <v>34230573.02919431</v>
      </c>
      <c r="E29" s="2229"/>
      <c r="F29" s="2230"/>
      <c r="G29" s="2231"/>
      <c r="H29" s="2232"/>
      <c r="I29" s="1790"/>
      <c r="J29" s="1793"/>
      <c r="K29" s="1768"/>
    </row>
    <row r="30" spans="2:13" ht="19.2">
      <c r="B30" s="2235" t="s">
        <v>2065</v>
      </c>
      <c r="C30" s="2227" t="s">
        <v>2602</v>
      </c>
      <c r="D30" s="2224">
        <f>'2.BOQ with cost'!G371</f>
        <v>385230144.32029063</v>
      </c>
      <c r="E30" s="2229"/>
      <c r="F30" s="2230"/>
      <c r="G30" s="2231"/>
      <c r="H30" s="2232"/>
      <c r="I30" s="1790"/>
      <c r="J30" s="1793"/>
      <c r="K30" s="1768"/>
    </row>
    <row r="31" spans="2:13" ht="19.2">
      <c r="B31" s="2217"/>
      <c r="C31" s="2238" t="s">
        <v>3336</v>
      </c>
      <c r="D31" s="2239">
        <f>SUM(D26:D30)</f>
        <v>653738791.39418125</v>
      </c>
      <c r="E31" s="2234"/>
      <c r="F31" s="2230"/>
      <c r="G31" s="2231"/>
      <c r="H31" s="2232"/>
      <c r="I31" s="1790"/>
      <c r="J31" s="1793"/>
      <c r="K31" s="1768"/>
    </row>
    <row r="32" spans="2:13" ht="38.4">
      <c r="B32" s="2235"/>
      <c r="C32" s="2240" t="s">
        <v>2911</v>
      </c>
      <c r="D32" s="2241"/>
      <c r="E32" s="2229"/>
      <c r="F32" s="2230"/>
      <c r="G32" s="2231"/>
      <c r="H32" s="2232"/>
      <c r="I32" s="1790"/>
      <c r="J32" s="1793"/>
      <c r="K32" s="1768"/>
    </row>
    <row r="33" spans="2:11" ht="19.2">
      <c r="B33" s="2235" t="s">
        <v>2162</v>
      </c>
      <c r="C33" s="2227" t="s">
        <v>736</v>
      </c>
      <c r="D33" s="2242">
        <f>'2.BOQ with cost'!G396</f>
        <v>82374859.31982322</v>
      </c>
      <c r="E33" s="2229"/>
      <c r="F33" s="2230"/>
      <c r="G33" s="2231"/>
      <c r="H33" s="2232"/>
      <c r="I33" s="65"/>
      <c r="J33" s="1793"/>
      <c r="K33" s="1768"/>
    </row>
    <row r="34" spans="2:11" ht="19.2">
      <c r="B34" s="2235" t="s">
        <v>2181</v>
      </c>
      <c r="C34" s="2227" t="s">
        <v>795</v>
      </c>
      <c r="D34" s="2224">
        <f>'2.BOQ with cost'!G412</f>
        <v>8757479.8049999997</v>
      </c>
      <c r="E34" s="2229"/>
      <c r="F34" s="2230" t="e">
        <f>#REF!</f>
        <v>#REF!</v>
      </c>
      <c r="G34" s="2231"/>
      <c r="H34" s="2232">
        <v>25858127</v>
      </c>
      <c r="I34" s="1790"/>
      <c r="J34" s="1793"/>
      <c r="K34" s="1768"/>
    </row>
    <row r="35" spans="2:11" ht="19.2">
      <c r="B35" s="2235" t="s">
        <v>2194</v>
      </c>
      <c r="C35" s="2227" t="s">
        <v>1485</v>
      </c>
      <c r="D35" s="2224">
        <f>'2.BOQ with cost'!G461</f>
        <v>1558252676.186666</v>
      </c>
      <c r="E35" s="2229"/>
      <c r="F35" s="2230" t="e">
        <f>#REF!</f>
        <v>#REF!</v>
      </c>
      <c r="G35" s="2231"/>
      <c r="H35" s="2232">
        <v>7712061</v>
      </c>
      <c r="I35" s="1790"/>
      <c r="J35" s="1793"/>
      <c r="K35" s="1768"/>
    </row>
    <row r="36" spans="2:11" ht="19.2">
      <c r="B36" s="2235" t="s">
        <v>2205</v>
      </c>
      <c r="C36" s="2227" t="s">
        <v>2931</v>
      </c>
      <c r="D36" s="2224">
        <f>'2.BOQ with cost'!G483</f>
        <v>67750126.208142757</v>
      </c>
      <c r="E36" s="2229"/>
      <c r="F36" s="2230" t="e">
        <f>#REF!</f>
        <v>#REF!</v>
      </c>
      <c r="G36" s="2231"/>
      <c r="H36" s="2232">
        <v>8312708</v>
      </c>
      <c r="I36" s="1790"/>
      <c r="J36" s="1793"/>
      <c r="K36" s="1768"/>
    </row>
    <row r="37" spans="2:11" ht="19.2">
      <c r="B37" s="2235" t="s">
        <v>2215</v>
      </c>
      <c r="C37" s="2227" t="s">
        <v>2927</v>
      </c>
      <c r="D37" s="2224">
        <f>'2.BOQ with cost'!G499</f>
        <v>21373102.5385</v>
      </c>
      <c r="E37" s="2229"/>
      <c r="F37" s="2230" t="e">
        <f>#REF!</f>
        <v>#REF!</v>
      </c>
      <c r="G37" s="2231"/>
      <c r="H37" s="2232">
        <v>913850</v>
      </c>
      <c r="I37" s="1790"/>
      <c r="J37" s="1793"/>
      <c r="K37" s="1768"/>
    </row>
    <row r="38" spans="2:11" ht="19.2">
      <c r="B38" s="2235" t="s">
        <v>2222</v>
      </c>
      <c r="C38" s="2227" t="s">
        <v>1487</v>
      </c>
      <c r="D38" s="2224">
        <f>'2.BOQ with cost'!G519</f>
        <v>6770349.3462865679</v>
      </c>
      <c r="E38" s="2229"/>
      <c r="F38" s="2230"/>
      <c r="G38" s="2231"/>
      <c r="H38" s="2232"/>
      <c r="I38" s="1790"/>
      <c r="J38" s="1793"/>
      <c r="K38" s="1768"/>
    </row>
    <row r="39" spans="2:11" ht="19.2">
      <c r="B39" s="2235" t="s">
        <v>2233</v>
      </c>
      <c r="C39" s="2227" t="s">
        <v>298</v>
      </c>
      <c r="D39" s="2224">
        <f>'2.BOQ with cost'!G533</f>
        <v>136795553.90385118</v>
      </c>
      <c r="E39" s="2229"/>
      <c r="F39" s="2230" t="e">
        <f>#REF!</f>
        <v>#REF!</v>
      </c>
      <c r="G39" s="2231"/>
      <c r="H39" s="2232">
        <v>34382804</v>
      </c>
      <c r="I39" s="1790"/>
      <c r="J39" s="1793"/>
      <c r="K39" s="1768"/>
    </row>
    <row r="40" spans="2:11" ht="19.2">
      <c r="B40" s="2235" t="s">
        <v>2244</v>
      </c>
      <c r="C40" s="2227" t="s">
        <v>829</v>
      </c>
      <c r="D40" s="2224">
        <f>'2.BOQ with cost'!G549</f>
        <v>20704116.004999999</v>
      </c>
      <c r="E40" s="2229"/>
      <c r="F40" s="2230" t="e">
        <f>#REF!</f>
        <v>#REF!</v>
      </c>
      <c r="G40" s="2231"/>
      <c r="H40" s="2232">
        <v>878825660</v>
      </c>
      <c r="I40" s="1790"/>
      <c r="J40" s="1793"/>
      <c r="K40" s="1768"/>
    </row>
    <row r="41" spans="2:11" ht="19.2">
      <c r="B41" s="2235" t="s">
        <v>2245</v>
      </c>
      <c r="C41" s="2227" t="s">
        <v>1488</v>
      </c>
      <c r="D41" s="2224">
        <f>'2.BOQ with cost'!G577</f>
        <v>329835429.90962392</v>
      </c>
      <c r="E41" s="2229"/>
      <c r="F41" s="2230"/>
      <c r="G41" s="2231"/>
      <c r="H41" s="2232"/>
      <c r="I41" s="1790"/>
      <c r="J41" s="1793"/>
      <c r="K41" s="1768"/>
    </row>
    <row r="42" spans="2:11" ht="19.2">
      <c r="B42" s="2235" t="s">
        <v>2246</v>
      </c>
      <c r="C42" s="2227" t="s">
        <v>1513</v>
      </c>
      <c r="D42" s="2224">
        <f>'2.BOQ with cost'!G604</f>
        <v>40646253.772141837</v>
      </c>
      <c r="E42" s="2229"/>
      <c r="F42" s="2230" t="e">
        <f>#REF!</f>
        <v>#REF!</v>
      </c>
      <c r="G42" s="2231"/>
      <c r="H42" s="2232">
        <v>58674560</v>
      </c>
      <c r="I42" s="1790"/>
      <c r="J42" s="1793"/>
      <c r="K42" s="1768"/>
    </row>
    <row r="43" spans="2:11" ht="19.2">
      <c r="B43" s="2235" t="s">
        <v>2247</v>
      </c>
      <c r="C43" s="2227" t="s">
        <v>1521</v>
      </c>
      <c r="D43" s="2224">
        <f>'2.BOQ with cost'!G620</f>
        <v>17112914.5284</v>
      </c>
      <c r="E43" s="2229"/>
      <c r="F43" s="2230" t="e">
        <f>#REF!</f>
        <v>#REF!</v>
      </c>
      <c r="G43" s="2231"/>
      <c r="H43" s="2232">
        <v>7740021</v>
      </c>
      <c r="I43" s="1790"/>
      <c r="J43" s="1793"/>
      <c r="K43" s="1768"/>
    </row>
    <row r="44" spans="2:11" ht="19.2">
      <c r="B44" s="2235" t="s">
        <v>2248</v>
      </c>
      <c r="C44" s="2227" t="s">
        <v>1526</v>
      </c>
      <c r="D44" s="2224">
        <f>'2.BOQ with cost'!G648</f>
        <v>22774514.784040473</v>
      </c>
      <c r="E44" s="2229"/>
      <c r="F44" s="2230" t="e">
        <f>#REF!</f>
        <v>#REF!</v>
      </c>
      <c r="G44" s="2231"/>
      <c r="H44" s="2232">
        <v>97576532</v>
      </c>
      <c r="I44" s="1790"/>
      <c r="J44" s="1793"/>
      <c r="K44" s="1768"/>
    </row>
    <row r="45" spans="2:11" ht="19.2">
      <c r="B45" s="2235" t="s">
        <v>2249</v>
      </c>
      <c r="C45" s="2227" t="s">
        <v>3086</v>
      </c>
      <c r="D45" s="2224">
        <f>'2.BOQ with cost'!G675</f>
        <v>204395803.53310674</v>
      </c>
      <c r="E45" s="2229"/>
      <c r="F45" s="2230"/>
      <c r="G45" s="2231"/>
      <c r="H45" s="2232"/>
      <c r="I45" s="1790"/>
      <c r="J45" s="1793"/>
      <c r="K45" s="1768"/>
    </row>
    <row r="46" spans="2:11" ht="19.2">
      <c r="B46" s="2235" t="s">
        <v>2250</v>
      </c>
      <c r="C46" s="2227" t="s">
        <v>1528</v>
      </c>
      <c r="D46" s="2224">
        <f>'2.BOQ with cost'!G691</f>
        <v>6120683.4400000004</v>
      </c>
      <c r="E46" s="2229"/>
      <c r="F46" s="2230"/>
      <c r="G46" s="2231"/>
      <c r="H46" s="2232"/>
      <c r="I46" s="1790"/>
      <c r="J46" s="1793"/>
      <c r="K46" s="1768"/>
    </row>
    <row r="47" spans="2:11" ht="19.2">
      <c r="B47" s="2235" t="s">
        <v>2251</v>
      </c>
      <c r="C47" s="2227" t="s">
        <v>1527</v>
      </c>
      <c r="D47" s="2224">
        <f>'2.BOQ with cost'!G716</f>
        <v>14166103.446086766</v>
      </c>
      <c r="E47" s="2229"/>
      <c r="F47" s="2230"/>
      <c r="G47" s="2231"/>
      <c r="H47" s="2232"/>
      <c r="I47" s="1790"/>
      <c r="J47" s="1793"/>
      <c r="K47" s="1768"/>
    </row>
    <row r="48" spans="2:11" ht="19.2">
      <c r="B48" s="2259"/>
      <c r="C48" s="2238" t="s">
        <v>1558</v>
      </c>
      <c r="D48" s="2239">
        <f>SUM(D33:D47)</f>
        <v>2537829966.7266698</v>
      </c>
      <c r="E48" s="2234"/>
      <c r="F48" s="2230"/>
      <c r="G48" s="2231"/>
      <c r="H48" s="2232"/>
      <c r="I48" s="1790"/>
      <c r="J48" s="1793"/>
      <c r="K48" s="1768"/>
    </row>
    <row r="49" spans="1:11" ht="19.2">
      <c r="B49" s="2235"/>
      <c r="C49" s="2240" t="s">
        <v>2912</v>
      </c>
      <c r="D49" s="2224"/>
      <c r="E49" s="2229"/>
      <c r="F49" s="2230"/>
      <c r="G49" s="2231"/>
      <c r="H49" s="2232"/>
      <c r="I49" s="1790"/>
      <c r="J49" s="1793"/>
      <c r="K49" s="1768"/>
    </row>
    <row r="50" spans="1:11" ht="19.2">
      <c r="B50" s="2235" t="s">
        <v>2252</v>
      </c>
      <c r="C50" s="2227" t="s">
        <v>423</v>
      </c>
      <c r="D50" s="2243">
        <f>'2.BOQ with cost'!G767</f>
        <v>240791012.83565634</v>
      </c>
      <c r="E50" s="2229"/>
      <c r="F50" s="2230"/>
      <c r="G50" s="2231"/>
      <c r="H50" s="2232"/>
      <c r="I50" s="1790"/>
      <c r="J50" s="1793"/>
      <c r="K50" s="1768"/>
    </row>
    <row r="51" spans="1:11" ht="19.2">
      <c r="B51" s="2235" t="s">
        <v>2253</v>
      </c>
      <c r="C51" s="2227" t="s">
        <v>841</v>
      </c>
      <c r="D51" s="2244">
        <f>'2.BOQ with cost'!G783</f>
        <v>26893560.411972392</v>
      </c>
      <c r="E51" s="2229"/>
      <c r="F51" s="2230"/>
      <c r="G51" s="2231"/>
      <c r="H51" s="2232"/>
      <c r="I51" s="1790"/>
      <c r="J51" s="1793"/>
      <c r="K51" s="1768"/>
    </row>
    <row r="52" spans="1:11" ht="19.2">
      <c r="B52" s="2235" t="s">
        <v>2254</v>
      </c>
      <c r="C52" s="2227" t="s">
        <v>1319</v>
      </c>
      <c r="D52" s="2224">
        <f>'2.BOQ with cost'!G800</f>
        <v>23483351.200880405</v>
      </c>
      <c r="E52" s="2229"/>
      <c r="F52" s="2230"/>
      <c r="G52" s="2231"/>
      <c r="H52" s="2232"/>
      <c r="I52" s="1790"/>
      <c r="J52" s="1793"/>
      <c r="K52" s="1768"/>
    </row>
    <row r="53" spans="1:11" ht="19.2">
      <c r="B53" s="2235" t="s">
        <v>2913</v>
      </c>
      <c r="C53" s="2227" t="s">
        <v>1491</v>
      </c>
      <c r="D53" s="2224">
        <f>'2.BOQ with cost'!G823</f>
        <v>79215505.318803996</v>
      </c>
      <c r="E53" s="2229"/>
      <c r="F53" s="2230"/>
      <c r="G53" s="2231"/>
      <c r="H53" s="2232"/>
      <c r="I53" s="1790"/>
      <c r="J53" s="1793"/>
      <c r="K53" s="1768"/>
    </row>
    <row r="54" spans="1:11" ht="19.2">
      <c r="B54" s="2259"/>
      <c r="C54" s="2238" t="s">
        <v>3337</v>
      </c>
      <c r="D54" s="2245">
        <f>SUM(D50:D53)</f>
        <v>370383429.76731312</v>
      </c>
      <c r="E54" s="2234"/>
      <c r="F54" s="2230"/>
      <c r="G54" s="2231"/>
      <c r="H54" s="2232"/>
      <c r="I54" s="1790"/>
      <c r="J54" s="1793"/>
      <c r="K54" s="1768"/>
    </row>
    <row r="55" spans="1:11" ht="18" customHeight="1">
      <c r="B55" s="2235" t="s">
        <v>3277</v>
      </c>
      <c r="C55" s="2227" t="s">
        <v>3278</v>
      </c>
      <c r="D55" s="2224">
        <f>'2.BOQ with cost'!G852</f>
        <v>8862284.8052420802</v>
      </c>
      <c r="E55" s="2229"/>
      <c r="F55" s="2230" t="e">
        <f>#REF!</f>
        <v>#REF!</v>
      </c>
      <c r="G55" s="2231"/>
      <c r="H55" s="2232">
        <v>213144555</v>
      </c>
      <c r="I55" s="1790"/>
      <c r="J55" s="1793"/>
      <c r="K55" s="1768"/>
    </row>
    <row r="56" spans="1:11" ht="19.2">
      <c r="B56" s="2235" t="s">
        <v>3357</v>
      </c>
      <c r="C56" s="2227" t="s">
        <v>1170</v>
      </c>
      <c r="D56" s="2242"/>
      <c r="E56" s="2229"/>
      <c r="F56" s="2246" t="e">
        <f>#REF!</f>
        <v>#REF!</v>
      </c>
      <c r="G56" s="2231"/>
      <c r="H56" s="2232">
        <v>20929257</v>
      </c>
      <c r="I56" s="1790"/>
      <c r="J56" s="1794"/>
      <c r="K56" s="1768"/>
    </row>
    <row r="57" spans="1:11" ht="19.2">
      <c r="B57" s="2235" t="s">
        <v>3359</v>
      </c>
      <c r="C57" s="2247" t="s">
        <v>2708</v>
      </c>
      <c r="D57" s="2248">
        <v>40000000</v>
      </c>
      <c r="E57" s="2229"/>
      <c r="F57" s="2246" t="e">
        <f>#REF!</f>
        <v>#REF!</v>
      </c>
      <c r="G57" s="2231"/>
      <c r="H57" s="2232">
        <v>22341793</v>
      </c>
      <c r="I57" s="1790"/>
      <c r="J57" s="1794"/>
      <c r="K57" s="1768"/>
    </row>
    <row r="58" spans="1:11" ht="38.4">
      <c r="B58" s="2235" t="s">
        <v>3361</v>
      </c>
      <c r="C58" s="2247" t="s">
        <v>2709</v>
      </c>
      <c r="D58" s="2248">
        <v>10000000</v>
      </c>
      <c r="E58" s="2229"/>
      <c r="F58" s="2246"/>
      <c r="G58" s="2231"/>
      <c r="H58" s="2232"/>
      <c r="I58" s="1790"/>
      <c r="J58" s="1794"/>
      <c r="K58" s="1768"/>
    </row>
    <row r="59" spans="1:11" ht="19.2">
      <c r="B59" s="2235" t="s">
        <v>3362</v>
      </c>
      <c r="C59" s="520" t="s">
        <v>3358</v>
      </c>
      <c r="D59" s="2243">
        <v>60000000</v>
      </c>
      <c r="E59" s="2229"/>
      <c r="F59" s="2246"/>
      <c r="G59" s="2231"/>
      <c r="H59" s="2232"/>
      <c r="I59" s="1790"/>
      <c r="J59" s="1794"/>
      <c r="K59" s="1768"/>
    </row>
    <row r="60" spans="1:11" ht="19.2">
      <c r="B60" s="2260" t="s">
        <v>3069</v>
      </c>
      <c r="C60" s="2261" t="s">
        <v>3338</v>
      </c>
      <c r="D60" s="2264">
        <f>D13+D24+D31+D48+D54+D55+D59</f>
        <v>4242153284.9096723</v>
      </c>
      <c r="E60" s="2262"/>
      <c r="F60" s="2246"/>
      <c r="G60" s="2231"/>
      <c r="H60" s="2232"/>
      <c r="I60" s="1790"/>
      <c r="J60" s="1794"/>
      <c r="K60" s="1768"/>
    </row>
    <row r="61" spans="1:11" ht="19.2">
      <c r="B61" s="2260" t="s">
        <v>3070</v>
      </c>
      <c r="C61" s="2261" t="s">
        <v>3360</v>
      </c>
      <c r="D61" s="2264">
        <f>D57+D58</f>
        <v>50000000</v>
      </c>
      <c r="E61" s="2262"/>
      <c r="F61" s="2246"/>
      <c r="G61" s="2231"/>
      <c r="H61" s="2232"/>
      <c r="I61" s="1790"/>
      <c r="J61" s="1794"/>
      <c r="K61" s="1768"/>
    </row>
    <row r="62" spans="1:11" ht="19.2">
      <c r="A62" s="301"/>
      <c r="B62" s="2260" t="s">
        <v>3071</v>
      </c>
      <c r="C62" s="2263" t="s">
        <v>3073</v>
      </c>
      <c r="D62" s="2265">
        <f>0.13*D60</f>
        <v>551479927.03825736</v>
      </c>
      <c r="E62" s="2262"/>
      <c r="F62" s="2249">
        <f>'Provisional Sum'!H11</f>
        <v>90000000</v>
      </c>
      <c r="G62" s="2250"/>
      <c r="H62" s="520"/>
      <c r="I62" s="65"/>
      <c r="J62" s="1793"/>
      <c r="K62" s="1768"/>
    </row>
    <row r="63" spans="1:11" ht="19.8" thickBot="1">
      <c r="A63" s="301"/>
      <c r="B63" s="2266" t="s">
        <v>3072</v>
      </c>
      <c r="C63" s="2267" t="s">
        <v>3074</v>
      </c>
      <c r="D63" s="2268">
        <f>D60+D62</f>
        <v>4793633211.9479294</v>
      </c>
      <c r="E63" s="2269"/>
      <c r="F63" s="2249"/>
      <c r="G63" s="2250"/>
      <c r="H63" s="520"/>
      <c r="I63" s="1791"/>
      <c r="J63" s="1793"/>
      <c r="K63" s="1768"/>
    </row>
    <row r="64" spans="1:11" s="213" customFormat="1" ht="19.2" hidden="1">
      <c r="B64" s="2270"/>
      <c r="C64" s="2271" t="s">
        <v>666</v>
      </c>
      <c r="D64" s="2271"/>
      <c r="E64" s="2271"/>
      <c r="F64" s="2251" t="e">
        <f>F17+F18+F19+F20+#REF!+F34+#REF!+F35+F36+F37+F44+F55+F56+F57+#REF!</f>
        <v>#REF!</v>
      </c>
      <c r="G64" s="2252"/>
      <c r="H64" s="2253">
        <v>1488349326.51</v>
      </c>
      <c r="I64" s="330"/>
    </row>
    <row r="65" spans="2:9" s="213" customFormat="1" ht="19.2" hidden="1">
      <c r="B65" s="2272"/>
      <c r="C65" s="2273" t="s">
        <v>667</v>
      </c>
      <c r="D65" s="2273"/>
      <c r="E65" s="2273"/>
      <c r="F65" s="2254" t="e">
        <f>F39+F40+F42+F43</f>
        <v>#REF!</v>
      </c>
      <c r="G65" s="2252"/>
      <c r="H65" s="2255">
        <v>979623044</v>
      </c>
      <c r="I65" s="330"/>
    </row>
    <row r="66" spans="2:9" s="213" customFormat="1" ht="19.2" hidden="1">
      <c r="B66" s="2272"/>
      <c r="C66" s="2273" t="s">
        <v>251</v>
      </c>
      <c r="D66" s="2273"/>
      <c r="E66" s="2273"/>
      <c r="F66" s="2256" t="e">
        <f>F64+F65</f>
        <v>#REF!</v>
      </c>
      <c r="G66" s="2252"/>
      <c r="H66" s="2255">
        <v>2467972371</v>
      </c>
      <c r="I66" s="330"/>
    </row>
    <row r="67" spans="2:9" ht="19.8" hidden="1" thickBot="1">
      <c r="B67" s="2274"/>
      <c r="C67" s="2275" t="s">
        <v>669</v>
      </c>
      <c r="D67" s="2275"/>
      <c r="E67" s="2275"/>
      <c r="F67" s="2257"/>
      <c r="G67" s="2258"/>
      <c r="H67" s="2232">
        <v>5550</v>
      </c>
      <c r="I67" s="330"/>
    </row>
    <row r="68" spans="2:9" ht="19.2">
      <c r="B68" s="2276"/>
      <c r="C68" s="2277" t="s">
        <v>3364</v>
      </c>
      <c r="D68" s="2278">
        <f>SUM(D34:D47)</f>
        <v>2455455107.406847</v>
      </c>
      <c r="E68" s="2276"/>
    </row>
    <row r="69" spans="2:9" ht="19.2">
      <c r="B69" s="2276"/>
      <c r="C69" s="2277" t="s">
        <v>3365</v>
      </c>
      <c r="D69" s="2278">
        <f>D13+D24+D31+D33+D54+D55+D59</f>
        <v>1786698177.5028257</v>
      </c>
      <c r="E69" s="2276"/>
    </row>
  </sheetData>
  <mergeCells count="7">
    <mergeCell ref="H4:H5"/>
    <mergeCell ref="B2:E2"/>
    <mergeCell ref="B3:E3"/>
    <mergeCell ref="B4:B5"/>
    <mergeCell ref="C4:C5"/>
    <mergeCell ref="E4:E5"/>
    <mergeCell ref="G4:G5"/>
  </mergeCells>
  <pageMargins left="1" right="1" top="1" bottom="1.3333333333333333" header="0.5" footer="0.5"/>
  <pageSetup paperSize="9" scale="80" orientation="portrait" r:id="rId1"/>
  <headerFooter>
    <oddHeader>&amp;L&amp;"Gill Sans MT,Italic"&amp;9Hydro Village Pvt. Ltd.&amp;R&amp;"Gill Sans MT,Italic"&amp;9Myagdi Khola Hydropower Project
Tender Document for Civil Construction Works- Bill of Quantities</oddHeader>
    <oddFooter>&amp;L&amp;"Gill Sans MT,Regular"Company:
Seal:
&amp;C&amp;"Gill Sans MT,Regular"Signature: 
            .
           Name of signatory:
   Designation:&amp;R&amp;"Gill Sans MT,Italic"&amp;9BoQ Summary- page &amp;P</oddFooter>
  </headerFooter>
  <rowBreaks count="1" manualBreakCount="1">
    <brk id="43" min="1" max="4" man="1"/>
  </row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sheetPr>
  <dimension ref="A1:BX835"/>
  <sheetViews>
    <sheetView workbookViewId="0"/>
  </sheetViews>
  <sheetFormatPr defaultColWidth="8.88671875" defaultRowHeight="18"/>
  <cols>
    <col min="1" max="1" width="14.5546875" style="1601" customWidth="1"/>
    <col min="2" max="2" width="54.5546875" style="217" customWidth="1"/>
    <col min="3" max="3" width="8" style="1588" bestFit="1" customWidth="1"/>
    <col min="4" max="4" width="14.44140625" style="1731" customWidth="1"/>
    <col min="5" max="5" width="13.88671875" style="1636" hidden="1" customWidth="1"/>
    <col min="6" max="6" width="24" style="1589" hidden="1" customWidth="1"/>
    <col min="7" max="7" width="13.109375" style="1589" hidden="1" customWidth="1"/>
    <col min="8" max="8" width="15.44140625" style="1588" hidden="1" customWidth="1"/>
    <col min="9" max="9" width="17.6640625" style="217" bestFit="1" customWidth="1"/>
    <col min="10" max="10" width="18.88671875" style="217" customWidth="1"/>
    <col min="11" max="11" width="19.5546875" style="217" customWidth="1"/>
    <col min="12" max="12" width="29.33203125" style="217" customWidth="1"/>
    <col min="13" max="13" width="28.5546875" style="217" customWidth="1"/>
    <col min="14" max="14" width="22.88671875" style="217" bestFit="1" customWidth="1"/>
    <col min="15" max="15" width="8.88671875" style="217"/>
    <col min="16" max="16" width="15" style="217" bestFit="1" customWidth="1"/>
    <col min="17" max="19" width="8.88671875" style="217"/>
    <col min="20" max="20" width="15.5546875" style="217" bestFit="1" customWidth="1"/>
    <col min="21" max="22" width="8.88671875" style="217"/>
    <col min="23" max="23" width="18.6640625" style="217" bestFit="1" customWidth="1"/>
    <col min="24" max="16384" width="8.88671875" style="217"/>
  </cols>
  <sheetData>
    <row r="1" spans="1:11">
      <c r="I1" s="220"/>
      <c r="J1" s="220"/>
    </row>
    <row r="2" spans="1:11" ht="35.25" customHeight="1">
      <c r="I2" s="220"/>
      <c r="J2" s="220"/>
    </row>
    <row r="3" spans="1:11">
      <c r="A3" s="320" t="s">
        <v>0</v>
      </c>
      <c r="B3" s="1637" t="s">
        <v>1564</v>
      </c>
      <c r="G3" s="1638" t="s">
        <v>1561</v>
      </c>
      <c r="H3" s="1588" t="s">
        <v>2793</v>
      </c>
      <c r="I3" s="220"/>
      <c r="J3" s="220"/>
    </row>
    <row r="4" spans="1:11">
      <c r="A4" s="321" t="s">
        <v>1</v>
      </c>
      <c r="B4" s="1637">
        <v>930100</v>
      </c>
      <c r="G4" s="1638" t="s">
        <v>171</v>
      </c>
      <c r="H4" s="1588" t="s">
        <v>2388</v>
      </c>
      <c r="I4" s="220"/>
      <c r="J4" s="220"/>
    </row>
    <row r="5" spans="1:11">
      <c r="A5" s="321" t="s">
        <v>2</v>
      </c>
      <c r="B5" s="1381" t="s">
        <v>331</v>
      </c>
      <c r="G5" s="1638" t="s">
        <v>113</v>
      </c>
      <c r="H5" s="1588" t="s">
        <v>2387</v>
      </c>
      <c r="I5" s="220"/>
      <c r="J5" s="220"/>
    </row>
    <row r="6" spans="1:11">
      <c r="A6" s="321" t="s">
        <v>3</v>
      </c>
      <c r="B6" s="1381" t="s">
        <v>2905</v>
      </c>
      <c r="G6" s="1638" t="s">
        <v>106</v>
      </c>
      <c r="H6" s="1639">
        <f ca="1">TODAY()</f>
        <v>44942</v>
      </c>
      <c r="I6" s="220"/>
      <c r="J6" s="220"/>
    </row>
    <row r="7" spans="1:11" ht="18.600000000000001" thickBot="1">
      <c r="A7" s="217"/>
      <c r="G7" s="217"/>
      <c r="H7" s="217"/>
      <c r="I7" s="220"/>
      <c r="J7" s="220"/>
    </row>
    <row r="8" spans="1:11" ht="17.25" customHeight="1">
      <c r="A8" s="2336" t="s">
        <v>7</v>
      </c>
      <c r="B8" s="2338" t="s">
        <v>8</v>
      </c>
      <c r="C8" s="2338" t="s">
        <v>9</v>
      </c>
      <c r="D8" s="2338" t="s">
        <v>861</v>
      </c>
      <c r="E8" s="2338" t="s">
        <v>2799</v>
      </c>
      <c r="F8" s="2338"/>
      <c r="G8" s="1659" t="s">
        <v>2766</v>
      </c>
      <c r="H8" s="2340" t="s">
        <v>17</v>
      </c>
      <c r="I8" s="2332" t="s">
        <v>34</v>
      </c>
      <c r="J8" s="2332" t="s">
        <v>485</v>
      </c>
      <c r="K8" s="217" t="s">
        <v>2906</v>
      </c>
    </row>
    <row r="9" spans="1:11">
      <c r="A9" s="2337"/>
      <c r="B9" s="2339"/>
      <c r="C9" s="2339"/>
      <c r="D9" s="2339"/>
      <c r="E9" s="1797" t="s">
        <v>862</v>
      </c>
      <c r="F9" s="1797" t="s">
        <v>863</v>
      </c>
      <c r="G9" s="1568" t="s">
        <v>287</v>
      </c>
      <c r="H9" s="2341"/>
      <c r="I9" s="2333"/>
      <c r="J9" s="2333"/>
    </row>
    <row r="10" spans="1:11">
      <c r="A10" s="1799"/>
      <c r="B10" s="1568" t="s">
        <v>2908</v>
      </c>
      <c r="C10" s="1797"/>
      <c r="D10" s="1797"/>
      <c r="E10" s="1797"/>
      <c r="F10" s="1797"/>
      <c r="G10" s="1568"/>
      <c r="H10" s="1796"/>
      <c r="I10" s="1798"/>
      <c r="J10" s="1798"/>
    </row>
    <row r="11" spans="1:11">
      <c r="A11" s="1799"/>
      <c r="B11" s="1568" t="s">
        <v>3087</v>
      </c>
      <c r="C11" s="1797"/>
      <c r="D11" s="1797"/>
      <c r="E11" s="1797"/>
      <c r="F11" s="1797"/>
      <c r="G11" s="1568"/>
      <c r="H11" s="1796"/>
      <c r="I11" s="1798"/>
      <c r="J11" s="1798"/>
    </row>
    <row r="12" spans="1:11">
      <c r="A12" s="1528" t="s">
        <v>1607</v>
      </c>
      <c r="B12" s="1722" t="s">
        <v>289</v>
      </c>
      <c r="C12" s="66"/>
      <c r="D12" s="1732"/>
      <c r="E12" s="1797"/>
      <c r="F12" s="1797"/>
      <c r="G12" s="1568"/>
      <c r="H12" s="1796"/>
      <c r="I12" s="220"/>
      <c r="J12" s="220"/>
    </row>
    <row r="13" spans="1:11">
      <c r="A13" s="1528" t="s">
        <v>1611</v>
      </c>
      <c r="B13" s="1723" t="s">
        <v>2803</v>
      </c>
      <c r="C13" s="66"/>
      <c r="D13" s="1733"/>
      <c r="E13" s="1797"/>
      <c r="F13" s="1797"/>
      <c r="G13" s="1568"/>
      <c r="H13" s="1796"/>
      <c r="I13" s="220"/>
      <c r="J13" s="220"/>
    </row>
    <row r="14" spans="1:11" ht="126">
      <c r="A14" s="1554" t="s">
        <v>2800</v>
      </c>
      <c r="B14" s="1725" t="s">
        <v>2851</v>
      </c>
      <c r="C14" s="66" t="s">
        <v>1099</v>
      </c>
      <c r="D14" s="1733">
        <v>1</v>
      </c>
      <c r="E14" s="1797"/>
      <c r="F14" s="1797"/>
      <c r="G14" s="1568"/>
      <c r="H14" s="1796"/>
      <c r="I14" s="1763">
        <v>50000000</v>
      </c>
      <c r="J14" s="1593">
        <f>D14*I14</f>
        <v>50000000</v>
      </c>
    </row>
    <row r="15" spans="1:11" ht="36">
      <c r="A15" s="1554" t="s">
        <v>2801</v>
      </c>
      <c r="B15" s="1725" t="s">
        <v>2852</v>
      </c>
      <c r="C15" s="66" t="s">
        <v>2804</v>
      </c>
      <c r="D15" s="1733">
        <v>36</v>
      </c>
      <c r="E15" s="1797"/>
      <c r="F15" s="1797"/>
      <c r="G15" s="1568"/>
      <c r="H15" s="1796"/>
      <c r="I15" s="1763">
        <f>150000</f>
        <v>150000</v>
      </c>
      <c r="J15" s="1593">
        <f t="shared" ref="J15:J23" si="0">D15*I15</f>
        <v>5400000</v>
      </c>
    </row>
    <row r="16" spans="1:11" ht="54">
      <c r="A16" s="1554" t="s">
        <v>2802</v>
      </c>
      <c r="B16" s="1723" t="s">
        <v>2853</v>
      </c>
      <c r="C16" s="66" t="s">
        <v>1099</v>
      </c>
      <c r="D16" s="1733">
        <v>1</v>
      </c>
      <c r="E16" s="1797"/>
      <c r="F16" s="1797"/>
      <c r="G16" s="1568"/>
      <c r="H16" s="1796"/>
      <c r="I16" s="1593">
        <f>I14/10</f>
        <v>5000000</v>
      </c>
      <c r="J16" s="1593">
        <f t="shared" si="0"/>
        <v>5000000</v>
      </c>
    </row>
    <row r="17" spans="1:10">
      <c r="A17" s="1528" t="s">
        <v>2814</v>
      </c>
      <c r="B17" s="1723" t="s">
        <v>960</v>
      </c>
      <c r="C17" s="1724" t="s">
        <v>864</v>
      </c>
      <c r="D17" s="1733">
        <v>1</v>
      </c>
      <c r="E17" s="1797"/>
      <c r="F17" s="1797"/>
      <c r="G17" s="1568"/>
      <c r="H17" s="1796"/>
      <c r="I17" s="220"/>
      <c r="J17" s="220"/>
    </row>
    <row r="18" spans="1:10" ht="36">
      <c r="A18" s="1554" t="s">
        <v>2806</v>
      </c>
      <c r="B18" s="1725" t="s">
        <v>2805</v>
      </c>
      <c r="C18" s="1724" t="s">
        <v>864</v>
      </c>
      <c r="D18" s="1733">
        <v>1</v>
      </c>
      <c r="E18" s="1797"/>
      <c r="F18" s="1797"/>
      <c r="G18" s="1568"/>
      <c r="H18" s="1796"/>
      <c r="I18" s="1763">
        <f>0.15%*3960000000</f>
        <v>5940000</v>
      </c>
      <c r="J18" s="1593">
        <f t="shared" si="0"/>
        <v>5940000</v>
      </c>
    </row>
    <row r="19" spans="1:10">
      <c r="A19" s="1554" t="s">
        <v>2807</v>
      </c>
      <c r="B19" s="1725" t="s">
        <v>963</v>
      </c>
      <c r="C19" s="1724" t="s">
        <v>864</v>
      </c>
      <c r="D19" s="1733">
        <v>1</v>
      </c>
      <c r="E19" s="1797"/>
      <c r="F19" s="1797"/>
      <c r="G19" s="1568"/>
      <c r="H19" s="1796"/>
      <c r="I19" s="1763">
        <f>0.025%*3960000000</f>
        <v>990000</v>
      </c>
      <c r="J19" s="1593">
        <f t="shared" si="0"/>
        <v>990000</v>
      </c>
    </row>
    <row r="20" spans="1:10" ht="54">
      <c r="A20" s="1554" t="s">
        <v>2808</v>
      </c>
      <c r="B20" s="1725" t="s">
        <v>964</v>
      </c>
      <c r="C20" s="66" t="s">
        <v>1099</v>
      </c>
      <c r="D20" s="1733">
        <v>1</v>
      </c>
      <c r="E20" s="1797"/>
      <c r="F20" s="1797"/>
      <c r="G20" s="1568"/>
      <c r="H20" s="1796"/>
      <c r="I20" s="1763">
        <f>0.025%*3960000000</f>
        <v>990000</v>
      </c>
      <c r="J20" s="1593">
        <f t="shared" si="0"/>
        <v>990000</v>
      </c>
    </row>
    <row r="21" spans="1:10">
      <c r="A21" s="1528" t="s">
        <v>2813</v>
      </c>
      <c r="B21" s="1723" t="s">
        <v>1115</v>
      </c>
      <c r="C21" s="66"/>
      <c r="D21" s="1733"/>
      <c r="E21" s="1797"/>
      <c r="F21" s="1797"/>
      <c r="G21" s="1568"/>
      <c r="H21" s="1796"/>
      <c r="I21" s="220"/>
      <c r="J21" s="220"/>
    </row>
    <row r="22" spans="1:10" ht="36">
      <c r="A22" s="1754" t="s">
        <v>2812</v>
      </c>
      <c r="B22" s="1800" t="s">
        <v>2809</v>
      </c>
      <c r="C22" s="1801" t="s">
        <v>1099</v>
      </c>
      <c r="D22" s="1802">
        <v>1</v>
      </c>
      <c r="E22" s="1797"/>
      <c r="F22" s="1797"/>
      <c r="G22" s="1568"/>
      <c r="H22" s="1796"/>
      <c r="I22" s="1763">
        <v>15000000</v>
      </c>
      <c r="J22" s="1593">
        <f t="shared" si="0"/>
        <v>15000000</v>
      </c>
    </row>
    <row r="23" spans="1:10" ht="36">
      <c r="A23" s="1554" t="s">
        <v>2811</v>
      </c>
      <c r="B23" s="1725" t="s">
        <v>2810</v>
      </c>
      <c r="C23" s="66" t="s">
        <v>2804</v>
      </c>
      <c r="D23" s="1733">
        <v>36</v>
      </c>
      <c r="E23" s="1797"/>
      <c r="F23" s="1797"/>
      <c r="G23" s="1568"/>
      <c r="H23" s="1796"/>
      <c r="I23" s="1763">
        <v>300000</v>
      </c>
      <c r="J23" s="1593">
        <f t="shared" si="0"/>
        <v>10800000</v>
      </c>
    </row>
    <row r="24" spans="1:10">
      <c r="A24" s="1528" t="s">
        <v>2816</v>
      </c>
      <c r="B24" s="1723" t="s">
        <v>2818</v>
      </c>
      <c r="C24" s="66"/>
      <c r="D24" s="1733"/>
      <c r="E24" s="1797"/>
      <c r="F24" s="1797"/>
      <c r="G24" s="1568"/>
      <c r="H24" s="1796"/>
      <c r="I24" s="220"/>
      <c r="J24" s="220"/>
    </row>
    <row r="25" spans="1:10" ht="54">
      <c r="A25" s="1554" t="s">
        <v>2817</v>
      </c>
      <c r="B25" s="1725" t="s">
        <v>2819</v>
      </c>
      <c r="C25" s="66" t="s">
        <v>1099</v>
      </c>
      <c r="D25" s="1733">
        <v>1</v>
      </c>
      <c r="E25" s="1797"/>
      <c r="F25" s="1797"/>
      <c r="G25" s="1568"/>
      <c r="H25" s="1796"/>
      <c r="I25" s="1763">
        <v>1500000</v>
      </c>
      <c r="J25" s="1593">
        <f t="shared" ref="J25:J45" si="1">D25*I25</f>
        <v>1500000</v>
      </c>
    </row>
    <row r="26" spans="1:10">
      <c r="A26" s="1528" t="s">
        <v>2821</v>
      </c>
      <c r="B26" s="1723" t="s">
        <v>1106</v>
      </c>
      <c r="C26" s="66"/>
      <c r="D26" s="1733"/>
      <c r="E26" s="1797"/>
      <c r="F26" s="1797"/>
      <c r="G26" s="1568"/>
      <c r="H26" s="1796"/>
      <c r="I26" s="220"/>
      <c r="J26" s="220"/>
    </row>
    <row r="27" spans="1:10" ht="54">
      <c r="A27" s="1554" t="s">
        <v>2822</v>
      </c>
      <c r="B27" s="1725" t="s">
        <v>1180</v>
      </c>
      <c r="C27" s="66" t="s">
        <v>1099</v>
      </c>
      <c r="D27" s="1733">
        <v>1</v>
      </c>
      <c r="E27" s="1797"/>
      <c r="F27" s="1797"/>
      <c r="G27" s="1568"/>
      <c r="H27" s="1796"/>
      <c r="I27" s="1763">
        <v>4450000</v>
      </c>
      <c r="J27" s="1593">
        <f t="shared" si="1"/>
        <v>4450000</v>
      </c>
    </row>
    <row r="28" spans="1:10" ht="72">
      <c r="A28" s="1554" t="s">
        <v>2823</v>
      </c>
      <c r="B28" s="1725" t="s">
        <v>2815</v>
      </c>
      <c r="C28" s="66" t="s">
        <v>2804</v>
      </c>
      <c r="D28" s="1733">
        <v>36</v>
      </c>
      <c r="E28" s="1797"/>
      <c r="F28" s="1797"/>
      <c r="G28" s="1568"/>
      <c r="H28" s="1796"/>
      <c r="I28" s="1763">
        <v>385000</v>
      </c>
      <c r="J28" s="1593">
        <f t="shared" si="1"/>
        <v>13860000</v>
      </c>
    </row>
    <row r="29" spans="1:10" ht="36">
      <c r="A29" s="1554" t="s">
        <v>2824</v>
      </c>
      <c r="B29" s="1725" t="s">
        <v>2828</v>
      </c>
      <c r="C29" s="66" t="s">
        <v>305</v>
      </c>
      <c r="D29" s="1733">
        <v>1</v>
      </c>
      <c r="E29" s="1797"/>
      <c r="F29" s="1797"/>
      <c r="G29" s="1568"/>
      <c r="H29" s="1796"/>
      <c r="I29" s="1763">
        <v>2000000</v>
      </c>
      <c r="J29" s="1593">
        <f t="shared" si="1"/>
        <v>2000000</v>
      </c>
    </row>
    <row r="30" spans="1:10" ht="72">
      <c r="A30" s="1554" t="s">
        <v>2825</v>
      </c>
      <c r="B30" s="1725" t="s">
        <v>2829</v>
      </c>
      <c r="C30" s="66" t="s">
        <v>2804</v>
      </c>
      <c r="D30" s="1733">
        <v>36</v>
      </c>
      <c r="E30" s="1797"/>
      <c r="F30" s="1797"/>
      <c r="G30" s="1568"/>
      <c r="H30" s="1796"/>
      <c r="I30" s="1763">
        <v>80000</v>
      </c>
      <c r="J30" s="1593">
        <f t="shared" si="1"/>
        <v>2880000</v>
      </c>
    </row>
    <row r="31" spans="1:10" ht="72">
      <c r="A31" s="1554" t="s">
        <v>2826</v>
      </c>
      <c r="B31" s="1725" t="s">
        <v>2854</v>
      </c>
      <c r="C31" s="66" t="s">
        <v>2804</v>
      </c>
      <c r="D31" s="1733">
        <v>36</v>
      </c>
      <c r="E31" s="1797"/>
      <c r="F31" s="1797"/>
      <c r="G31" s="1568"/>
      <c r="H31" s="1796"/>
      <c r="I31" s="1763">
        <v>700000</v>
      </c>
      <c r="J31" s="1593">
        <f t="shared" si="1"/>
        <v>25200000</v>
      </c>
    </row>
    <row r="32" spans="1:10" ht="36">
      <c r="A32" s="1554" t="s">
        <v>2827</v>
      </c>
      <c r="B32" s="1725" t="s">
        <v>2820</v>
      </c>
      <c r="C32" s="66" t="s">
        <v>305</v>
      </c>
      <c r="D32" s="1733">
        <v>1</v>
      </c>
      <c r="E32" s="1797"/>
      <c r="F32" s="1797"/>
      <c r="G32" s="1568"/>
      <c r="H32" s="1796"/>
      <c r="I32" s="1763">
        <v>1500000</v>
      </c>
      <c r="J32" s="1593">
        <f t="shared" si="1"/>
        <v>1500000</v>
      </c>
    </row>
    <row r="33" spans="1:10">
      <c r="A33" s="1528" t="s">
        <v>2830</v>
      </c>
      <c r="B33" s="1723" t="s">
        <v>1108</v>
      </c>
      <c r="C33" s="66"/>
      <c r="D33" s="1733"/>
      <c r="E33" s="1797"/>
      <c r="F33" s="1797"/>
      <c r="G33" s="1568"/>
      <c r="H33" s="1796"/>
      <c r="I33" s="1763"/>
      <c r="J33" s="220"/>
    </row>
    <row r="34" spans="1:10" ht="36">
      <c r="A34" s="1554" t="s">
        <v>2831</v>
      </c>
      <c r="B34" s="1725" t="s">
        <v>2832</v>
      </c>
      <c r="C34" s="66" t="s">
        <v>1099</v>
      </c>
      <c r="D34" s="1733">
        <v>1</v>
      </c>
      <c r="E34" s="1797"/>
      <c r="F34" s="1797"/>
      <c r="G34" s="1568"/>
      <c r="H34" s="1796"/>
      <c r="I34" s="1763">
        <v>7500000</v>
      </c>
      <c r="J34" s="1593">
        <f t="shared" si="1"/>
        <v>7500000</v>
      </c>
    </row>
    <row r="35" spans="1:10" ht="72">
      <c r="A35" s="1554" t="s">
        <v>2837</v>
      </c>
      <c r="B35" s="1725" t="s">
        <v>1110</v>
      </c>
      <c r="C35" s="66" t="s">
        <v>1099</v>
      </c>
      <c r="D35" s="1733">
        <v>1</v>
      </c>
      <c r="E35" s="1797"/>
      <c r="F35" s="1797"/>
      <c r="G35" s="1568"/>
      <c r="H35" s="1796"/>
      <c r="I35" s="1763">
        <v>16500000</v>
      </c>
      <c r="J35" s="1593">
        <f t="shared" si="1"/>
        <v>16500000</v>
      </c>
    </row>
    <row r="36" spans="1:10" ht="54">
      <c r="A36" s="1554" t="s">
        <v>2838</v>
      </c>
      <c r="B36" s="1725" t="s">
        <v>1111</v>
      </c>
      <c r="C36" s="66" t="s">
        <v>1099</v>
      </c>
      <c r="D36" s="1733">
        <v>1</v>
      </c>
      <c r="E36" s="1797"/>
      <c r="F36" s="1797"/>
      <c r="G36" s="1568"/>
      <c r="H36" s="1796"/>
      <c r="I36" s="1763">
        <v>7000000</v>
      </c>
      <c r="J36" s="1593">
        <f t="shared" si="1"/>
        <v>7000000</v>
      </c>
    </row>
    <row r="37" spans="1:10">
      <c r="A37" s="1528" t="s">
        <v>2833</v>
      </c>
      <c r="B37" s="1723" t="s">
        <v>2834</v>
      </c>
      <c r="C37" s="66"/>
      <c r="D37" s="1733"/>
      <c r="E37" s="1797"/>
      <c r="F37" s="1797"/>
      <c r="G37" s="1568"/>
      <c r="H37" s="1796"/>
      <c r="I37" s="220"/>
      <c r="J37" s="220"/>
    </row>
    <row r="38" spans="1:10" ht="90">
      <c r="A38" s="1754" t="s">
        <v>2836</v>
      </c>
      <c r="B38" s="1800" t="s">
        <v>2835</v>
      </c>
      <c r="C38" s="66" t="s">
        <v>305</v>
      </c>
      <c r="D38" s="1733">
        <v>1</v>
      </c>
      <c r="E38" s="1797"/>
      <c r="F38" s="1797"/>
      <c r="G38" s="1568"/>
      <c r="H38" s="1796"/>
      <c r="I38" s="1763">
        <v>7200000</v>
      </c>
      <c r="J38" s="1593">
        <f t="shared" si="1"/>
        <v>7200000</v>
      </c>
    </row>
    <row r="39" spans="1:10">
      <c r="A39" s="1754"/>
      <c r="B39" s="1800"/>
      <c r="C39" s="66"/>
      <c r="D39" s="1733"/>
      <c r="E39" s="1797"/>
      <c r="F39" s="1666" t="s">
        <v>1483</v>
      </c>
      <c r="G39" s="1691"/>
      <c r="H39" s="1796"/>
      <c r="I39" s="1763"/>
      <c r="J39" s="1593"/>
    </row>
    <row r="40" spans="1:10">
      <c r="A40" s="1754"/>
      <c r="B40" s="1800"/>
      <c r="C40" s="66"/>
      <c r="D40" s="1733"/>
      <c r="E40" s="1797"/>
      <c r="F40" s="1797"/>
      <c r="G40" s="1568"/>
      <c r="H40" s="1796"/>
      <c r="I40" s="1763"/>
      <c r="J40" s="1593"/>
    </row>
    <row r="41" spans="1:10">
      <c r="A41" s="1528" t="s">
        <v>2839</v>
      </c>
      <c r="B41" s="1722" t="s">
        <v>2844</v>
      </c>
      <c r="C41" s="66"/>
      <c r="D41" s="1733"/>
      <c r="E41" s="1797"/>
      <c r="F41" s="1797"/>
      <c r="G41" s="1568"/>
      <c r="H41" s="1796"/>
      <c r="I41" s="220"/>
      <c r="J41" s="220"/>
    </row>
    <row r="42" spans="1:10" ht="90">
      <c r="A42" s="1554" t="s">
        <v>2840</v>
      </c>
      <c r="B42" s="1725" t="s">
        <v>974</v>
      </c>
      <c r="C42" s="66" t="s">
        <v>864</v>
      </c>
      <c r="D42" s="1733">
        <v>1</v>
      </c>
      <c r="E42" s="1797"/>
      <c r="F42" s="1797"/>
      <c r="G42" s="1568"/>
      <c r="H42" s="1796"/>
      <c r="I42" s="1763">
        <v>700000</v>
      </c>
      <c r="J42" s="1593">
        <f t="shared" si="1"/>
        <v>700000</v>
      </c>
    </row>
    <row r="43" spans="1:10" ht="36">
      <c r="A43" s="1726" t="s">
        <v>2841</v>
      </c>
      <c r="B43" s="1727" t="s">
        <v>2845</v>
      </c>
      <c r="C43" s="1728"/>
      <c r="D43" s="1734"/>
      <c r="E43" s="1797"/>
      <c r="F43" s="1797"/>
      <c r="G43" s="1568"/>
      <c r="H43" s="1796"/>
      <c r="I43" s="1763"/>
      <c r="J43" s="220"/>
    </row>
    <row r="44" spans="1:10">
      <c r="A44" s="1729" t="s">
        <v>2842</v>
      </c>
      <c r="B44" s="1730" t="s">
        <v>1166</v>
      </c>
      <c r="C44" s="1728" t="s">
        <v>1167</v>
      </c>
      <c r="D44" s="1734">
        <v>1</v>
      </c>
      <c r="E44" s="1797"/>
      <c r="F44" s="1797"/>
      <c r="G44" s="1568"/>
      <c r="H44" s="1796"/>
      <c r="I44" s="1763">
        <v>10.5</v>
      </c>
      <c r="J44" s="1593">
        <f t="shared" si="1"/>
        <v>10.5</v>
      </c>
    </row>
    <row r="45" spans="1:10">
      <c r="A45" s="1729" t="s">
        <v>2843</v>
      </c>
      <c r="B45" s="1730" t="s">
        <v>1168</v>
      </c>
      <c r="C45" s="1728" t="s">
        <v>1167</v>
      </c>
      <c r="D45" s="1734">
        <v>1</v>
      </c>
      <c r="E45" s="1797"/>
      <c r="F45" s="1797"/>
      <c r="G45" s="1568"/>
      <c r="H45" s="1796"/>
      <c r="I45" s="1763">
        <v>15</v>
      </c>
      <c r="J45" s="1593">
        <f t="shared" si="1"/>
        <v>15</v>
      </c>
    </row>
    <row r="46" spans="1:10" ht="17.25" customHeight="1">
      <c r="A46" s="1528"/>
      <c r="B46" s="1563"/>
      <c r="C46" s="1530"/>
      <c r="D46" s="1686"/>
      <c r="E46" s="1612"/>
      <c r="F46" s="1666" t="s">
        <v>1483</v>
      </c>
      <c r="G46" s="1691"/>
      <c r="H46" s="1796"/>
      <c r="I46" s="1612"/>
      <c r="J46" s="1717">
        <f>SUM(J14:J45)</f>
        <v>184410025.5</v>
      </c>
    </row>
    <row r="47" spans="1:10" ht="17.25" customHeight="1">
      <c r="A47" s="1528"/>
      <c r="B47" s="1563"/>
      <c r="C47" s="1530"/>
      <c r="D47" s="1686"/>
      <c r="E47" s="1612"/>
      <c r="F47" s="1666"/>
      <c r="G47" s="1691"/>
      <c r="H47" s="1796"/>
      <c r="I47" s="1612"/>
      <c r="J47" s="1717"/>
    </row>
    <row r="48" spans="1:10" ht="17.25" customHeight="1">
      <c r="A48" s="1528"/>
      <c r="B48" s="1563"/>
      <c r="C48" s="1530"/>
      <c r="D48" s="1686"/>
      <c r="E48" s="1612"/>
      <c r="F48" s="1666"/>
      <c r="G48" s="1691"/>
      <c r="H48" s="1796"/>
      <c r="I48" s="1612"/>
      <c r="J48" s="1717"/>
    </row>
    <row r="49" spans="1:10" ht="17.25" customHeight="1">
      <c r="A49" s="1528"/>
      <c r="B49" s="1563"/>
      <c r="C49" s="1530"/>
      <c r="D49" s="1686"/>
      <c r="E49" s="1612"/>
      <c r="F49" s="1666"/>
      <c r="G49" s="1691"/>
      <c r="H49" s="1796"/>
      <c r="I49" s="1612"/>
      <c r="J49" s="1717"/>
    </row>
    <row r="50" spans="1:10" s="1531" customFormat="1">
      <c r="A50" s="1584"/>
      <c r="B50" s="1700" t="s">
        <v>2909</v>
      </c>
      <c r="C50" s="1701"/>
      <c r="D50" s="1735"/>
      <c r="E50" s="1702"/>
      <c r="F50" s="1703"/>
      <c r="G50" s="1702"/>
      <c r="H50" s="1713"/>
      <c r="I50" s="1687"/>
      <c r="J50" s="1718"/>
    </row>
    <row r="51" spans="1:10" s="1531" customFormat="1">
      <c r="A51" s="1532" t="s">
        <v>1624</v>
      </c>
      <c r="B51" s="1533" t="s">
        <v>2901</v>
      </c>
      <c r="C51" s="1534"/>
      <c r="D51" s="1736"/>
      <c r="E51" s="1699"/>
      <c r="F51" s="1682"/>
      <c r="G51" s="1699"/>
      <c r="H51" s="1668"/>
      <c r="I51" s="1608"/>
      <c r="J51" s="1542"/>
    </row>
    <row r="52" spans="1:10" s="1531" customFormat="1">
      <c r="A52" s="1571" t="s">
        <v>2584</v>
      </c>
      <c r="B52" s="1548" t="s">
        <v>18</v>
      </c>
      <c r="C52" s="1572"/>
      <c r="D52" s="1737"/>
      <c r="E52" s="332"/>
      <c r="F52" s="1641"/>
      <c r="G52" s="332"/>
      <c r="H52" s="1667"/>
      <c r="I52" s="1683"/>
      <c r="J52" s="1543"/>
    </row>
    <row r="53" spans="1:10" s="1531" customFormat="1" ht="72">
      <c r="A53" s="1554" t="s">
        <v>2585</v>
      </c>
      <c r="B53" s="1555" t="s">
        <v>2846</v>
      </c>
      <c r="C53" s="1530" t="s">
        <v>19</v>
      </c>
      <c r="D53" s="1640">
        <f>'Myagdi Diversion'!J11</f>
        <v>1650</v>
      </c>
      <c r="E53" s="332"/>
      <c r="F53" s="332"/>
      <c r="G53" s="332"/>
      <c r="H53" s="1667"/>
      <c r="I53" s="1543">
        <f>[45]Summary!$K$7</f>
        <v>40.5</v>
      </c>
      <c r="J53" s="1543">
        <f>D53*I53</f>
        <v>66825</v>
      </c>
    </row>
    <row r="54" spans="1:10" s="1531" customFormat="1" ht="72">
      <c r="A54" s="1571" t="s">
        <v>2586</v>
      </c>
      <c r="B54" s="1544" t="s">
        <v>2849</v>
      </c>
      <c r="C54" s="1530"/>
      <c r="D54" s="1640"/>
      <c r="E54" s="332"/>
      <c r="F54" s="332"/>
      <c r="G54" s="332"/>
      <c r="H54" s="1667"/>
      <c r="I54" s="1543"/>
      <c r="J54" s="1543"/>
    </row>
    <row r="55" spans="1:10" s="1531" customFormat="1">
      <c r="A55" s="1554" t="s">
        <v>2587</v>
      </c>
      <c r="B55" s="220" t="s">
        <v>1632</v>
      </c>
      <c r="C55" s="1530" t="s">
        <v>21</v>
      </c>
      <c r="D55" s="1640">
        <f>'Myagdi Diversion'!J17</f>
        <v>459.45057500000001</v>
      </c>
      <c r="E55" s="332"/>
      <c r="F55" s="332"/>
      <c r="G55" s="332"/>
      <c r="H55" s="1667"/>
      <c r="I55" s="1543">
        <f>[45]Summary!$K$22</f>
        <v>351.34500000000003</v>
      </c>
      <c r="J55" s="1543">
        <f>D55*I55</f>
        <v>161425.66227337503</v>
      </c>
    </row>
    <row r="56" spans="1:10" s="1531" customFormat="1">
      <c r="A56" s="1571" t="s">
        <v>2588</v>
      </c>
      <c r="B56" s="313" t="s">
        <v>31</v>
      </c>
      <c r="C56" s="1530"/>
      <c r="D56" s="1640"/>
      <c r="E56" s="332"/>
      <c r="F56" s="332"/>
      <c r="G56" s="332"/>
      <c r="H56" s="1667"/>
      <c r="I56" s="1543"/>
      <c r="J56" s="1543"/>
    </row>
    <row r="57" spans="1:10" s="1531" customFormat="1" ht="54">
      <c r="A57" s="1554" t="s">
        <v>2589</v>
      </c>
      <c r="B57" s="1545" t="s">
        <v>2862</v>
      </c>
      <c r="C57" s="1530" t="s">
        <v>21</v>
      </c>
      <c r="D57" s="1640">
        <f>'Myagdi Diversion'!J21</f>
        <v>599.28060000000005</v>
      </c>
      <c r="E57" s="332"/>
      <c r="F57" s="332"/>
      <c r="G57" s="332"/>
      <c r="H57" s="1667"/>
      <c r="I57" s="1543">
        <f>[45]Summary!$K$51</f>
        <v>216.5</v>
      </c>
      <c r="J57" s="1543">
        <f>D57*I57</f>
        <v>129744.24990000001</v>
      </c>
    </row>
    <row r="58" spans="1:10" s="1531" customFormat="1" ht="54">
      <c r="A58" s="1528" t="s">
        <v>2590</v>
      </c>
      <c r="B58" s="1538" t="s">
        <v>2895</v>
      </c>
      <c r="C58" s="1530" t="s">
        <v>21</v>
      </c>
      <c r="D58" s="1683">
        <f>'Myagdi Diversion'!J26</f>
        <v>226.94624000000005</v>
      </c>
      <c r="E58" s="332"/>
      <c r="F58" s="332"/>
      <c r="G58" s="332"/>
      <c r="H58" s="1667"/>
      <c r="I58" s="1543">
        <f>'Myagdi Diversion'!K26</f>
        <v>300</v>
      </c>
      <c r="J58" s="1543">
        <f>D58*I58</f>
        <v>68083.872000000018</v>
      </c>
    </row>
    <row r="59" spans="1:10" s="1531" customFormat="1" ht="54">
      <c r="A59" s="1571" t="s">
        <v>2591</v>
      </c>
      <c r="B59" s="1550" t="s">
        <v>2735</v>
      </c>
      <c r="C59" s="1530"/>
      <c r="D59" s="1640"/>
      <c r="E59" s="332"/>
      <c r="F59" s="332"/>
      <c r="G59" s="332"/>
      <c r="H59" s="1667"/>
      <c r="I59" s="1543"/>
      <c r="J59" s="1543"/>
    </row>
    <row r="60" spans="1:10" s="1531" customFormat="1">
      <c r="A60" s="1554" t="s">
        <v>2592</v>
      </c>
      <c r="B60" s="1546" t="s">
        <v>1641</v>
      </c>
      <c r="C60" s="1530" t="s">
        <v>21</v>
      </c>
      <c r="D60" s="1640">
        <f>'Myagdi Diversion'!J33</f>
        <v>44.069853000000002</v>
      </c>
      <c r="E60" s="332"/>
      <c r="F60" s="332"/>
      <c r="G60" s="332"/>
      <c r="H60" s="1667"/>
      <c r="I60" s="1543">
        <f>[45]Summary!$K$128</f>
        <v>13018</v>
      </c>
      <c r="J60" s="1543">
        <f>D60*I60</f>
        <v>573701.34635400004</v>
      </c>
    </row>
    <row r="61" spans="1:10" s="1531" customFormat="1">
      <c r="A61" s="1571" t="s">
        <v>2593</v>
      </c>
      <c r="B61" s="313" t="s">
        <v>1706</v>
      </c>
      <c r="C61" s="1530"/>
      <c r="D61" s="1640"/>
      <c r="E61" s="332"/>
      <c r="F61" s="332"/>
      <c r="G61" s="332"/>
      <c r="H61" s="1667"/>
      <c r="I61" s="1543"/>
      <c r="J61" s="1543"/>
    </row>
    <row r="62" spans="1:10" s="1531" customFormat="1" ht="36">
      <c r="A62" s="1554" t="s">
        <v>2594</v>
      </c>
      <c r="B62" s="1545" t="s">
        <v>1708</v>
      </c>
      <c r="C62" s="1530" t="s">
        <v>21</v>
      </c>
      <c r="D62" s="1640">
        <f>'Myagdi Diversion'!J40</f>
        <v>1502.857248</v>
      </c>
      <c r="E62" s="332"/>
      <c r="F62" s="332"/>
      <c r="G62" s="332"/>
      <c r="H62" s="1667"/>
      <c r="I62" s="1543">
        <f>[45]Summary!$K$172</f>
        <v>9781.5</v>
      </c>
      <c r="J62" s="1543">
        <f>D62*I62</f>
        <v>14700198.171312001</v>
      </c>
    </row>
    <row r="63" spans="1:10" s="1531" customFormat="1" ht="54">
      <c r="A63" s="1528" t="s">
        <v>2595</v>
      </c>
      <c r="B63" s="1538" t="s">
        <v>2898</v>
      </c>
      <c r="C63" s="1530" t="s">
        <v>19</v>
      </c>
      <c r="D63" s="1683">
        <f>'Myagdi Diversion'!J45</f>
        <v>560.03800000000001</v>
      </c>
      <c r="E63" s="332"/>
      <c r="F63" s="332"/>
      <c r="G63" s="332"/>
      <c r="H63" s="1667"/>
      <c r="I63" s="1543">
        <f>'Myagdi Diversion'!K45</f>
        <v>750</v>
      </c>
      <c r="J63" s="1543">
        <f>D63*I63</f>
        <v>420028.5</v>
      </c>
    </row>
    <row r="64" spans="1:10" s="1531" customFormat="1" ht="54">
      <c r="A64" s="1571" t="s">
        <v>2596</v>
      </c>
      <c r="B64" s="1545" t="s">
        <v>2875</v>
      </c>
      <c r="C64" s="1530" t="s">
        <v>21</v>
      </c>
      <c r="D64" s="1640"/>
      <c r="E64" s="332"/>
      <c r="F64" s="332"/>
      <c r="G64" s="332"/>
      <c r="H64" s="1667"/>
      <c r="I64" s="1543"/>
      <c r="J64" s="1543"/>
    </row>
    <row r="65" spans="1:11" s="1531" customFormat="1">
      <c r="A65" s="1554" t="s">
        <v>2597</v>
      </c>
      <c r="B65" s="1546" t="s">
        <v>2102</v>
      </c>
      <c r="C65" s="1530" t="s">
        <v>21</v>
      </c>
      <c r="D65" s="1640">
        <f>'Myagdi Diversion'!J52</f>
        <v>1037.17254</v>
      </c>
      <c r="E65" s="332"/>
      <c r="F65" s="332"/>
      <c r="G65" s="332"/>
      <c r="H65" s="1667"/>
      <c r="I65" s="1543">
        <f>'[45]Boulder Riprap'!$H$17</f>
        <v>4485.5</v>
      </c>
      <c r="J65" s="1543">
        <f>D65*I65</f>
        <v>4652237.4281700002</v>
      </c>
    </row>
    <row r="66" spans="1:11" s="1531" customFormat="1" ht="17.25" customHeight="1">
      <c r="A66" s="1541"/>
      <c r="B66" s="1529"/>
      <c r="C66" s="1572"/>
      <c r="D66" s="1737"/>
      <c r="E66" s="332"/>
      <c r="F66" s="1666" t="s">
        <v>1483</v>
      </c>
      <c r="G66" s="1694"/>
      <c r="H66" s="1667"/>
      <c r="I66" s="88"/>
      <c r="J66" s="1719">
        <f>SUM(J52:J65)</f>
        <v>20772244.230009377</v>
      </c>
      <c r="K66" s="1764">
        <f>'[46]BoQ items with Description'!$F$12-J66</f>
        <v>4946192.7895919234</v>
      </c>
    </row>
    <row r="67" spans="1:11" s="1531" customFormat="1">
      <c r="A67" s="1532" t="s">
        <v>1672</v>
      </c>
      <c r="B67" s="1761" t="s">
        <v>3077</v>
      </c>
      <c r="C67" s="1762"/>
      <c r="D67" s="1738"/>
      <c r="E67" s="1699"/>
      <c r="F67" s="1536"/>
      <c r="G67" s="1699"/>
      <c r="H67" s="1668"/>
      <c r="I67" s="1542"/>
      <c r="J67" s="1543"/>
    </row>
    <row r="68" spans="1:11" s="1567" customFormat="1">
      <c r="A68" s="1571" t="s">
        <v>2632</v>
      </c>
      <c r="B68" s="1548" t="s">
        <v>18</v>
      </c>
      <c r="C68" s="1572"/>
      <c r="D68" s="1547"/>
      <c r="E68" s="1642"/>
      <c r="F68" s="1573"/>
      <c r="G68" s="1642"/>
      <c r="H68" s="1667"/>
      <c r="I68" s="88"/>
      <c r="J68" s="1543"/>
    </row>
    <row r="69" spans="1:11" s="1567" customFormat="1" ht="72">
      <c r="A69" s="1554" t="s">
        <v>2633</v>
      </c>
      <c r="B69" s="1555" t="s">
        <v>2847</v>
      </c>
      <c r="C69" s="1530" t="s">
        <v>19</v>
      </c>
      <c r="D69" s="1547">
        <f>'M. Headworks river protection'!J14</f>
        <v>1028.5</v>
      </c>
      <c r="E69" s="1642"/>
      <c r="F69" s="1642"/>
      <c r="G69" s="1642"/>
      <c r="H69" s="1667"/>
      <c r="I69" s="1543">
        <f>[45]Summary!$K$7</f>
        <v>40.5</v>
      </c>
      <c r="J69" s="1543">
        <f>D69*I69</f>
        <v>41654.25</v>
      </c>
    </row>
    <row r="70" spans="1:11" s="1567" customFormat="1" ht="72">
      <c r="A70" s="1537" t="s">
        <v>1677</v>
      </c>
      <c r="B70" s="1544" t="s">
        <v>2849</v>
      </c>
      <c r="C70" s="1530"/>
      <c r="D70" s="1547"/>
      <c r="E70" s="1642"/>
      <c r="F70" s="1642"/>
      <c r="G70" s="1642"/>
      <c r="H70" s="1667"/>
      <c r="I70" s="1543"/>
      <c r="J70" s="1543"/>
    </row>
    <row r="71" spans="1:11" s="1567" customFormat="1">
      <c r="A71" s="1541" t="s">
        <v>1613</v>
      </c>
      <c r="B71" s="220" t="s">
        <v>1632</v>
      </c>
      <c r="C71" s="1530" t="s">
        <v>21</v>
      </c>
      <c r="D71" s="1547">
        <f>'M. Headworks river protection'!J19</f>
        <v>1020.8000000000001</v>
      </c>
      <c r="E71" s="1642"/>
      <c r="F71" s="1642"/>
      <c r="G71" s="1642"/>
      <c r="H71" s="1667"/>
      <c r="I71" s="1542">
        <f>[45]Summary!$K$22</f>
        <v>351.34500000000003</v>
      </c>
      <c r="J71" s="1543">
        <f>D71*I71</f>
        <v>358652.97600000002</v>
      </c>
    </row>
    <row r="72" spans="1:11" s="1567" customFormat="1">
      <c r="A72" s="1541" t="s">
        <v>2112</v>
      </c>
      <c r="B72" s="220" t="s">
        <v>1634</v>
      </c>
      <c r="C72" s="1530" t="s">
        <v>21</v>
      </c>
      <c r="D72" s="1547">
        <f>'M. Headworks river protection'!J20</f>
        <v>1531.2</v>
      </c>
      <c r="E72" s="1642"/>
      <c r="F72" s="1642"/>
      <c r="G72" s="1642"/>
      <c r="H72" s="1667"/>
      <c r="I72" s="1542">
        <f>[45]Summary!$K$24</f>
        <v>1375.6949999999999</v>
      </c>
      <c r="J72" s="1543">
        <f>D72*I72</f>
        <v>2106464.1839999999</v>
      </c>
    </row>
    <row r="73" spans="1:11" s="1567" customFormat="1">
      <c r="A73" s="1537" t="s">
        <v>1679</v>
      </c>
      <c r="B73" s="313" t="s">
        <v>31</v>
      </c>
      <c r="C73" s="1530"/>
      <c r="D73" s="1547"/>
      <c r="E73" s="1642"/>
      <c r="F73" s="1642"/>
      <c r="G73" s="1642"/>
      <c r="H73" s="1667"/>
      <c r="I73" s="1543"/>
      <c r="J73" s="1543"/>
    </row>
    <row r="74" spans="1:11" s="1567" customFormat="1" ht="54">
      <c r="A74" s="1541" t="s">
        <v>1680</v>
      </c>
      <c r="B74" s="1545" t="s">
        <v>2862</v>
      </c>
      <c r="C74" s="1530" t="s">
        <v>21</v>
      </c>
      <c r="D74" s="1547">
        <f>'M. Headworks river protection'!J24</f>
        <v>255.2</v>
      </c>
      <c r="E74" s="1642"/>
      <c r="F74" s="1642"/>
      <c r="G74" s="1642"/>
      <c r="H74" s="1667"/>
      <c r="I74" s="1543">
        <f>[45]Summary!$K$51</f>
        <v>216.5</v>
      </c>
      <c r="J74" s="1543">
        <f>D74*I74</f>
        <v>55250.799999999996</v>
      </c>
    </row>
    <row r="75" spans="1:11" s="1531" customFormat="1">
      <c r="A75" s="1537" t="s">
        <v>1677</v>
      </c>
      <c r="B75" s="313" t="s">
        <v>1929</v>
      </c>
      <c r="C75" s="1530"/>
      <c r="D75" s="1542"/>
      <c r="E75" s="332"/>
      <c r="F75" s="332"/>
      <c r="G75" s="332"/>
      <c r="H75" s="1796"/>
      <c r="I75" s="1543"/>
      <c r="J75" s="1543"/>
    </row>
    <row r="76" spans="1:11" s="1531" customFormat="1" ht="54">
      <c r="A76" s="1541" t="s">
        <v>1613</v>
      </c>
      <c r="B76" s="1550" t="s">
        <v>2896</v>
      </c>
      <c r="C76" s="1530" t="s">
        <v>311</v>
      </c>
      <c r="D76" s="1542">
        <f>1320/4</f>
        <v>330</v>
      </c>
      <c r="E76" s="332"/>
      <c r="F76" s="332"/>
      <c r="G76" s="332"/>
      <c r="H76" s="1796"/>
      <c r="I76" s="1543">
        <f>[45]Summary!$K$244</f>
        <v>5984.5</v>
      </c>
      <c r="J76" s="1543">
        <f>ROUND(I76*D76,2)</f>
        <v>1974885</v>
      </c>
    </row>
    <row r="77" spans="1:11" s="1531" customFormat="1">
      <c r="A77" s="1571" t="s">
        <v>1679</v>
      </c>
      <c r="B77" s="313" t="s">
        <v>1872</v>
      </c>
      <c r="C77" s="1530"/>
      <c r="D77" s="1542"/>
      <c r="E77" s="332"/>
      <c r="F77" s="332"/>
      <c r="G77" s="332"/>
      <c r="H77" s="1796"/>
      <c r="I77" s="1543"/>
      <c r="J77" s="1543"/>
    </row>
    <row r="78" spans="1:11" s="1531" customFormat="1" ht="54">
      <c r="A78" s="1541" t="s">
        <v>1680</v>
      </c>
      <c r="B78" s="1550" t="s">
        <v>2897</v>
      </c>
      <c r="C78" s="1530" t="s">
        <v>19</v>
      </c>
      <c r="D78" s="1542">
        <v>550</v>
      </c>
      <c r="E78" s="332"/>
      <c r="F78" s="332"/>
      <c r="G78" s="332"/>
      <c r="H78" s="1796"/>
      <c r="I78" s="1543">
        <f>[45]Summary!$K$230</f>
        <v>5767.1</v>
      </c>
      <c r="J78" s="1543">
        <f>ROUND(I78*D78,2)</f>
        <v>3171905</v>
      </c>
    </row>
    <row r="79" spans="1:11" s="1531" customFormat="1" ht="54">
      <c r="A79" s="1571" t="s">
        <v>1682</v>
      </c>
      <c r="B79" s="1550" t="s">
        <v>2735</v>
      </c>
      <c r="C79" s="1530"/>
      <c r="D79" s="1542"/>
      <c r="E79" s="332"/>
      <c r="F79" s="332"/>
      <c r="G79" s="332"/>
      <c r="H79" s="1796"/>
      <c r="I79" s="1543"/>
      <c r="J79" s="1543"/>
    </row>
    <row r="80" spans="1:11" s="1531" customFormat="1">
      <c r="A80" s="1541" t="s">
        <v>1683</v>
      </c>
      <c r="B80" s="1529" t="s">
        <v>2922</v>
      </c>
      <c r="C80" s="1530" t="s">
        <v>21</v>
      </c>
      <c r="D80" s="1542">
        <f>'M. Headworks river protection'!J28</f>
        <v>70.125</v>
      </c>
      <c r="E80" s="332"/>
      <c r="F80" s="332"/>
      <c r="G80" s="332"/>
      <c r="H80" s="1796"/>
      <c r="I80" s="1765">
        <f>[45]Summary!$K$128</f>
        <v>13018</v>
      </c>
      <c r="J80" s="1543">
        <f>ROUND(I80*D80,2)</f>
        <v>912887.25</v>
      </c>
    </row>
    <row r="81" spans="1:11" s="1644" customFormat="1" ht="54">
      <c r="A81" s="1528" t="s">
        <v>1684</v>
      </c>
      <c r="B81" s="1538" t="s">
        <v>2899</v>
      </c>
      <c r="C81" s="1530" t="s">
        <v>311</v>
      </c>
      <c r="D81" s="1542">
        <v>325</v>
      </c>
      <c r="E81" s="332"/>
      <c r="F81" s="332"/>
      <c r="G81" s="1643"/>
      <c r="H81" s="1669"/>
      <c r="I81" s="1577">
        <v>618</v>
      </c>
      <c r="J81" s="1543">
        <f>ROUND(I81*D81,2)</f>
        <v>200850</v>
      </c>
    </row>
    <row r="82" spans="1:11" s="1531" customFormat="1" ht="54">
      <c r="A82" s="1571" t="s">
        <v>1690</v>
      </c>
      <c r="B82" s="1545" t="s">
        <v>2737</v>
      </c>
      <c r="C82" s="1530"/>
      <c r="D82" s="1542"/>
      <c r="E82" s="332"/>
      <c r="F82" s="332"/>
      <c r="G82" s="332"/>
      <c r="H82" s="1796"/>
      <c r="I82" s="1543"/>
      <c r="J82" s="1543"/>
    </row>
    <row r="83" spans="1:11" s="1531" customFormat="1">
      <c r="A83" s="1554" t="s">
        <v>1691</v>
      </c>
      <c r="B83" s="1546" t="s">
        <v>2102</v>
      </c>
      <c r="C83" s="1530" t="s">
        <v>21</v>
      </c>
      <c r="D83" s="1542">
        <f>'M. Headworks river protection'!J32</f>
        <v>935</v>
      </c>
      <c r="E83" s="332"/>
      <c r="F83" s="332"/>
      <c r="G83" s="332"/>
      <c r="H83" s="1796"/>
      <c r="I83" s="1543">
        <f>I65</f>
        <v>4485.5</v>
      </c>
      <c r="J83" s="1543">
        <f>ROUND(I83*D83,2)</f>
        <v>4193942.5</v>
      </c>
    </row>
    <row r="84" spans="1:11" s="1531" customFormat="1" ht="17.25" customHeight="1">
      <c r="A84" s="1528"/>
      <c r="B84" s="1529"/>
      <c r="C84" s="1530"/>
      <c r="D84" s="1686"/>
      <c r="E84" s="332"/>
      <c r="F84" s="1666" t="s">
        <v>1483</v>
      </c>
      <c r="G84" s="1694"/>
      <c r="H84" s="1796"/>
      <c r="I84" s="88"/>
      <c r="J84" s="1717">
        <f>SUM(J68:J83)</f>
        <v>13016491.960000001</v>
      </c>
      <c r="K84" s="1764">
        <f>'[46]BoQ items with Description'!$F$23-J84</f>
        <v>23476413.130000003</v>
      </c>
    </row>
    <row r="85" spans="1:11" s="1531" customFormat="1">
      <c r="A85" s="1532" t="s">
        <v>1727</v>
      </c>
      <c r="B85" s="1533" t="s">
        <v>3078</v>
      </c>
      <c r="C85" s="1551"/>
      <c r="D85" s="1738"/>
      <c r="E85" s="1699"/>
      <c r="F85" s="1536"/>
      <c r="G85" s="1699"/>
      <c r="H85" s="1668"/>
      <c r="I85" s="1542"/>
      <c r="J85" s="1543"/>
    </row>
    <row r="86" spans="1:11" s="1531" customFormat="1">
      <c r="A86" s="1537" t="s">
        <v>1729</v>
      </c>
      <c r="B86" s="1538" t="s">
        <v>18</v>
      </c>
      <c r="C86" s="1539"/>
      <c r="D86" s="1739"/>
      <c r="E86" s="332"/>
      <c r="F86" s="1540"/>
      <c r="G86" s="332"/>
      <c r="H86" s="1665"/>
      <c r="I86" s="1542"/>
      <c r="J86" s="1543"/>
    </row>
    <row r="87" spans="1:11" s="1531" customFormat="1" ht="72">
      <c r="A87" s="1541" t="s">
        <v>1730</v>
      </c>
      <c r="B87" s="1555" t="s">
        <v>2855</v>
      </c>
      <c r="C87" s="1530" t="s">
        <v>19</v>
      </c>
      <c r="D87" s="1542">
        <f>'M. Weir &amp; Stillingbasin'!J15</f>
        <v>1012</v>
      </c>
      <c r="E87" s="332"/>
      <c r="F87" s="332"/>
      <c r="G87" s="332"/>
      <c r="H87" s="1796"/>
      <c r="I87" s="1543">
        <f>I69</f>
        <v>40.5</v>
      </c>
      <c r="J87" s="1543">
        <f>ROUND(I87*D87,2)</f>
        <v>40986</v>
      </c>
    </row>
    <row r="88" spans="1:11" s="1531" customFormat="1" ht="72">
      <c r="A88" s="1537" t="s">
        <v>1731</v>
      </c>
      <c r="B88" s="1544" t="s">
        <v>2849</v>
      </c>
      <c r="C88" s="1530"/>
      <c r="D88" s="1542"/>
      <c r="E88" s="332"/>
      <c r="F88" s="332"/>
      <c r="G88" s="332"/>
      <c r="H88" s="1796"/>
      <c r="I88" s="1543"/>
      <c r="J88" s="1543"/>
    </row>
    <row r="89" spans="1:11">
      <c r="A89" s="1541" t="s">
        <v>1732</v>
      </c>
      <c r="B89" s="220" t="s">
        <v>1632</v>
      </c>
      <c r="C89" s="1530" t="s">
        <v>21</v>
      </c>
      <c r="D89" s="1542">
        <f>'M. Weir &amp; Stillingbasin'!J21</f>
        <v>1921.2427777777777</v>
      </c>
      <c r="E89" s="220"/>
      <c r="F89" s="220"/>
      <c r="G89" s="220"/>
      <c r="H89" s="1670"/>
      <c r="I89" s="1542">
        <f>I71</f>
        <v>351.34500000000003</v>
      </c>
      <c r="J89" s="1543">
        <f>ROUND(I89*D89,2)</f>
        <v>675019.04</v>
      </c>
    </row>
    <row r="90" spans="1:11">
      <c r="A90" s="1541" t="s">
        <v>2848</v>
      </c>
      <c r="B90" s="220" t="s">
        <v>1634</v>
      </c>
      <c r="C90" s="1530" t="s">
        <v>21</v>
      </c>
      <c r="D90" s="1542">
        <f>'M. Weir &amp; Stillingbasin'!J22</f>
        <v>1921.2427777777777</v>
      </c>
      <c r="E90" s="220"/>
      <c r="F90" s="220"/>
      <c r="G90" s="220"/>
      <c r="H90" s="1670"/>
      <c r="I90" s="1542">
        <f>I72</f>
        <v>1375.6949999999999</v>
      </c>
      <c r="J90" s="1543">
        <f>ROUND(I90*D90,2)</f>
        <v>2643044.08</v>
      </c>
    </row>
    <row r="91" spans="1:11">
      <c r="A91" s="1537" t="s">
        <v>1733</v>
      </c>
      <c r="B91" s="313" t="s">
        <v>31</v>
      </c>
      <c r="C91" s="1530"/>
      <c r="D91" s="1542"/>
      <c r="E91" s="220"/>
      <c r="F91" s="220"/>
      <c r="G91" s="220"/>
      <c r="H91" s="1670"/>
      <c r="I91" s="1542"/>
      <c r="J91" s="1543"/>
    </row>
    <row r="92" spans="1:11" ht="54">
      <c r="A92" s="1541" t="s">
        <v>1734</v>
      </c>
      <c r="B92" s="1545" t="s">
        <v>2862</v>
      </c>
      <c r="C92" s="1530" t="s">
        <v>21</v>
      </c>
      <c r="D92" s="1542">
        <f>'M. Weir &amp; Stillingbasin'!J26</f>
        <v>426.75</v>
      </c>
      <c r="E92" s="220"/>
      <c r="F92" s="220"/>
      <c r="G92" s="220"/>
      <c r="H92" s="1670"/>
      <c r="I92" s="1542">
        <f>I57</f>
        <v>216.5</v>
      </c>
      <c r="J92" s="1543">
        <f>ROUND(I92*D92,2)</f>
        <v>92391.38</v>
      </c>
    </row>
    <row r="93" spans="1:11" s="1531" customFormat="1" ht="54">
      <c r="A93" s="1537" t="s">
        <v>1735</v>
      </c>
      <c r="B93" s="1545" t="s">
        <v>2735</v>
      </c>
      <c r="C93" s="1753" t="s">
        <v>21</v>
      </c>
      <c r="D93" s="1740"/>
      <c r="E93" s="332"/>
      <c r="F93" s="332"/>
      <c r="G93" s="332"/>
      <c r="H93" s="1752"/>
      <c r="I93" s="1543"/>
      <c r="J93" s="1543"/>
    </row>
    <row r="94" spans="1:11" s="1531" customFormat="1">
      <c r="A94" s="1541" t="s">
        <v>1736</v>
      </c>
      <c r="B94" s="1545" t="s">
        <v>2921</v>
      </c>
      <c r="C94" s="1530" t="s">
        <v>21</v>
      </c>
      <c r="D94" s="1542">
        <f>'M. Weir &amp; Stillingbasin'!J46</f>
        <v>7.8836624999999998</v>
      </c>
      <c r="E94" s="332"/>
      <c r="F94" s="332"/>
      <c r="G94" s="332"/>
      <c r="H94" s="1796"/>
      <c r="I94" s="365">
        <f>I60</f>
        <v>13018</v>
      </c>
      <c r="J94" s="1543">
        <f>D94*I94</f>
        <v>102629.518425</v>
      </c>
    </row>
    <row r="95" spans="1:11" s="1531" customFormat="1">
      <c r="A95" s="1541" t="s">
        <v>2108</v>
      </c>
      <c r="B95" s="1546" t="s">
        <v>2907</v>
      </c>
      <c r="C95" s="1530" t="s">
        <v>21</v>
      </c>
      <c r="D95" s="1542">
        <f>'M. Weir &amp; Stillingbasin'!J59</f>
        <v>1784.6139999999998</v>
      </c>
      <c r="E95" s="332"/>
      <c r="F95" s="332"/>
      <c r="G95" s="332"/>
      <c r="H95" s="1796"/>
      <c r="I95" s="1543">
        <f>[45]Summary!$K$144</f>
        <v>11390.5</v>
      </c>
      <c r="J95" s="1543">
        <f>ROUND(I95*D95,2)</f>
        <v>20327645.77</v>
      </c>
    </row>
    <row r="96" spans="1:11" s="1531" customFormat="1">
      <c r="A96" s="1541" t="s">
        <v>2109</v>
      </c>
      <c r="B96" s="1546" t="s">
        <v>1645</v>
      </c>
      <c r="C96" s="1530" t="s">
        <v>21</v>
      </c>
      <c r="D96" s="1542">
        <f>'M. Weir &amp; Stillingbasin'!J55</f>
        <v>2236.2165500000001</v>
      </c>
      <c r="E96" s="332"/>
      <c r="F96" s="332"/>
      <c r="G96" s="332"/>
      <c r="H96" s="1796"/>
      <c r="I96" s="1543">
        <f>[45]Summary!$K$134</f>
        <v>18138</v>
      </c>
      <c r="J96" s="1543">
        <f>ROUND(I96*D96,2)</f>
        <v>40560495.780000001</v>
      </c>
    </row>
    <row r="97" spans="1:10" s="1531" customFormat="1">
      <c r="A97" s="1541" t="s">
        <v>2751</v>
      </c>
      <c r="B97" s="1645" t="s">
        <v>2634</v>
      </c>
      <c r="C97" s="1530" t="s">
        <v>21</v>
      </c>
      <c r="D97" s="1542">
        <f>'M. Weir &amp; Stillingbasin'!J71</f>
        <v>88.199999999999989</v>
      </c>
      <c r="E97" s="332"/>
      <c r="F97" s="332"/>
      <c r="G97" s="332"/>
      <c r="H97" s="1796"/>
      <c r="I97" s="1543">
        <f>[45]Summary!$K$140*1.2</f>
        <v>30350.25</v>
      </c>
      <c r="J97" s="1543">
        <f>ROUND(I97*D97,2)</f>
        <v>2676892.0499999998</v>
      </c>
    </row>
    <row r="98" spans="1:10" s="1531" customFormat="1">
      <c r="A98" s="1537" t="s">
        <v>1737</v>
      </c>
      <c r="B98" s="313" t="s">
        <v>1693</v>
      </c>
      <c r="C98" s="1530"/>
      <c r="D98" s="1542"/>
      <c r="E98" s="332"/>
      <c r="F98" s="332"/>
      <c r="G98" s="332"/>
      <c r="H98" s="1796"/>
      <c r="I98" s="1543"/>
      <c r="J98" s="1543"/>
    </row>
    <row r="99" spans="1:10" s="1531" customFormat="1" ht="51.75" customHeight="1">
      <c r="A99" s="1541" t="s">
        <v>1738</v>
      </c>
      <c r="B99" s="1550" t="s">
        <v>1695</v>
      </c>
      <c r="C99" s="1530" t="s">
        <v>19</v>
      </c>
      <c r="D99" s="1542">
        <f>'M. Weir &amp; Stillingbasin'!J63</f>
        <v>207.5</v>
      </c>
      <c r="E99" s="332"/>
      <c r="F99" s="332"/>
      <c r="G99" s="332"/>
      <c r="H99" s="1796"/>
      <c r="I99" s="1543">
        <v>9236.98</v>
      </c>
      <c r="J99" s="1543">
        <f>D99*I99</f>
        <v>1916673.3499999999</v>
      </c>
    </row>
    <row r="100" spans="1:10" s="1531" customFormat="1">
      <c r="A100" s="1537" t="s">
        <v>1742</v>
      </c>
      <c r="B100" s="1548" t="s">
        <v>309</v>
      </c>
      <c r="C100" s="1530"/>
      <c r="D100" s="1542"/>
      <c r="E100" s="332"/>
      <c r="F100" s="332"/>
      <c r="G100" s="332"/>
      <c r="H100" s="1796"/>
      <c r="I100" s="1543"/>
      <c r="J100" s="1543"/>
    </row>
    <row r="101" spans="1:10" s="1531" customFormat="1" ht="54">
      <c r="A101" s="1541" t="s">
        <v>1743</v>
      </c>
      <c r="B101" s="1549" t="s">
        <v>1637</v>
      </c>
      <c r="C101" s="1530" t="s">
        <v>19</v>
      </c>
      <c r="D101" s="1542">
        <f>'M. Weir &amp; Stillingbasin'!J40</f>
        <v>523.42099999999994</v>
      </c>
      <c r="E101" s="332"/>
      <c r="F101" s="332"/>
      <c r="G101" s="332"/>
      <c r="H101" s="1796"/>
      <c r="I101" s="1543">
        <f>[45]Summary!$K$61</f>
        <v>1226.1157142857141</v>
      </c>
      <c r="J101" s="1543">
        <f>ROUND(I101*D101,2)</f>
        <v>641774.71</v>
      </c>
    </row>
    <row r="102" spans="1:10" s="1531" customFormat="1">
      <c r="A102" s="1537" t="s">
        <v>1744</v>
      </c>
      <c r="B102" s="313" t="s">
        <v>1649</v>
      </c>
      <c r="C102" s="1530"/>
      <c r="D102" s="1542"/>
      <c r="E102" s="332"/>
      <c r="F102" s="332"/>
      <c r="G102" s="332"/>
      <c r="H102" s="1796"/>
      <c r="I102" s="1543"/>
      <c r="J102" s="1543"/>
    </row>
    <row r="103" spans="1:10" s="1531" customFormat="1" ht="54">
      <c r="A103" s="1541" t="s">
        <v>1745</v>
      </c>
      <c r="B103" s="1550" t="s">
        <v>1248</v>
      </c>
      <c r="C103" s="1530" t="s">
        <v>25</v>
      </c>
      <c r="D103" s="1740">
        <f>'M. Weir &amp; Stillingbasin'!J75</f>
        <v>136.85</v>
      </c>
      <c r="E103" s="332"/>
      <c r="F103" s="332"/>
      <c r="G103" s="332"/>
      <c r="H103" s="1796"/>
      <c r="I103" s="1543">
        <f>[45]Summary!$K$149/1.15</f>
        <v>153246.08695652176</v>
      </c>
      <c r="J103" s="1543">
        <f>ROUND(I103*D103,2)</f>
        <v>20971727</v>
      </c>
    </row>
    <row r="104" spans="1:10" s="1531" customFormat="1" ht="54">
      <c r="A104" s="1537" t="s">
        <v>1746</v>
      </c>
      <c r="B104" s="1538" t="s">
        <v>2736</v>
      </c>
      <c r="C104" s="1530"/>
      <c r="D104" s="1542"/>
      <c r="E104" s="332"/>
      <c r="F104" s="332"/>
      <c r="G104" s="332"/>
      <c r="H104" s="1796"/>
      <c r="I104" s="1543"/>
      <c r="J104" s="1543"/>
    </row>
    <row r="105" spans="1:10" s="1531" customFormat="1">
      <c r="A105" s="1541" t="s">
        <v>2110</v>
      </c>
      <c r="B105" s="669" t="s">
        <v>155</v>
      </c>
      <c r="C105" s="1530" t="s">
        <v>27</v>
      </c>
      <c r="D105" s="1542">
        <f>'M. Weir &amp; Stillingbasin'!J80</f>
        <v>42</v>
      </c>
      <c r="E105" s="332"/>
      <c r="F105" s="332"/>
      <c r="G105" s="332"/>
      <c r="H105" s="1796"/>
      <c r="I105" s="1543">
        <v>1693</v>
      </c>
      <c r="J105" s="1543">
        <f>ROUND(I105*D105,2)</f>
        <v>71106</v>
      </c>
    </row>
    <row r="106" spans="1:10" s="1531" customFormat="1">
      <c r="A106" s="1541" t="s">
        <v>2635</v>
      </c>
      <c r="B106" s="669" t="s">
        <v>174</v>
      </c>
      <c r="C106" s="1530" t="s">
        <v>27</v>
      </c>
      <c r="D106" s="1542">
        <f>'M. Weir &amp; Stillingbasin'!J84</f>
        <v>42</v>
      </c>
      <c r="E106" s="332"/>
      <c r="F106" s="332"/>
      <c r="G106" s="332"/>
      <c r="H106" s="1796"/>
      <c r="I106" s="1543">
        <v>1245</v>
      </c>
      <c r="J106" s="1543">
        <f>ROUND(I106*D106,2)</f>
        <v>52290</v>
      </c>
    </row>
    <row r="107" spans="1:10" s="1531" customFormat="1" ht="19.8">
      <c r="A107" s="1541" t="s">
        <v>2636</v>
      </c>
      <c r="B107" s="669" t="s">
        <v>2390</v>
      </c>
      <c r="C107" s="1530" t="s">
        <v>122</v>
      </c>
      <c r="D107" s="1542">
        <f>'M. Weir &amp; Stillingbasin'!J88</f>
        <v>378</v>
      </c>
      <c r="E107" s="332"/>
      <c r="F107" s="332"/>
      <c r="G107" s="332"/>
      <c r="H107" s="1796"/>
      <c r="I107" s="1543">
        <v>1208</v>
      </c>
      <c r="J107" s="1543">
        <f>ROUND(I107*D107,2)</f>
        <v>456624</v>
      </c>
    </row>
    <row r="108" spans="1:10" s="1531" customFormat="1" ht="36">
      <c r="A108" s="1537" t="s">
        <v>1748</v>
      </c>
      <c r="B108" s="1646" t="s">
        <v>1723</v>
      </c>
      <c r="C108" s="1647" t="s">
        <v>19</v>
      </c>
      <c r="D108" s="1648">
        <v>1122</v>
      </c>
      <c r="E108" s="332"/>
      <c r="F108" s="332"/>
      <c r="G108" s="332"/>
      <c r="H108" s="1796"/>
      <c r="I108" s="1543">
        <f>[45]Summary!$K$199</f>
        <v>233</v>
      </c>
      <c r="J108" s="1543">
        <f>ROUND(I108*D108,2)</f>
        <v>261426</v>
      </c>
    </row>
    <row r="109" spans="1:10" s="1531" customFormat="1" ht="54">
      <c r="A109" s="1537" t="s">
        <v>2402</v>
      </c>
      <c r="B109" s="1649" t="s">
        <v>2856</v>
      </c>
      <c r="C109" s="1647"/>
      <c r="D109" s="1648"/>
      <c r="E109" s="332"/>
      <c r="F109" s="332"/>
      <c r="G109" s="332"/>
      <c r="H109" s="1796"/>
      <c r="I109" s="1577"/>
      <c r="J109" s="1543"/>
    </row>
    <row r="110" spans="1:10" s="1531" customFormat="1">
      <c r="A110" s="1554" t="s">
        <v>1752</v>
      </c>
      <c r="B110" s="1650" t="s">
        <v>2397</v>
      </c>
      <c r="C110" s="1647" t="s">
        <v>25</v>
      </c>
      <c r="D110" s="1648">
        <v>8</v>
      </c>
      <c r="E110" s="332"/>
      <c r="F110" s="332"/>
      <c r="G110" s="332"/>
      <c r="H110" s="1796"/>
      <c r="I110" s="1543">
        <f>[45]Summary!$K$189*1000</f>
        <v>54500</v>
      </c>
      <c r="J110" s="1543">
        <f>ROUND(I110*D110,2)</f>
        <v>436000</v>
      </c>
    </row>
    <row r="111" spans="1:10" s="1531" customFormat="1">
      <c r="A111" s="1554" t="s">
        <v>1753</v>
      </c>
      <c r="B111" s="1650" t="s">
        <v>2398</v>
      </c>
      <c r="C111" s="1647" t="s">
        <v>25</v>
      </c>
      <c r="D111" s="1648">
        <v>2</v>
      </c>
      <c r="E111" s="332"/>
      <c r="F111" s="332"/>
      <c r="G111" s="332"/>
      <c r="H111" s="1796"/>
      <c r="I111" s="1543">
        <f>I110</f>
        <v>54500</v>
      </c>
      <c r="J111" s="1543">
        <f t="shared" ref="J111:J112" si="2">ROUND(I111*D111,2)</f>
        <v>109000</v>
      </c>
    </row>
    <row r="112" spans="1:10" s="1531" customFormat="1">
      <c r="A112" s="1554" t="s">
        <v>1754</v>
      </c>
      <c r="B112" s="1650" t="s">
        <v>2399</v>
      </c>
      <c r="C112" s="1647" t="s">
        <v>47</v>
      </c>
      <c r="D112" s="1648">
        <v>100</v>
      </c>
      <c r="E112" s="332"/>
      <c r="F112" s="332"/>
      <c r="G112" s="332"/>
      <c r="H112" s="1796"/>
      <c r="I112" s="1543">
        <f>5*I110/1000</f>
        <v>272.5</v>
      </c>
      <c r="J112" s="1543">
        <f t="shared" si="2"/>
        <v>27250</v>
      </c>
    </row>
    <row r="113" spans="1:11" s="1531" customFormat="1">
      <c r="A113" s="1754" t="s">
        <v>2415</v>
      </c>
      <c r="B113" s="1755" t="s">
        <v>2403</v>
      </c>
      <c r="C113" s="1750" t="s">
        <v>27</v>
      </c>
      <c r="D113" s="1756">
        <v>150</v>
      </c>
      <c r="E113" s="1751"/>
      <c r="F113" s="1751"/>
      <c r="G113" s="332"/>
      <c r="H113" s="1796"/>
      <c r="I113" s="1543">
        <v>11600.82</v>
      </c>
      <c r="J113" s="1543">
        <f>D113*I113</f>
        <v>1740123</v>
      </c>
    </row>
    <row r="114" spans="1:11" s="1531" customFormat="1" ht="17.25" customHeight="1">
      <c r="A114" s="1528"/>
      <c r="B114" s="1529"/>
      <c r="C114" s="1530"/>
      <c r="D114" s="1686"/>
      <c r="E114" s="332"/>
      <c r="F114" s="1666" t="s">
        <v>1483</v>
      </c>
      <c r="G114" s="1694"/>
      <c r="H114" s="1796"/>
      <c r="I114" s="88"/>
      <c r="J114" s="1717">
        <f>SUM(J86:J113)</f>
        <v>93803097.678424984</v>
      </c>
      <c r="K114" s="1764">
        <f>'[46]BoQ items with Description'!$F$42-J114</f>
        <v>-6184653.3584249765</v>
      </c>
    </row>
    <row r="115" spans="1:11" s="1531" customFormat="1">
      <c r="A115" s="1532" t="s">
        <v>1759</v>
      </c>
      <c r="B115" s="1533" t="s">
        <v>3079</v>
      </c>
      <c r="C115" s="1534"/>
      <c r="D115" s="1736"/>
      <c r="E115" s="1699"/>
      <c r="F115" s="1536"/>
      <c r="G115" s="1699"/>
      <c r="H115" s="1668"/>
      <c r="I115" s="1542"/>
      <c r="J115" s="1543"/>
    </row>
    <row r="116" spans="1:11" s="1531" customFormat="1">
      <c r="A116" s="1537" t="s">
        <v>1760</v>
      </c>
      <c r="B116" s="1538" t="s">
        <v>18</v>
      </c>
      <c r="C116" s="1539"/>
      <c r="D116" s="1739"/>
      <c r="E116" s="332"/>
      <c r="F116" s="1540"/>
      <c r="G116" s="332"/>
      <c r="H116" s="1665"/>
      <c r="I116" s="1542"/>
      <c r="J116" s="1543"/>
    </row>
    <row r="117" spans="1:11" s="1531" customFormat="1" ht="72">
      <c r="A117" s="1541" t="s">
        <v>1761</v>
      </c>
      <c r="B117" s="1555" t="s">
        <v>2847</v>
      </c>
      <c r="C117" s="1530" t="s">
        <v>19</v>
      </c>
      <c r="D117" s="1542">
        <f>'M. Undersluice trashpassage'!J14</f>
        <v>621.5</v>
      </c>
      <c r="E117" s="332"/>
      <c r="F117" s="332"/>
      <c r="G117" s="332"/>
      <c r="H117" s="1796"/>
      <c r="I117" s="1543">
        <f>I53</f>
        <v>40.5</v>
      </c>
      <c r="J117" s="1543">
        <f>ROUND(I117*D117,2)</f>
        <v>25170.75</v>
      </c>
    </row>
    <row r="118" spans="1:11" s="1531" customFormat="1" ht="72">
      <c r="A118" s="1537" t="s">
        <v>1762</v>
      </c>
      <c r="B118" s="1544" t="s">
        <v>2849</v>
      </c>
      <c r="C118" s="1530"/>
      <c r="D118" s="1542"/>
      <c r="E118" s="332"/>
      <c r="F118" s="332"/>
      <c r="G118" s="332"/>
      <c r="H118" s="1796"/>
      <c r="I118" s="1543"/>
      <c r="J118" s="1543"/>
    </row>
    <row r="119" spans="1:11">
      <c r="A119" s="1541" t="s">
        <v>1763</v>
      </c>
      <c r="B119" s="220" t="s">
        <v>1632</v>
      </c>
      <c r="C119" s="1530" t="s">
        <v>21</v>
      </c>
      <c r="D119" s="1542">
        <f>'M. Undersluice trashpassage'!J21</f>
        <v>735.25400000000013</v>
      </c>
      <c r="E119" s="220"/>
      <c r="F119" s="220"/>
      <c r="G119" s="220"/>
      <c r="H119" s="1670"/>
      <c r="I119" s="1542">
        <f>I55</f>
        <v>351.34500000000003</v>
      </c>
      <c r="J119" s="1543">
        <f>ROUND(I119*D119,2)</f>
        <v>258327.82</v>
      </c>
    </row>
    <row r="120" spans="1:11">
      <c r="A120" s="1541" t="s">
        <v>1764</v>
      </c>
      <c r="B120" s="220" t="s">
        <v>1634</v>
      </c>
      <c r="C120" s="1530" t="s">
        <v>21</v>
      </c>
      <c r="D120" s="1542">
        <f>'M. Undersluice trashpassage'!J22</f>
        <v>2941.0160000000005</v>
      </c>
      <c r="E120" s="220"/>
      <c r="F120" s="220"/>
      <c r="G120" s="220"/>
      <c r="H120" s="1670"/>
      <c r="I120" s="1542">
        <f>I72</f>
        <v>1375.6949999999999</v>
      </c>
      <c r="J120" s="1543">
        <f>ROUND(I120*D120,2)</f>
        <v>4045941.01</v>
      </c>
    </row>
    <row r="121" spans="1:11">
      <c r="A121" s="1537" t="s">
        <v>1765</v>
      </c>
      <c r="B121" s="313" t="s">
        <v>31</v>
      </c>
      <c r="C121" s="1530"/>
      <c r="D121" s="1542"/>
      <c r="E121" s="220"/>
      <c r="F121" s="220"/>
      <c r="G121" s="220"/>
      <c r="H121" s="1670"/>
      <c r="I121" s="1542"/>
      <c r="J121" s="1543"/>
    </row>
    <row r="122" spans="1:11" ht="54">
      <c r="A122" s="1541" t="s">
        <v>1766</v>
      </c>
      <c r="B122" s="1545" t="s">
        <v>2862</v>
      </c>
      <c r="C122" s="1530" t="s">
        <v>21</v>
      </c>
      <c r="D122" s="1542">
        <f>'M. Undersluice trashpassage'!J27</f>
        <v>258.18400000000003</v>
      </c>
      <c r="E122" s="220"/>
      <c r="F122" s="220"/>
      <c r="G122" s="220"/>
      <c r="H122" s="1670"/>
      <c r="I122" s="1542">
        <f>I74</f>
        <v>216.5</v>
      </c>
      <c r="J122" s="1543">
        <f>ROUND(I122*D122,2)</f>
        <v>55896.84</v>
      </c>
    </row>
    <row r="123" spans="1:11" s="1531" customFormat="1" ht="54">
      <c r="A123" s="1537" t="s">
        <v>1767</v>
      </c>
      <c r="B123" s="1550" t="s">
        <v>2735</v>
      </c>
      <c r="C123" s="1530" t="s">
        <v>21</v>
      </c>
      <c r="D123" s="1542"/>
      <c r="E123" s="332"/>
      <c r="F123" s="332"/>
      <c r="G123" s="332"/>
      <c r="H123" s="1796"/>
      <c r="I123" s="1543"/>
      <c r="J123" s="1543"/>
    </row>
    <row r="124" spans="1:11" s="1531" customFormat="1">
      <c r="A124" s="1541" t="s">
        <v>1768</v>
      </c>
      <c r="B124" s="1546" t="s">
        <v>1641</v>
      </c>
      <c r="C124" s="1530" t="s">
        <v>21</v>
      </c>
      <c r="D124" s="1542">
        <f>'M. Undersluice trashpassage'!J43</f>
        <v>42.45</v>
      </c>
      <c r="E124" s="332"/>
      <c r="F124" s="332"/>
      <c r="G124" s="332"/>
      <c r="H124" s="1796"/>
      <c r="I124" s="1543">
        <f>I94</f>
        <v>13018</v>
      </c>
      <c r="J124" s="1543">
        <f>ROUND(I124*D124,2)</f>
        <v>552614.1</v>
      </c>
    </row>
    <row r="125" spans="1:11" s="1531" customFormat="1">
      <c r="A125" s="1541" t="s">
        <v>2111</v>
      </c>
      <c r="B125" s="1546" t="s">
        <v>1645</v>
      </c>
      <c r="C125" s="1530" t="s">
        <v>21</v>
      </c>
      <c r="D125" s="1542">
        <f>'M. Undersluice trashpassage'!J58</f>
        <v>2575.8152</v>
      </c>
      <c r="E125" s="332"/>
      <c r="F125" s="332"/>
      <c r="G125" s="332"/>
      <c r="H125" s="1796"/>
      <c r="I125" s="1543">
        <f>I96</f>
        <v>18138</v>
      </c>
      <c r="J125" s="1543">
        <f>ROUND(I125*D125,2)</f>
        <v>46720136.100000001</v>
      </c>
    </row>
    <row r="126" spans="1:11" s="1531" customFormat="1" ht="36">
      <c r="A126" s="1541" t="s">
        <v>2396</v>
      </c>
      <c r="B126" s="1546" t="s">
        <v>2404</v>
      </c>
      <c r="C126" s="1530" t="s">
        <v>21</v>
      </c>
      <c r="D126" s="1547">
        <f>'M. Undersluice trashpassage'!J62</f>
        <v>38.194000000000003</v>
      </c>
      <c r="E126" s="332"/>
      <c r="F126" s="332"/>
      <c r="G126" s="332"/>
      <c r="H126" s="1796"/>
      <c r="I126" s="1543">
        <f>I97</f>
        <v>30350.25</v>
      </c>
      <c r="J126" s="1543">
        <f>ROUND(I126*D126,2)</f>
        <v>1159197.45</v>
      </c>
    </row>
    <row r="127" spans="1:11" s="1531" customFormat="1">
      <c r="A127" s="1537" t="s">
        <v>1769</v>
      </c>
      <c r="B127" s="1548" t="s">
        <v>309</v>
      </c>
      <c r="C127" s="1530"/>
      <c r="D127" s="1547"/>
      <c r="E127" s="332"/>
      <c r="F127" s="332"/>
      <c r="G127" s="332"/>
      <c r="H127" s="1796"/>
      <c r="I127" s="1543"/>
      <c r="J127" s="1543"/>
    </row>
    <row r="128" spans="1:11" s="1531" customFormat="1" ht="54">
      <c r="A128" s="1541" t="s">
        <v>1770</v>
      </c>
      <c r="B128" s="1549" t="s">
        <v>1637</v>
      </c>
      <c r="C128" s="1530" t="s">
        <v>19</v>
      </c>
      <c r="D128" s="1542">
        <f>'M. Undersluice trashpassage'!J38</f>
        <v>2792</v>
      </c>
      <c r="E128" s="332"/>
      <c r="F128" s="332"/>
      <c r="G128" s="332"/>
      <c r="H128" s="1796"/>
      <c r="I128" s="1543">
        <f>I101</f>
        <v>1226.1157142857141</v>
      </c>
      <c r="J128" s="1543">
        <f>ROUND(I128*D128,2)</f>
        <v>3423315.07</v>
      </c>
    </row>
    <row r="129" spans="1:11" s="1531" customFormat="1">
      <c r="A129" s="1537" t="s">
        <v>1772</v>
      </c>
      <c r="B129" s="313" t="s">
        <v>1649</v>
      </c>
      <c r="C129" s="1530"/>
      <c r="D129" s="1542"/>
      <c r="E129" s="332"/>
      <c r="F129" s="332"/>
      <c r="G129" s="332"/>
      <c r="H129" s="1796"/>
      <c r="I129" s="1543"/>
      <c r="J129" s="1543"/>
    </row>
    <row r="130" spans="1:11" s="1531" customFormat="1" ht="54">
      <c r="A130" s="1541" t="s">
        <v>1773</v>
      </c>
      <c r="B130" s="1550" t="s">
        <v>1248</v>
      </c>
      <c r="C130" s="1530" t="s">
        <v>25</v>
      </c>
      <c r="D130" s="1740">
        <f>ROUND(1%*(D125)*7.85,2)</f>
        <v>202.2</v>
      </c>
      <c r="E130" s="332"/>
      <c r="F130" s="332"/>
      <c r="G130" s="332"/>
      <c r="H130" s="1796"/>
      <c r="I130" s="1543">
        <f>I103</f>
        <v>153246.08695652176</v>
      </c>
      <c r="J130" s="1543">
        <f>ROUND(I130*D130,2)</f>
        <v>30986358.780000001</v>
      </c>
    </row>
    <row r="131" spans="1:11" s="1531" customFormat="1">
      <c r="A131" s="1537" t="s">
        <v>1774</v>
      </c>
      <c r="B131" s="313" t="s">
        <v>1693</v>
      </c>
      <c r="C131" s="1530"/>
      <c r="D131" s="1740"/>
      <c r="E131" s="332"/>
      <c r="F131" s="332"/>
      <c r="G131" s="332"/>
      <c r="H131" s="1796"/>
      <c r="I131" s="1543"/>
      <c r="J131" s="1543"/>
    </row>
    <row r="132" spans="1:11" s="1531" customFormat="1" ht="51.75" customHeight="1">
      <c r="A132" s="1541" t="s">
        <v>1775</v>
      </c>
      <c r="B132" s="1550" t="s">
        <v>1695</v>
      </c>
      <c r="C132" s="1530" t="s">
        <v>19</v>
      </c>
      <c r="D132" s="1542">
        <f>'M. Undersluice trashpassage'!J69</f>
        <v>324.89999999999998</v>
      </c>
      <c r="E132" s="332"/>
      <c r="F132" s="332"/>
      <c r="G132" s="332"/>
      <c r="H132" s="1796"/>
      <c r="I132" s="1543">
        <f>I99</f>
        <v>9236.98</v>
      </c>
      <c r="J132" s="1543">
        <f>ROUND(I132*D132,2)</f>
        <v>3001094.8</v>
      </c>
    </row>
    <row r="133" spans="1:11" s="1531" customFormat="1" ht="54">
      <c r="A133" s="1537" t="s">
        <v>1776</v>
      </c>
      <c r="B133" s="1538" t="s">
        <v>2857</v>
      </c>
      <c r="C133" s="1530"/>
      <c r="D133" s="1542"/>
      <c r="E133" s="332"/>
      <c r="F133" s="332"/>
      <c r="G133" s="332"/>
      <c r="H133" s="1796"/>
      <c r="I133" s="1543"/>
      <c r="J133" s="1543"/>
    </row>
    <row r="134" spans="1:11" s="1531" customFormat="1">
      <c r="A134" s="1541" t="s">
        <v>1777</v>
      </c>
      <c r="B134" s="669" t="s">
        <v>155</v>
      </c>
      <c r="C134" s="1530" t="s">
        <v>27</v>
      </c>
      <c r="D134" s="1542">
        <f>'M. Undersluice trashpassage'!J79</f>
        <v>11</v>
      </c>
      <c r="E134" s="332"/>
      <c r="F134" s="332"/>
      <c r="G134" s="332"/>
      <c r="H134" s="1796"/>
      <c r="I134" s="1543">
        <f>I105</f>
        <v>1693</v>
      </c>
      <c r="J134" s="1543">
        <f>ROUND(I134*D134,2)</f>
        <v>18623</v>
      </c>
    </row>
    <row r="135" spans="1:11" s="1531" customFormat="1">
      <c r="A135" s="1541" t="s">
        <v>1778</v>
      </c>
      <c r="B135" s="669" t="s">
        <v>174</v>
      </c>
      <c r="C135" s="1530" t="s">
        <v>27</v>
      </c>
      <c r="D135" s="1542">
        <f>'M. Undersluice trashpassage'!J83</f>
        <v>11</v>
      </c>
      <c r="E135" s="332"/>
      <c r="F135" s="332"/>
      <c r="G135" s="332"/>
      <c r="H135" s="1796"/>
      <c r="I135" s="1543">
        <f t="shared" ref="I135:I136" si="3">I106</f>
        <v>1245</v>
      </c>
      <c r="J135" s="1543">
        <f>ROUND(I135*D135,2)</f>
        <v>13695</v>
      </c>
    </row>
    <row r="136" spans="1:11" s="1531" customFormat="1" ht="19.8">
      <c r="A136" s="1541" t="s">
        <v>1779</v>
      </c>
      <c r="B136" s="669" t="s">
        <v>2390</v>
      </c>
      <c r="C136" s="1530" t="s">
        <v>122</v>
      </c>
      <c r="D136" s="1542">
        <f>'M. Undersluice trashpassage'!J87</f>
        <v>66</v>
      </c>
      <c r="E136" s="332"/>
      <c r="F136" s="332"/>
      <c r="G136" s="332"/>
      <c r="H136" s="1796"/>
      <c r="I136" s="1543">
        <f t="shared" si="3"/>
        <v>1208</v>
      </c>
      <c r="J136" s="1543">
        <f>ROUND(I136*D136,2)</f>
        <v>79728</v>
      </c>
    </row>
    <row r="137" spans="1:11" s="1531" customFormat="1" ht="17.25" customHeight="1">
      <c r="A137" s="1528"/>
      <c r="B137" s="1529"/>
      <c r="C137" s="1530"/>
      <c r="D137" s="1686"/>
      <c r="E137" s="332"/>
      <c r="F137" s="1666" t="s">
        <v>1483</v>
      </c>
      <c r="G137" s="1694"/>
      <c r="H137" s="1796"/>
      <c r="I137" s="88"/>
      <c r="J137" s="1717">
        <f>SUM(J117:J136)</f>
        <v>90340098.720000014</v>
      </c>
      <c r="K137" s="1764">
        <f>'[46]BoQ items with Description'!$F$56-J137</f>
        <v>25144510.739999995</v>
      </c>
    </row>
    <row r="138" spans="1:11" s="1531" customFormat="1">
      <c r="A138" s="1532" t="s">
        <v>1781</v>
      </c>
      <c r="B138" s="1533" t="s">
        <v>3080</v>
      </c>
      <c r="C138" s="1551"/>
      <c r="D138" s="1738"/>
      <c r="E138" s="1699"/>
      <c r="F138" s="1536"/>
      <c r="G138" s="1699"/>
      <c r="H138" s="1668"/>
      <c r="I138" s="1542"/>
      <c r="J138" s="1543"/>
    </row>
    <row r="139" spans="1:11" s="1553" customFormat="1">
      <c r="A139" s="1537" t="s">
        <v>1783</v>
      </c>
      <c r="B139" s="1548" t="s">
        <v>18</v>
      </c>
      <c r="C139" s="1539"/>
      <c r="D139" s="1739"/>
      <c r="E139" s="1684"/>
      <c r="F139" s="1540"/>
      <c r="G139" s="1684"/>
      <c r="H139" s="1665"/>
      <c r="I139" s="1542"/>
      <c r="J139" s="1543"/>
    </row>
    <row r="140" spans="1:11" s="1531" customFormat="1" ht="72">
      <c r="A140" s="1554" t="s">
        <v>1784</v>
      </c>
      <c r="B140" s="1555" t="s">
        <v>2847</v>
      </c>
      <c r="C140" s="1530" t="s">
        <v>19</v>
      </c>
      <c r="D140" s="1542">
        <f>'M. Intake Gtrap'!J15</f>
        <v>246</v>
      </c>
      <c r="E140" s="332"/>
      <c r="F140" s="332"/>
      <c r="G140" s="332"/>
      <c r="H140" s="1796"/>
      <c r="I140" s="1543">
        <f>I87</f>
        <v>40.5</v>
      </c>
      <c r="J140" s="1543">
        <f>ROUND(I140*D140,2)</f>
        <v>9963</v>
      </c>
    </row>
    <row r="141" spans="1:11" s="1531" customFormat="1" ht="72">
      <c r="A141" s="1537" t="s">
        <v>1785</v>
      </c>
      <c r="B141" s="1544" t="s">
        <v>2849</v>
      </c>
      <c r="C141" s="1530"/>
      <c r="D141" s="1542"/>
      <c r="E141" s="332"/>
      <c r="F141" s="332"/>
      <c r="G141" s="332"/>
      <c r="H141" s="1796"/>
      <c r="I141" s="1543"/>
      <c r="J141" s="1543"/>
    </row>
    <row r="142" spans="1:11">
      <c r="A142" s="1554" t="s">
        <v>1786</v>
      </c>
      <c r="B142" s="220" t="s">
        <v>1632</v>
      </c>
      <c r="C142" s="1530" t="s">
        <v>21</v>
      </c>
      <c r="D142" s="1542">
        <f>'M. Intake Gtrap'!J21</f>
        <v>999.46</v>
      </c>
      <c r="E142" s="220"/>
      <c r="F142" s="220"/>
      <c r="G142" s="220"/>
      <c r="H142" s="1670"/>
      <c r="I142" s="1542">
        <f>I89</f>
        <v>351.34500000000003</v>
      </c>
      <c r="J142" s="1543">
        <f>ROUND(I142*D142,2)</f>
        <v>351155.27</v>
      </c>
    </row>
    <row r="143" spans="1:11">
      <c r="A143" s="1554" t="s">
        <v>1787</v>
      </c>
      <c r="B143" s="220" t="s">
        <v>1634</v>
      </c>
      <c r="C143" s="1530" t="s">
        <v>21</v>
      </c>
      <c r="D143" s="1542">
        <f>'M. Intake Gtrap'!J22</f>
        <v>3997.84</v>
      </c>
      <c r="E143" s="220"/>
      <c r="F143" s="220"/>
      <c r="G143" s="220"/>
      <c r="H143" s="1670"/>
      <c r="I143" s="1542">
        <f>I90</f>
        <v>1375.6949999999999</v>
      </c>
      <c r="J143" s="1543">
        <f>ROUND(I143*D143,2)</f>
        <v>5499808.5</v>
      </c>
    </row>
    <row r="144" spans="1:11">
      <c r="A144" s="1537" t="s">
        <v>1788</v>
      </c>
      <c r="B144" s="313" t="s">
        <v>31</v>
      </c>
      <c r="C144" s="1530"/>
      <c r="D144" s="1542"/>
      <c r="E144" s="220"/>
      <c r="F144" s="220"/>
      <c r="G144" s="220"/>
      <c r="H144" s="1670"/>
      <c r="I144" s="1542"/>
      <c r="J144" s="1543"/>
    </row>
    <row r="145" spans="1:10" ht="54">
      <c r="A145" s="1554" t="s">
        <v>1789</v>
      </c>
      <c r="B145" s="1545" t="s">
        <v>2862</v>
      </c>
      <c r="C145" s="1530" t="s">
        <v>21</v>
      </c>
      <c r="D145" s="1542">
        <f>'M. Intake Gtrap'!J27</f>
        <v>549.23</v>
      </c>
      <c r="E145" s="220"/>
      <c r="F145" s="220"/>
      <c r="G145" s="220"/>
      <c r="H145" s="1670"/>
      <c r="I145" s="1542">
        <f>I92</f>
        <v>216.5</v>
      </c>
      <c r="J145" s="1543">
        <f>ROUND(I145*D145,2)</f>
        <v>118908.3</v>
      </c>
    </row>
    <row r="146" spans="1:10" s="1531" customFormat="1" ht="54">
      <c r="A146" s="1537" t="s">
        <v>1790</v>
      </c>
      <c r="B146" s="1545" t="s">
        <v>2735</v>
      </c>
      <c r="C146" s="1530"/>
      <c r="D146" s="1542"/>
      <c r="E146" s="332"/>
      <c r="F146" s="332"/>
      <c r="G146" s="332"/>
      <c r="H146" s="1796"/>
      <c r="I146" s="1543"/>
      <c r="J146" s="1543"/>
    </row>
    <row r="147" spans="1:10" s="1531" customFormat="1">
      <c r="A147" s="1554" t="s">
        <v>1791</v>
      </c>
      <c r="B147" s="1546" t="s">
        <v>1641</v>
      </c>
      <c r="C147" s="1530" t="s">
        <v>21</v>
      </c>
      <c r="D147" s="1542">
        <f>'M. Intake Gtrap'!J32</f>
        <v>15.375</v>
      </c>
      <c r="E147" s="332"/>
      <c r="F147" s="332"/>
      <c r="G147" s="332"/>
      <c r="H147" s="1796"/>
      <c r="I147" s="1543">
        <f>I94</f>
        <v>13018</v>
      </c>
      <c r="J147" s="1543">
        <f>ROUND(I147*D147,2)</f>
        <v>200151.75</v>
      </c>
    </row>
    <row r="148" spans="1:10" s="1531" customFormat="1">
      <c r="A148" s="1554" t="s">
        <v>2106</v>
      </c>
      <c r="B148" s="1546" t="s">
        <v>1645</v>
      </c>
      <c r="C148" s="1530" t="s">
        <v>21</v>
      </c>
      <c r="D148" s="1542">
        <f>'M. Intake Gtrap'!J50</f>
        <v>849.61959999999999</v>
      </c>
      <c r="E148" s="332"/>
      <c r="F148" s="332"/>
      <c r="G148" s="332"/>
      <c r="H148" s="1796"/>
      <c r="I148" s="1543">
        <f>I96</f>
        <v>18138</v>
      </c>
      <c r="J148" s="1543">
        <f>ROUND(I148*D148,2)</f>
        <v>15410400.300000001</v>
      </c>
    </row>
    <row r="149" spans="1:10" s="1531" customFormat="1">
      <c r="A149" s="1554" t="s">
        <v>2107</v>
      </c>
      <c r="B149" s="1546" t="s">
        <v>2876</v>
      </c>
      <c r="C149" s="1530" t="s">
        <v>21</v>
      </c>
      <c r="D149" s="1542">
        <v>1</v>
      </c>
      <c r="E149" s="332"/>
      <c r="F149" s="332"/>
      <c r="G149" s="332"/>
      <c r="H149" s="1796"/>
      <c r="I149" s="1543">
        <f>I95</f>
        <v>11390.5</v>
      </c>
      <c r="J149" s="1543">
        <f>ROUND(I149*D149,2)</f>
        <v>11390.5</v>
      </c>
    </row>
    <row r="150" spans="1:10" s="1531" customFormat="1">
      <c r="A150" s="1537" t="s">
        <v>1792</v>
      </c>
      <c r="B150" s="1548" t="s">
        <v>309</v>
      </c>
      <c r="C150" s="1530"/>
      <c r="D150" s="1542"/>
      <c r="E150" s="332"/>
      <c r="F150" s="332"/>
      <c r="G150" s="332"/>
      <c r="H150" s="1796"/>
      <c r="I150" s="1543"/>
      <c r="J150" s="1543"/>
    </row>
    <row r="151" spans="1:10" s="1531" customFormat="1" ht="54">
      <c r="A151" s="1554" t="s">
        <v>1793</v>
      </c>
      <c r="B151" s="1549" t="s">
        <v>1637</v>
      </c>
      <c r="C151" s="1530" t="s">
        <v>19</v>
      </c>
      <c r="D151" s="1542">
        <f>'M. Intake Gtrap'!J72</f>
        <v>1168.45</v>
      </c>
      <c r="E151" s="332"/>
      <c r="F151" s="332"/>
      <c r="G151" s="332"/>
      <c r="H151" s="1796"/>
      <c r="I151" s="1543">
        <f>I101</f>
        <v>1226.1157142857141</v>
      </c>
      <c r="J151" s="1543">
        <f>ROUND(I151*D151,2)</f>
        <v>1432654.91</v>
      </c>
    </row>
    <row r="152" spans="1:10" s="1531" customFormat="1">
      <c r="A152" s="1537" t="s">
        <v>1796</v>
      </c>
      <c r="B152" s="313" t="s">
        <v>1649</v>
      </c>
      <c r="C152" s="1530"/>
      <c r="D152" s="1542"/>
      <c r="E152" s="332"/>
      <c r="F152" s="332"/>
      <c r="G152" s="332"/>
      <c r="H152" s="1796"/>
      <c r="I152" s="1543"/>
      <c r="J152" s="1543"/>
    </row>
    <row r="153" spans="1:10" s="1531" customFormat="1" ht="54">
      <c r="A153" s="1554" t="s">
        <v>1797</v>
      </c>
      <c r="B153" s="1550" t="s">
        <v>1248</v>
      </c>
      <c r="C153" s="1530" t="s">
        <v>25</v>
      </c>
      <c r="D153" s="1740">
        <f>'M. Intake Gtrap'!J75</f>
        <v>66.695138599999993</v>
      </c>
      <c r="E153" s="332"/>
      <c r="F153" s="332"/>
      <c r="G153" s="332"/>
      <c r="H153" s="1796"/>
      <c r="I153" s="1543">
        <f>I103</f>
        <v>153246.08695652176</v>
      </c>
      <c r="J153" s="1543">
        <f>ROUND(I153*D153,2)</f>
        <v>10220769.01</v>
      </c>
    </row>
    <row r="154" spans="1:10" s="1531" customFormat="1">
      <c r="A154" s="1537" t="s">
        <v>1798</v>
      </c>
      <c r="B154" s="313" t="s">
        <v>1693</v>
      </c>
      <c r="C154" s="1530"/>
      <c r="D154" s="1740"/>
      <c r="E154" s="332"/>
      <c r="F154" s="332"/>
      <c r="G154" s="332"/>
      <c r="H154" s="1796"/>
      <c r="I154" s="1543"/>
      <c r="J154" s="1543"/>
    </row>
    <row r="155" spans="1:10" s="1531" customFormat="1" ht="51.75" customHeight="1">
      <c r="A155" s="1554" t="s">
        <v>1799</v>
      </c>
      <c r="B155" s="1550" t="s">
        <v>2601</v>
      </c>
      <c r="C155" s="1530" t="s">
        <v>19</v>
      </c>
      <c r="D155" s="1542">
        <f>'M. Intake Gtrap'!J79</f>
        <v>91.16</v>
      </c>
      <c r="E155" s="332"/>
      <c r="F155" s="332"/>
      <c r="G155" s="332"/>
      <c r="H155" s="1796"/>
      <c r="I155" s="1543">
        <f>I99</f>
        <v>9236.98</v>
      </c>
      <c r="J155" s="1543">
        <f>ROUND(I155*D155,2)</f>
        <v>842043.1</v>
      </c>
    </row>
    <row r="156" spans="1:10" s="1531" customFormat="1" ht="54">
      <c r="A156" s="1537" t="s">
        <v>1805</v>
      </c>
      <c r="B156" s="1538" t="s">
        <v>2736</v>
      </c>
      <c r="C156" s="1530"/>
      <c r="D156" s="1542"/>
      <c r="E156" s="332"/>
      <c r="F156" s="332"/>
      <c r="G156" s="332"/>
      <c r="H156" s="1796"/>
      <c r="I156" s="1543"/>
      <c r="J156" s="1543"/>
    </row>
    <row r="157" spans="1:10" s="1531" customFormat="1">
      <c r="A157" s="1541" t="s">
        <v>1806</v>
      </c>
      <c r="B157" s="669" t="s">
        <v>155</v>
      </c>
      <c r="C157" s="1530" t="s">
        <v>27</v>
      </c>
      <c r="D157" s="1542">
        <f>'M. Intake Gtrap'!J83+'M. Intake Gtrap'!J92+'M. Intake Gtrap'!J100</f>
        <v>19.600000000000001</v>
      </c>
      <c r="E157" s="332"/>
      <c r="F157" s="332"/>
      <c r="G157" s="332"/>
      <c r="H157" s="1796"/>
      <c r="I157" s="1543">
        <f>I105</f>
        <v>1693</v>
      </c>
      <c r="J157" s="1543">
        <f>ROUND(I157*D157,2)</f>
        <v>33182.800000000003</v>
      </c>
    </row>
    <row r="158" spans="1:10" s="1531" customFormat="1">
      <c r="A158" s="1541" t="s">
        <v>2915</v>
      </c>
      <c r="B158" s="669" t="s">
        <v>174</v>
      </c>
      <c r="C158" s="1530" t="s">
        <v>27</v>
      </c>
      <c r="D158" s="1542">
        <f>'M. Intake Gtrap'!J86+'M. Intake Gtrap'!J95+'M. Intake Gtrap'!J104</f>
        <v>19.600000000000001</v>
      </c>
      <c r="E158" s="332"/>
      <c r="F158" s="332"/>
      <c r="G158" s="332"/>
      <c r="H158" s="1796"/>
      <c r="I158" s="1543">
        <f t="shared" ref="I158:I159" si="4">I106</f>
        <v>1245</v>
      </c>
      <c r="J158" s="1543">
        <f>ROUND(I158*D158,2)</f>
        <v>24402</v>
      </c>
    </row>
    <row r="159" spans="1:10" s="1531" customFormat="1" ht="19.8">
      <c r="A159" s="1541" t="s">
        <v>2916</v>
      </c>
      <c r="B159" s="669" t="s">
        <v>2390</v>
      </c>
      <c r="C159" s="1530" t="s">
        <v>122</v>
      </c>
      <c r="D159" s="1542">
        <f>'M. Intake Gtrap'!J88+'M. Intake Gtrap'!J97+'M. Intake Gtrap'!J107</f>
        <v>39.200000000000003</v>
      </c>
      <c r="E159" s="332"/>
      <c r="F159" s="332"/>
      <c r="G159" s="332"/>
      <c r="H159" s="1796"/>
      <c r="I159" s="1543">
        <f t="shared" si="4"/>
        <v>1208</v>
      </c>
      <c r="J159" s="1543">
        <f>ROUND(I159*D159,2)</f>
        <v>47353.599999999999</v>
      </c>
    </row>
    <row r="160" spans="1:10" s="1531" customFormat="1" ht="17.25" customHeight="1">
      <c r="A160" s="1528"/>
      <c r="B160" s="1529"/>
      <c r="C160" s="1530"/>
      <c r="D160" s="1686"/>
      <c r="E160" s="332"/>
      <c r="F160" s="1666" t="s">
        <v>1483</v>
      </c>
      <c r="G160" s="1694"/>
      <c r="H160" s="1796"/>
      <c r="I160" s="88"/>
      <c r="J160" s="1717">
        <f>SUM(J140:J159)</f>
        <v>34202183.039999999</v>
      </c>
    </row>
    <row r="161" spans="1:10" s="1531" customFormat="1">
      <c r="A161" s="1532" t="s">
        <v>1825</v>
      </c>
      <c r="B161" s="1533" t="s">
        <v>1601</v>
      </c>
      <c r="C161" s="1551"/>
      <c r="D161" s="1738"/>
      <c r="E161" s="1699"/>
      <c r="F161" s="1536"/>
      <c r="G161" s="1699"/>
      <c r="H161" s="1668"/>
      <c r="I161" s="1542"/>
      <c r="J161" s="1543"/>
    </row>
    <row r="162" spans="1:10" s="1531" customFormat="1" ht="108">
      <c r="A162" s="1537" t="s">
        <v>1827</v>
      </c>
      <c r="B162" s="1556" t="s">
        <v>2860</v>
      </c>
      <c r="C162" s="1757" t="s">
        <v>21</v>
      </c>
      <c r="D162" s="1542">
        <f>'Connecting Tunnel'!J27</f>
        <v>4725.1848791151424</v>
      </c>
      <c r="E162" s="332"/>
      <c r="F162" s="332"/>
      <c r="G162" s="332"/>
      <c r="H162" s="1796"/>
      <c r="I162" s="1543">
        <f>[45]Summary!$K$222</f>
        <v>6624.65</v>
      </c>
      <c r="J162" s="1543">
        <f>D162*I162</f>
        <v>31302696.009430125</v>
      </c>
    </row>
    <row r="163" spans="1:10">
      <c r="A163" s="1537" t="s">
        <v>1829</v>
      </c>
      <c r="B163" s="1557" t="s">
        <v>1872</v>
      </c>
      <c r="C163" s="1757"/>
      <c r="D163" s="1542"/>
      <c r="E163" s="220"/>
      <c r="F163" s="220"/>
      <c r="G163" s="220"/>
      <c r="H163" s="1670"/>
      <c r="I163" s="220"/>
      <c r="J163" s="1543"/>
    </row>
    <row r="164" spans="1:10" ht="54">
      <c r="A164" s="1554" t="s">
        <v>1830</v>
      </c>
      <c r="B164" s="1550" t="s">
        <v>2637</v>
      </c>
      <c r="C164" s="1757" t="s">
        <v>19</v>
      </c>
      <c r="D164" s="1542">
        <v>12</v>
      </c>
      <c r="E164" s="220"/>
      <c r="F164" s="220"/>
      <c r="G164" s="220"/>
      <c r="H164" s="1670"/>
      <c r="I164" s="1543">
        <f>[45]Underground!$H$148</f>
        <v>2755.1750000000002</v>
      </c>
      <c r="J164" s="1543">
        <f t="shared" ref="J164:J169" si="5">D164*I164</f>
        <v>33062.100000000006</v>
      </c>
    </row>
    <row r="165" spans="1:10" ht="54">
      <c r="A165" s="1554" t="s">
        <v>2113</v>
      </c>
      <c r="B165" s="1550" t="s">
        <v>1876</v>
      </c>
      <c r="C165" s="1757" t="s">
        <v>19</v>
      </c>
      <c r="D165" s="1542">
        <v>10</v>
      </c>
      <c r="E165" s="220"/>
      <c r="F165" s="220"/>
      <c r="G165" s="220"/>
      <c r="H165" s="1670"/>
      <c r="I165" s="1543">
        <f>AVERAGE([45]Underground!$H$148:$H$149)</f>
        <v>4132.7625000000007</v>
      </c>
      <c r="J165" s="1543">
        <f t="shared" si="5"/>
        <v>41327.625000000007</v>
      </c>
    </row>
    <row r="166" spans="1:10" ht="54">
      <c r="A166" s="1554" t="s">
        <v>2114</v>
      </c>
      <c r="B166" s="1550" t="s">
        <v>2638</v>
      </c>
      <c r="C166" s="1757" t="s">
        <v>19</v>
      </c>
      <c r="D166" s="1542">
        <v>10</v>
      </c>
      <c r="E166" s="220"/>
      <c r="F166" s="220"/>
      <c r="G166" s="220"/>
      <c r="H166" s="1670"/>
      <c r="I166" s="1542">
        <f>[45]Underground!$H$149</f>
        <v>5510.35</v>
      </c>
      <c r="J166" s="1543">
        <f t="shared" si="5"/>
        <v>55103.5</v>
      </c>
    </row>
    <row r="167" spans="1:10" ht="54">
      <c r="A167" s="1554" t="s">
        <v>2115</v>
      </c>
      <c r="B167" s="1550" t="s">
        <v>2407</v>
      </c>
      <c r="C167" s="1757" t="s">
        <v>19</v>
      </c>
      <c r="D167" s="1542">
        <f>'Connecting Tunnel'!J28</f>
        <v>2039.474763421387</v>
      </c>
      <c r="E167" s="220"/>
      <c r="F167" s="220"/>
      <c r="G167" s="220"/>
      <c r="H167" s="1670"/>
      <c r="I167" s="1543">
        <f>[45]Underground!$H$180</f>
        <v>5767.1</v>
      </c>
      <c r="J167" s="1543">
        <f t="shared" si="5"/>
        <v>11761854.908127481</v>
      </c>
    </row>
    <row r="168" spans="1:10" ht="54">
      <c r="A168" s="1554" t="s">
        <v>2405</v>
      </c>
      <c r="B168" s="1550" t="s">
        <v>1881</v>
      </c>
      <c r="C168" s="1757" t="s">
        <v>19</v>
      </c>
      <c r="D168" s="1542">
        <f>'Connecting Tunnel'!J29</f>
        <v>1019.7373817106936</v>
      </c>
      <c r="E168" s="220"/>
      <c r="F168" s="220"/>
      <c r="G168" s="220"/>
      <c r="H168" s="1670"/>
      <c r="I168" s="1543">
        <f>AVERAGE([45]Underground!$H$180:$H$181)</f>
        <v>7208.875</v>
      </c>
      <c r="J168" s="1543">
        <f t="shared" si="5"/>
        <v>7351159.3175796764</v>
      </c>
    </row>
    <row r="169" spans="1:10" ht="54">
      <c r="A169" s="1554" t="s">
        <v>2406</v>
      </c>
      <c r="B169" s="1550" t="s">
        <v>1883</v>
      </c>
      <c r="C169" s="1757" t="s">
        <v>19</v>
      </c>
      <c r="D169" s="1542">
        <f>'Connecting Tunnel'!J30</f>
        <v>339.91246057023119</v>
      </c>
      <c r="E169" s="220"/>
      <c r="F169" s="220"/>
      <c r="G169" s="220"/>
      <c r="H169" s="1670"/>
      <c r="I169" s="1543">
        <f>[45]Underground!$H$181</f>
        <v>8650.65</v>
      </c>
      <c r="J169" s="1543">
        <f t="shared" si="5"/>
        <v>2940463.7270318703</v>
      </c>
    </row>
    <row r="170" spans="1:10" ht="54">
      <c r="A170" s="1537" t="s">
        <v>1831</v>
      </c>
      <c r="B170" s="1545" t="s">
        <v>2735</v>
      </c>
      <c r="C170" s="1757"/>
      <c r="D170" s="1542"/>
      <c r="E170" s="220"/>
      <c r="F170" s="220"/>
      <c r="G170" s="220"/>
      <c r="H170" s="1670"/>
      <c r="I170" s="1542"/>
      <c r="J170" s="1543"/>
    </row>
    <row r="171" spans="1:10">
      <c r="A171" s="1554" t="s">
        <v>1832</v>
      </c>
      <c r="B171" s="1546" t="s">
        <v>2116</v>
      </c>
      <c r="C171" s="1757" t="s">
        <v>21</v>
      </c>
      <c r="D171" s="1542">
        <f>'Connecting Tunnel'!J31</f>
        <v>287.31685035639447</v>
      </c>
      <c r="E171" s="220"/>
      <c r="F171" s="220"/>
      <c r="G171" s="220"/>
      <c r="H171" s="1670"/>
      <c r="I171" s="1542">
        <f>[45]Summary!$K$257</f>
        <v>19397</v>
      </c>
      <c r="J171" s="1543">
        <f>D171*I171</f>
        <v>5573084.9463629834</v>
      </c>
    </row>
    <row r="172" spans="1:10">
      <c r="A172" s="1554" t="s">
        <v>2122</v>
      </c>
      <c r="B172" s="1558" t="s">
        <v>2117</v>
      </c>
      <c r="C172" s="1757" t="s">
        <v>21</v>
      </c>
      <c r="D172" s="1542">
        <f>'Connecting Tunnel'!J39</f>
        <v>245.57872500000002</v>
      </c>
      <c r="E172" s="220"/>
      <c r="F172" s="220"/>
      <c r="G172" s="220"/>
      <c r="H172" s="1670"/>
      <c r="I172" s="1543">
        <f>[45]Summary!$K$256</f>
        <v>16339.5</v>
      </c>
      <c r="J172" s="1543">
        <f>D172*I172</f>
        <v>4012633.5771375005</v>
      </c>
    </row>
    <row r="173" spans="1:10">
      <c r="A173" s="1537" t="s">
        <v>1833</v>
      </c>
      <c r="B173" s="1548" t="s">
        <v>309</v>
      </c>
      <c r="C173" s="1757"/>
      <c r="D173" s="1542"/>
      <c r="E173" s="220"/>
      <c r="F173" s="220"/>
      <c r="G173" s="220"/>
      <c r="H173" s="1670"/>
      <c r="I173" s="1542"/>
      <c r="J173" s="1543"/>
    </row>
    <row r="174" spans="1:10" ht="54">
      <c r="A174" s="1554" t="s">
        <v>1834</v>
      </c>
      <c r="B174" s="1549" t="s">
        <v>1637</v>
      </c>
      <c r="C174" s="1757" t="s">
        <v>19</v>
      </c>
      <c r="D174" s="1542">
        <f>'Connecting Tunnel'!J32</f>
        <v>302.277908456185</v>
      </c>
      <c r="E174" s="220"/>
      <c r="F174" s="220"/>
      <c r="G174" s="220"/>
      <c r="H174" s="1670"/>
      <c r="I174" s="1542">
        <f>AVERAGE('[45]Underground Formworks'!$H$16,'[45]Underground Formworks'!$H$32)</f>
        <v>1234.3283404166668</v>
      </c>
      <c r="J174" s="1543">
        <f>D174*I174</f>
        <v>373110.189089344</v>
      </c>
    </row>
    <row r="175" spans="1:10">
      <c r="A175" s="1537" t="s">
        <v>1835</v>
      </c>
      <c r="B175" s="313" t="s">
        <v>1649</v>
      </c>
      <c r="C175" s="1757"/>
      <c r="D175" s="1542"/>
      <c r="E175" s="220"/>
      <c r="F175" s="220"/>
      <c r="G175" s="220"/>
      <c r="H175" s="1670"/>
      <c r="I175" s="1542"/>
      <c r="J175" s="1543"/>
    </row>
    <row r="176" spans="1:10" s="1531" customFormat="1" ht="54">
      <c r="A176" s="1554" t="s">
        <v>1836</v>
      </c>
      <c r="B176" s="1550" t="s">
        <v>1248</v>
      </c>
      <c r="C176" s="1757" t="str">
        <f>'Connecting Tunnel'!C33</f>
        <v>ton</v>
      </c>
      <c r="D176" s="1542">
        <f>'Connecting Tunnel'!J33</f>
        <v>16.915779564732723</v>
      </c>
      <c r="E176" s="332"/>
      <c r="F176" s="332"/>
      <c r="G176" s="332"/>
      <c r="H176" s="1796"/>
      <c r="I176" s="1543">
        <f>[45]Summary!$K$279/1.1</f>
        <v>166436.36363636362</v>
      </c>
      <c r="J176" s="1543">
        <f>D176*I176</f>
        <v>2815400.8388284245</v>
      </c>
    </row>
    <row r="177" spans="1:10" s="1531" customFormat="1">
      <c r="A177" s="1537" t="s">
        <v>1838</v>
      </c>
      <c r="B177" s="313" t="s">
        <v>1929</v>
      </c>
      <c r="C177" s="1757"/>
      <c r="D177" s="1542"/>
      <c r="E177" s="332"/>
      <c r="F177" s="332"/>
      <c r="G177" s="332"/>
      <c r="H177" s="1796"/>
      <c r="I177" s="1543"/>
      <c r="J177" s="1543"/>
    </row>
    <row r="178" spans="1:10" s="1531" customFormat="1" ht="72">
      <c r="A178" s="1554" t="s">
        <v>1839</v>
      </c>
      <c r="B178" s="1550" t="s">
        <v>2858</v>
      </c>
      <c r="C178" s="1757" t="s">
        <v>311</v>
      </c>
      <c r="D178" s="1542">
        <f>'Connecting Tunnel'!J34</f>
        <v>1465</v>
      </c>
      <c r="E178" s="332"/>
      <c r="F178" s="332"/>
      <c r="G178" s="332"/>
      <c r="H178" s="1796"/>
      <c r="I178" s="1720">
        <f>1.1*[45]Summary!$K$241</f>
        <v>4131.05</v>
      </c>
      <c r="J178" s="1543">
        <f>D178*I178</f>
        <v>6051988.25</v>
      </c>
    </row>
    <row r="179" spans="1:10" s="1531" customFormat="1" ht="72">
      <c r="A179" s="1554" t="s">
        <v>2752</v>
      </c>
      <c r="B179" s="1550" t="s">
        <v>2859</v>
      </c>
      <c r="C179" s="1757" t="str">
        <f>'Connecting Tunnel'!C34</f>
        <v>Nos.</v>
      </c>
      <c r="D179" s="1542">
        <f>'Connecting Tunnel'!J35</f>
        <v>577</v>
      </c>
      <c r="E179" s="332"/>
      <c r="F179" s="332"/>
      <c r="G179" s="332"/>
      <c r="H179" s="1796"/>
      <c r="I179" s="1543">
        <f>AVERAGE([45]Summary!$K$241,[45]Summary!$K$243)</f>
        <v>4267.25</v>
      </c>
      <c r="J179" s="1543">
        <f>D179*I179</f>
        <v>2462203.25</v>
      </c>
    </row>
    <row r="180" spans="1:10" s="1531" customFormat="1">
      <c r="A180" s="1537" t="s">
        <v>2118</v>
      </c>
      <c r="B180" s="1557" t="s">
        <v>2104</v>
      </c>
      <c r="C180" s="1757"/>
      <c r="D180" s="1542"/>
      <c r="E180" s="332"/>
      <c r="F180" s="332"/>
      <c r="G180" s="332"/>
      <c r="H180" s="1796"/>
      <c r="I180" s="1543"/>
      <c r="J180" s="1543"/>
    </row>
    <row r="181" spans="1:10" s="1531" customFormat="1" ht="54">
      <c r="A181" s="1554" t="s">
        <v>2123</v>
      </c>
      <c r="B181" s="669" t="s">
        <v>2881</v>
      </c>
      <c r="C181" s="1757" t="s">
        <v>311</v>
      </c>
      <c r="D181" s="1542">
        <f>'Connecting Tunnel'!J36</f>
        <v>118</v>
      </c>
      <c r="E181" s="332"/>
      <c r="F181" s="332"/>
      <c r="G181" s="332"/>
      <c r="H181" s="1796"/>
      <c r="I181" s="1543">
        <f>'Connecting Tunnel'!K36</f>
        <v>12161.5</v>
      </c>
      <c r="J181" s="1543">
        <f>D181*I181</f>
        <v>1435057</v>
      </c>
    </row>
    <row r="182" spans="1:10" s="1531" customFormat="1">
      <c r="A182" s="1537" t="s">
        <v>2119</v>
      </c>
      <c r="B182" s="1557" t="s">
        <v>318</v>
      </c>
      <c r="C182" s="1757"/>
      <c r="D182" s="1542"/>
      <c r="E182" s="332"/>
      <c r="F182" s="332"/>
      <c r="G182" s="332"/>
      <c r="H182" s="1796"/>
      <c r="I182" s="1543"/>
      <c r="J182" s="1543"/>
    </row>
    <row r="183" spans="1:10" s="1531" customFormat="1" ht="54">
      <c r="A183" s="1554" t="s">
        <v>2124</v>
      </c>
      <c r="B183" s="669" t="s">
        <v>2892</v>
      </c>
      <c r="C183" s="1757" t="str">
        <f>'Connecting Tunnel'!C37</f>
        <v>ton</v>
      </c>
      <c r="D183" s="1542">
        <f>'Connecting Tunnel'!J37</f>
        <v>8.4978115142557797</v>
      </c>
      <c r="E183" s="332"/>
      <c r="F183" s="332"/>
      <c r="G183" s="332"/>
      <c r="H183" s="1796"/>
      <c r="I183" s="1543">
        <f>[45]Summary!$K$266</f>
        <v>338528.5</v>
      </c>
      <c r="J183" s="1543">
        <f>D183*I183</f>
        <v>2876751.3852037378</v>
      </c>
    </row>
    <row r="184" spans="1:10" s="1531" customFormat="1" ht="36">
      <c r="A184" s="1537" t="s">
        <v>2120</v>
      </c>
      <c r="B184" s="1557" t="s">
        <v>2890</v>
      </c>
      <c r="C184" s="1758" t="str">
        <f>'Connecting Tunnel'!C38</f>
        <v>sqm</v>
      </c>
      <c r="D184" s="1542">
        <f>'Connecting Tunnel'!J38</f>
        <v>1197.9450000000002</v>
      </c>
      <c r="E184" s="332"/>
      <c r="F184" s="332"/>
      <c r="G184" s="332"/>
      <c r="H184" s="1796"/>
      <c r="I184" s="1543">
        <f>'Connecting Tunnel'!K38</f>
        <v>350</v>
      </c>
      <c r="J184" s="1543">
        <f>D184*I184</f>
        <v>419280.75000000006</v>
      </c>
    </row>
    <row r="185" spans="1:10" s="1531" customFormat="1">
      <c r="A185" s="1537" t="s">
        <v>2121</v>
      </c>
      <c r="B185" s="313" t="s">
        <v>1649</v>
      </c>
      <c r="C185" s="1758"/>
      <c r="D185" s="1542"/>
      <c r="E185" s="332"/>
      <c r="F185" s="332"/>
      <c r="G185" s="332"/>
      <c r="H185" s="1796"/>
      <c r="I185" s="1543"/>
      <c r="J185" s="1543"/>
    </row>
    <row r="186" spans="1:10" s="1531" customFormat="1" ht="54">
      <c r="A186" s="1554" t="s">
        <v>2125</v>
      </c>
      <c r="B186" s="1550" t="s">
        <v>1248</v>
      </c>
      <c r="C186" s="1757" t="str">
        <f>'Connecting Tunnel'!C40</f>
        <v>ton</v>
      </c>
      <c r="D186" s="1542">
        <f>'Connecting Tunnel'!J40</f>
        <v>14.458447434375</v>
      </c>
      <c r="E186" s="332"/>
      <c r="F186" s="332"/>
      <c r="G186" s="332"/>
      <c r="H186" s="1796"/>
      <c r="I186" s="1543">
        <f>[45]Summary!$K$279</f>
        <v>183080</v>
      </c>
      <c r="J186" s="1543">
        <f>D186*I186</f>
        <v>2647052.5562853748</v>
      </c>
    </row>
    <row r="187" spans="1:10" s="1531" customFormat="1">
      <c r="A187" s="1537" t="s">
        <v>1840</v>
      </c>
      <c r="B187" s="1557" t="s">
        <v>1486</v>
      </c>
      <c r="C187" s="1757"/>
      <c r="D187" s="1542"/>
      <c r="E187" s="332"/>
      <c r="F187" s="332"/>
      <c r="G187" s="332"/>
      <c r="H187" s="1796"/>
      <c r="I187" s="1543"/>
      <c r="J187" s="1543"/>
    </row>
    <row r="188" spans="1:10" s="1531" customFormat="1" ht="36">
      <c r="A188" s="1554" t="s">
        <v>1841</v>
      </c>
      <c r="B188" s="669" t="s">
        <v>2393</v>
      </c>
      <c r="C188" s="1530" t="s">
        <v>19</v>
      </c>
      <c r="D188" s="1542">
        <v>50</v>
      </c>
      <c r="E188" s="332"/>
      <c r="F188" s="332"/>
      <c r="G188" s="332"/>
      <c r="H188" s="1796"/>
      <c r="I188" s="1543">
        <f>I189/1.25</f>
        <v>524</v>
      </c>
      <c r="J188" s="1543">
        <f>D188*I188</f>
        <v>26200</v>
      </c>
    </row>
    <row r="189" spans="1:10" s="1531" customFormat="1" ht="36">
      <c r="A189" s="1554" t="s">
        <v>1842</v>
      </c>
      <c r="B189" s="669" t="s">
        <v>2408</v>
      </c>
      <c r="C189" s="1757" t="s">
        <v>19</v>
      </c>
      <c r="D189" s="1640">
        <f>'Connecting Tunnel'!J41</f>
        <v>339.91246057023113</v>
      </c>
      <c r="E189" s="332"/>
      <c r="F189" s="332"/>
      <c r="G189" s="332"/>
      <c r="H189" s="1796"/>
      <c r="I189" s="1543">
        <f>[45]Summary!$K$235</f>
        <v>655</v>
      </c>
      <c r="J189" s="1543">
        <f>D189*I189</f>
        <v>222642.6616735014</v>
      </c>
    </row>
    <row r="190" spans="1:10" s="1531" customFormat="1" ht="17.25" customHeight="1">
      <c r="A190" s="1528"/>
      <c r="B190" s="1538"/>
      <c r="C190" s="1563"/>
      <c r="D190" s="1688"/>
      <c r="E190" s="332"/>
      <c r="F190" s="1666" t="s">
        <v>1483</v>
      </c>
      <c r="G190" s="1694"/>
      <c r="H190" s="1796"/>
      <c r="I190" s="88"/>
      <c r="J190" s="1717">
        <f>SUM(J162:J189)</f>
        <v>82401072.591750026</v>
      </c>
    </row>
    <row r="191" spans="1:10" s="1531" customFormat="1">
      <c r="A191" s="1532" t="s">
        <v>1845</v>
      </c>
      <c r="B191" s="1533" t="s">
        <v>1602</v>
      </c>
      <c r="C191" s="1551"/>
      <c r="D191" s="1738"/>
      <c r="E191" s="1699"/>
      <c r="F191" s="1560"/>
      <c r="G191" s="1699"/>
      <c r="H191" s="1668"/>
      <c r="I191" s="1721"/>
      <c r="J191" s="1542"/>
    </row>
    <row r="192" spans="1:10" s="1553" customFormat="1">
      <c r="A192" s="1537" t="s">
        <v>1846</v>
      </c>
      <c r="B192" s="1548" t="s">
        <v>18</v>
      </c>
      <c r="C192" s="1539"/>
      <c r="D192" s="1739"/>
      <c r="E192" s="1684"/>
      <c r="F192" s="1561"/>
      <c r="G192" s="1684"/>
      <c r="H192" s="1665"/>
      <c r="I192" s="1721"/>
      <c r="J192" s="1542"/>
    </row>
    <row r="193" spans="1:10" s="1531" customFormat="1" ht="72">
      <c r="A193" s="1554" t="s">
        <v>1847</v>
      </c>
      <c r="B193" s="1555" t="s">
        <v>2847</v>
      </c>
      <c r="C193" s="1530" t="s">
        <v>19</v>
      </c>
      <c r="D193" s="1547">
        <f>'Inlet Portal Connecting Tunnel'!J13</f>
        <v>178</v>
      </c>
      <c r="E193" s="332"/>
      <c r="F193" s="332"/>
      <c r="G193" s="332"/>
      <c r="H193" s="1796"/>
      <c r="I193" s="1627">
        <f>I87</f>
        <v>40.5</v>
      </c>
      <c r="J193" s="1542">
        <f>D193*I193</f>
        <v>7209</v>
      </c>
    </row>
    <row r="194" spans="1:10" s="1531" customFormat="1" ht="72">
      <c r="A194" s="1537" t="s">
        <v>1848</v>
      </c>
      <c r="B194" s="1544" t="s">
        <v>2849</v>
      </c>
      <c r="C194" s="1530"/>
      <c r="D194" s="1547"/>
      <c r="E194" s="332"/>
      <c r="F194" s="332"/>
      <c r="G194" s="332"/>
      <c r="H194" s="1796"/>
      <c r="I194" s="1627"/>
      <c r="J194" s="1542"/>
    </row>
    <row r="195" spans="1:10" s="1531" customFormat="1">
      <c r="A195" s="1554" t="s">
        <v>1849</v>
      </c>
      <c r="B195" s="220" t="s">
        <v>1632</v>
      </c>
      <c r="C195" s="1530" t="s">
        <v>21</v>
      </c>
      <c r="D195" s="1547">
        <f>'Inlet Portal Connecting Tunnel'!J16</f>
        <v>3779.9999999999995</v>
      </c>
      <c r="E195" s="332"/>
      <c r="F195" s="332"/>
      <c r="G195" s="332"/>
      <c r="H195" s="1796"/>
      <c r="I195" s="1627">
        <f>I89</f>
        <v>351.34500000000003</v>
      </c>
      <c r="J195" s="1542">
        <f>D195*I195</f>
        <v>1328084.0999999999</v>
      </c>
    </row>
    <row r="196" spans="1:10" s="1531" customFormat="1">
      <c r="A196" s="1554" t="s">
        <v>1850</v>
      </c>
      <c r="B196" s="220" t="s">
        <v>1634</v>
      </c>
      <c r="C196" s="1530" t="s">
        <v>21</v>
      </c>
      <c r="D196" s="1547">
        <f>'Inlet Portal Connecting Tunnel'!J18</f>
        <v>1620</v>
      </c>
      <c r="E196" s="332"/>
      <c r="F196" s="332"/>
      <c r="G196" s="332"/>
      <c r="H196" s="1796"/>
      <c r="I196" s="1627">
        <f>I90</f>
        <v>1375.6949999999999</v>
      </c>
      <c r="J196" s="1542">
        <f>D196*I196</f>
        <v>2228625.9</v>
      </c>
    </row>
    <row r="197" spans="1:10" s="1531" customFormat="1">
      <c r="A197" s="1537" t="s">
        <v>1852</v>
      </c>
      <c r="B197" s="313" t="s">
        <v>1929</v>
      </c>
      <c r="C197" s="1530"/>
      <c r="D197" s="1547"/>
      <c r="E197" s="332"/>
      <c r="F197" s="332"/>
      <c r="G197" s="332"/>
      <c r="H197" s="1796"/>
      <c r="I197" s="1627"/>
      <c r="J197" s="1542"/>
    </row>
    <row r="198" spans="1:10" s="1531" customFormat="1" ht="54">
      <c r="A198" s="1554" t="s">
        <v>1853</v>
      </c>
      <c r="B198" s="1550" t="s">
        <v>2863</v>
      </c>
      <c r="C198" s="1530" t="s">
        <v>311</v>
      </c>
      <c r="D198" s="1547">
        <f>'Inlet Portal Connecting Tunnel'!J22</f>
        <v>239</v>
      </c>
      <c r="E198" s="332"/>
      <c r="F198" s="332"/>
      <c r="G198" s="332"/>
      <c r="H198" s="1796"/>
      <c r="I198" s="1627">
        <f>AVERAGE([45]Summary!$K$243,[45]Summary!$K$244)</f>
        <v>5381.75</v>
      </c>
      <c r="J198" s="1542">
        <f>D198*I198</f>
        <v>1286238.25</v>
      </c>
    </row>
    <row r="199" spans="1:10" s="1531" customFormat="1">
      <c r="A199" s="1537" t="s">
        <v>1854</v>
      </c>
      <c r="B199" s="1685" t="s">
        <v>2409</v>
      </c>
      <c r="C199" s="1530"/>
      <c r="D199" s="1547"/>
      <c r="E199" s="332"/>
      <c r="F199" s="332"/>
      <c r="G199" s="332"/>
      <c r="H199" s="1796"/>
      <c r="I199" s="1627"/>
      <c r="J199" s="1542"/>
    </row>
    <row r="200" spans="1:10" s="1531" customFormat="1" ht="54">
      <c r="A200" s="1554" t="s">
        <v>2126</v>
      </c>
      <c r="B200" s="1550" t="s">
        <v>2615</v>
      </c>
      <c r="C200" s="1530" t="s">
        <v>19</v>
      </c>
      <c r="D200" s="1547">
        <v>10</v>
      </c>
      <c r="E200" s="332"/>
      <c r="F200" s="332"/>
      <c r="G200" s="332"/>
      <c r="H200" s="1796"/>
      <c r="I200" s="1577">
        <f>I164</f>
        <v>2755.1750000000002</v>
      </c>
      <c r="J200" s="1627">
        <f>D200*I200</f>
        <v>27551.75</v>
      </c>
    </row>
    <row r="201" spans="1:10" s="1531" customFormat="1" ht="54">
      <c r="A201" s="1554" t="s">
        <v>2410</v>
      </c>
      <c r="B201" s="1550" t="s">
        <v>2640</v>
      </c>
      <c r="C201" s="1530" t="s">
        <v>19</v>
      </c>
      <c r="D201" s="1542">
        <v>12</v>
      </c>
      <c r="E201" s="332"/>
      <c r="F201" s="332"/>
      <c r="G201" s="332"/>
      <c r="H201" s="1796"/>
      <c r="I201" s="1627">
        <f>I165</f>
        <v>4132.7625000000007</v>
      </c>
      <c r="J201" s="1627">
        <f>D201*I201</f>
        <v>49593.150000000009</v>
      </c>
    </row>
    <row r="202" spans="1:10" s="315" customFormat="1" ht="54">
      <c r="A202" s="1554" t="s">
        <v>2411</v>
      </c>
      <c r="B202" s="1550" t="s">
        <v>2412</v>
      </c>
      <c r="C202" s="1530" t="s">
        <v>19</v>
      </c>
      <c r="D202" s="1542">
        <f>'Inlet Portal Connecting Tunnel'!J27</f>
        <v>537.6</v>
      </c>
      <c r="E202" s="313"/>
      <c r="F202" s="313"/>
      <c r="G202" s="313"/>
      <c r="H202" s="1671"/>
      <c r="I202" s="1564">
        <f>I166</f>
        <v>5510.35</v>
      </c>
      <c r="J202" s="1565">
        <f>D202*I202</f>
        <v>2962364.16</v>
      </c>
    </row>
    <row r="203" spans="1:10" s="1531" customFormat="1">
      <c r="A203" s="1537" t="s">
        <v>1856</v>
      </c>
      <c r="B203" s="1557" t="s">
        <v>1486</v>
      </c>
      <c r="C203" s="1530"/>
      <c r="D203" s="1547"/>
      <c r="E203" s="332"/>
      <c r="F203" s="332"/>
      <c r="G203" s="332"/>
      <c r="H203" s="1796"/>
      <c r="I203" s="1627"/>
      <c r="J203" s="1542"/>
    </row>
    <row r="204" spans="1:10" s="1531" customFormat="1" ht="36">
      <c r="A204" s="1554" t="s">
        <v>2127</v>
      </c>
      <c r="B204" s="669" t="s">
        <v>2391</v>
      </c>
      <c r="C204" s="1530" t="s">
        <v>19</v>
      </c>
      <c r="D204" s="1547">
        <f>'Inlet Portal Connecting Tunnel'!J31</f>
        <v>537.6</v>
      </c>
      <c r="E204" s="332"/>
      <c r="F204" s="332"/>
      <c r="G204" s="332"/>
      <c r="H204" s="1796"/>
      <c r="I204" s="1627">
        <f>I189</f>
        <v>655</v>
      </c>
      <c r="J204" s="1542">
        <f>D204*I204</f>
        <v>352128</v>
      </c>
    </row>
    <row r="205" spans="1:10" s="1531" customFormat="1" ht="36">
      <c r="A205" s="1554" t="s">
        <v>2392</v>
      </c>
      <c r="B205" s="669" t="s">
        <v>2393</v>
      </c>
      <c r="C205" s="1530" t="s">
        <v>19</v>
      </c>
      <c r="D205" s="1547">
        <v>50</v>
      </c>
      <c r="E205" s="332"/>
      <c r="F205" s="332"/>
      <c r="G205" s="332"/>
      <c r="H205" s="1796"/>
      <c r="I205" s="1627">
        <f>I188</f>
        <v>524</v>
      </c>
      <c r="J205" s="1542">
        <f>D205*I205</f>
        <v>26200</v>
      </c>
    </row>
    <row r="206" spans="1:10" s="1531" customFormat="1">
      <c r="A206" s="1537" t="s">
        <v>1859</v>
      </c>
      <c r="B206" s="1538" t="s">
        <v>1484</v>
      </c>
      <c r="C206" s="1530" t="s">
        <v>311</v>
      </c>
      <c r="D206" s="1547">
        <f>'Inlet Portal Connecting Tunnel'!J35</f>
        <v>180</v>
      </c>
      <c r="E206" s="332"/>
      <c r="F206" s="332"/>
      <c r="G206" s="332"/>
      <c r="H206" s="1796"/>
      <c r="I206" s="1627">
        <f>'Inlet Portal Connecting Tunnel'!L35</f>
        <v>618</v>
      </c>
      <c r="J206" s="1542">
        <f>D206*I206</f>
        <v>111240</v>
      </c>
    </row>
    <row r="207" spans="1:10" s="1531" customFormat="1" ht="17.25" customHeight="1">
      <c r="A207" s="1528"/>
      <c r="B207" s="1538"/>
      <c r="C207" s="1563"/>
      <c r="D207" s="1688"/>
      <c r="E207" s="332"/>
      <c r="F207" s="1666" t="s">
        <v>1483</v>
      </c>
      <c r="G207" s="1694"/>
      <c r="H207" s="1796"/>
      <c r="I207" s="88"/>
      <c r="J207" s="1717">
        <f>SUM(J193:J206)</f>
        <v>8379234.3100000005</v>
      </c>
    </row>
    <row r="208" spans="1:10" s="1531" customFormat="1">
      <c r="A208" s="1532" t="s">
        <v>1864</v>
      </c>
      <c r="B208" s="1533" t="s">
        <v>1603</v>
      </c>
      <c r="C208" s="1551"/>
      <c r="D208" s="1738"/>
      <c r="E208" s="1699"/>
      <c r="F208" s="1560"/>
      <c r="G208" s="1699"/>
      <c r="H208" s="1668"/>
      <c r="I208" s="1721"/>
      <c r="J208" s="1542"/>
    </row>
    <row r="209" spans="1:10" s="1553" customFormat="1">
      <c r="A209" s="1537" t="s">
        <v>1865</v>
      </c>
      <c r="B209" s="1548" t="s">
        <v>18</v>
      </c>
      <c r="C209" s="1539"/>
      <c r="D209" s="1739"/>
      <c r="E209" s="1684"/>
      <c r="F209" s="1561"/>
      <c r="G209" s="1684"/>
      <c r="H209" s="1665"/>
      <c r="I209" s="1721"/>
      <c r="J209" s="1542"/>
    </row>
    <row r="210" spans="1:10" s="1531" customFormat="1" ht="72">
      <c r="A210" s="1554" t="s">
        <v>1867</v>
      </c>
      <c r="B210" s="1555" t="s">
        <v>2847</v>
      </c>
      <c r="C210" s="1530" t="s">
        <v>19</v>
      </c>
      <c r="D210" s="1547">
        <f>'Outlet Portal Connecting Tunnel'!J13</f>
        <v>125</v>
      </c>
      <c r="E210" s="332"/>
      <c r="F210" s="332"/>
      <c r="G210" s="332"/>
      <c r="H210" s="1796"/>
      <c r="I210" s="1627">
        <f>I193</f>
        <v>40.5</v>
      </c>
      <c r="J210" s="1542">
        <f>D210*I210</f>
        <v>5062.5</v>
      </c>
    </row>
    <row r="211" spans="1:10" s="1531" customFormat="1" ht="72">
      <c r="A211" s="1537" t="s">
        <v>1871</v>
      </c>
      <c r="B211" s="1544" t="s">
        <v>2849</v>
      </c>
      <c r="C211" s="1530"/>
      <c r="D211" s="1547"/>
      <c r="E211" s="332"/>
      <c r="F211" s="332"/>
      <c r="G211" s="332"/>
      <c r="H211" s="1796"/>
      <c r="I211" s="1627"/>
      <c r="J211" s="1542"/>
    </row>
    <row r="212" spans="1:10" s="1531" customFormat="1">
      <c r="A212" s="1554" t="s">
        <v>1873</v>
      </c>
      <c r="B212" s="220" t="s">
        <v>1632</v>
      </c>
      <c r="C212" s="1530" t="s">
        <v>21</v>
      </c>
      <c r="D212" s="1547">
        <f>'Outlet Portal Connecting Tunnel'!J16</f>
        <v>700</v>
      </c>
      <c r="E212" s="332"/>
      <c r="F212" s="332"/>
      <c r="G212" s="332"/>
      <c r="H212" s="1796"/>
      <c r="I212" s="1627">
        <f>I195</f>
        <v>351.34500000000003</v>
      </c>
      <c r="J212" s="1542">
        <f>D212*I212</f>
        <v>245941.50000000003</v>
      </c>
    </row>
    <row r="213" spans="1:10" s="1531" customFormat="1">
      <c r="A213" s="1554" t="s">
        <v>1875</v>
      </c>
      <c r="B213" s="220" t="s">
        <v>1634</v>
      </c>
      <c r="C213" s="1530" t="s">
        <v>21</v>
      </c>
      <c r="D213" s="1547">
        <f>'Outlet Portal Connecting Tunnel'!J18</f>
        <v>300</v>
      </c>
      <c r="E213" s="332"/>
      <c r="F213" s="332"/>
      <c r="G213" s="332"/>
      <c r="H213" s="1796"/>
      <c r="I213" s="1627">
        <f>I196</f>
        <v>1375.6949999999999</v>
      </c>
      <c r="J213" s="1542">
        <f>D213*I213</f>
        <v>412708.5</v>
      </c>
    </row>
    <row r="214" spans="1:10" s="1531" customFormat="1">
      <c r="A214" s="1537" t="s">
        <v>1884</v>
      </c>
      <c r="B214" s="313" t="s">
        <v>1929</v>
      </c>
      <c r="C214" s="1530"/>
      <c r="D214" s="1547"/>
      <c r="E214" s="332"/>
      <c r="F214" s="332"/>
      <c r="G214" s="332"/>
      <c r="H214" s="1796"/>
      <c r="I214" s="1627"/>
      <c r="J214" s="1542"/>
    </row>
    <row r="215" spans="1:10" s="1531" customFormat="1" ht="54">
      <c r="A215" s="1554" t="s">
        <v>1885</v>
      </c>
      <c r="B215" s="1550" t="s">
        <v>2861</v>
      </c>
      <c r="C215" s="1530" t="s">
        <v>307</v>
      </c>
      <c r="D215" s="1547">
        <f>'Outlet Portal Connecting Tunnel'!J23</f>
        <v>76</v>
      </c>
      <c r="E215" s="332"/>
      <c r="F215" s="332"/>
      <c r="G215" s="332"/>
      <c r="H215" s="1796"/>
      <c r="I215" s="1627">
        <f>I198</f>
        <v>5381.75</v>
      </c>
      <c r="J215" s="1542">
        <f>D215*I215</f>
        <v>409013</v>
      </c>
    </row>
    <row r="216" spans="1:10" s="1531" customFormat="1">
      <c r="A216" s="1537" t="s">
        <v>1886</v>
      </c>
      <c r="B216" s="1538" t="s">
        <v>2409</v>
      </c>
      <c r="C216" s="1530"/>
      <c r="D216" s="1547"/>
      <c r="E216" s="332"/>
      <c r="F216" s="332"/>
      <c r="G216" s="332"/>
      <c r="H216" s="1796"/>
      <c r="I216" s="1627"/>
      <c r="J216" s="1542"/>
    </row>
    <row r="217" spans="1:10" s="1531" customFormat="1" ht="54">
      <c r="A217" s="1554" t="s">
        <v>1887</v>
      </c>
      <c r="B217" s="1550" t="s">
        <v>1876</v>
      </c>
      <c r="C217" s="1530" t="s">
        <v>19</v>
      </c>
      <c r="D217" s="1542">
        <v>10</v>
      </c>
      <c r="E217" s="332"/>
      <c r="F217" s="332"/>
      <c r="G217" s="332"/>
      <c r="H217" s="1796"/>
      <c r="I217" s="1564">
        <f>I201</f>
        <v>4132.7625000000007</v>
      </c>
      <c r="J217" s="1542">
        <f>D217*I217</f>
        <v>41327.625000000007</v>
      </c>
    </row>
    <row r="218" spans="1:10" s="1531" customFormat="1" ht="54">
      <c r="A218" s="1554" t="s">
        <v>2413</v>
      </c>
      <c r="B218" s="1550" t="s">
        <v>2412</v>
      </c>
      <c r="C218" s="1530" t="s">
        <v>19</v>
      </c>
      <c r="D218" s="1547">
        <f>'Outlet Portal Connecting Tunnel'!J28</f>
        <v>169.2</v>
      </c>
      <c r="E218" s="332"/>
      <c r="F218" s="332"/>
      <c r="G218" s="332"/>
      <c r="H218" s="1796"/>
      <c r="I218" s="1627">
        <f>I202</f>
        <v>5510.35</v>
      </c>
      <c r="J218" s="1542">
        <f>D218*I218</f>
        <v>932351.22</v>
      </c>
    </row>
    <row r="219" spans="1:10" s="1531" customFormat="1">
      <c r="A219" s="1537" t="s">
        <v>1888</v>
      </c>
      <c r="B219" s="1557" t="s">
        <v>2414</v>
      </c>
      <c r="C219" s="1530"/>
      <c r="D219" s="1547"/>
      <c r="E219" s="332"/>
      <c r="F219" s="332"/>
      <c r="G219" s="332"/>
      <c r="H219" s="1796"/>
      <c r="I219" s="1627"/>
      <c r="J219" s="1542"/>
    </row>
    <row r="220" spans="1:10" s="1531" customFormat="1" ht="36">
      <c r="A220" s="1554" t="s">
        <v>1889</v>
      </c>
      <c r="B220" s="669" t="s">
        <v>2878</v>
      </c>
      <c r="C220" s="1530" t="s">
        <v>19</v>
      </c>
      <c r="D220" s="1547">
        <f>'Outlet Portal Connecting Tunnel'!J32</f>
        <v>169.2</v>
      </c>
      <c r="E220" s="332"/>
      <c r="F220" s="332"/>
      <c r="G220" s="332"/>
      <c r="H220" s="1796"/>
      <c r="I220" s="1627">
        <f>I204</f>
        <v>655</v>
      </c>
      <c r="J220" s="1542">
        <f>D220*I220</f>
        <v>110825.99999999999</v>
      </c>
    </row>
    <row r="221" spans="1:10" s="1531" customFormat="1" ht="36">
      <c r="A221" s="1554" t="s">
        <v>2753</v>
      </c>
      <c r="B221" s="669" t="s">
        <v>2877</v>
      </c>
      <c r="C221" s="1530" t="s">
        <v>19</v>
      </c>
      <c r="D221" s="1547">
        <v>20</v>
      </c>
      <c r="E221" s="332"/>
      <c r="F221" s="332"/>
      <c r="G221" s="332"/>
      <c r="H221" s="1796"/>
      <c r="I221" s="1627">
        <f>I205</f>
        <v>524</v>
      </c>
      <c r="J221" s="1542"/>
    </row>
    <row r="222" spans="1:10" s="1531" customFormat="1" ht="54">
      <c r="A222" s="1528" t="s">
        <v>1890</v>
      </c>
      <c r="B222" s="1538" t="s">
        <v>2899</v>
      </c>
      <c r="C222" s="1530" t="s">
        <v>311</v>
      </c>
      <c r="D222" s="1542">
        <f>'Outlet Portal Connecting Tunnel'!J36</f>
        <v>57</v>
      </c>
      <c r="E222" s="332"/>
      <c r="F222" s="332"/>
      <c r="G222" s="332"/>
      <c r="H222" s="1796"/>
      <c r="I222" s="1627">
        <f>I206</f>
        <v>618</v>
      </c>
      <c r="J222" s="1542">
        <f>D222*I222</f>
        <v>35226</v>
      </c>
    </row>
    <row r="223" spans="1:10" s="1531" customFormat="1">
      <c r="A223" s="1528"/>
      <c r="B223" s="1538"/>
      <c r="C223" s="1563"/>
      <c r="D223" s="1688"/>
      <c r="E223" s="332"/>
      <c r="F223" s="1666" t="s">
        <v>1483</v>
      </c>
      <c r="G223" s="1694"/>
      <c r="H223" s="1796"/>
      <c r="I223" s="88"/>
      <c r="J223" s="1717">
        <f>SUM(J210:J222)</f>
        <v>2192456.3449999997</v>
      </c>
    </row>
    <row r="224" spans="1:10" s="1531" customFormat="1">
      <c r="A224" s="1532" t="s">
        <v>1904</v>
      </c>
      <c r="B224" s="1533" t="s">
        <v>2925</v>
      </c>
      <c r="C224" s="1534"/>
      <c r="D224" s="1736"/>
      <c r="E224" s="1699"/>
      <c r="F224" s="1566"/>
      <c r="G224" s="1699"/>
      <c r="H224" s="1668"/>
      <c r="I224" s="1721"/>
      <c r="J224" s="1542"/>
    </row>
    <row r="225" spans="1:10" s="1567" customFormat="1">
      <c r="A225" s="1537" t="s">
        <v>1906</v>
      </c>
      <c r="B225" s="1548" t="s">
        <v>18</v>
      </c>
      <c r="C225" s="1572"/>
      <c r="D225" s="1640"/>
      <c r="E225" s="1642"/>
      <c r="F225" s="1642"/>
      <c r="G225" s="1642"/>
      <c r="H225" s="1667"/>
      <c r="I225" s="1721"/>
      <c r="J225" s="1542"/>
    </row>
    <row r="226" spans="1:10" s="1531" customFormat="1" ht="72">
      <c r="A226" s="1554" t="s">
        <v>1907</v>
      </c>
      <c r="B226" s="1555" t="s">
        <v>2847</v>
      </c>
      <c r="C226" s="1530" t="s">
        <v>19</v>
      </c>
      <c r="D226" s="1547">
        <f>'Syphon and Culvert'!J13</f>
        <v>550</v>
      </c>
      <c r="E226" s="332"/>
      <c r="F226" s="332"/>
      <c r="G226" s="332"/>
      <c r="H226" s="1796"/>
      <c r="I226" s="1627">
        <f>I140</f>
        <v>40.5</v>
      </c>
      <c r="J226" s="1542">
        <f>D226*I226</f>
        <v>22275</v>
      </c>
    </row>
    <row r="227" spans="1:10" s="1531" customFormat="1" ht="72">
      <c r="A227" s="1537" t="s">
        <v>1908</v>
      </c>
      <c r="B227" s="1544" t="s">
        <v>2849</v>
      </c>
      <c r="C227" s="1530"/>
      <c r="D227" s="1547"/>
      <c r="E227" s="332"/>
      <c r="F227" s="332"/>
      <c r="G227" s="332"/>
      <c r="H227" s="1796"/>
      <c r="I227" s="1627"/>
      <c r="J227" s="1542"/>
    </row>
    <row r="228" spans="1:10" s="1531" customFormat="1">
      <c r="A228" s="1554" t="s">
        <v>1909</v>
      </c>
      <c r="B228" s="220" t="s">
        <v>1632</v>
      </c>
      <c r="C228" s="1530" t="s">
        <v>21</v>
      </c>
      <c r="D228" s="1547">
        <f>'Syphon and Culvert'!J17</f>
        <v>2748.2327568000001</v>
      </c>
      <c r="E228" s="332"/>
      <c r="F228" s="332"/>
      <c r="G228" s="332"/>
      <c r="H228" s="1796"/>
      <c r="I228" s="1627">
        <f>I142</f>
        <v>351.34500000000003</v>
      </c>
      <c r="J228" s="1542">
        <f>D228*I228</f>
        <v>965577.83793789614</v>
      </c>
    </row>
    <row r="229" spans="1:10" s="1531" customFormat="1">
      <c r="A229" s="1554" t="s">
        <v>1911</v>
      </c>
      <c r="B229" s="220" t="s">
        <v>1634</v>
      </c>
      <c r="C229" s="1530" t="s">
        <v>21</v>
      </c>
      <c r="D229" s="1547">
        <f>'Syphon and Culvert'!J18</f>
        <v>687.05818920000002</v>
      </c>
      <c r="E229" s="332"/>
      <c r="F229" s="332"/>
      <c r="G229" s="332"/>
      <c r="H229" s="1796"/>
      <c r="I229" s="1627">
        <f>I143</f>
        <v>1375.6949999999999</v>
      </c>
      <c r="J229" s="1542">
        <f>D229*I229</f>
        <v>945182.51559149392</v>
      </c>
    </row>
    <row r="230" spans="1:10" s="1531" customFormat="1">
      <c r="A230" s="1537" t="s">
        <v>1917</v>
      </c>
      <c r="B230" s="313" t="s">
        <v>31</v>
      </c>
      <c r="C230" s="1530" t="s">
        <v>21</v>
      </c>
      <c r="D230" s="1547"/>
      <c r="E230" s="332"/>
      <c r="F230" s="332"/>
      <c r="G230" s="332"/>
      <c r="H230" s="1796"/>
      <c r="I230" s="1627"/>
      <c r="J230" s="1542"/>
    </row>
    <row r="231" spans="1:10" s="1531" customFormat="1" ht="54">
      <c r="A231" s="1554" t="s">
        <v>1918</v>
      </c>
      <c r="B231" s="1545" t="s">
        <v>2862</v>
      </c>
      <c r="C231" s="1530" t="s">
        <v>21</v>
      </c>
      <c r="D231" s="1547">
        <f>'Syphon and Culvert'!J20</f>
        <v>324.79790299999996</v>
      </c>
      <c r="E231" s="332"/>
      <c r="F231" s="332"/>
      <c r="G231" s="332"/>
      <c r="H231" s="1796"/>
      <c r="I231" s="1627">
        <f>I145</f>
        <v>216.5</v>
      </c>
      <c r="J231" s="1542">
        <f>D231*I231</f>
        <v>70318.745999499995</v>
      </c>
    </row>
    <row r="232" spans="1:10" s="1531" customFormat="1" ht="54">
      <c r="A232" s="1537" t="s">
        <v>1919</v>
      </c>
      <c r="B232" s="1545" t="s">
        <v>2735</v>
      </c>
      <c r="C232" s="1530"/>
      <c r="D232" s="1547"/>
      <c r="E232" s="332"/>
      <c r="F232" s="332"/>
      <c r="G232" s="332"/>
      <c r="H232" s="1796"/>
      <c r="I232" s="1627"/>
      <c r="J232" s="1542"/>
    </row>
    <row r="233" spans="1:10" s="1531" customFormat="1">
      <c r="A233" s="1554" t="s">
        <v>1920</v>
      </c>
      <c r="B233" s="1546" t="s">
        <v>1641</v>
      </c>
      <c r="C233" s="1530" t="s">
        <v>21</v>
      </c>
      <c r="D233" s="1547">
        <f>'Syphon and Culvert'!J24</f>
        <v>24.151049999999994</v>
      </c>
      <c r="E233" s="332"/>
      <c r="F233" s="332"/>
      <c r="G233" s="332"/>
      <c r="H233" s="1796"/>
      <c r="I233" s="1627">
        <f>I147</f>
        <v>13018</v>
      </c>
      <c r="J233" s="1542">
        <f>D233*I233</f>
        <v>314398.36889999994</v>
      </c>
    </row>
    <row r="234" spans="1:10" s="1531" customFormat="1">
      <c r="A234" s="1554" t="s">
        <v>2129</v>
      </c>
      <c r="B234" s="1546" t="s">
        <v>1645</v>
      </c>
      <c r="C234" s="1530" t="s">
        <v>21</v>
      </c>
      <c r="D234" s="1547">
        <f>'Syphon and Culvert'!J27</f>
        <v>511.43399999999991</v>
      </c>
      <c r="E234" s="332"/>
      <c r="F234" s="332"/>
      <c r="G234" s="332"/>
      <c r="H234" s="1796"/>
      <c r="I234" s="1627">
        <f>I148</f>
        <v>18138</v>
      </c>
      <c r="J234" s="1542">
        <f>D234*I234</f>
        <v>9276389.8919999991</v>
      </c>
    </row>
    <row r="235" spans="1:10" s="1531" customFormat="1" ht="36">
      <c r="A235" s="1528" t="s">
        <v>1921</v>
      </c>
      <c r="B235" s="1568" t="s">
        <v>1723</v>
      </c>
      <c r="C235" s="1530" t="s">
        <v>21</v>
      </c>
      <c r="D235" s="1542">
        <f>'Culvert (Connecting Tunnel Alt)'!J27</f>
        <v>74.738</v>
      </c>
      <c r="E235" s="332"/>
      <c r="F235" s="332"/>
      <c r="G235" s="332"/>
      <c r="H235" s="1796"/>
      <c r="I235" s="1627">
        <f>I108</f>
        <v>233</v>
      </c>
      <c r="J235" s="1542">
        <f>D235*I235</f>
        <v>17413.954000000002</v>
      </c>
    </row>
    <row r="236" spans="1:10" s="1531" customFormat="1" ht="54">
      <c r="A236" s="1528" t="s">
        <v>1924</v>
      </c>
      <c r="B236" s="1538" t="s">
        <v>2902</v>
      </c>
      <c r="C236" s="1530" t="str">
        <f>'Culvert (Connecting Tunnel Alt)'!C31</f>
        <v>rm</v>
      </c>
      <c r="D236" s="1542">
        <f>'Syphon and Culvert'!J29</f>
        <v>59.958999999999996</v>
      </c>
      <c r="E236" s="332"/>
      <c r="F236" s="332"/>
      <c r="G236" s="332"/>
      <c r="H236" s="1796"/>
      <c r="I236" s="1627">
        <f>1.2*0.26*[45]Summary!$K$172</f>
        <v>3051.828</v>
      </c>
      <c r="J236" s="1542">
        <f>D236*I236</f>
        <v>182984.55505199998</v>
      </c>
    </row>
    <row r="237" spans="1:10" s="1531" customFormat="1">
      <c r="A237" s="1537" t="s">
        <v>1928</v>
      </c>
      <c r="B237" s="1548" t="s">
        <v>309</v>
      </c>
      <c r="C237" s="1530"/>
      <c r="D237" s="1547"/>
      <c r="E237" s="332"/>
      <c r="F237" s="332"/>
      <c r="G237" s="332"/>
      <c r="H237" s="1796"/>
      <c r="I237" s="1627"/>
      <c r="J237" s="1542"/>
    </row>
    <row r="238" spans="1:10" s="1531" customFormat="1" ht="54">
      <c r="A238" s="1554" t="s">
        <v>1930</v>
      </c>
      <c r="B238" s="1549" t="s">
        <v>1637</v>
      </c>
      <c r="C238" s="1530" t="s">
        <v>19</v>
      </c>
      <c r="D238" s="1547">
        <f>'Syphon and Culvert'!J35</f>
        <v>1325.94</v>
      </c>
      <c r="E238" s="332"/>
      <c r="F238" s="332"/>
      <c r="G238" s="332"/>
      <c r="H238" s="1796"/>
      <c r="I238" s="1627">
        <f>I101</f>
        <v>1226.1157142857141</v>
      </c>
      <c r="J238" s="1542">
        <f>D238*I238</f>
        <v>1625755.8701999998</v>
      </c>
    </row>
    <row r="239" spans="1:10" s="1531" customFormat="1">
      <c r="A239" s="1537" t="s">
        <v>1934</v>
      </c>
      <c r="B239" s="313" t="s">
        <v>1649</v>
      </c>
      <c r="C239" s="1530"/>
      <c r="D239" s="1547"/>
      <c r="E239" s="332"/>
      <c r="F239" s="332"/>
      <c r="G239" s="332"/>
      <c r="H239" s="1796"/>
      <c r="I239" s="1627"/>
      <c r="J239" s="1542"/>
    </row>
    <row r="240" spans="1:10" s="1531" customFormat="1" ht="54">
      <c r="A240" s="1554" t="s">
        <v>1935</v>
      </c>
      <c r="B240" s="1550" t="s">
        <v>1248</v>
      </c>
      <c r="C240" s="1530" t="str">
        <f>'Culvert (Connecting Tunnel Alt)'!C43</f>
        <v>ton</v>
      </c>
      <c r="D240" s="1547">
        <f>'Syphon and Culvert'!J38</f>
        <v>40.147568999999997</v>
      </c>
      <c r="E240" s="332"/>
      <c r="F240" s="332"/>
      <c r="G240" s="332"/>
      <c r="H240" s="1796"/>
      <c r="I240" s="1627">
        <f>I103</f>
        <v>153246.08695652176</v>
      </c>
      <c r="J240" s="1542">
        <f>D240*I240</f>
        <v>6152457.8500669571</v>
      </c>
    </row>
    <row r="241" spans="1:10" s="1531" customFormat="1" ht="51.75" customHeight="1">
      <c r="A241" s="1537" t="s">
        <v>2128</v>
      </c>
      <c r="B241" s="1626" t="s">
        <v>2900</v>
      </c>
      <c r="C241" s="1530"/>
      <c r="D241" s="1547"/>
      <c r="E241" s="332"/>
      <c r="F241" s="332"/>
      <c r="G241" s="332"/>
      <c r="H241" s="1796"/>
      <c r="I241" s="1627"/>
      <c r="J241" s="1542"/>
    </row>
    <row r="242" spans="1:10" s="1531" customFormat="1">
      <c r="A242" s="1554" t="s">
        <v>2754</v>
      </c>
      <c r="B242" s="1569" t="s">
        <v>155</v>
      </c>
      <c r="C242" s="1530" t="s">
        <v>27</v>
      </c>
      <c r="D242" s="1547">
        <f>'Syphon and Culvert'!J41</f>
        <v>40</v>
      </c>
      <c r="E242" s="332"/>
      <c r="F242" s="332"/>
      <c r="G242" s="332"/>
      <c r="H242" s="1796"/>
      <c r="I242" s="1627">
        <f>I105</f>
        <v>1693</v>
      </c>
      <c r="J242" s="1542">
        <f t="shared" ref="J242:J243" si="6">D242*I242</f>
        <v>67720</v>
      </c>
    </row>
    <row r="243" spans="1:10" s="1531" customFormat="1">
      <c r="A243" s="1554" t="s">
        <v>2755</v>
      </c>
      <c r="B243" s="1569" t="s">
        <v>174</v>
      </c>
      <c r="C243" s="1530" t="s">
        <v>502</v>
      </c>
      <c r="D243" s="1547">
        <f>'Syphon and Culvert'!J44</f>
        <v>40</v>
      </c>
      <c r="E243" s="332"/>
      <c r="F243" s="332"/>
      <c r="G243" s="332"/>
      <c r="H243" s="1796"/>
      <c r="I243" s="1627">
        <f t="shared" ref="I243:I244" si="7">I106</f>
        <v>1245</v>
      </c>
      <c r="J243" s="1542">
        <f t="shared" si="6"/>
        <v>49800</v>
      </c>
    </row>
    <row r="244" spans="1:10" s="1531" customFormat="1">
      <c r="A244" s="1554" t="s">
        <v>2756</v>
      </c>
      <c r="B244" s="1570" t="s">
        <v>741</v>
      </c>
      <c r="C244" s="1530" t="s">
        <v>85</v>
      </c>
      <c r="D244" s="1547">
        <f>'Syphon and Culvert'!J47</f>
        <v>80</v>
      </c>
      <c r="E244" s="332"/>
      <c r="F244" s="332"/>
      <c r="G244" s="332"/>
      <c r="H244" s="1796"/>
      <c r="I244" s="1627">
        <f t="shared" si="7"/>
        <v>1208</v>
      </c>
      <c r="J244" s="1542">
        <f>D244*I244</f>
        <v>96640</v>
      </c>
    </row>
    <row r="245" spans="1:10" s="1531" customFormat="1" ht="17.25" customHeight="1">
      <c r="A245" s="1528"/>
      <c r="B245" s="1538"/>
      <c r="C245" s="1563"/>
      <c r="D245" s="1688"/>
      <c r="E245" s="332"/>
      <c r="F245" s="1666" t="s">
        <v>1483</v>
      </c>
      <c r="G245" s="1694"/>
      <c r="H245" s="1796"/>
      <c r="I245" s="88"/>
      <c r="J245" s="1717">
        <f>SUM(J226:J244)</f>
        <v>19786914.589747842</v>
      </c>
    </row>
    <row r="246" spans="1:10" s="1531" customFormat="1">
      <c r="A246" s="1532" t="s">
        <v>1938</v>
      </c>
      <c r="B246" s="1533" t="s">
        <v>3081</v>
      </c>
      <c r="C246" s="1534"/>
      <c r="D246" s="1736"/>
      <c r="E246" s="1699"/>
      <c r="F246" s="1566"/>
      <c r="G246" s="1699"/>
      <c r="H246" s="1668"/>
      <c r="I246" s="1721"/>
      <c r="J246" s="1542"/>
    </row>
    <row r="247" spans="1:10" s="1567" customFormat="1">
      <c r="A247" s="1537" t="s">
        <v>1940</v>
      </c>
      <c r="B247" s="1548" t="s">
        <v>18</v>
      </c>
      <c r="C247" s="1572"/>
      <c r="D247" s="1737"/>
      <c r="E247" s="1642"/>
      <c r="F247" s="1559"/>
      <c r="G247" s="1642"/>
      <c r="H247" s="1667"/>
      <c r="I247" s="1721"/>
      <c r="J247" s="1542"/>
    </row>
    <row r="248" spans="1:10" s="1531" customFormat="1" ht="72">
      <c r="A248" s="1554" t="s">
        <v>1942</v>
      </c>
      <c r="B248" s="1555" t="s">
        <v>2847</v>
      </c>
      <c r="C248" s="1530" t="s">
        <v>19</v>
      </c>
      <c r="D248" s="1640">
        <f>'Access Road'!J11</f>
        <v>3627.2</v>
      </c>
      <c r="E248" s="332"/>
      <c r="F248" s="332"/>
      <c r="G248" s="332"/>
      <c r="H248" s="1796"/>
      <c r="I248" s="1769">
        <f>I87</f>
        <v>40.5</v>
      </c>
      <c r="J248" s="1542">
        <f>D248*I248</f>
        <v>146901.6</v>
      </c>
    </row>
    <row r="249" spans="1:10" s="1531" customFormat="1" ht="72">
      <c r="A249" s="1537" t="s">
        <v>1946</v>
      </c>
      <c r="B249" s="1544" t="s">
        <v>2849</v>
      </c>
      <c r="C249" s="1530"/>
      <c r="D249" s="1640"/>
      <c r="E249" s="332"/>
      <c r="F249" s="332"/>
      <c r="G249" s="332"/>
      <c r="H249" s="1796"/>
      <c r="I249" s="1769"/>
      <c r="J249" s="1542"/>
    </row>
    <row r="250" spans="1:10" s="1567" customFormat="1">
      <c r="A250" s="1554" t="s">
        <v>1947</v>
      </c>
      <c r="B250" s="220" t="s">
        <v>1632</v>
      </c>
      <c r="C250" s="1572" t="s">
        <v>21</v>
      </c>
      <c r="D250" s="1640">
        <f>'Access Road'!J20</f>
        <v>981.16000000000008</v>
      </c>
      <c r="E250" s="1642"/>
      <c r="F250" s="1642"/>
      <c r="G250" s="1642"/>
      <c r="H250" s="1667"/>
      <c r="I250" s="1769">
        <f>I89</f>
        <v>351.34500000000003</v>
      </c>
      <c r="J250" s="1542">
        <f>D250*I250</f>
        <v>344725.66020000004</v>
      </c>
    </row>
    <row r="251" spans="1:10" s="1531" customFormat="1">
      <c r="A251" s="1554" t="s">
        <v>2130</v>
      </c>
      <c r="B251" s="220" t="s">
        <v>1634</v>
      </c>
      <c r="C251" s="1530" t="s">
        <v>21</v>
      </c>
      <c r="D251" s="1640">
        <f>'Access Road'!J21</f>
        <v>981.16000000000008</v>
      </c>
      <c r="E251" s="332"/>
      <c r="F251" s="332"/>
      <c r="G251" s="332"/>
      <c r="H251" s="1796"/>
      <c r="I251" s="1769">
        <f>I90</f>
        <v>1375.6949999999999</v>
      </c>
      <c r="J251" s="1542">
        <f>D251*I251</f>
        <v>1349776.9062000001</v>
      </c>
    </row>
    <row r="252" spans="1:10" s="1531" customFormat="1" ht="36">
      <c r="A252" s="1528" t="s">
        <v>1948</v>
      </c>
      <c r="B252" s="1568" t="s">
        <v>1723</v>
      </c>
      <c r="C252" s="1530" t="s">
        <v>21</v>
      </c>
      <c r="D252" s="1683">
        <f>'Access Road'!J25</f>
        <v>1813.6</v>
      </c>
      <c r="E252" s="332"/>
      <c r="F252" s="332"/>
      <c r="G252" s="332"/>
      <c r="H252" s="1796"/>
      <c r="I252" s="1769">
        <f>I108</f>
        <v>233</v>
      </c>
      <c r="J252" s="1542">
        <f>D252*I252</f>
        <v>422568.8</v>
      </c>
    </row>
    <row r="253" spans="1:10" s="1531" customFormat="1" ht="54">
      <c r="A253" s="1537" t="s">
        <v>1950</v>
      </c>
      <c r="B253" s="1538" t="s">
        <v>2902</v>
      </c>
      <c r="C253" s="1530" t="s">
        <v>46</v>
      </c>
      <c r="D253" s="1640">
        <f>'Access Road'!J29</f>
        <v>453.4</v>
      </c>
      <c r="E253" s="332"/>
      <c r="F253" s="332"/>
      <c r="G253" s="332"/>
      <c r="H253" s="1796"/>
      <c r="I253" s="1769">
        <f>I236</f>
        <v>3051.828</v>
      </c>
      <c r="J253" s="1542">
        <f>D253*I253</f>
        <v>1383698.8151999998</v>
      </c>
    </row>
    <row r="254" spans="1:10" s="1531" customFormat="1">
      <c r="A254" s="1537" t="s">
        <v>1952</v>
      </c>
      <c r="B254" s="313" t="s">
        <v>1929</v>
      </c>
      <c r="C254" s="1530"/>
      <c r="D254" s="1640"/>
      <c r="E254" s="332"/>
      <c r="F254" s="332"/>
      <c r="G254" s="332"/>
      <c r="H254" s="1796"/>
      <c r="I254" s="1769"/>
      <c r="J254" s="1542"/>
    </row>
    <row r="255" spans="1:10" s="1531" customFormat="1" ht="54">
      <c r="A255" s="1554" t="s">
        <v>2131</v>
      </c>
      <c r="B255" s="1550" t="s">
        <v>2864</v>
      </c>
      <c r="C255" s="1530" t="s">
        <v>311</v>
      </c>
      <c r="D255" s="1640">
        <f>'Access Road'!J32</f>
        <v>200</v>
      </c>
      <c r="E255" s="332"/>
      <c r="F255" s="332"/>
      <c r="G255" s="332"/>
      <c r="H255" s="1796"/>
      <c r="I255" s="1769">
        <f>I178</f>
        <v>4131.05</v>
      </c>
      <c r="J255" s="1542">
        <f>D255*I255</f>
        <v>826210</v>
      </c>
    </row>
    <row r="256" spans="1:10" s="1531" customFormat="1" ht="17.25" customHeight="1">
      <c r="A256" s="1528"/>
      <c r="B256" s="1538"/>
      <c r="C256" s="1563"/>
      <c r="D256" s="1688"/>
      <c r="E256" s="332"/>
      <c r="F256" s="1666" t="s">
        <v>1483</v>
      </c>
      <c r="G256" s="1694"/>
      <c r="H256" s="1796"/>
      <c r="I256" s="88"/>
      <c r="J256" s="1542">
        <f>SUM(J248:J255)</f>
        <v>4473881.7815999994</v>
      </c>
    </row>
    <row r="257" spans="1:10" s="1531" customFormat="1" ht="17.25" customHeight="1">
      <c r="A257" s="1528"/>
      <c r="B257" s="1538"/>
      <c r="C257" s="1563"/>
      <c r="D257" s="1688"/>
      <c r="E257" s="332"/>
      <c r="F257" s="1666" t="s">
        <v>2914</v>
      </c>
      <c r="G257" s="1694"/>
      <c r="H257" s="1796"/>
      <c r="I257" s="88"/>
      <c r="J257" s="1542">
        <f>J190+J207+J223+J245+J256</f>
        <v>117233559.61809787</v>
      </c>
    </row>
    <row r="258" spans="1:10" s="1531" customFormat="1" ht="18" customHeight="1">
      <c r="A258" s="1528"/>
      <c r="B258" s="1529"/>
      <c r="C258" s="1530"/>
      <c r="D258" s="1686"/>
      <c r="E258" s="332"/>
      <c r="F258" s="1666" t="s">
        <v>1557</v>
      </c>
      <c r="G258" s="1694"/>
      <c r="H258" s="1796"/>
      <c r="I258" s="88"/>
      <c r="J258" s="1717">
        <f>J46+J52+J84+J114+J137+J160+J257</f>
        <v>533005456.51652288</v>
      </c>
    </row>
    <row r="259" spans="1:10" s="315" customFormat="1">
      <c r="A259" s="1584"/>
      <c r="B259" s="1704" t="s">
        <v>2910</v>
      </c>
      <c r="C259" s="1701"/>
      <c r="D259" s="1735"/>
      <c r="E259" s="1705"/>
      <c r="F259" s="1706"/>
      <c r="G259" s="1705"/>
      <c r="H259" s="1713"/>
      <c r="I259" s="1542"/>
      <c r="J259" s="1543"/>
    </row>
    <row r="260" spans="1:10" s="1531" customFormat="1">
      <c r="A260" s="1532" t="s">
        <v>1959</v>
      </c>
      <c r="B260" s="1533" t="s">
        <v>2132</v>
      </c>
      <c r="C260" s="1551"/>
      <c r="D260" s="1738"/>
      <c r="E260" s="1699"/>
      <c r="F260" s="1536"/>
      <c r="G260" s="1699"/>
      <c r="H260" s="1668"/>
      <c r="I260" s="1542"/>
      <c r="J260" s="1543"/>
    </row>
    <row r="261" spans="1:10" s="1567" customFormat="1">
      <c r="A261" s="1571" t="s">
        <v>1960</v>
      </c>
      <c r="B261" s="1548" t="s">
        <v>18</v>
      </c>
      <c r="C261" s="1572"/>
      <c r="D261" s="1737"/>
      <c r="E261" s="1642"/>
      <c r="F261" s="1573"/>
      <c r="G261" s="1642"/>
      <c r="H261" s="1667"/>
      <c r="I261" s="1542"/>
      <c r="J261" s="1543"/>
    </row>
    <row r="262" spans="1:10" s="1531" customFormat="1" ht="72">
      <c r="A262" s="1554" t="s">
        <v>1962</v>
      </c>
      <c r="B262" s="1555" t="s">
        <v>2847</v>
      </c>
      <c r="C262" s="1530" t="s">
        <v>19</v>
      </c>
      <c r="D262" s="1542">
        <f>'Kunaban Diversion'!$J$11</f>
        <v>1800</v>
      </c>
      <c r="E262" s="332"/>
      <c r="F262" s="332"/>
      <c r="G262" s="332"/>
      <c r="H262" s="1609"/>
      <c r="I262" s="1543">
        <f>I140</f>
        <v>40.5</v>
      </c>
      <c r="J262" s="1543">
        <f>D262*I262</f>
        <v>72900</v>
      </c>
    </row>
    <row r="263" spans="1:10" s="1531" customFormat="1" ht="72">
      <c r="A263" s="1571" t="s">
        <v>1964</v>
      </c>
      <c r="B263" s="1544" t="s">
        <v>2849</v>
      </c>
      <c r="C263" s="1530"/>
      <c r="D263" s="1542"/>
      <c r="E263" s="332"/>
      <c r="F263" s="332"/>
      <c r="G263" s="332"/>
      <c r="H263" s="1609"/>
      <c r="I263" s="1543"/>
      <c r="J263" s="1543"/>
    </row>
    <row r="264" spans="1:10" s="1531" customFormat="1">
      <c r="A264" s="1554" t="s">
        <v>1965</v>
      </c>
      <c r="B264" s="220" t="s">
        <v>1632</v>
      </c>
      <c r="C264" s="1530" t="s">
        <v>21</v>
      </c>
      <c r="D264" s="1542">
        <f>'Kunaban Diversion'!$J$18</f>
        <v>1243.3603999999998</v>
      </c>
      <c r="E264" s="332"/>
      <c r="F264" s="332"/>
      <c r="G264" s="332"/>
      <c r="H264" s="1609"/>
      <c r="I264" s="1543">
        <f>I142</f>
        <v>351.34500000000003</v>
      </c>
      <c r="J264" s="1543">
        <f>D264*I264</f>
        <v>436848.45973799995</v>
      </c>
    </row>
    <row r="265" spans="1:10" s="1531" customFormat="1">
      <c r="A265" s="1571" t="s">
        <v>1968</v>
      </c>
      <c r="B265" s="313" t="s">
        <v>31</v>
      </c>
      <c r="C265" s="1530"/>
      <c r="D265" s="1542"/>
      <c r="E265" s="332"/>
      <c r="F265" s="332"/>
      <c r="G265" s="332"/>
      <c r="H265" s="1609"/>
      <c r="I265" s="1543"/>
      <c r="J265" s="1543"/>
    </row>
    <row r="266" spans="1:10" s="1531" customFormat="1" ht="54">
      <c r="A266" s="1554" t="s">
        <v>1969</v>
      </c>
      <c r="B266" s="1545" t="s">
        <v>2862</v>
      </c>
      <c r="C266" s="1530" t="s">
        <v>21</v>
      </c>
      <c r="D266" s="1542">
        <f>'Kunaban Diversion'!$J$27</f>
        <v>962.16430000000003</v>
      </c>
      <c r="E266" s="332"/>
      <c r="F266" s="332"/>
      <c r="G266" s="332"/>
      <c r="H266" s="1609"/>
      <c r="I266" s="1543">
        <f>I145</f>
        <v>216.5</v>
      </c>
      <c r="J266" s="1543">
        <f>D266*I266</f>
        <v>208308.57094999999</v>
      </c>
    </row>
    <row r="267" spans="1:10" s="1531" customFormat="1" ht="54">
      <c r="A267" s="1528" t="s">
        <v>1970</v>
      </c>
      <c r="B267" s="1538" t="s">
        <v>2895</v>
      </c>
      <c r="C267" s="1530" t="s">
        <v>21</v>
      </c>
      <c r="D267" s="1542">
        <f>'Kunaban Diversion'!$J$33</f>
        <v>194.13268000000002</v>
      </c>
      <c r="E267" s="332"/>
      <c r="F267" s="332"/>
      <c r="G267" s="332"/>
      <c r="H267" s="1609"/>
      <c r="I267" s="1543">
        <f>I58</f>
        <v>300</v>
      </c>
      <c r="J267" s="1543">
        <f>D267*I267</f>
        <v>58239.804000000004</v>
      </c>
    </row>
    <row r="268" spans="1:10" s="1531" customFormat="1" ht="54">
      <c r="A268" s="1571" t="s">
        <v>1972</v>
      </c>
      <c r="B268" s="1545" t="s">
        <v>2735</v>
      </c>
      <c r="C268" s="1530"/>
      <c r="D268" s="1542"/>
      <c r="E268" s="332"/>
      <c r="F268" s="332"/>
      <c r="G268" s="332"/>
      <c r="H268" s="1609"/>
      <c r="I268" s="1543"/>
      <c r="J268" s="1543"/>
    </row>
    <row r="269" spans="1:10" s="1531" customFormat="1">
      <c r="A269" s="1554" t="s">
        <v>1973</v>
      </c>
      <c r="B269" s="1546" t="s">
        <v>1641</v>
      </c>
      <c r="C269" s="1530" t="s">
        <v>21</v>
      </c>
      <c r="D269" s="1542">
        <f>'Kunaban Diversion'!$J$40</f>
        <v>33.111719999999998</v>
      </c>
      <c r="E269" s="332"/>
      <c r="F269" s="332"/>
      <c r="G269" s="332"/>
      <c r="H269" s="1609"/>
      <c r="I269" s="1543">
        <f>I94</f>
        <v>13018</v>
      </c>
      <c r="J269" s="1543">
        <f>D269*I269</f>
        <v>431048.37095999997</v>
      </c>
    </row>
    <row r="270" spans="1:10" s="1531" customFormat="1">
      <c r="A270" s="1571" t="s">
        <v>1976</v>
      </c>
      <c r="B270" s="313" t="s">
        <v>1706</v>
      </c>
      <c r="C270" s="1530"/>
      <c r="D270" s="1542"/>
      <c r="E270" s="332"/>
      <c r="F270" s="332"/>
      <c r="G270" s="332"/>
      <c r="H270" s="1609"/>
      <c r="I270" s="1543"/>
      <c r="J270" s="1543"/>
    </row>
    <row r="271" spans="1:10" s="1531" customFormat="1" ht="36">
      <c r="A271" s="1554" t="s">
        <v>2133</v>
      </c>
      <c r="B271" s="1545" t="s">
        <v>1710</v>
      </c>
      <c r="C271" s="1530" t="s">
        <v>21</v>
      </c>
      <c r="D271" s="1542">
        <f>'Kunaban Diversion'!$J$46</f>
        <v>1276.3656599999999</v>
      </c>
      <c r="E271" s="332"/>
      <c r="F271" s="332"/>
      <c r="G271" s="332"/>
      <c r="H271" s="1609"/>
      <c r="I271" s="1543">
        <f>[45]Summary!$K$172</f>
        <v>9781.5</v>
      </c>
      <c r="J271" s="1543">
        <f>D271*I271</f>
        <v>12484770.703289999</v>
      </c>
    </row>
    <row r="272" spans="1:10" s="1531" customFormat="1" ht="54">
      <c r="A272" s="1528" t="s">
        <v>1978</v>
      </c>
      <c r="B272" s="1538" t="s">
        <v>2898</v>
      </c>
      <c r="C272" s="1530" t="s">
        <v>19</v>
      </c>
      <c r="D272" s="1542">
        <f>'Kunaban Diversion'!$J$52</f>
        <v>756.92499999999995</v>
      </c>
      <c r="E272" s="332"/>
      <c r="F272" s="332"/>
      <c r="G272" s="332"/>
      <c r="H272" s="1609"/>
      <c r="I272" s="1543">
        <f>I63</f>
        <v>750</v>
      </c>
      <c r="J272" s="1543">
        <f>D272*I272</f>
        <v>567693.75</v>
      </c>
    </row>
    <row r="273" spans="1:10" s="1531" customFormat="1" ht="54">
      <c r="A273" s="1571" t="s">
        <v>1980</v>
      </c>
      <c r="B273" s="1545" t="s">
        <v>2737</v>
      </c>
      <c r="C273" s="1530" t="s">
        <v>21</v>
      </c>
      <c r="D273" s="1542"/>
      <c r="E273" s="332"/>
      <c r="F273" s="332"/>
      <c r="G273" s="332"/>
      <c r="H273" s="1609"/>
      <c r="I273" s="1543"/>
      <c r="J273" s="1543"/>
    </row>
    <row r="274" spans="1:10" s="1531" customFormat="1">
      <c r="A274" s="1554" t="s">
        <v>1982</v>
      </c>
      <c r="B274" s="1546" t="s">
        <v>2102</v>
      </c>
      <c r="C274" s="1530" t="s">
        <v>21</v>
      </c>
      <c r="D274" s="1542">
        <f>'Kunaban Diversion'!$J$60</f>
        <v>1548.4367999999999</v>
      </c>
      <c r="E274" s="332"/>
      <c r="F274" s="332"/>
      <c r="G274" s="332"/>
      <c r="H274" s="1609"/>
      <c r="I274" s="1543">
        <f>I65</f>
        <v>4485.5</v>
      </c>
      <c r="J274" s="1543">
        <f>D274*I274</f>
        <v>6945513.2664000001</v>
      </c>
    </row>
    <row r="275" spans="1:10" s="1531" customFormat="1" ht="17.25" customHeight="1">
      <c r="A275" s="1528"/>
      <c r="B275" s="1538"/>
      <c r="C275" s="1563"/>
      <c r="D275" s="1688"/>
      <c r="E275" s="332"/>
      <c r="F275" s="1666" t="s">
        <v>1483</v>
      </c>
      <c r="G275" s="1694"/>
      <c r="H275" s="1796"/>
      <c r="I275" s="88"/>
      <c r="J275" s="1717">
        <f>SUM(J262:J274)</f>
        <v>21205322.925338</v>
      </c>
    </row>
    <row r="276" spans="1:10" s="1531" customFormat="1">
      <c r="A276" s="1532" t="s">
        <v>2004</v>
      </c>
      <c r="B276" s="1761" t="s">
        <v>3082</v>
      </c>
      <c r="C276" s="1551"/>
      <c r="D276" s="1738"/>
      <c r="E276" s="1699"/>
      <c r="F276" s="1536"/>
      <c r="G276" s="1699"/>
      <c r="H276" s="1668"/>
      <c r="I276" s="1542"/>
      <c r="J276" s="1543"/>
    </row>
    <row r="277" spans="1:10" s="1567" customFormat="1">
      <c r="A277" s="1571" t="s">
        <v>2006</v>
      </c>
      <c r="B277" s="1548" t="s">
        <v>18</v>
      </c>
      <c r="C277" s="1572"/>
      <c r="D277" s="1547"/>
      <c r="E277" s="1642"/>
      <c r="F277" s="1642"/>
      <c r="G277" s="1642"/>
      <c r="H277" s="1667"/>
      <c r="I277" s="1543"/>
      <c r="J277" s="1543"/>
    </row>
    <row r="278" spans="1:10" ht="72">
      <c r="A278" s="1554" t="s">
        <v>2007</v>
      </c>
      <c r="B278" s="1555" t="s">
        <v>2847</v>
      </c>
      <c r="C278" s="1530" t="s">
        <v>19</v>
      </c>
      <c r="D278" s="1542">
        <f>'K.Headworks river protection'!J14</f>
        <v>935</v>
      </c>
      <c r="E278" s="220"/>
      <c r="F278" s="220"/>
      <c r="G278" s="220"/>
      <c r="H278" s="1670"/>
      <c r="I278" s="1542">
        <f>I69</f>
        <v>40.5</v>
      </c>
      <c r="J278" s="1543">
        <f>ROUND(I278*D278,2)</f>
        <v>37867.5</v>
      </c>
    </row>
    <row r="279" spans="1:10" ht="72">
      <c r="A279" s="1571" t="s">
        <v>2009</v>
      </c>
      <c r="B279" s="1544" t="s">
        <v>2849</v>
      </c>
      <c r="C279" s="1530"/>
      <c r="D279" s="1542"/>
      <c r="E279" s="220"/>
      <c r="F279" s="220"/>
      <c r="G279" s="220"/>
      <c r="H279" s="1670"/>
      <c r="I279" s="1542"/>
      <c r="J279" s="1543"/>
    </row>
    <row r="280" spans="1:10">
      <c r="A280" s="1554" t="s">
        <v>2010</v>
      </c>
      <c r="B280" s="220" t="s">
        <v>1632</v>
      </c>
      <c r="C280" s="1530" t="s">
        <v>21</v>
      </c>
      <c r="D280" s="1542">
        <f>'K.Headworks river protection'!J19</f>
        <v>5701.8</v>
      </c>
      <c r="E280" s="220"/>
      <c r="F280" s="220"/>
      <c r="G280" s="220"/>
      <c r="H280" s="1670"/>
      <c r="I280" s="1542">
        <f>I71</f>
        <v>351.34500000000003</v>
      </c>
      <c r="J280" s="1543">
        <f>ROUND(I280*D280,2)</f>
        <v>2003298.92</v>
      </c>
    </row>
    <row r="281" spans="1:10">
      <c r="A281" s="1554" t="s">
        <v>2012</v>
      </c>
      <c r="B281" s="220" t="s">
        <v>1634</v>
      </c>
      <c r="C281" s="1530" t="s">
        <v>21</v>
      </c>
      <c r="D281" s="1542">
        <f>'K.Headworks river protection'!J20</f>
        <v>1425.45</v>
      </c>
      <c r="E281" s="220"/>
      <c r="F281" s="220"/>
      <c r="G281" s="220"/>
      <c r="H281" s="1670"/>
      <c r="I281" s="1542">
        <f>I72</f>
        <v>1375.6949999999999</v>
      </c>
      <c r="J281" s="1543">
        <f>ROUND(I281*D281,2)</f>
        <v>1960984.44</v>
      </c>
    </row>
    <row r="282" spans="1:10">
      <c r="A282" s="1571" t="s">
        <v>2014</v>
      </c>
      <c r="B282" s="313" t="s">
        <v>31</v>
      </c>
      <c r="C282" s="1530"/>
      <c r="D282" s="1542"/>
      <c r="E282" s="220"/>
      <c r="F282" s="220"/>
      <c r="G282" s="220"/>
      <c r="H282" s="1670"/>
      <c r="I282" s="1542"/>
      <c r="J282" s="1543"/>
    </row>
    <row r="283" spans="1:10" ht="54">
      <c r="A283" s="1554" t="s">
        <v>2015</v>
      </c>
      <c r="B283" s="1545" t="s">
        <v>2862</v>
      </c>
      <c r="C283" s="1530" t="s">
        <v>19</v>
      </c>
      <c r="D283" s="1542">
        <f>'K.Headworks river protection'!J24</f>
        <v>7261.41</v>
      </c>
      <c r="E283" s="220"/>
      <c r="F283" s="220"/>
      <c r="G283" s="220"/>
      <c r="H283" s="1670"/>
      <c r="I283" s="1542">
        <f>I74</f>
        <v>216.5</v>
      </c>
      <c r="J283" s="1543">
        <f>ROUND(I283*D283,2)</f>
        <v>1572095.27</v>
      </c>
    </row>
    <row r="284" spans="1:10" ht="54">
      <c r="A284" s="1571" t="s">
        <v>2016</v>
      </c>
      <c r="B284" s="1545" t="s">
        <v>2735</v>
      </c>
      <c r="C284" s="1530"/>
      <c r="D284" s="1542"/>
      <c r="E284" s="220"/>
      <c r="F284" s="220"/>
      <c r="G284" s="220"/>
      <c r="H284" s="1670"/>
      <c r="I284" s="1542"/>
      <c r="J284" s="1543"/>
    </row>
    <row r="285" spans="1:10">
      <c r="A285" s="1554" t="s">
        <v>2017</v>
      </c>
      <c r="B285" s="669" t="s">
        <v>2922</v>
      </c>
      <c r="C285" s="1530" t="s">
        <v>21</v>
      </c>
      <c r="D285" s="1542">
        <f>'K.Headworks river protection'!J30</f>
        <v>58.05</v>
      </c>
      <c r="E285" s="220"/>
      <c r="F285" s="220"/>
      <c r="G285" s="220"/>
      <c r="H285" s="1672"/>
      <c r="I285" s="1574">
        <f>I80</f>
        <v>13018</v>
      </c>
      <c r="J285" s="1543">
        <f>ROUND(I285*D285,2)</f>
        <v>755694.9</v>
      </c>
    </row>
    <row r="286" spans="1:10">
      <c r="A286" s="1554" t="s">
        <v>2660</v>
      </c>
      <c r="B286" s="1546" t="s">
        <v>1645</v>
      </c>
      <c r="C286" s="1530" t="s">
        <v>21</v>
      </c>
      <c r="D286" s="1542">
        <f>'K.Headworks river protection'!J34</f>
        <v>1451.25</v>
      </c>
      <c r="E286" s="220"/>
      <c r="F286" s="220"/>
      <c r="G286" s="220"/>
      <c r="H286" s="1672"/>
      <c r="I286" s="1574">
        <f>I96</f>
        <v>18138</v>
      </c>
      <c r="J286" s="1543">
        <f>ROUND(I286*D286,2)</f>
        <v>26322772.5</v>
      </c>
    </row>
    <row r="287" spans="1:10">
      <c r="A287" s="1571" t="s">
        <v>2018</v>
      </c>
      <c r="B287" s="313" t="s">
        <v>1649</v>
      </c>
      <c r="C287" s="1530"/>
      <c r="D287" s="1542"/>
      <c r="E287" s="220"/>
      <c r="F287" s="220"/>
      <c r="G287" s="220"/>
      <c r="H287" s="1672"/>
      <c r="I287" s="1574"/>
      <c r="J287" s="1543"/>
    </row>
    <row r="288" spans="1:10" ht="54">
      <c r="A288" s="1554" t="s">
        <v>2661</v>
      </c>
      <c r="B288" s="1550" t="s">
        <v>1248</v>
      </c>
      <c r="C288" s="1530" t="s">
        <v>25</v>
      </c>
      <c r="D288" s="1542">
        <f>'K.Headworks river protection'!J37</f>
        <v>113.923125</v>
      </c>
      <c r="E288" s="1612"/>
      <c r="F288" s="1613"/>
      <c r="G288" s="1613"/>
      <c r="H288" s="1673"/>
      <c r="I288" s="1542">
        <f>I103</f>
        <v>153246.08695652176</v>
      </c>
      <c r="J288" s="1543">
        <f>ROUND(I288*D288,2)</f>
        <v>17458273.120000001</v>
      </c>
    </row>
    <row r="289" spans="1:10" ht="54">
      <c r="A289" s="1571" t="s">
        <v>2019</v>
      </c>
      <c r="B289" s="1545" t="s">
        <v>2737</v>
      </c>
      <c r="C289" s="1530"/>
      <c r="D289" s="1542"/>
      <c r="E289" s="1612"/>
      <c r="F289" s="1613"/>
      <c r="G289" s="1613"/>
      <c r="H289" s="1673"/>
      <c r="I289" s="1542"/>
      <c r="J289" s="1543"/>
    </row>
    <row r="290" spans="1:10">
      <c r="A290" s="1554" t="s">
        <v>2662</v>
      </c>
      <c r="B290" s="1546" t="s">
        <v>1654</v>
      </c>
      <c r="C290" s="1530" t="s">
        <v>21</v>
      </c>
      <c r="D290" s="1542">
        <f>'K.Headworks river protection'!J41</f>
        <v>1750</v>
      </c>
      <c r="E290" s="1612"/>
      <c r="F290" s="1613"/>
      <c r="G290" s="1613"/>
      <c r="H290" s="1673"/>
      <c r="I290" s="1542">
        <f>I83</f>
        <v>4485.5</v>
      </c>
      <c r="J290" s="1543">
        <f>ROUND(I290*D290,2)</f>
        <v>7849625</v>
      </c>
    </row>
    <row r="291" spans="1:10" ht="17.25" customHeight="1">
      <c r="A291" s="1528"/>
      <c r="B291" s="1557"/>
      <c r="C291" s="1563"/>
      <c r="D291" s="1688"/>
      <c r="E291" s="1612"/>
      <c r="F291" s="1666" t="s">
        <v>1483</v>
      </c>
      <c r="G291" s="1691"/>
      <c r="H291" s="1674"/>
      <c r="I291" s="1612"/>
      <c r="J291" s="1717">
        <f>SUM(J278:J290)</f>
        <v>57960611.650000006</v>
      </c>
    </row>
    <row r="292" spans="1:10" s="1531" customFormat="1">
      <c r="A292" s="1532" t="s">
        <v>2025</v>
      </c>
      <c r="B292" s="1533" t="s">
        <v>3083</v>
      </c>
      <c r="C292" s="1551"/>
      <c r="D292" s="1738"/>
      <c r="E292" s="1699"/>
      <c r="F292" s="1575"/>
      <c r="G292" s="1699"/>
      <c r="H292" s="1675"/>
      <c r="I292" s="1542"/>
      <c r="J292" s="1543"/>
    </row>
    <row r="293" spans="1:10" s="1567" customFormat="1">
      <c r="A293" s="1571" t="s">
        <v>2026</v>
      </c>
      <c r="B293" s="1548" t="s">
        <v>18</v>
      </c>
      <c r="C293" s="1572"/>
      <c r="D293" s="1547"/>
      <c r="E293" s="1642"/>
      <c r="F293" s="1642"/>
      <c r="G293" s="1642"/>
      <c r="H293" s="1667"/>
      <c r="I293" s="1543"/>
      <c r="J293" s="1543"/>
    </row>
    <row r="294" spans="1:10" s="315" customFormat="1" ht="72">
      <c r="A294" s="1554" t="s">
        <v>2027</v>
      </c>
      <c r="B294" s="1555" t="s">
        <v>2847</v>
      </c>
      <c r="C294" s="1576" t="s">
        <v>19</v>
      </c>
      <c r="D294" s="1542">
        <f>'Boulder Weir (Kunban Updated)'!J13</f>
        <v>2416.37</v>
      </c>
      <c r="E294" s="313"/>
      <c r="F294" s="313"/>
      <c r="G294" s="313"/>
      <c r="H294" s="1676"/>
      <c r="I294" s="1574">
        <f>I87</f>
        <v>40.5</v>
      </c>
      <c r="J294" s="1543">
        <f>ROUND(I294*D294,2)</f>
        <v>97862.99</v>
      </c>
    </row>
    <row r="295" spans="1:10" s="315" customFormat="1" ht="72">
      <c r="A295" s="1528" t="s">
        <v>2029</v>
      </c>
      <c r="B295" s="1544" t="s">
        <v>2849</v>
      </c>
      <c r="C295" s="1576"/>
      <c r="D295" s="1542"/>
      <c r="E295" s="313"/>
      <c r="F295" s="313"/>
      <c r="G295" s="313"/>
      <c r="H295" s="1676"/>
      <c r="I295" s="1574"/>
      <c r="J295" s="1543"/>
    </row>
    <row r="296" spans="1:10" s="315" customFormat="1">
      <c r="A296" s="1554" t="s">
        <v>2030</v>
      </c>
      <c r="B296" s="220" t="s">
        <v>1632</v>
      </c>
      <c r="C296" s="1530" t="s">
        <v>21</v>
      </c>
      <c r="D296" s="1542">
        <f>'Boulder Weir (Kunban Updated)'!J19</f>
        <v>4001.4</v>
      </c>
      <c r="E296" s="313"/>
      <c r="F296" s="313"/>
      <c r="G296" s="313"/>
      <c r="H296" s="1676"/>
      <c r="I296" s="1574">
        <f>I89</f>
        <v>351.34500000000003</v>
      </c>
      <c r="J296" s="1543">
        <f>ROUND(I296*D296,2)</f>
        <v>1405871.88</v>
      </c>
    </row>
    <row r="297" spans="1:10" s="315" customFormat="1">
      <c r="A297" s="1554" t="s">
        <v>2134</v>
      </c>
      <c r="B297" s="220" t="s">
        <v>1634</v>
      </c>
      <c r="C297" s="1530" t="s">
        <v>21</v>
      </c>
      <c r="D297" s="1542">
        <f>'Boulder Weir (Kunban Updated)'!J20</f>
        <v>1000.35</v>
      </c>
      <c r="E297" s="313"/>
      <c r="F297" s="313"/>
      <c r="G297" s="313"/>
      <c r="H297" s="1672"/>
      <c r="I297" s="1574">
        <f>I90</f>
        <v>1375.6949999999999</v>
      </c>
      <c r="J297" s="1543">
        <f>ROUND(I297*D297,2)</f>
        <v>1376176.49</v>
      </c>
    </row>
    <row r="298" spans="1:10" s="315" customFormat="1">
      <c r="A298" s="1528" t="s">
        <v>2032</v>
      </c>
      <c r="B298" s="313" t="s">
        <v>31</v>
      </c>
      <c r="C298" s="1530"/>
      <c r="D298" s="1542"/>
      <c r="E298" s="313"/>
      <c r="F298" s="313"/>
      <c r="G298" s="313"/>
      <c r="H298" s="1672"/>
      <c r="I298" s="1574"/>
      <c r="J298" s="1543"/>
    </row>
    <row r="299" spans="1:10" s="315" customFormat="1" ht="54">
      <c r="A299" s="1554" t="s">
        <v>2033</v>
      </c>
      <c r="B299" s="1545" t="s">
        <v>2862</v>
      </c>
      <c r="C299" s="1530" t="s">
        <v>21</v>
      </c>
      <c r="D299" s="1542">
        <f>'Boulder Weir (Kunban Updated)'!J22</f>
        <v>4157.9250000000002</v>
      </c>
      <c r="E299" s="313"/>
      <c r="F299" s="313"/>
      <c r="G299" s="313"/>
      <c r="H299" s="1672"/>
      <c r="I299" s="1574">
        <f>I92</f>
        <v>216.5</v>
      </c>
      <c r="J299" s="1543">
        <f>ROUND(I299*D299,2)</f>
        <v>900190.76</v>
      </c>
    </row>
    <row r="300" spans="1:10" s="315" customFormat="1">
      <c r="A300" s="1528" t="s">
        <v>2034</v>
      </c>
      <c r="B300" s="1548" t="s">
        <v>309</v>
      </c>
      <c r="C300" s="1530"/>
      <c r="D300" s="1542"/>
      <c r="E300" s="313"/>
      <c r="F300" s="313"/>
      <c r="G300" s="313"/>
      <c r="H300" s="1672"/>
      <c r="I300" s="1574"/>
      <c r="J300" s="1543"/>
    </row>
    <row r="301" spans="1:10" ht="54">
      <c r="A301" s="1554" t="s">
        <v>2035</v>
      </c>
      <c r="B301" s="1549" t="s">
        <v>1637</v>
      </c>
      <c r="C301" s="1530" t="s">
        <v>21</v>
      </c>
      <c r="D301" s="1542">
        <f>'Boulder Weir (Kunban Updated)'!J45</f>
        <v>1282.8124</v>
      </c>
      <c r="E301" s="1612"/>
      <c r="F301" s="1613"/>
      <c r="G301" s="1613"/>
      <c r="H301" s="1673"/>
      <c r="I301" s="1577">
        <f>I101</f>
        <v>1226.1157142857141</v>
      </c>
      <c r="J301" s="1543">
        <f>ROUND(I301*D301,2)</f>
        <v>1572876.44</v>
      </c>
    </row>
    <row r="302" spans="1:10" ht="54">
      <c r="A302" s="1571" t="s">
        <v>2036</v>
      </c>
      <c r="B302" s="1545" t="s">
        <v>2735</v>
      </c>
      <c r="C302" s="1530"/>
      <c r="D302" s="1542"/>
      <c r="E302" s="1612"/>
      <c r="F302" s="1613"/>
      <c r="G302" s="1613"/>
      <c r="H302" s="1673"/>
      <c r="I302" s="1577"/>
      <c r="J302" s="1543"/>
    </row>
    <row r="303" spans="1:10">
      <c r="A303" s="1554" t="s">
        <v>2037</v>
      </c>
      <c r="B303" s="1546" t="s">
        <v>1641</v>
      </c>
      <c r="C303" s="1530" t="s">
        <v>21</v>
      </c>
      <c r="D303" s="1542">
        <f>'Boulder Weir (Kunban Updated)'!J48</f>
        <v>30.572804999999999</v>
      </c>
      <c r="E303" s="1612"/>
      <c r="F303" s="1613"/>
      <c r="G303" s="1613"/>
      <c r="H303" s="1673"/>
      <c r="I303" s="1577">
        <f>I94</f>
        <v>13018</v>
      </c>
      <c r="J303" s="1543">
        <f>ROUND(I303*D303,2)</f>
        <v>397996.78</v>
      </c>
    </row>
    <row r="304" spans="1:10">
      <c r="A304" s="1554" t="s">
        <v>2757</v>
      </c>
      <c r="B304" s="1546" t="s">
        <v>1645</v>
      </c>
      <c r="C304" s="1530" t="s">
        <v>21</v>
      </c>
      <c r="D304" s="1542">
        <f>'Boulder Weir (Kunban Updated)'!J63</f>
        <v>822.54071599999997</v>
      </c>
      <c r="E304" s="1612"/>
      <c r="F304" s="1613"/>
      <c r="G304" s="1613"/>
      <c r="H304" s="1673"/>
      <c r="I304" s="1577">
        <f>I96</f>
        <v>18138</v>
      </c>
      <c r="J304" s="1543">
        <f>ROUND(I304*D304,2)</f>
        <v>14919243.51</v>
      </c>
    </row>
    <row r="305" spans="1:10" ht="54">
      <c r="A305" s="1571" t="s">
        <v>2039</v>
      </c>
      <c r="B305" s="1545" t="s">
        <v>2875</v>
      </c>
      <c r="C305" s="1530"/>
      <c r="D305" s="1542"/>
      <c r="E305" s="1612"/>
      <c r="F305" s="1613"/>
      <c r="G305" s="1613"/>
      <c r="H305" s="1673"/>
      <c r="I305" s="1577"/>
      <c r="J305" s="1543"/>
    </row>
    <row r="306" spans="1:10">
      <c r="A306" s="1554" t="s">
        <v>2135</v>
      </c>
      <c r="B306" s="1545" t="s">
        <v>2625</v>
      </c>
      <c r="C306" s="1530" t="s">
        <v>21</v>
      </c>
      <c r="D306" s="1542">
        <f>'Boulder Weir (Kunban Updated)'!J51+'Boulder Weir (Kunban Updated)'!J52</f>
        <v>1081.6385</v>
      </c>
      <c r="E306" s="1612"/>
      <c r="F306" s="1613"/>
      <c r="G306" s="1613"/>
      <c r="H306" s="1673"/>
      <c r="I306" s="365">
        <f>I83</f>
        <v>4485.5</v>
      </c>
      <c r="J306" s="1543">
        <f>D306*I306</f>
        <v>4851689.49175</v>
      </c>
    </row>
    <row r="307" spans="1:10">
      <c r="A307" s="1554" t="s">
        <v>2663</v>
      </c>
      <c r="B307" s="1545" t="s">
        <v>2626</v>
      </c>
      <c r="C307" s="1530" t="s">
        <v>21</v>
      </c>
      <c r="D307" s="1542">
        <f>'Boulder Weir (Kunban Updated)'!J53</f>
        <v>2362.0115000000001</v>
      </c>
      <c r="E307" s="1612"/>
      <c r="F307" s="1613"/>
      <c r="G307" s="1613"/>
      <c r="H307" s="1673"/>
      <c r="I307" s="365">
        <f>I306*1.1</f>
        <v>4934.05</v>
      </c>
      <c r="J307" s="1543">
        <f>D307*I307</f>
        <v>11654282.841575</v>
      </c>
    </row>
    <row r="308" spans="1:10" ht="36">
      <c r="A308" s="1571" t="s">
        <v>2041</v>
      </c>
      <c r="B308" s="1545" t="s">
        <v>2738</v>
      </c>
      <c r="C308" s="1530"/>
      <c r="D308" s="1542"/>
      <c r="E308" s="1612"/>
      <c r="F308" s="1613"/>
      <c r="G308" s="1613"/>
      <c r="H308" s="1673"/>
      <c r="I308" s="365"/>
      <c r="J308" s="1543"/>
    </row>
    <row r="309" spans="1:10">
      <c r="A309" s="1554" t="s">
        <v>2664</v>
      </c>
      <c r="B309" s="1545" t="s">
        <v>2627</v>
      </c>
      <c r="C309" s="1530" t="s">
        <v>21</v>
      </c>
      <c r="D309" s="1542">
        <f>'Boulder Weir (Kunban Updated)'!J74</f>
        <v>1974.28745</v>
      </c>
      <c r="E309" s="1612"/>
      <c r="F309" s="1613"/>
      <c r="G309" s="1613"/>
      <c r="H309" s="1673"/>
      <c r="I309" s="365">
        <f>[45]Summary!$K$54</f>
        <v>1563.5</v>
      </c>
      <c r="J309" s="1543">
        <f>D309*I309</f>
        <v>3086798.4280750002</v>
      </c>
    </row>
    <row r="310" spans="1:10" ht="36">
      <c r="A310" s="1571" t="s">
        <v>2665</v>
      </c>
      <c r="B310" s="1545" t="s">
        <v>2739</v>
      </c>
      <c r="C310" s="1530"/>
      <c r="D310" s="1542"/>
      <c r="E310" s="1612"/>
      <c r="F310" s="1613"/>
      <c r="G310" s="1613"/>
      <c r="H310" s="1673"/>
      <c r="I310" s="365"/>
      <c r="J310" s="1543"/>
    </row>
    <row r="311" spans="1:10">
      <c r="A311" s="1554" t="s">
        <v>2666</v>
      </c>
      <c r="B311" s="1545" t="s">
        <v>2628</v>
      </c>
      <c r="C311" s="1530" t="s">
        <v>21</v>
      </c>
      <c r="D311" s="1542">
        <f>'Boulder Weir (Kunban Updated)'!J67</f>
        <v>250.17955000000001</v>
      </c>
      <c r="E311" s="1612"/>
      <c r="F311" s="1613"/>
      <c r="G311" s="1613"/>
      <c r="H311" s="1673"/>
      <c r="I311" s="365">
        <f>I58</f>
        <v>300</v>
      </c>
      <c r="J311" s="1543">
        <f>D311*I311</f>
        <v>75053.865000000005</v>
      </c>
    </row>
    <row r="312" spans="1:10">
      <c r="A312" s="1571" t="s">
        <v>2667</v>
      </c>
      <c r="B312" s="313" t="s">
        <v>1649</v>
      </c>
      <c r="C312" s="1576"/>
      <c r="D312" s="1542"/>
      <c r="E312" s="1612"/>
      <c r="F312" s="1613"/>
      <c r="G312" s="1613"/>
      <c r="H312" s="1673"/>
      <c r="I312" s="1577"/>
      <c r="J312" s="1543"/>
    </row>
    <row r="313" spans="1:10" ht="54">
      <c r="A313" s="1554" t="s">
        <v>2670</v>
      </c>
      <c r="B313" s="1550" t="s">
        <v>1248</v>
      </c>
      <c r="C313" s="1530" t="s">
        <v>25</v>
      </c>
      <c r="D313" s="1542">
        <f>'Boulder Weir (Kunban Updated)'!J77</f>
        <v>48.43</v>
      </c>
      <c r="E313" s="1612"/>
      <c r="F313" s="1613"/>
      <c r="G313" s="1613"/>
      <c r="H313" s="1673"/>
      <c r="I313" s="1577">
        <f>I103</f>
        <v>153246.08695652176</v>
      </c>
      <c r="J313" s="1543">
        <f>ROUND(I313*D313,2)</f>
        <v>7421707.9900000002</v>
      </c>
    </row>
    <row r="314" spans="1:10" ht="54">
      <c r="A314" s="1571" t="s">
        <v>2668</v>
      </c>
      <c r="B314" s="1550" t="s">
        <v>2740</v>
      </c>
      <c r="C314" s="1530"/>
      <c r="D314" s="1542"/>
      <c r="E314" s="1612"/>
      <c r="F314" s="1613"/>
      <c r="G314" s="1613"/>
      <c r="H314" s="1673"/>
      <c r="I314" s="1577"/>
      <c r="J314" s="1543"/>
    </row>
    <row r="315" spans="1:10">
      <c r="A315" s="1554" t="s">
        <v>2786</v>
      </c>
      <c r="B315" s="669" t="s">
        <v>155</v>
      </c>
      <c r="C315" s="1530" t="s">
        <v>27</v>
      </c>
      <c r="D315" s="1542">
        <f>'Boulder Weir (Kunban Updated)'!J82</f>
        <v>92</v>
      </c>
      <c r="E315" s="1612"/>
      <c r="F315" s="1613"/>
      <c r="G315" s="1613"/>
      <c r="H315" s="1673"/>
      <c r="I315" s="1577">
        <f>I105</f>
        <v>1693</v>
      </c>
      <c r="J315" s="1543">
        <f>ROUND(I315*D315,2)</f>
        <v>155756</v>
      </c>
    </row>
    <row r="316" spans="1:10">
      <c r="A316" s="1554" t="s">
        <v>2787</v>
      </c>
      <c r="B316" s="669" t="s">
        <v>174</v>
      </c>
      <c r="C316" s="1530" t="s">
        <v>27</v>
      </c>
      <c r="D316" s="1542">
        <f>'Boulder Weir (Kunban Updated)'!J86</f>
        <v>92</v>
      </c>
      <c r="E316" s="1612"/>
      <c r="F316" s="1613"/>
      <c r="G316" s="1613"/>
      <c r="H316" s="1673"/>
      <c r="I316" s="1577">
        <f t="shared" ref="I316:I317" si="8">I106</f>
        <v>1245</v>
      </c>
      <c r="J316" s="1543">
        <f>ROUND(I316*D316,2)</f>
        <v>114540</v>
      </c>
    </row>
    <row r="317" spans="1:10" ht="19.8">
      <c r="A317" s="1554" t="s">
        <v>2788</v>
      </c>
      <c r="B317" s="669" t="str">
        <f>B107</f>
        <v>Hydroseal/joint filler</v>
      </c>
      <c r="C317" s="1530" t="s">
        <v>122</v>
      </c>
      <c r="D317" s="1542">
        <f>'Boulder Weir (Kunban Updated)'!J90</f>
        <v>40</v>
      </c>
      <c r="E317" s="1612"/>
      <c r="F317" s="1613"/>
      <c r="G317" s="1613"/>
      <c r="H317" s="1673"/>
      <c r="I317" s="1577">
        <f t="shared" si="8"/>
        <v>1208</v>
      </c>
      <c r="J317" s="1543">
        <f>ROUND(I317*D317,2)</f>
        <v>48320</v>
      </c>
    </row>
    <row r="318" spans="1:10" ht="54">
      <c r="A318" s="1571" t="s">
        <v>2669</v>
      </c>
      <c r="B318" s="1579" t="s">
        <v>2785</v>
      </c>
      <c r="C318" s="1530"/>
      <c r="D318" s="1542"/>
      <c r="E318" s="1612"/>
      <c r="F318" s="1613"/>
      <c r="G318" s="1613"/>
      <c r="H318" s="1673"/>
      <c r="I318" s="1577"/>
      <c r="J318" s="1543"/>
    </row>
    <row r="319" spans="1:10" s="1531" customFormat="1">
      <c r="A319" s="1554" t="s">
        <v>2789</v>
      </c>
      <c r="B319" s="669" t="s">
        <v>2397</v>
      </c>
      <c r="C319" s="1530" t="s">
        <v>25</v>
      </c>
      <c r="D319" s="1542">
        <v>10</v>
      </c>
      <c r="E319" s="332"/>
      <c r="F319" s="332"/>
      <c r="G319" s="332"/>
      <c r="H319" s="1796"/>
      <c r="I319" s="1543">
        <f>I110</f>
        <v>54500</v>
      </c>
      <c r="J319" s="1543">
        <f>ROUND(I319*D319,2)</f>
        <v>545000</v>
      </c>
    </row>
    <row r="320" spans="1:10" s="1531" customFormat="1">
      <c r="A320" s="1554" t="s">
        <v>2790</v>
      </c>
      <c r="B320" s="669" t="s">
        <v>2398</v>
      </c>
      <c r="C320" s="1530" t="s">
        <v>25</v>
      </c>
      <c r="D320" s="1542">
        <v>2</v>
      </c>
      <c r="E320" s="332"/>
      <c r="F320" s="332"/>
      <c r="G320" s="332"/>
      <c r="H320" s="1796"/>
      <c r="I320" s="1543">
        <f t="shared" ref="I320:I322" si="9">I111</f>
        <v>54500</v>
      </c>
      <c r="J320" s="1543">
        <f t="shared" ref="J320:J322" si="10">ROUND(I320*D320,2)</f>
        <v>109000</v>
      </c>
    </row>
    <row r="321" spans="1:10" s="1531" customFormat="1">
      <c r="A321" s="1554" t="s">
        <v>2791</v>
      </c>
      <c r="B321" s="669" t="s">
        <v>2399</v>
      </c>
      <c r="C321" s="1530" t="s">
        <v>47</v>
      </c>
      <c r="D321" s="1542">
        <v>150</v>
      </c>
      <c r="E321" s="332"/>
      <c r="F321" s="332"/>
      <c r="G321" s="332"/>
      <c r="H321" s="1796"/>
      <c r="I321" s="1543">
        <f>I112</f>
        <v>272.5</v>
      </c>
      <c r="J321" s="1543">
        <f t="shared" si="10"/>
        <v>40875</v>
      </c>
    </row>
    <row r="322" spans="1:10" s="1531" customFormat="1">
      <c r="A322" s="1754" t="s">
        <v>2792</v>
      </c>
      <c r="B322" s="1755" t="s">
        <v>1902</v>
      </c>
      <c r="C322" s="1750" t="s">
        <v>27</v>
      </c>
      <c r="D322" s="1756">
        <v>100</v>
      </c>
      <c r="E322" s="1751"/>
      <c r="F322" s="332"/>
      <c r="G322" s="332"/>
      <c r="H322" s="1796"/>
      <c r="I322" s="1543">
        <f t="shared" si="9"/>
        <v>11600.82</v>
      </c>
      <c r="J322" s="1543">
        <f t="shared" si="10"/>
        <v>1160082</v>
      </c>
    </row>
    <row r="323" spans="1:10" ht="17.25" customHeight="1">
      <c r="A323" s="1528"/>
      <c r="B323" s="220"/>
      <c r="C323" s="1563"/>
      <c r="D323" s="1688"/>
      <c r="E323" s="1612"/>
      <c r="F323" s="1666" t="s">
        <v>1483</v>
      </c>
      <c r="G323" s="1691"/>
      <c r="H323" s="1674"/>
      <c r="I323" s="1612"/>
      <c r="J323" s="1717">
        <f>SUM(J294:J322)</f>
        <v>49933324.466400012</v>
      </c>
    </row>
    <row r="324" spans="1:10" s="1531" customFormat="1">
      <c r="A324" s="1532" t="s">
        <v>2044</v>
      </c>
      <c r="B324" s="1761" t="s">
        <v>3084</v>
      </c>
      <c r="C324" s="1551"/>
      <c r="D324" s="1738"/>
      <c r="E324" s="1699"/>
      <c r="F324" s="1536"/>
      <c r="G324" s="1699"/>
      <c r="H324" s="1668"/>
      <c r="I324" s="1542"/>
      <c r="J324" s="1543"/>
    </row>
    <row r="325" spans="1:10" s="1567" customFormat="1">
      <c r="A325" s="1571" t="s">
        <v>2045</v>
      </c>
      <c r="B325" s="1548" t="s">
        <v>18</v>
      </c>
      <c r="C325" s="1572"/>
      <c r="D325" s="1737"/>
      <c r="E325" s="1642"/>
      <c r="F325" s="1573"/>
      <c r="G325" s="1642"/>
      <c r="H325" s="1667"/>
      <c r="I325" s="1542"/>
      <c r="J325" s="1543"/>
    </row>
    <row r="326" spans="1:10" ht="72">
      <c r="A326" s="1554" t="s">
        <v>2046</v>
      </c>
      <c r="B326" s="1555" t="s">
        <v>2847</v>
      </c>
      <c r="C326" s="1576" t="s">
        <v>19</v>
      </c>
      <c r="D326" s="1542">
        <f>'Undersluice, T.passage,Fish (Up'!J14</f>
        <v>976.45570000000009</v>
      </c>
      <c r="E326" s="220"/>
      <c r="F326" s="220"/>
      <c r="G326" s="220"/>
      <c r="H326" s="1673"/>
      <c r="I326" s="1577">
        <f>I117</f>
        <v>40.5</v>
      </c>
      <c r="J326" s="1543">
        <f>ROUND(I326*D326,2)</f>
        <v>39546.46</v>
      </c>
    </row>
    <row r="327" spans="1:10" ht="72">
      <c r="A327" s="1571" t="s">
        <v>2047</v>
      </c>
      <c r="B327" s="1544" t="s">
        <v>2849</v>
      </c>
      <c r="C327" s="1576"/>
      <c r="D327" s="1542"/>
      <c r="E327" s="220"/>
      <c r="F327" s="220"/>
      <c r="G327" s="220"/>
      <c r="H327" s="1673"/>
      <c r="I327" s="1577"/>
      <c r="J327" s="1543"/>
    </row>
    <row r="328" spans="1:10">
      <c r="A328" s="1554" t="s">
        <v>2048</v>
      </c>
      <c r="B328" s="220" t="s">
        <v>1632</v>
      </c>
      <c r="C328" s="1530" t="s">
        <v>21</v>
      </c>
      <c r="D328" s="1542">
        <f>'Undersluice, T.passage,Fish (Up'!J23</f>
        <v>3477.6579199999996</v>
      </c>
      <c r="E328" s="1612"/>
      <c r="F328" s="1613"/>
      <c r="G328" s="1613"/>
      <c r="H328" s="1673"/>
      <c r="I328" s="1577">
        <f>I119</f>
        <v>351.34500000000003</v>
      </c>
      <c r="J328" s="1543">
        <f>ROUND(I328*D328,2)</f>
        <v>1221857.72</v>
      </c>
    </row>
    <row r="329" spans="1:10">
      <c r="A329" s="1554" t="s">
        <v>2049</v>
      </c>
      <c r="B329" s="220" t="s">
        <v>63</v>
      </c>
      <c r="C329" s="1530" t="s">
        <v>21</v>
      </c>
      <c r="D329" s="1542">
        <f>'Undersluice, T.passage,Fish (Up'!J22</f>
        <v>869.41447999999991</v>
      </c>
      <c r="E329" s="1612"/>
      <c r="F329" s="1613"/>
      <c r="G329" s="1613"/>
      <c r="H329" s="1673"/>
      <c r="I329" s="1577">
        <f>I120</f>
        <v>1375.6949999999999</v>
      </c>
      <c r="J329" s="1543">
        <f>ROUND(I329*D329,2)</f>
        <v>1196049.1499999999</v>
      </c>
    </row>
    <row r="330" spans="1:10">
      <c r="A330" s="1571" t="s">
        <v>2050</v>
      </c>
      <c r="B330" s="313" t="s">
        <v>31</v>
      </c>
      <c r="C330" s="1530"/>
      <c r="D330" s="1542"/>
      <c r="E330" s="1612"/>
      <c r="F330" s="1613"/>
      <c r="G330" s="1613"/>
      <c r="H330" s="1673"/>
      <c r="I330" s="1577"/>
      <c r="J330" s="1543"/>
    </row>
    <row r="331" spans="1:10" ht="54">
      <c r="A331" s="1554" t="s">
        <v>2051</v>
      </c>
      <c r="B331" s="1545" t="s">
        <v>2862</v>
      </c>
      <c r="C331" s="1530" t="s">
        <v>21</v>
      </c>
      <c r="D331" s="1542">
        <f>'Undersluice, T.passage,Fish (Up'!J29</f>
        <v>326.89659999999992</v>
      </c>
      <c r="E331" s="1612"/>
      <c r="F331" s="1613"/>
      <c r="G331" s="1613"/>
      <c r="H331" s="1677"/>
      <c r="I331" s="1577">
        <f>I122</f>
        <v>216.5</v>
      </c>
      <c r="J331" s="1543">
        <f>ROUND(I331*D331,2)</f>
        <v>70773.11</v>
      </c>
    </row>
    <row r="332" spans="1:10">
      <c r="A332" s="1571" t="s">
        <v>2052</v>
      </c>
      <c r="B332" s="1548" t="s">
        <v>309</v>
      </c>
      <c r="C332" s="1530"/>
      <c r="D332" s="1542"/>
      <c r="E332" s="1612"/>
      <c r="F332" s="1613"/>
      <c r="G332" s="1613"/>
      <c r="H332" s="1677"/>
      <c r="I332" s="1543"/>
      <c r="J332" s="1543"/>
    </row>
    <row r="333" spans="1:10" ht="54">
      <c r="A333" s="1554" t="s">
        <v>2053</v>
      </c>
      <c r="B333" s="1580" t="s">
        <v>1637</v>
      </c>
      <c r="C333" s="1576" t="s">
        <v>19</v>
      </c>
      <c r="D333" s="1542">
        <f>'Undersluice, T.passage,Fish (Up'!J46</f>
        <v>4842.1691000000001</v>
      </c>
      <c r="E333" s="1612"/>
      <c r="F333" s="1613"/>
      <c r="G333" s="1613"/>
      <c r="H333" s="1677"/>
      <c r="I333" s="1543">
        <f>I128</f>
        <v>1226.1157142857141</v>
      </c>
      <c r="J333" s="1543">
        <f>ROUND(I333*D333,2)</f>
        <v>5937059.6200000001</v>
      </c>
    </row>
    <row r="334" spans="1:10" ht="54">
      <c r="A334" s="1571" t="s">
        <v>2054</v>
      </c>
      <c r="B334" s="1529" t="s">
        <v>2735</v>
      </c>
      <c r="C334" s="1576"/>
      <c r="D334" s="1542"/>
      <c r="E334" s="1612"/>
      <c r="F334" s="1613"/>
      <c r="G334" s="1613"/>
      <c r="H334" s="1677"/>
      <c r="I334" s="1543"/>
      <c r="J334" s="1543"/>
    </row>
    <row r="335" spans="1:10">
      <c r="A335" s="1554" t="s">
        <v>2055</v>
      </c>
      <c r="B335" s="1546" t="s">
        <v>2105</v>
      </c>
      <c r="C335" s="1530" t="s">
        <v>21</v>
      </c>
      <c r="D335" s="1542">
        <f>'Undersluice, T.passage,Fish (Up'!J51</f>
        <v>61.204739999999994</v>
      </c>
      <c r="E335" s="1612"/>
      <c r="F335" s="1613"/>
      <c r="G335" s="1613"/>
      <c r="H335" s="1673"/>
      <c r="I335" s="1577">
        <f>I124</f>
        <v>13018</v>
      </c>
      <c r="J335" s="1543">
        <f>ROUND(I335*D335,2)</f>
        <v>796763.31</v>
      </c>
    </row>
    <row r="336" spans="1:10">
      <c r="A336" s="1554" t="s">
        <v>2671</v>
      </c>
      <c r="B336" s="1546" t="s">
        <v>1645</v>
      </c>
      <c r="C336" s="1530" t="s">
        <v>21</v>
      </c>
      <c r="D336" s="1542">
        <f>'Undersluice, T.passage,Fish (Up'!J64</f>
        <v>3455.1588499999998</v>
      </c>
      <c r="E336" s="1612"/>
      <c r="F336" s="1613"/>
      <c r="G336" s="1613"/>
      <c r="H336" s="1673"/>
      <c r="I336" s="1577">
        <f>I125</f>
        <v>18138</v>
      </c>
      <c r="J336" s="1543">
        <f>ROUND(I336*D336,2)</f>
        <v>62669671.219999999</v>
      </c>
    </row>
    <row r="337" spans="1:10">
      <c r="A337" s="1571" t="s">
        <v>2056</v>
      </c>
      <c r="B337" s="313" t="s">
        <v>1649</v>
      </c>
      <c r="C337" s="1530"/>
      <c r="D337" s="1542"/>
      <c r="E337" s="1612"/>
      <c r="F337" s="1613"/>
      <c r="G337" s="1613"/>
      <c r="H337" s="1673"/>
      <c r="I337" s="1577"/>
      <c r="J337" s="1543"/>
    </row>
    <row r="338" spans="1:10" ht="54">
      <c r="A338" s="1554" t="s">
        <v>2137</v>
      </c>
      <c r="B338" s="1550" t="s">
        <v>1248</v>
      </c>
      <c r="C338" s="1530" t="s">
        <v>25</v>
      </c>
      <c r="D338" s="1542">
        <f>'Undersluice, T.passage,Fish (Up'!J67</f>
        <v>271.22996972499999</v>
      </c>
      <c r="E338" s="1612"/>
      <c r="F338" s="1613"/>
      <c r="G338" s="1613"/>
      <c r="H338" s="1673"/>
      <c r="I338" s="1577">
        <f>I130</f>
        <v>153246.08695652176</v>
      </c>
      <c r="J338" s="1543">
        <f>ROUND(I338*D338,2)</f>
        <v>41564931.530000001</v>
      </c>
    </row>
    <row r="339" spans="1:10">
      <c r="A339" s="1571" t="s">
        <v>2057</v>
      </c>
      <c r="B339" s="313" t="s">
        <v>1693</v>
      </c>
      <c r="C339" s="1530"/>
      <c r="D339" s="1542"/>
      <c r="E339" s="1612"/>
      <c r="F339" s="1613"/>
      <c r="G339" s="1613"/>
      <c r="H339" s="1673"/>
      <c r="I339" s="1577"/>
      <c r="J339" s="1543"/>
    </row>
    <row r="340" spans="1:10" ht="51.75" customHeight="1">
      <c r="A340" s="1554" t="s">
        <v>2058</v>
      </c>
      <c r="B340" s="1550" t="s">
        <v>1695</v>
      </c>
      <c r="C340" s="1530" t="s">
        <v>21</v>
      </c>
      <c r="D340" s="1542">
        <f>'Undersluice, T.passage,Fish (Up'!J70</f>
        <v>119.925</v>
      </c>
      <c r="E340" s="1612"/>
      <c r="F340" s="1613"/>
      <c r="G340" s="1613"/>
      <c r="H340" s="1673"/>
      <c r="I340" s="1577">
        <f>I132</f>
        <v>9236.98</v>
      </c>
      <c r="J340" s="1543">
        <f>ROUND(I340*D340,2)</f>
        <v>1107744.83</v>
      </c>
    </row>
    <row r="341" spans="1:10" ht="54">
      <c r="A341" s="1571" t="s">
        <v>2136</v>
      </c>
      <c r="B341" s="1550" t="s">
        <v>2740</v>
      </c>
      <c r="C341" s="1530"/>
      <c r="D341" s="1542"/>
      <c r="E341" s="1612"/>
      <c r="F341" s="1613"/>
      <c r="G341" s="1613"/>
      <c r="H341" s="1673"/>
      <c r="I341" s="1577"/>
      <c r="J341" s="1543"/>
    </row>
    <row r="342" spans="1:10">
      <c r="A342" s="1554" t="s">
        <v>2366</v>
      </c>
      <c r="B342" s="669" t="s">
        <v>155</v>
      </c>
      <c r="C342" s="1530" t="s">
        <v>27</v>
      </c>
      <c r="D342" s="1542">
        <f>'Undersluice, T.passage,Fish (Up'!J77</f>
        <v>60</v>
      </c>
      <c r="E342" s="1612"/>
      <c r="F342" s="1613"/>
      <c r="G342" s="1613"/>
      <c r="H342" s="1673"/>
      <c r="I342" s="1577">
        <f>I134</f>
        <v>1693</v>
      </c>
      <c r="J342" s="1543">
        <f>ROUND(I342*D342,2)</f>
        <v>101580</v>
      </c>
    </row>
    <row r="343" spans="1:10">
      <c r="A343" s="1554" t="s">
        <v>2400</v>
      </c>
      <c r="B343" s="669" t="s">
        <v>174</v>
      </c>
      <c r="C343" s="1530" t="s">
        <v>27</v>
      </c>
      <c r="D343" s="1542">
        <f>'Undersluice, T.passage,Fish (Up'!J81</f>
        <v>60</v>
      </c>
      <c r="E343" s="1612"/>
      <c r="F343" s="1613"/>
      <c r="G343" s="1613"/>
      <c r="H343" s="1673"/>
      <c r="I343" s="1577">
        <f t="shared" ref="I343:I344" si="11">I135</f>
        <v>1245</v>
      </c>
      <c r="J343" s="1543">
        <f>ROUND(I343*D343,2)</f>
        <v>74700</v>
      </c>
    </row>
    <row r="344" spans="1:10" ht="19.8">
      <c r="A344" s="1554" t="s">
        <v>2401</v>
      </c>
      <c r="B344" s="669" t="s">
        <v>2390</v>
      </c>
      <c r="C344" s="1530" t="s">
        <v>122</v>
      </c>
      <c r="D344" s="1542">
        <f>'Undersluice, T.passage,Fish (Up'!J85</f>
        <v>120</v>
      </c>
      <c r="E344" s="1612"/>
      <c r="F344" s="1613"/>
      <c r="G344" s="1613"/>
      <c r="H344" s="1673"/>
      <c r="I344" s="1577">
        <f t="shared" si="11"/>
        <v>1208</v>
      </c>
      <c r="J344" s="1543">
        <f>ROUND(I344*D344,2)</f>
        <v>144960</v>
      </c>
    </row>
    <row r="345" spans="1:10" ht="17.25" customHeight="1">
      <c r="A345" s="1528"/>
      <c r="B345" s="1557"/>
      <c r="C345" s="1563"/>
      <c r="D345" s="1688"/>
      <c r="E345" s="1612"/>
      <c r="F345" s="1666" t="s">
        <v>1483</v>
      </c>
      <c r="G345" s="1691"/>
      <c r="H345" s="1674"/>
      <c r="I345" s="1612"/>
      <c r="J345" s="1717">
        <f>SUM(J326:J344)</f>
        <v>114925636.95</v>
      </c>
    </row>
    <row r="346" spans="1:10" s="1531" customFormat="1">
      <c r="A346" s="1532" t="s">
        <v>2060</v>
      </c>
      <c r="B346" s="1533" t="s">
        <v>3085</v>
      </c>
      <c r="C346" s="1551"/>
      <c r="D346" s="1738"/>
      <c r="E346" s="1699"/>
      <c r="F346" s="1536"/>
      <c r="G346" s="1699"/>
      <c r="H346" s="1668"/>
      <c r="I346" s="1542"/>
      <c r="J346" s="1543"/>
    </row>
    <row r="347" spans="1:10" s="1567" customFormat="1">
      <c r="A347" s="1571" t="s">
        <v>2138</v>
      </c>
      <c r="B347" s="1548" t="s">
        <v>18</v>
      </c>
      <c r="C347" s="1572"/>
      <c r="D347" s="1737"/>
      <c r="E347" s="1642"/>
      <c r="F347" s="1573"/>
      <c r="G347" s="1642"/>
      <c r="H347" s="1667"/>
      <c r="I347" s="1542"/>
      <c r="J347" s="1543"/>
    </row>
    <row r="348" spans="1:10" s="315" customFormat="1" ht="72">
      <c r="A348" s="1554" t="s">
        <v>2062</v>
      </c>
      <c r="B348" s="1555" t="s">
        <v>2847</v>
      </c>
      <c r="C348" s="1576" t="s">
        <v>19</v>
      </c>
      <c r="D348" s="1542">
        <f>'Intake, Gravel Trap and C.  (Up'!J12</f>
        <v>830.85200000000009</v>
      </c>
      <c r="E348" s="313"/>
      <c r="F348" s="313"/>
      <c r="G348" s="313"/>
      <c r="H348" s="1609"/>
      <c r="I348" s="1543">
        <f>I140</f>
        <v>40.5</v>
      </c>
      <c r="J348" s="1543">
        <f>ROUND(I348*D348,2)</f>
        <v>33649.51</v>
      </c>
    </row>
    <row r="349" spans="1:10" s="315" customFormat="1" ht="72">
      <c r="A349" s="1571" t="s">
        <v>2139</v>
      </c>
      <c r="B349" s="1544" t="s">
        <v>2849</v>
      </c>
      <c r="C349" s="1576"/>
      <c r="D349" s="1542"/>
      <c r="E349" s="313"/>
      <c r="F349" s="313"/>
      <c r="G349" s="313"/>
      <c r="H349" s="1609"/>
      <c r="I349" s="1543"/>
      <c r="J349" s="1543"/>
    </row>
    <row r="350" spans="1:10" s="315" customFormat="1">
      <c r="A350" s="1554" t="s">
        <v>2146</v>
      </c>
      <c r="B350" s="220" t="s">
        <v>1632</v>
      </c>
      <c r="C350" s="1530" t="s">
        <v>21</v>
      </c>
      <c r="D350" s="1542">
        <f>'Intake, Gravel Trap and C.  (Up'!J19</f>
        <v>4214.0337600000003</v>
      </c>
      <c r="E350" s="313"/>
      <c r="F350" s="313"/>
      <c r="G350" s="313"/>
      <c r="H350" s="1609"/>
      <c r="I350" s="1543">
        <f>I142</f>
        <v>351.34500000000003</v>
      </c>
      <c r="J350" s="1543">
        <f>ROUND(I350*D350,2)</f>
        <v>1480579.69</v>
      </c>
    </row>
    <row r="351" spans="1:10">
      <c r="A351" s="1554" t="s">
        <v>2147</v>
      </c>
      <c r="B351" s="220" t="s">
        <v>63</v>
      </c>
      <c r="C351" s="1530" t="s">
        <v>21</v>
      </c>
      <c r="D351" s="1542">
        <f>'Intake, Gravel Trap and C.  (Up'!J20</f>
        <v>1053.5084400000001</v>
      </c>
      <c r="E351" s="1612"/>
      <c r="F351" s="1613"/>
      <c r="G351" s="1613"/>
      <c r="H351" s="1677"/>
      <c r="I351" s="1543">
        <f>I143</f>
        <v>1375.6949999999999</v>
      </c>
      <c r="J351" s="1543">
        <f>ROUND(I351*D351,2)</f>
        <v>1449306.29</v>
      </c>
    </row>
    <row r="352" spans="1:10">
      <c r="A352" s="1571" t="s">
        <v>2140</v>
      </c>
      <c r="B352" s="313" t="s">
        <v>31</v>
      </c>
      <c r="C352" s="1530"/>
      <c r="D352" s="1542"/>
      <c r="E352" s="1612"/>
      <c r="F352" s="1613"/>
      <c r="G352" s="1613"/>
      <c r="H352" s="1677"/>
      <c r="I352" s="1543"/>
      <c r="J352" s="1543"/>
    </row>
    <row r="353" spans="1:10" ht="54">
      <c r="A353" s="1554" t="s">
        <v>2148</v>
      </c>
      <c r="B353" s="1545" t="s">
        <v>2862</v>
      </c>
      <c r="C353" s="1530" t="s">
        <v>21</v>
      </c>
      <c r="D353" s="1542">
        <f>'Intake, Gravel Trap and C.  (Up'!J24</f>
        <v>48.658799999999999</v>
      </c>
      <c r="E353" s="1612"/>
      <c r="F353" s="1613"/>
      <c r="G353" s="1613"/>
      <c r="H353" s="1677"/>
      <c r="I353" s="1543">
        <f>I145</f>
        <v>216.5</v>
      </c>
      <c r="J353" s="1543">
        <f>ROUND(I353*D353,2)</f>
        <v>10534.63</v>
      </c>
    </row>
    <row r="354" spans="1:10" ht="54">
      <c r="A354" s="1571" t="s">
        <v>2141</v>
      </c>
      <c r="B354" s="1545" t="s">
        <v>2735</v>
      </c>
      <c r="C354" s="1530"/>
      <c r="D354" s="1542"/>
      <c r="E354" s="1612"/>
      <c r="F354" s="1613"/>
      <c r="G354" s="1613"/>
      <c r="H354" s="1677"/>
      <c r="I354" s="1543"/>
      <c r="J354" s="1543"/>
    </row>
    <row r="355" spans="1:10">
      <c r="A355" s="1554" t="s">
        <v>2149</v>
      </c>
      <c r="B355" s="1546" t="s">
        <v>1641</v>
      </c>
      <c r="C355" s="1530" t="s">
        <v>21</v>
      </c>
      <c r="D355" s="1542">
        <f>'Intake, Gravel Trap and C.  (Up'!J30</f>
        <v>35.285429999999998</v>
      </c>
      <c r="E355" s="1612"/>
      <c r="F355" s="1613"/>
      <c r="G355" s="1613"/>
      <c r="H355" s="1677"/>
      <c r="I355" s="1543">
        <f>I147</f>
        <v>13018</v>
      </c>
      <c r="J355" s="1543">
        <f>ROUND(I355*D355,2)</f>
        <v>459345.73</v>
      </c>
    </row>
    <row r="356" spans="1:10">
      <c r="A356" s="1554" t="s">
        <v>2672</v>
      </c>
      <c r="B356" s="1546" t="s">
        <v>1645</v>
      </c>
      <c r="C356" s="1530" t="s">
        <v>21</v>
      </c>
      <c r="D356" s="1542">
        <f>'Intake, Gravel Trap and C.  (Up'!J41</f>
        <v>854.06943000000001</v>
      </c>
      <c r="E356" s="1612"/>
      <c r="F356" s="1613"/>
      <c r="G356" s="1613"/>
      <c r="H356" s="1677"/>
      <c r="I356" s="1543">
        <f t="shared" ref="I356:I367" si="12">I148</f>
        <v>18138</v>
      </c>
      <c r="J356" s="1543">
        <f>ROUND(I356*D356,2)</f>
        <v>15491111.32</v>
      </c>
    </row>
    <row r="357" spans="1:10">
      <c r="A357" s="1554" t="s">
        <v>2673</v>
      </c>
      <c r="B357" s="1546" t="s">
        <v>2876</v>
      </c>
      <c r="C357" s="1530" t="s">
        <v>21</v>
      </c>
      <c r="D357" s="1542">
        <f>'Intake, Gravel Trap and C.  (Up'!J44</f>
        <v>116.91</v>
      </c>
      <c r="E357" s="1612"/>
      <c r="F357" s="1613"/>
      <c r="G357" s="1613"/>
      <c r="H357" s="1677"/>
      <c r="I357" s="1543">
        <f t="shared" si="12"/>
        <v>11390.5</v>
      </c>
      <c r="J357" s="1543">
        <f>ROUND(I357*D357,2)</f>
        <v>1331663.3600000001</v>
      </c>
    </row>
    <row r="358" spans="1:10">
      <c r="A358" s="1571" t="s">
        <v>2142</v>
      </c>
      <c r="B358" s="1548" t="s">
        <v>309</v>
      </c>
      <c r="C358" s="1530"/>
      <c r="D358" s="1542"/>
      <c r="E358" s="1612"/>
      <c r="F358" s="1613"/>
      <c r="G358" s="1613"/>
      <c r="H358" s="1677"/>
      <c r="I358" s="1543"/>
      <c r="J358" s="1543"/>
    </row>
    <row r="359" spans="1:10" ht="54">
      <c r="A359" s="1554" t="s">
        <v>2150</v>
      </c>
      <c r="B359" s="1549" t="s">
        <v>1637</v>
      </c>
      <c r="C359" s="1530" t="s">
        <v>311</v>
      </c>
      <c r="D359" s="1542">
        <f>'Intake, Gravel Trap and C.  (Up'!J54</f>
        <v>658.34460000000001</v>
      </c>
      <c r="E359" s="220"/>
      <c r="F359" s="220"/>
      <c r="G359" s="220"/>
      <c r="H359" s="1677"/>
      <c r="I359" s="1543">
        <f t="shared" si="12"/>
        <v>1226.1157142857141</v>
      </c>
      <c r="J359" s="1543">
        <f>ROUND(I359*D359,2)</f>
        <v>807206.66</v>
      </c>
    </row>
    <row r="360" spans="1:10">
      <c r="A360" s="1571" t="s">
        <v>2143</v>
      </c>
      <c r="B360" s="313" t="s">
        <v>1649</v>
      </c>
      <c r="C360" s="1530"/>
      <c r="D360" s="1542"/>
      <c r="E360" s="220"/>
      <c r="F360" s="220"/>
      <c r="G360" s="220"/>
      <c r="H360" s="1677"/>
      <c r="I360" s="1543"/>
      <c r="J360" s="1543"/>
    </row>
    <row r="361" spans="1:10" ht="54">
      <c r="A361" s="1554" t="s">
        <v>2151</v>
      </c>
      <c r="B361" s="1550" t="s">
        <v>1248</v>
      </c>
      <c r="C361" s="1530" t="s">
        <v>25</v>
      </c>
      <c r="D361" s="1542">
        <f>'Intake, Gravel Trap and C.  (Up'!J57</f>
        <v>67.044450255000001</v>
      </c>
      <c r="E361" s="220"/>
      <c r="F361" s="220"/>
      <c r="G361" s="220"/>
      <c r="H361" s="1677"/>
      <c r="I361" s="1543">
        <f t="shared" si="12"/>
        <v>153246.08695652176</v>
      </c>
      <c r="J361" s="1543">
        <f>ROUND(I361*D361,2)</f>
        <v>10274299.65</v>
      </c>
    </row>
    <row r="362" spans="1:10">
      <c r="A362" s="1528" t="s">
        <v>2144</v>
      </c>
      <c r="B362" s="313" t="s">
        <v>1693</v>
      </c>
      <c r="C362" s="1530"/>
      <c r="D362" s="1542"/>
      <c r="E362" s="220"/>
      <c r="F362" s="220"/>
      <c r="G362" s="220"/>
      <c r="H362" s="1677"/>
      <c r="I362" s="1543"/>
      <c r="J362" s="1543"/>
    </row>
    <row r="363" spans="1:10" ht="51.75" customHeight="1">
      <c r="A363" s="1554" t="s">
        <v>2152</v>
      </c>
      <c r="B363" s="1550" t="s">
        <v>2601</v>
      </c>
      <c r="C363" s="1576" t="s">
        <v>19</v>
      </c>
      <c r="D363" s="1542">
        <f>'Intake, Gravel Trap and C.  (Up'!J62</f>
        <v>180.83159999999998</v>
      </c>
      <c r="E363" s="220"/>
      <c r="F363" s="220"/>
      <c r="G363" s="220"/>
      <c r="H363" s="1677"/>
      <c r="I363" s="1543">
        <f t="shared" si="12"/>
        <v>9236.98</v>
      </c>
      <c r="J363" s="1543">
        <f>ROUND(I363*D363,2)</f>
        <v>1670337.87</v>
      </c>
    </row>
    <row r="364" spans="1:10" ht="54">
      <c r="A364" s="1571" t="s">
        <v>2145</v>
      </c>
      <c r="B364" s="1550" t="s">
        <v>2740</v>
      </c>
      <c r="C364" s="1576"/>
      <c r="D364" s="1542"/>
      <c r="E364" s="220"/>
      <c r="F364" s="220"/>
      <c r="G364" s="220"/>
      <c r="H364" s="1677"/>
      <c r="I364" s="1543"/>
      <c r="J364" s="1543"/>
    </row>
    <row r="365" spans="1:10">
      <c r="A365" s="1554" t="s">
        <v>2153</v>
      </c>
      <c r="B365" s="669" t="s">
        <v>155</v>
      </c>
      <c r="C365" s="1530" t="s">
        <v>27</v>
      </c>
      <c r="D365" s="1542">
        <f>'Intake, Gravel Trap and C.  (Up'!J65</f>
        <v>40</v>
      </c>
      <c r="E365" s="220"/>
      <c r="F365" s="220"/>
      <c r="G365" s="220"/>
      <c r="H365" s="1677"/>
      <c r="I365" s="1543">
        <f t="shared" si="12"/>
        <v>1693</v>
      </c>
      <c r="J365" s="1543">
        <f>ROUND(I365*D365,2)</f>
        <v>67720</v>
      </c>
    </row>
    <row r="366" spans="1:10">
      <c r="A366" s="1554" t="s">
        <v>2674</v>
      </c>
      <c r="B366" s="669" t="s">
        <v>174</v>
      </c>
      <c r="C366" s="1530" t="s">
        <v>27</v>
      </c>
      <c r="D366" s="1542">
        <f>'Intake, Gravel Trap and C.  (Up'!J68</f>
        <v>40</v>
      </c>
      <c r="E366" s="220"/>
      <c r="F366" s="220"/>
      <c r="G366" s="220"/>
      <c r="H366" s="1677"/>
      <c r="I366" s="1543">
        <f t="shared" si="12"/>
        <v>1245</v>
      </c>
      <c r="J366" s="1543">
        <f>ROUND(I366*D366,2)</f>
        <v>49800</v>
      </c>
    </row>
    <row r="367" spans="1:10" ht="19.8">
      <c r="A367" s="1554" t="s">
        <v>2675</v>
      </c>
      <c r="B367" s="669" t="s">
        <v>2390</v>
      </c>
      <c r="C367" s="1576" t="s">
        <v>122</v>
      </c>
      <c r="D367" s="1542">
        <f>'Intake, Gravel Trap and C.  (Up'!J71</f>
        <v>80</v>
      </c>
      <c r="E367" s="220"/>
      <c r="F367" s="220"/>
      <c r="G367" s="220"/>
      <c r="H367" s="1677"/>
      <c r="I367" s="1543">
        <f t="shared" si="12"/>
        <v>1208</v>
      </c>
      <c r="J367" s="1543">
        <f>ROUND(I367*D367,2)</f>
        <v>96640</v>
      </c>
    </row>
    <row r="368" spans="1:10" ht="17.25" customHeight="1">
      <c r="A368" s="1528"/>
      <c r="B368" s="1557"/>
      <c r="C368" s="1581"/>
      <c r="D368" s="1741"/>
      <c r="E368" s="220"/>
      <c r="F368" s="1666" t="s">
        <v>1483</v>
      </c>
      <c r="G368" s="1695"/>
      <c r="H368" s="1678"/>
      <c r="I368" s="220"/>
      <c r="J368" s="1717">
        <f>SUM(J348:J367)</f>
        <v>33222194.710000005</v>
      </c>
    </row>
    <row r="369" spans="1:14" s="315" customFormat="1">
      <c r="A369" s="1532" t="s">
        <v>2065</v>
      </c>
      <c r="B369" s="1533" t="s">
        <v>2602</v>
      </c>
      <c r="C369" s="1534"/>
      <c r="D369" s="1736"/>
      <c r="E369" s="1697"/>
      <c r="F369" s="1536"/>
      <c r="G369" s="1697"/>
      <c r="H369" s="1668"/>
      <c r="I369" s="1542"/>
      <c r="J369" s="1543"/>
    </row>
    <row r="370" spans="1:14" s="1582" customFormat="1">
      <c r="A370" s="1571" t="s">
        <v>2067</v>
      </c>
      <c r="B370" s="1548" t="s">
        <v>18</v>
      </c>
      <c r="C370" s="1572"/>
      <c r="D370" s="1547"/>
      <c r="E370" s="1506"/>
      <c r="F370" s="1506"/>
      <c r="G370" s="1506"/>
      <c r="H370" s="1667"/>
      <c r="I370" s="1543"/>
      <c r="J370" s="1543"/>
    </row>
    <row r="371" spans="1:14" ht="72">
      <c r="A371" s="1554" t="s">
        <v>2069</v>
      </c>
      <c r="B371" s="1555" t="s">
        <v>2847</v>
      </c>
      <c r="C371" s="1576" t="s">
        <v>19</v>
      </c>
      <c r="D371" s="1542">
        <f>'S.basin,HP&amp;Spillway'!J15</f>
        <v>5280.55</v>
      </c>
      <c r="E371" s="220"/>
      <c r="F371" s="220"/>
      <c r="G371" s="220"/>
      <c r="H371" s="1609"/>
      <c r="I371" s="1543">
        <f>I140</f>
        <v>40.5</v>
      </c>
      <c r="J371" s="1543">
        <f>ROUND(I371*D371,2)</f>
        <v>213862.28</v>
      </c>
    </row>
    <row r="372" spans="1:14" ht="72">
      <c r="A372" s="1571" t="s">
        <v>2079</v>
      </c>
      <c r="B372" s="1544" t="s">
        <v>2849</v>
      </c>
      <c r="C372" s="1576"/>
      <c r="D372" s="1542"/>
      <c r="E372" s="220"/>
      <c r="F372" s="220"/>
      <c r="G372" s="220"/>
      <c r="H372" s="1609"/>
      <c r="I372" s="1543"/>
      <c r="J372" s="1543"/>
    </row>
    <row r="373" spans="1:14">
      <c r="A373" s="1554" t="s">
        <v>2081</v>
      </c>
      <c r="B373" s="220" t="s">
        <v>1632</v>
      </c>
      <c r="C373" s="1530" t="s">
        <v>21</v>
      </c>
      <c r="D373" s="1542">
        <f>'S.basin,HP&amp;Spillway'!J23</f>
        <v>23056.314999999999</v>
      </c>
      <c r="E373" s="220"/>
      <c r="F373" s="220"/>
      <c r="G373" s="220"/>
      <c r="H373" s="1609"/>
      <c r="I373" s="1543">
        <f>I142</f>
        <v>351.34500000000003</v>
      </c>
      <c r="J373" s="1543">
        <f>ROUND(I373*D373,2)</f>
        <v>8100720.9900000002</v>
      </c>
    </row>
    <row r="374" spans="1:14">
      <c r="A374" s="1554" t="s">
        <v>2083</v>
      </c>
      <c r="B374" s="220" t="s">
        <v>1634</v>
      </c>
      <c r="C374" s="1530" t="s">
        <v>21</v>
      </c>
      <c r="D374" s="1542">
        <f>'S.basin,HP&amp;Spillway'!J24</f>
        <v>23056.314999999999</v>
      </c>
      <c r="E374" s="220"/>
      <c r="F374" s="220"/>
      <c r="G374" s="220"/>
      <c r="H374" s="1677"/>
      <c r="I374" s="1543">
        <f>I143</f>
        <v>1375.6949999999999</v>
      </c>
      <c r="J374" s="1543">
        <f>ROUND(I374*D374,2)</f>
        <v>31718457.260000002</v>
      </c>
    </row>
    <row r="375" spans="1:14">
      <c r="A375" s="1571" t="s">
        <v>2086</v>
      </c>
      <c r="B375" s="313" t="s">
        <v>31</v>
      </c>
      <c r="C375" s="1530"/>
      <c r="D375" s="1542"/>
      <c r="E375" s="220"/>
      <c r="F375" s="220"/>
      <c r="G375" s="220"/>
      <c r="H375" s="1677"/>
      <c r="I375" s="1543"/>
      <c r="J375" s="1543"/>
    </row>
    <row r="376" spans="1:14" ht="54">
      <c r="A376" s="1554" t="s">
        <v>2088</v>
      </c>
      <c r="B376" s="1545" t="s">
        <v>2862</v>
      </c>
      <c r="C376" s="1530" t="s">
        <v>21</v>
      </c>
      <c r="D376" s="1542">
        <f>'S.basin,HP&amp;Spillway'!J33</f>
        <v>16906.806</v>
      </c>
      <c r="E376" s="220"/>
      <c r="F376" s="220"/>
      <c r="G376" s="220"/>
      <c r="H376" s="1677"/>
      <c r="I376" s="1543">
        <f>I145</f>
        <v>216.5</v>
      </c>
      <c r="J376" s="1543">
        <f>ROUND(I376*D376,2)</f>
        <v>3660323.5</v>
      </c>
    </row>
    <row r="377" spans="1:14" ht="54">
      <c r="A377" s="1571" t="s">
        <v>2094</v>
      </c>
      <c r="B377" s="1545" t="s">
        <v>2735</v>
      </c>
      <c r="C377" s="1530"/>
      <c r="D377" s="1542"/>
      <c r="E377" s="220"/>
      <c r="F377" s="220"/>
      <c r="G377" s="220"/>
      <c r="H377" s="1677"/>
      <c r="I377" s="1543"/>
      <c r="J377" s="1543"/>
    </row>
    <row r="378" spans="1:14">
      <c r="A378" s="1554" t="s">
        <v>2096</v>
      </c>
      <c r="B378" s="1546" t="s">
        <v>1641</v>
      </c>
      <c r="C378" s="1530" t="s">
        <v>21</v>
      </c>
      <c r="D378" s="1542">
        <f>'S.basin,HP&amp;Spillway'!J40</f>
        <v>299.1225</v>
      </c>
      <c r="E378" s="220"/>
      <c r="F378" s="220"/>
      <c r="G378" s="220"/>
      <c r="H378" s="1677"/>
      <c r="I378" s="1543">
        <f>I147</f>
        <v>13018</v>
      </c>
      <c r="J378" s="1543">
        <f>ROUND(I378*D378,2)</f>
        <v>3893976.71</v>
      </c>
    </row>
    <row r="379" spans="1:14">
      <c r="A379" s="1554" t="s">
        <v>2098</v>
      </c>
      <c r="B379" s="1546" t="s">
        <v>1645</v>
      </c>
      <c r="C379" s="1530" t="s">
        <v>21</v>
      </c>
      <c r="D379" s="1542">
        <f>'S.basin,HP&amp;Spillway'!J64</f>
        <v>8000.4820299999983</v>
      </c>
      <c r="E379" s="220"/>
      <c r="F379" s="220"/>
      <c r="G379" s="220"/>
      <c r="H379" s="1677"/>
      <c r="I379" s="1543">
        <f>I148</f>
        <v>18138</v>
      </c>
      <c r="J379" s="1543">
        <f>ROUND(I379*D379,2)</f>
        <v>145112743.06</v>
      </c>
    </row>
    <row r="380" spans="1:14">
      <c r="A380" s="1571" t="s">
        <v>2154</v>
      </c>
      <c r="B380" s="1548" t="s">
        <v>309</v>
      </c>
      <c r="C380" s="1530"/>
      <c r="D380" s="1542"/>
      <c r="E380" s="220"/>
      <c r="F380" s="220"/>
      <c r="G380" s="220"/>
      <c r="H380" s="1677"/>
      <c r="I380" s="1543"/>
      <c r="J380" s="1543"/>
    </row>
    <row r="381" spans="1:14" ht="54">
      <c r="A381" s="1554" t="s">
        <v>2161</v>
      </c>
      <c r="B381" s="1549" t="s">
        <v>1637</v>
      </c>
      <c r="C381" s="1576" t="s">
        <v>19</v>
      </c>
      <c r="D381" s="1542">
        <f>'S.basin,HP&amp;Spillway'!J91</f>
        <v>9713.8601999999992</v>
      </c>
      <c r="E381" s="220"/>
      <c r="F381" s="220"/>
      <c r="G381" s="220"/>
      <c r="H381" s="1677"/>
      <c r="I381" s="1543">
        <f>I151</f>
        <v>1226.1157142857141</v>
      </c>
      <c r="J381" s="1543">
        <f>ROUND(I381*D381,2)</f>
        <v>11910316.640000001</v>
      </c>
    </row>
    <row r="382" spans="1:14">
      <c r="A382" s="1571" t="s">
        <v>2155</v>
      </c>
      <c r="B382" s="313" t="s">
        <v>1649</v>
      </c>
      <c r="C382" s="1576"/>
      <c r="D382" s="1542"/>
      <c r="E382" s="220"/>
      <c r="F382" s="220"/>
      <c r="G382" s="220"/>
      <c r="H382" s="1677"/>
      <c r="I382" s="1543"/>
      <c r="J382" s="1543"/>
    </row>
    <row r="383" spans="1:14" ht="54">
      <c r="A383" s="1554" t="s">
        <v>2160</v>
      </c>
      <c r="B383" s="1550" t="s">
        <v>1248</v>
      </c>
      <c r="C383" s="1530" t="s">
        <v>25</v>
      </c>
      <c r="D383" s="1542">
        <f>'S.basin,HP&amp;Spillway'!J95</f>
        <v>628.03783935499996</v>
      </c>
      <c r="E383" s="220"/>
      <c r="F383" s="220"/>
      <c r="G383" s="220"/>
      <c r="H383" s="1677"/>
      <c r="I383" s="1543">
        <f>I153</f>
        <v>153246.08695652176</v>
      </c>
      <c r="J383" s="1543">
        <f>ROUND(I383*D383,2)</f>
        <v>96244341.340000004</v>
      </c>
      <c r="N383" s="1592"/>
    </row>
    <row r="384" spans="1:14">
      <c r="A384" s="1571" t="s">
        <v>2156</v>
      </c>
      <c r="B384" s="313" t="s">
        <v>1702</v>
      </c>
      <c r="C384" s="1530"/>
      <c r="D384" s="1542"/>
      <c r="E384" s="220"/>
      <c r="F384" s="220"/>
      <c r="G384" s="220"/>
      <c r="H384" s="1677"/>
      <c r="I384" s="1543"/>
      <c r="J384" s="1543"/>
      <c r="N384" s="1592"/>
    </row>
    <row r="385" spans="1:16" ht="36">
      <c r="A385" s="1554" t="s">
        <v>2159</v>
      </c>
      <c r="B385" s="1529" t="s">
        <v>1704</v>
      </c>
      <c r="C385" s="1530" t="s">
        <v>21</v>
      </c>
      <c r="D385" s="1542">
        <f>'S.basin,HP&amp;Spillway'!J101</f>
        <v>1320.2941999999998</v>
      </c>
      <c r="E385" s="220"/>
      <c r="F385" s="220"/>
      <c r="G385" s="220"/>
      <c r="H385" s="1677"/>
      <c r="I385" s="1543">
        <f>[45]Summary!$K$183</f>
        <v>5201.5</v>
      </c>
      <c r="J385" s="1543">
        <f>ROUND(I385*D385,2)</f>
        <v>6867510.2800000003</v>
      </c>
      <c r="N385" s="1592"/>
      <c r="P385" s="1592"/>
    </row>
    <row r="386" spans="1:16">
      <c r="A386" s="1528" t="s">
        <v>2157</v>
      </c>
      <c r="B386" s="313" t="s">
        <v>1706</v>
      </c>
      <c r="C386" s="1530"/>
      <c r="D386" s="1542"/>
      <c r="E386" s="220"/>
      <c r="F386" s="220"/>
      <c r="G386" s="220"/>
      <c r="H386" s="1677"/>
      <c r="I386" s="1543"/>
      <c r="J386" s="1543"/>
      <c r="N386" s="1592"/>
      <c r="P386" s="1592"/>
    </row>
    <row r="387" spans="1:16" ht="36">
      <c r="A387" s="1554" t="s">
        <v>2158</v>
      </c>
      <c r="B387" s="1529" t="s">
        <v>1710</v>
      </c>
      <c r="C387" s="1530" t="s">
        <v>21</v>
      </c>
      <c r="D387" s="1542">
        <f>'S.basin,HP&amp;Spillway'!J106</f>
        <v>6363.1643599999998</v>
      </c>
      <c r="E387" s="220"/>
      <c r="F387" s="220"/>
      <c r="G387" s="220"/>
      <c r="H387" s="1677"/>
      <c r="I387" s="1543">
        <f>I271</f>
        <v>9781.5</v>
      </c>
      <c r="J387" s="1543">
        <f>ROUND(I387*D387,2)</f>
        <v>62241292.189999998</v>
      </c>
    </row>
    <row r="388" spans="1:16">
      <c r="A388" s="1571" t="s">
        <v>2676</v>
      </c>
      <c r="B388" s="1557" t="s">
        <v>2654</v>
      </c>
      <c r="C388" s="1565"/>
      <c r="D388" s="1542"/>
      <c r="E388" s="220"/>
      <c r="F388" s="220"/>
      <c r="G388" s="220"/>
      <c r="H388" s="1677"/>
      <c r="I388" s="1543"/>
      <c r="J388" s="1543"/>
    </row>
    <row r="389" spans="1:16" ht="36">
      <c r="A389" s="1554" t="s">
        <v>2677</v>
      </c>
      <c r="B389" s="669" t="s">
        <v>2926</v>
      </c>
      <c r="C389" s="1576" t="s">
        <v>367</v>
      </c>
      <c r="D389" s="1542">
        <f>'S.basin,HP&amp;Spillway'!J109</f>
        <v>199</v>
      </c>
      <c r="E389" s="220"/>
      <c r="F389" s="220"/>
      <c r="G389" s="220"/>
      <c r="H389" s="1677"/>
      <c r="I389" s="1543">
        <f>[45]Summary!$K$244*2.5</f>
        <v>14961.25</v>
      </c>
      <c r="J389" s="1543">
        <f>ROUND(I389*D389,2)</f>
        <v>2977288.75</v>
      </c>
    </row>
    <row r="390" spans="1:16">
      <c r="A390" s="1571" t="s">
        <v>2678</v>
      </c>
      <c r="B390" s="1557" t="s">
        <v>2653</v>
      </c>
      <c r="C390" s="1530"/>
      <c r="D390" s="1542"/>
      <c r="E390" s="220"/>
      <c r="F390" s="220"/>
      <c r="G390" s="220"/>
      <c r="H390" s="1677"/>
      <c r="I390" s="1543"/>
      <c r="J390" s="1543"/>
    </row>
    <row r="391" spans="1:16" ht="54">
      <c r="A391" s="1554" t="s">
        <v>2679</v>
      </c>
      <c r="B391" s="1538" t="s">
        <v>2902</v>
      </c>
      <c r="C391" s="1530" t="s">
        <v>46</v>
      </c>
      <c r="D391" s="1542">
        <f>'S.basin,HP&amp;Spillway'!J112</f>
        <v>161.479906</v>
      </c>
      <c r="E391" s="220"/>
      <c r="F391" s="220"/>
      <c r="G391" s="220"/>
      <c r="H391" s="1677"/>
      <c r="I391" s="1543">
        <f>I236</f>
        <v>3051.828</v>
      </c>
      <c r="J391" s="1543">
        <f>ROUND(I391*D391,2)</f>
        <v>492808.9</v>
      </c>
    </row>
    <row r="392" spans="1:16">
      <c r="A392" s="1571" t="s">
        <v>2680</v>
      </c>
      <c r="B392" s="1611" t="s">
        <v>1229</v>
      </c>
      <c r="C392" s="1530"/>
      <c r="D392" s="1542"/>
      <c r="E392" s="220"/>
      <c r="F392" s="220"/>
      <c r="G392" s="220"/>
      <c r="H392" s="1677"/>
      <c r="I392" s="1543"/>
      <c r="J392" s="1543"/>
    </row>
    <row r="393" spans="1:16">
      <c r="A393" s="1754" t="s">
        <v>2758</v>
      </c>
      <c r="B393" s="1505" t="s">
        <v>1235</v>
      </c>
      <c r="C393" s="1750" t="s">
        <v>46</v>
      </c>
      <c r="D393" s="1756">
        <f>'S.basin,HP&amp;Spillway'!J115</f>
        <v>127.33</v>
      </c>
      <c r="E393" s="1505"/>
      <c r="F393" s="1505"/>
      <c r="G393" s="220"/>
      <c r="H393" s="1677"/>
      <c r="I393" s="1543">
        <f>I222</f>
        <v>618</v>
      </c>
      <c r="J393" s="1543">
        <f>ROUND(I393*D393,2)</f>
        <v>78689.94</v>
      </c>
    </row>
    <row r="394" spans="1:16" ht="54">
      <c r="A394" s="1571" t="s">
        <v>2681</v>
      </c>
      <c r="B394" s="1546" t="s">
        <v>2741</v>
      </c>
      <c r="C394" s="1530"/>
      <c r="D394" s="1542"/>
      <c r="E394" s="220"/>
      <c r="F394" s="220"/>
      <c r="G394" s="220"/>
      <c r="H394" s="1677"/>
      <c r="I394" s="1543"/>
      <c r="J394" s="1543"/>
    </row>
    <row r="395" spans="1:16">
      <c r="A395" s="1554" t="s">
        <v>2682</v>
      </c>
      <c r="B395" s="669" t="str">
        <f>'S.basin,HP&amp;Spillway'!B117</f>
        <v>Water Bar</v>
      </c>
      <c r="C395" s="1576" t="s">
        <v>27</v>
      </c>
      <c r="D395" s="1542">
        <f>'S.basin,HP&amp;Spillway'!J119</f>
        <v>350</v>
      </c>
      <c r="E395" s="220"/>
      <c r="F395" s="220"/>
      <c r="G395" s="220"/>
      <c r="H395" s="1677"/>
      <c r="I395" s="1543">
        <v>1693</v>
      </c>
      <c r="J395" s="1543">
        <f>ROUND(I395*D395,2)</f>
        <v>592550</v>
      </c>
    </row>
    <row r="396" spans="1:16">
      <c r="A396" s="1554" t="s">
        <v>2683</v>
      </c>
      <c r="B396" s="669" t="str">
        <f>'S.basin,HP&amp;Spillway'!B121</f>
        <v>Sealant</v>
      </c>
      <c r="C396" s="1576" t="s">
        <v>27</v>
      </c>
      <c r="D396" s="1542">
        <f>'S.basin,HP&amp;Spillway'!J123</f>
        <v>350</v>
      </c>
      <c r="E396" s="220"/>
      <c r="F396" s="220"/>
      <c r="G396" s="220"/>
      <c r="H396" s="1677"/>
      <c r="I396" s="1543">
        <v>1245</v>
      </c>
      <c r="J396" s="1543">
        <f>ROUND(I396*D396,2)</f>
        <v>435750</v>
      </c>
    </row>
    <row r="397" spans="1:16" ht="19.8">
      <c r="A397" s="1554" t="s">
        <v>2684</v>
      </c>
      <c r="B397" s="669" t="s">
        <v>2390</v>
      </c>
      <c r="C397" s="1530" t="s">
        <v>122</v>
      </c>
      <c r="D397" s="1542">
        <f>'S.basin,HP&amp;Spillway'!J126</f>
        <v>700</v>
      </c>
      <c r="E397" s="220"/>
      <c r="F397" s="220"/>
      <c r="G397" s="220"/>
      <c r="H397" s="1677"/>
      <c r="I397" s="1543">
        <v>1208</v>
      </c>
      <c r="J397" s="1543">
        <f>ROUND(I397*D397,2)</f>
        <v>845600</v>
      </c>
    </row>
    <row r="398" spans="1:16">
      <c r="A398" s="1749" t="s">
        <v>2685</v>
      </c>
      <c r="B398" s="1760" t="s">
        <v>1550</v>
      </c>
      <c r="C398" s="1750" t="s">
        <v>305</v>
      </c>
      <c r="D398" s="1756">
        <v>1</v>
      </c>
      <c r="E398" s="1505"/>
      <c r="F398" s="1505"/>
      <c r="G398" s="220"/>
      <c r="H398" s="1677"/>
      <c r="I398" s="1543">
        <v>45000000</v>
      </c>
      <c r="J398" s="1543">
        <f>ROUND(I398*D398,2)</f>
        <v>45000000</v>
      </c>
    </row>
    <row r="399" spans="1:16" ht="17.25" customHeight="1">
      <c r="A399" s="1528"/>
      <c r="B399" s="1557"/>
      <c r="C399" s="1563"/>
      <c r="D399" s="1688"/>
      <c r="E399" s="220"/>
      <c r="F399" s="1666" t="s">
        <v>1483</v>
      </c>
      <c r="G399" s="1695"/>
      <c r="H399" s="1678"/>
      <c r="I399" s="220"/>
      <c r="J399" s="1717">
        <f>SUM(J371:J398)</f>
        <v>420386231.83999991</v>
      </c>
    </row>
    <row r="400" spans="1:16" ht="18" customHeight="1">
      <c r="A400" s="1554"/>
      <c r="B400" s="669"/>
      <c r="C400" s="1530"/>
      <c r="D400" s="1686"/>
      <c r="E400" s="220"/>
      <c r="F400" s="1666" t="s">
        <v>1557</v>
      </c>
      <c r="G400" s="1695"/>
      <c r="H400" s="1677"/>
      <c r="I400" s="220"/>
      <c r="J400" s="1717">
        <f>J275+J291+J323+J345+J368+J399</f>
        <v>697633322.54173791</v>
      </c>
      <c r="L400" s="1653"/>
    </row>
    <row r="401" spans="1:76" s="1654" customFormat="1" ht="17.25" customHeight="1">
      <c r="A401" s="1584"/>
      <c r="B401" s="2334" t="s">
        <v>2911</v>
      </c>
      <c r="C401" s="2334"/>
      <c r="D401" s="2334"/>
      <c r="E401" s="2334"/>
      <c r="F401" s="2334"/>
      <c r="G401" s="2334"/>
      <c r="H401" s="2335"/>
      <c r="I401" s="220"/>
      <c r="J401" s="220"/>
      <c r="K401" s="315"/>
      <c r="L401" s="315"/>
      <c r="M401" s="315"/>
      <c r="N401" s="315"/>
      <c r="O401" s="315"/>
      <c r="P401" s="315"/>
      <c r="Q401" s="315"/>
      <c r="R401" s="315"/>
      <c r="S401" s="315"/>
      <c r="T401" s="315"/>
      <c r="U401" s="315"/>
      <c r="V401" s="315"/>
      <c r="W401" s="315"/>
      <c r="X401" s="315"/>
      <c r="Y401" s="315"/>
      <c r="Z401" s="315"/>
      <c r="AA401" s="315"/>
      <c r="AB401" s="315"/>
      <c r="AC401" s="315"/>
      <c r="AD401" s="315"/>
      <c r="AE401" s="315"/>
      <c r="AF401" s="315"/>
      <c r="AG401" s="315"/>
      <c r="AH401" s="315"/>
      <c r="AI401" s="315"/>
      <c r="AJ401" s="315"/>
      <c r="AK401" s="315"/>
      <c r="AL401" s="315"/>
      <c r="AM401" s="315"/>
      <c r="AN401" s="315"/>
      <c r="AO401" s="315"/>
      <c r="AP401" s="315"/>
      <c r="AQ401" s="315"/>
      <c r="AR401" s="315"/>
      <c r="AS401" s="315"/>
      <c r="AT401" s="315"/>
      <c r="AU401" s="315"/>
      <c r="AV401" s="315"/>
      <c r="AW401" s="315"/>
      <c r="AX401" s="315"/>
      <c r="AY401" s="315"/>
      <c r="AZ401" s="315"/>
      <c r="BA401" s="315"/>
      <c r="BB401" s="315"/>
      <c r="BC401" s="315"/>
      <c r="BD401" s="315"/>
      <c r="BE401" s="315"/>
      <c r="BF401" s="315"/>
      <c r="BG401" s="315"/>
      <c r="BH401" s="315"/>
      <c r="BI401" s="315"/>
      <c r="BJ401" s="315"/>
      <c r="BK401" s="315"/>
      <c r="BL401" s="315"/>
      <c r="BM401" s="315"/>
      <c r="BN401" s="315"/>
      <c r="BO401" s="315"/>
      <c r="BP401" s="315"/>
      <c r="BQ401" s="315"/>
      <c r="BR401" s="315"/>
      <c r="BS401" s="315"/>
      <c r="BT401" s="315"/>
      <c r="BU401" s="315"/>
      <c r="BV401" s="315"/>
      <c r="BW401" s="315"/>
      <c r="BX401" s="315"/>
    </row>
    <row r="402" spans="1:76" s="315" customFormat="1">
      <c r="A402" s="1532" t="s">
        <v>2162</v>
      </c>
      <c r="B402" s="1533" t="s">
        <v>736</v>
      </c>
      <c r="C402" s="1534"/>
      <c r="D402" s="1736"/>
      <c r="E402" s="1697"/>
      <c r="F402" s="1536"/>
      <c r="G402" s="1697"/>
      <c r="H402" s="1668"/>
      <c r="I402" s="1542"/>
      <c r="J402" s="1543"/>
    </row>
    <row r="403" spans="1:76">
      <c r="A403" s="1528" t="s">
        <v>2163</v>
      </c>
      <c r="B403" s="1548" t="s">
        <v>18</v>
      </c>
      <c r="C403" s="1530"/>
      <c r="D403" s="1686"/>
      <c r="E403" s="220"/>
      <c r="F403" s="1587"/>
      <c r="G403" s="220"/>
      <c r="H403" s="1796"/>
      <c r="I403" s="1542"/>
      <c r="J403" s="1543"/>
    </row>
    <row r="404" spans="1:76" ht="72">
      <c r="A404" s="1554" t="s">
        <v>2171</v>
      </c>
      <c r="B404" s="1555" t="s">
        <v>2386</v>
      </c>
      <c r="C404" s="1576" t="s">
        <v>19</v>
      </c>
      <c r="D404" s="1542">
        <f>'Headrace Pipe '!J12</f>
        <v>5000</v>
      </c>
      <c r="E404" s="220"/>
      <c r="F404" s="220"/>
      <c r="G404" s="220"/>
      <c r="H404" s="1609"/>
      <c r="I404" s="1543">
        <f>I210</f>
        <v>40.5</v>
      </c>
      <c r="J404" s="1543">
        <f>ROUND(I404*D404,2)</f>
        <v>202500</v>
      </c>
    </row>
    <row r="405" spans="1:76" ht="72">
      <c r="A405" s="1571" t="s">
        <v>2164</v>
      </c>
      <c r="B405" s="1544" t="s">
        <v>2849</v>
      </c>
      <c r="C405" s="1576"/>
      <c r="D405" s="1542"/>
      <c r="E405" s="220"/>
      <c r="F405" s="220"/>
      <c r="G405" s="220"/>
      <c r="H405" s="1609"/>
      <c r="I405" s="1543"/>
      <c r="J405" s="1543"/>
    </row>
    <row r="406" spans="1:76">
      <c r="A406" s="1554" t="s">
        <v>2172</v>
      </c>
      <c r="B406" s="220" t="s">
        <v>1851</v>
      </c>
      <c r="C406" s="1530" t="s">
        <v>21</v>
      </c>
      <c r="D406" s="1542">
        <f>'Headrace Pipe '!J22</f>
        <v>37916.533847999992</v>
      </c>
      <c r="E406" s="220"/>
      <c r="F406" s="220"/>
      <c r="G406" s="220"/>
      <c r="H406" s="1609"/>
      <c r="I406" s="1543">
        <f>I212</f>
        <v>351.34500000000003</v>
      </c>
      <c r="J406" s="1543">
        <f>ROUND(I406*D406,2)</f>
        <v>13321784.58</v>
      </c>
    </row>
    <row r="407" spans="1:76">
      <c r="A407" s="1554" t="s">
        <v>2179</v>
      </c>
      <c r="B407" s="220" t="s">
        <v>63</v>
      </c>
      <c r="C407" s="1530" t="s">
        <v>21</v>
      </c>
      <c r="D407" s="1542">
        <f>'Headrace Pipe '!J23</f>
        <v>6691.1530319999993</v>
      </c>
      <c r="E407" s="220"/>
      <c r="F407" s="220"/>
      <c r="G407" s="220"/>
      <c r="H407" s="1677"/>
      <c r="I407" s="1543">
        <f>I213</f>
        <v>1375.6949999999999</v>
      </c>
      <c r="J407" s="1543">
        <f>ROUND(I407*D407,2)</f>
        <v>9204985.7699999996</v>
      </c>
    </row>
    <row r="408" spans="1:76">
      <c r="A408" s="1571" t="s">
        <v>2165</v>
      </c>
      <c r="B408" s="313" t="s">
        <v>31</v>
      </c>
      <c r="C408" s="1530"/>
      <c r="D408" s="1542"/>
      <c r="E408" s="220"/>
      <c r="F408" s="220"/>
      <c r="G408" s="220"/>
      <c r="H408" s="1677"/>
      <c r="I408" s="1543"/>
      <c r="J408" s="1543"/>
    </row>
    <row r="409" spans="1:76" s="315" customFormat="1" ht="54">
      <c r="A409" s="1554" t="s">
        <v>2173</v>
      </c>
      <c r="B409" s="1545" t="s">
        <v>2862</v>
      </c>
      <c r="C409" s="1530" t="s">
        <v>21</v>
      </c>
      <c r="D409" s="1542">
        <f>'Headrace Pipe '!J32</f>
        <v>13696.852756</v>
      </c>
      <c r="E409" s="313"/>
      <c r="F409" s="313"/>
      <c r="G409" s="313"/>
      <c r="H409" s="1677"/>
      <c r="I409" s="1543">
        <f>I145</f>
        <v>216.5</v>
      </c>
      <c r="J409" s="1543">
        <f>ROUND(I409*D409,2)</f>
        <v>2965368.62</v>
      </c>
      <c r="L409" s="1651"/>
      <c r="M409" s="1610"/>
      <c r="W409" s="1610"/>
    </row>
    <row r="410" spans="1:76" s="315" customFormat="1">
      <c r="A410" s="1554" t="s">
        <v>2686</v>
      </c>
      <c r="B410" s="669" t="s">
        <v>2416</v>
      </c>
      <c r="C410" s="1530" t="s">
        <v>21</v>
      </c>
      <c r="D410" s="1542">
        <f>'Headrace Pipe '!J35</f>
        <v>1400</v>
      </c>
      <c r="E410" s="313"/>
      <c r="F410" s="313"/>
      <c r="G410" s="313"/>
      <c r="H410" s="1677"/>
      <c r="I410" s="1543">
        <v>1563.5</v>
      </c>
      <c r="J410" s="1543">
        <f>ROUND(I410*D410,2)</f>
        <v>2188900</v>
      </c>
    </row>
    <row r="411" spans="1:76" s="315" customFormat="1" ht="54">
      <c r="A411" s="1528" t="s">
        <v>2166</v>
      </c>
      <c r="B411" s="1545" t="s">
        <v>2735</v>
      </c>
      <c r="C411" s="1530"/>
      <c r="D411" s="1542"/>
      <c r="E411" s="313"/>
      <c r="F411" s="313"/>
      <c r="G411" s="313"/>
      <c r="H411" s="1677"/>
      <c r="I411" s="1543"/>
      <c r="J411" s="1543"/>
    </row>
    <row r="412" spans="1:76" s="315" customFormat="1">
      <c r="A412" s="1554" t="s">
        <v>2174</v>
      </c>
      <c r="B412" s="1546" t="s">
        <v>1641</v>
      </c>
      <c r="C412" s="1530" t="s">
        <v>21</v>
      </c>
      <c r="D412" s="1542">
        <f>'Headrace Pipe '!J40</f>
        <v>566.65</v>
      </c>
      <c r="E412" s="313"/>
      <c r="F412" s="313"/>
      <c r="G412" s="313"/>
      <c r="H412" s="1677"/>
      <c r="I412" s="1543">
        <f>I147</f>
        <v>13018</v>
      </c>
      <c r="J412" s="1543">
        <f>ROUND(I412*D412,2)</f>
        <v>7376649.7000000002</v>
      </c>
      <c r="L412" s="1652"/>
    </row>
    <row r="413" spans="1:76">
      <c r="A413" s="1554" t="s">
        <v>2180</v>
      </c>
      <c r="B413" s="1546" t="s">
        <v>2620</v>
      </c>
      <c r="C413" s="1530" t="s">
        <v>21</v>
      </c>
      <c r="D413" s="1542">
        <f>'Headrace Pipe '!J48+'Headrace Pipe '!J70</f>
        <v>1384.6369999999999</v>
      </c>
      <c r="E413" s="1612"/>
      <c r="F413" s="1613"/>
      <c r="G413" s="1613"/>
      <c r="H413" s="1677"/>
      <c r="I413" s="1543">
        <f>I379</f>
        <v>18138</v>
      </c>
      <c r="J413" s="1543">
        <f>ROUND(I413*D413,2)</f>
        <v>25114545.91</v>
      </c>
      <c r="L413" s="1653"/>
    </row>
    <row r="414" spans="1:76">
      <c r="A414" s="1571" t="s">
        <v>2167</v>
      </c>
      <c r="B414" s="313" t="s">
        <v>1706</v>
      </c>
      <c r="C414" s="1530"/>
      <c r="D414" s="1542"/>
      <c r="E414" s="1612"/>
      <c r="F414" s="1613"/>
      <c r="G414" s="1613"/>
      <c r="H414" s="1677"/>
      <c r="I414" s="1543"/>
      <c r="J414" s="1543"/>
      <c r="L414" s="1653"/>
    </row>
    <row r="415" spans="1:76" ht="36">
      <c r="A415" s="1554" t="s">
        <v>2175</v>
      </c>
      <c r="B415" s="1529" t="s">
        <v>1710</v>
      </c>
      <c r="C415" s="1530" t="s">
        <v>21</v>
      </c>
      <c r="D415" s="1542">
        <f>'Headrace Pipe '!J51+'Headrace Pipe '!J73</f>
        <v>149.71699999999998</v>
      </c>
      <c r="E415" s="1612"/>
      <c r="F415" s="1613"/>
      <c r="G415" s="1613"/>
      <c r="H415" s="1677"/>
      <c r="I415" s="1543">
        <f>I62</f>
        <v>9781.5</v>
      </c>
      <c r="J415" s="1543">
        <f>ROUND(I415*D415,2)</f>
        <v>1464456.84</v>
      </c>
      <c r="L415" s="1653"/>
    </row>
    <row r="416" spans="1:76">
      <c r="A416" s="1571" t="s">
        <v>2168</v>
      </c>
      <c r="B416" s="1548" t="s">
        <v>309</v>
      </c>
      <c r="C416" s="1530"/>
      <c r="D416" s="1542"/>
      <c r="E416" s="1612"/>
      <c r="F416" s="1613"/>
      <c r="G416" s="1613"/>
      <c r="H416" s="1677"/>
      <c r="I416" s="1543"/>
      <c r="J416" s="1543"/>
      <c r="L416" s="1653"/>
    </row>
    <row r="417" spans="1:12" ht="54">
      <c r="A417" s="1554" t="s">
        <v>2176</v>
      </c>
      <c r="B417" s="1549" t="s">
        <v>1637</v>
      </c>
      <c r="C417" s="1576" t="s">
        <v>19</v>
      </c>
      <c r="D417" s="1542">
        <f>'Headrace Pipe '!J58</f>
        <v>770.85</v>
      </c>
      <c r="E417" s="1612"/>
      <c r="F417" s="1613"/>
      <c r="G417" s="1613"/>
      <c r="H417" s="1677"/>
      <c r="I417" s="1543">
        <f>I101</f>
        <v>1226.1157142857141</v>
      </c>
      <c r="J417" s="1543">
        <f>ROUND(I417*D417,2)</f>
        <v>945151.3</v>
      </c>
      <c r="L417" s="1653"/>
    </row>
    <row r="418" spans="1:12">
      <c r="A418" s="1571" t="s">
        <v>2169</v>
      </c>
      <c r="B418" s="313" t="s">
        <v>1649</v>
      </c>
      <c r="C418" s="1576"/>
      <c r="D418" s="1542"/>
      <c r="E418" s="1612"/>
      <c r="F418" s="1613"/>
      <c r="G418" s="1613"/>
      <c r="H418" s="1677"/>
      <c r="I418" s="1543"/>
      <c r="J418" s="1543"/>
      <c r="L418" s="1653"/>
    </row>
    <row r="419" spans="1:12" ht="54">
      <c r="A419" s="1554" t="s">
        <v>2177</v>
      </c>
      <c r="B419" s="1550" t="s">
        <v>1248</v>
      </c>
      <c r="C419" s="1530" t="s">
        <v>25</v>
      </c>
      <c r="D419" s="1542">
        <f>'Headrace Pipe '!J61</f>
        <v>101.62900449999999</v>
      </c>
      <c r="E419" s="1612"/>
      <c r="F419" s="1613"/>
      <c r="G419" s="1613"/>
      <c r="H419" s="1677"/>
      <c r="I419" s="1543">
        <f>I103</f>
        <v>153246.08695652176</v>
      </c>
      <c r="J419" s="1543">
        <f>ROUND(I419*D419,2)</f>
        <v>15574247.26</v>
      </c>
      <c r="L419" s="1653"/>
    </row>
    <row r="420" spans="1:12">
      <c r="A420" s="1571" t="s">
        <v>2170</v>
      </c>
      <c r="B420" s="313" t="s">
        <v>1702</v>
      </c>
      <c r="C420" s="1530"/>
      <c r="D420" s="1542"/>
      <c r="E420" s="1612"/>
      <c r="F420" s="1613"/>
      <c r="G420" s="1613"/>
      <c r="H420" s="1677"/>
      <c r="I420" s="1543"/>
      <c r="J420" s="1543"/>
      <c r="L420" s="1653"/>
    </row>
    <row r="421" spans="1:12" ht="36">
      <c r="A421" s="1554" t="s">
        <v>2178</v>
      </c>
      <c r="B421" s="1529" t="s">
        <v>1704</v>
      </c>
      <c r="C421" s="1530" t="s">
        <v>21</v>
      </c>
      <c r="D421" s="1542">
        <f>'Headrace Pipe '!J67</f>
        <v>280</v>
      </c>
      <c r="E421" s="1612"/>
      <c r="F421" s="1613"/>
      <c r="G421" s="1613"/>
      <c r="H421" s="1677"/>
      <c r="I421" s="1543">
        <f>I385</f>
        <v>5201.5</v>
      </c>
      <c r="J421" s="1543">
        <f>ROUND(I421*D421,2)</f>
        <v>1456420</v>
      </c>
      <c r="L421" s="1653"/>
    </row>
    <row r="422" spans="1:12" ht="17.25" customHeight="1">
      <c r="A422" s="1528"/>
      <c r="B422" s="1557"/>
      <c r="C422" s="1563"/>
      <c r="D422" s="1688"/>
      <c r="E422" s="220"/>
      <c r="F422" s="1666" t="s">
        <v>1483</v>
      </c>
      <c r="G422" s="1695"/>
      <c r="H422" s="1678"/>
      <c r="I422" s="220"/>
      <c r="J422" s="1542">
        <f>SUM(J404:J421)</f>
        <v>79815009.980000004</v>
      </c>
      <c r="L422" s="1653"/>
    </row>
    <row r="423" spans="1:12">
      <c r="A423" s="1532" t="s">
        <v>2181</v>
      </c>
      <c r="B423" s="1533" t="s">
        <v>795</v>
      </c>
      <c r="C423" s="1534"/>
      <c r="D423" s="1736"/>
      <c r="E423" s="1535"/>
      <c r="F423" s="1536"/>
      <c r="G423" s="1536"/>
      <c r="H423" s="1668"/>
      <c r="I423" s="220"/>
      <c r="J423" s="220"/>
      <c r="L423" s="1653"/>
    </row>
    <row r="424" spans="1:12">
      <c r="A424" s="1528" t="s">
        <v>2182</v>
      </c>
      <c r="B424" s="1548" t="s">
        <v>18</v>
      </c>
      <c r="C424" s="1530"/>
      <c r="D424" s="1686"/>
      <c r="E424" s="220"/>
      <c r="F424" s="1587"/>
      <c r="G424" s="1587"/>
      <c r="H424" s="1796"/>
      <c r="I424" s="1542"/>
      <c r="J424" s="220"/>
      <c r="L424" s="1653"/>
    </row>
    <row r="425" spans="1:12" ht="72">
      <c r="A425" s="1554" t="s">
        <v>2183</v>
      </c>
      <c r="B425" s="1555" t="s">
        <v>2847</v>
      </c>
      <c r="C425" s="1530" t="s">
        <v>19</v>
      </c>
      <c r="D425" s="1542">
        <f>'Inlet Portal'!J13</f>
        <v>1000</v>
      </c>
      <c r="E425" s="220"/>
      <c r="F425" s="220"/>
      <c r="G425" s="220"/>
      <c r="H425" s="1673"/>
      <c r="I425" s="1577">
        <f>I210</f>
        <v>40.5</v>
      </c>
      <c r="J425" s="1543">
        <f>ROUND(I425*D425,2)</f>
        <v>40500</v>
      </c>
    </row>
    <row r="426" spans="1:12" ht="72">
      <c r="A426" s="1571" t="s">
        <v>2184</v>
      </c>
      <c r="B426" s="1544" t="s">
        <v>2849</v>
      </c>
      <c r="C426" s="1530"/>
      <c r="D426" s="1542"/>
      <c r="E426" s="220"/>
      <c r="F426" s="220"/>
      <c r="G426" s="220"/>
      <c r="H426" s="1673"/>
      <c r="I426" s="1577"/>
      <c r="J426" s="1543"/>
    </row>
    <row r="427" spans="1:12">
      <c r="A427" s="1554" t="s">
        <v>2187</v>
      </c>
      <c r="B427" s="220" t="s">
        <v>1851</v>
      </c>
      <c r="C427" s="1530" t="s">
        <v>21</v>
      </c>
      <c r="D427" s="1542">
        <f>'Inlet Portal'!J16</f>
        <v>5096</v>
      </c>
      <c r="E427" s="220"/>
      <c r="F427" s="220"/>
      <c r="G427" s="220"/>
      <c r="H427" s="1673"/>
      <c r="I427" s="1577">
        <f>I212</f>
        <v>351.34500000000003</v>
      </c>
      <c r="J427" s="1543">
        <f>ROUND(I427*D427,2)</f>
        <v>1790454.12</v>
      </c>
    </row>
    <row r="428" spans="1:12">
      <c r="A428" s="1554" t="s">
        <v>2188</v>
      </c>
      <c r="B428" s="220" t="s">
        <v>63</v>
      </c>
      <c r="C428" s="1530" t="s">
        <v>21</v>
      </c>
      <c r="D428" s="1542">
        <f>'Inlet Portal'!J18</f>
        <v>2184</v>
      </c>
      <c r="E428" s="220"/>
      <c r="F428" s="220"/>
      <c r="G428" s="220"/>
      <c r="H428" s="1673"/>
      <c r="I428" s="1577">
        <f>I213</f>
        <v>1375.6949999999999</v>
      </c>
      <c r="J428" s="1543">
        <f>ROUND(I428*D428,2)</f>
        <v>3004517.88</v>
      </c>
    </row>
    <row r="429" spans="1:12">
      <c r="A429" s="1571" t="s">
        <v>2185</v>
      </c>
      <c r="B429" s="313" t="s">
        <v>1929</v>
      </c>
      <c r="C429" s="1530"/>
      <c r="D429" s="1542"/>
      <c r="E429" s="220"/>
      <c r="F429" s="220"/>
      <c r="G429" s="220"/>
      <c r="H429" s="1673"/>
      <c r="I429" s="1577"/>
      <c r="J429" s="1543"/>
    </row>
    <row r="430" spans="1:12" ht="54">
      <c r="A430" s="1554" t="s">
        <v>2189</v>
      </c>
      <c r="B430" s="1550" t="s">
        <v>2865</v>
      </c>
      <c r="C430" s="1530" t="s">
        <v>307</v>
      </c>
      <c r="D430" s="1542">
        <f>'Inlet Portal'!J22</f>
        <v>400</v>
      </c>
      <c r="E430" s="220"/>
      <c r="F430" s="220"/>
      <c r="G430" s="220"/>
      <c r="H430" s="1673"/>
      <c r="I430" s="1577">
        <f>I215</f>
        <v>5381.75</v>
      </c>
      <c r="J430" s="1543">
        <f>ROUND(I430*D430,2)</f>
        <v>2152700</v>
      </c>
    </row>
    <row r="431" spans="1:12">
      <c r="A431" s="1571" t="s">
        <v>2186</v>
      </c>
      <c r="B431" s="313" t="s">
        <v>1872</v>
      </c>
      <c r="C431" s="66"/>
      <c r="D431" s="1732"/>
      <c r="E431" s="220"/>
      <c r="F431" s="220"/>
      <c r="G431" s="220"/>
      <c r="H431" s="1673"/>
      <c r="I431" s="220"/>
      <c r="J431" s="220"/>
    </row>
    <row r="432" spans="1:12" ht="54">
      <c r="A432" s="1554" t="s">
        <v>2190</v>
      </c>
      <c r="B432" s="1550" t="s">
        <v>2750</v>
      </c>
      <c r="C432" s="66" t="s">
        <v>19</v>
      </c>
      <c r="D432" s="1732">
        <v>50</v>
      </c>
      <c r="E432" s="220"/>
      <c r="F432" s="220"/>
      <c r="G432" s="220"/>
      <c r="H432" s="1673"/>
      <c r="I432" s="1593">
        <f>I217</f>
        <v>4132.7625000000007</v>
      </c>
      <c r="J432" s="1593">
        <f>D432*I432</f>
        <v>206638.12500000003</v>
      </c>
    </row>
    <row r="433" spans="1:10" ht="54">
      <c r="A433" s="1554" t="s">
        <v>2759</v>
      </c>
      <c r="B433" s="1550" t="s">
        <v>1807</v>
      </c>
      <c r="C433" s="1530" t="s">
        <v>19</v>
      </c>
      <c r="D433" s="1542">
        <f>'Inlet Portal'!J26</f>
        <v>90</v>
      </c>
      <c r="E433" s="220"/>
      <c r="F433" s="220"/>
      <c r="G433" s="220"/>
      <c r="H433" s="1673"/>
      <c r="I433" s="1577">
        <f>I218</f>
        <v>5510.35</v>
      </c>
      <c r="J433" s="1543">
        <f>ROUND(I433*D433,2)</f>
        <v>495931.5</v>
      </c>
    </row>
    <row r="434" spans="1:10">
      <c r="A434" s="1571" t="s">
        <v>2191</v>
      </c>
      <c r="B434" s="1557" t="s">
        <v>1486</v>
      </c>
      <c r="C434" s="1530"/>
      <c r="D434" s="1542"/>
      <c r="E434" s="220"/>
      <c r="F434" s="220"/>
      <c r="G434" s="220"/>
      <c r="H434" s="1673"/>
      <c r="I434" s="1577"/>
      <c r="J434" s="1543"/>
    </row>
    <row r="435" spans="1:10" ht="36">
      <c r="A435" s="1554" t="s">
        <v>2193</v>
      </c>
      <c r="B435" s="669" t="s">
        <v>2877</v>
      </c>
      <c r="C435" s="1530" t="s">
        <v>19</v>
      </c>
      <c r="D435" s="1542">
        <v>300</v>
      </c>
      <c r="E435" s="220"/>
      <c r="F435" s="220"/>
      <c r="G435" s="220"/>
      <c r="H435" s="1673"/>
      <c r="I435" s="1577">
        <f>I221</f>
        <v>524</v>
      </c>
      <c r="J435" s="1543">
        <f>D435*I435</f>
        <v>157200</v>
      </c>
    </row>
    <row r="436" spans="1:10" ht="36">
      <c r="A436" s="1554" t="s">
        <v>2760</v>
      </c>
      <c r="B436" s="669" t="s">
        <v>2878</v>
      </c>
      <c r="C436" s="1530" t="s">
        <v>19</v>
      </c>
      <c r="D436" s="1542">
        <f>'Inlet Portal'!J29</f>
        <v>900</v>
      </c>
      <c r="E436" s="220"/>
      <c r="F436" s="220"/>
      <c r="G436" s="220"/>
      <c r="H436" s="1673"/>
      <c r="I436" s="1577">
        <f>I220</f>
        <v>655</v>
      </c>
      <c r="J436" s="1543">
        <f>ROUND(I436*D436,2)</f>
        <v>589500</v>
      </c>
    </row>
    <row r="437" spans="1:10">
      <c r="A437" s="1749" t="s">
        <v>2192</v>
      </c>
      <c r="B437" s="1760" t="s">
        <v>1484</v>
      </c>
      <c r="C437" s="1750" t="s">
        <v>311</v>
      </c>
      <c r="D437" s="1756">
        <f>'Inlet Portal'!J33</f>
        <v>300</v>
      </c>
      <c r="E437" s="1505"/>
      <c r="F437" s="1505"/>
      <c r="G437" s="220"/>
      <c r="H437" s="1673"/>
      <c r="I437" s="1577">
        <v>618</v>
      </c>
      <c r="J437" s="1543">
        <f>ROUND(I437*D437,2)</f>
        <v>185400</v>
      </c>
    </row>
    <row r="438" spans="1:10" ht="17.25" customHeight="1">
      <c r="A438" s="1528"/>
      <c r="B438" s="1557"/>
      <c r="C438" s="1563"/>
      <c r="D438" s="1688"/>
      <c r="E438" s="220"/>
      <c r="F438" s="1666" t="s">
        <v>1483</v>
      </c>
      <c r="G438" s="1695"/>
      <c r="H438" s="1674"/>
      <c r="I438" s="220"/>
      <c r="J438" s="1717">
        <f>SUM(J425:J437)</f>
        <v>8622841.625</v>
      </c>
    </row>
    <row r="439" spans="1:10" s="315" customFormat="1">
      <c r="A439" s="1532" t="s">
        <v>2194</v>
      </c>
      <c r="B439" s="1533" t="s">
        <v>1485</v>
      </c>
      <c r="C439" s="1534"/>
      <c r="D439" s="1736"/>
      <c r="E439" s="1697"/>
      <c r="F439" s="1536"/>
      <c r="G439" s="1697"/>
      <c r="H439" s="1668"/>
      <c r="I439" s="1542"/>
      <c r="J439" s="1543"/>
    </row>
    <row r="440" spans="1:10" ht="108">
      <c r="A440" s="1571" t="s">
        <v>2195</v>
      </c>
      <c r="B440" s="1556" t="s">
        <v>2880</v>
      </c>
      <c r="C440" s="1530"/>
      <c r="D440" s="1686"/>
      <c r="E440" s="220"/>
      <c r="F440" s="1577"/>
      <c r="G440" s="220"/>
      <c r="H440" s="1673"/>
      <c r="I440" s="1542"/>
      <c r="J440" s="1543">
        <f>ROUND(F440*I440,2)</f>
        <v>0</v>
      </c>
    </row>
    <row r="441" spans="1:10">
      <c r="A441" s="1554" t="s">
        <v>2200</v>
      </c>
      <c r="B441" s="1545" t="s">
        <v>2903</v>
      </c>
      <c r="C441" s="1530" t="s">
        <v>21</v>
      </c>
      <c r="D441" s="1542">
        <f>'HRT  (Alt.)'!H35+'HRT  (Alt.)'!F35</f>
        <v>11462.360781727642</v>
      </c>
      <c r="E441" s="220"/>
      <c r="F441" s="220"/>
      <c r="G441" s="220"/>
      <c r="H441" s="1673"/>
      <c r="I441" s="1577">
        <f>[45]Summary!$K$222</f>
        <v>6624.65</v>
      </c>
      <c r="J441" s="1543">
        <f>ROUND(I441*D441,2)</f>
        <v>75934128.349999994</v>
      </c>
    </row>
    <row r="442" spans="1:10">
      <c r="A442" s="1554" t="s">
        <v>2687</v>
      </c>
      <c r="B442" s="1545" t="s">
        <v>2904</v>
      </c>
      <c r="C442" s="1530" t="s">
        <v>21</v>
      </c>
      <c r="D442" s="1542">
        <f>'HRT  (Alt.)'!J35+'HRT  (Alt.)'!K35</f>
        <v>22407.653292109317</v>
      </c>
      <c r="E442" s="220"/>
      <c r="F442" s="220"/>
      <c r="G442" s="220"/>
      <c r="H442" s="1673"/>
      <c r="I442" s="1577">
        <f>I441*1.1</f>
        <v>7287.1149999999998</v>
      </c>
      <c r="J442" s="1543">
        <f>ROUND(I442*D442,2)</f>
        <v>163287146.41999999</v>
      </c>
    </row>
    <row r="443" spans="1:10">
      <c r="A443" s="1571" t="s">
        <v>2196</v>
      </c>
      <c r="B443" s="313" t="s">
        <v>1872</v>
      </c>
      <c r="C443" s="1530"/>
      <c r="D443" s="1542"/>
      <c r="E443" s="220"/>
      <c r="F443" s="220"/>
      <c r="G443" s="220"/>
      <c r="H443" s="1673"/>
      <c r="I443" s="220"/>
      <c r="J443" s="1543">
        <f>ROUND(I443*D443,2)</f>
        <v>0</v>
      </c>
    </row>
    <row r="444" spans="1:10" ht="54">
      <c r="A444" s="1554" t="s">
        <v>2201</v>
      </c>
      <c r="B444" s="669" t="s">
        <v>2606</v>
      </c>
      <c r="C444" s="1530" t="s">
        <v>19</v>
      </c>
      <c r="D444" s="1542">
        <v>50</v>
      </c>
      <c r="E444" s="220"/>
      <c r="F444" s="220"/>
      <c r="G444" s="220"/>
      <c r="H444" s="1673"/>
      <c r="I444" s="1577">
        <f t="shared" ref="I444:I449" si="13">I164</f>
        <v>2755.1750000000002</v>
      </c>
      <c r="J444" s="1543">
        <f>D444*I444</f>
        <v>137758.75</v>
      </c>
    </row>
    <row r="445" spans="1:10" ht="54">
      <c r="A445" s="1554" t="s">
        <v>2202</v>
      </c>
      <c r="B445" s="669" t="s">
        <v>2607</v>
      </c>
      <c r="C445" s="1530" t="s">
        <v>19</v>
      </c>
      <c r="D445" s="1542">
        <v>50</v>
      </c>
      <c r="E445" s="220"/>
      <c r="F445" s="220"/>
      <c r="G445" s="220"/>
      <c r="H445" s="1673"/>
      <c r="I445" s="1577">
        <f t="shared" si="13"/>
        <v>4132.7625000000007</v>
      </c>
      <c r="J445" s="1543">
        <f>ROUND(I445*D445,2)</f>
        <v>206638.13</v>
      </c>
    </row>
    <row r="446" spans="1:10" ht="54">
      <c r="A446" s="1554" t="s">
        <v>2688</v>
      </c>
      <c r="B446" s="669" t="s">
        <v>2412</v>
      </c>
      <c r="C446" s="1530" t="s">
        <v>19</v>
      </c>
      <c r="D446" s="1542">
        <v>50</v>
      </c>
      <c r="E446" s="220"/>
      <c r="F446" s="220"/>
      <c r="G446" s="220"/>
      <c r="H446" s="1673"/>
      <c r="I446" s="1577">
        <f t="shared" si="13"/>
        <v>5510.35</v>
      </c>
      <c r="J446" s="1543">
        <f>ROUND(I446*D446,2)</f>
        <v>275517.5</v>
      </c>
    </row>
    <row r="447" spans="1:10" ht="54">
      <c r="A447" s="1554" t="s">
        <v>2689</v>
      </c>
      <c r="B447" s="669" t="s">
        <v>1862</v>
      </c>
      <c r="C447" s="1530" t="s">
        <v>19</v>
      </c>
      <c r="D447" s="1542">
        <f>'HRT  (Alt.)'!L36</f>
        <v>24661.688826399928</v>
      </c>
      <c r="E447" s="220"/>
      <c r="F447" s="220"/>
      <c r="G447" s="220"/>
      <c r="H447" s="1673"/>
      <c r="I447" s="1577">
        <f t="shared" si="13"/>
        <v>5767.1</v>
      </c>
      <c r="J447" s="1543">
        <f>ROUND(I447*D447,2)</f>
        <v>142226425.63</v>
      </c>
    </row>
    <row r="448" spans="1:10" ht="54">
      <c r="A448" s="1554" t="s">
        <v>2690</v>
      </c>
      <c r="B448" s="669" t="s">
        <v>1881</v>
      </c>
      <c r="C448" s="1530" t="s">
        <v>19</v>
      </c>
      <c r="D448" s="1542">
        <f>'HRT  (Alt.)'!L37</f>
        <v>21693.522236018885</v>
      </c>
      <c r="E448" s="220"/>
      <c r="F448" s="220"/>
      <c r="G448" s="220"/>
      <c r="H448" s="1673"/>
      <c r="I448" s="1577">
        <f t="shared" si="13"/>
        <v>7208.875</v>
      </c>
      <c r="J448" s="1543">
        <f>ROUND(I448*D448,2)</f>
        <v>156385890.11000001</v>
      </c>
    </row>
    <row r="449" spans="1:10" ht="54">
      <c r="A449" s="1554" t="s">
        <v>2783</v>
      </c>
      <c r="B449" s="669" t="s">
        <v>1883</v>
      </c>
      <c r="C449" s="1530" t="s">
        <v>19</v>
      </c>
      <c r="D449" s="1542">
        <f>'HRT  (Alt.)'!L38</f>
        <v>11035.868577846293</v>
      </c>
      <c r="E449" s="220"/>
      <c r="F449" s="220"/>
      <c r="G449" s="220"/>
      <c r="H449" s="1673"/>
      <c r="I449" s="1577">
        <f t="shared" si="13"/>
        <v>8650.65</v>
      </c>
      <c r="J449" s="1543">
        <f>ROUND(I449*D449,2)</f>
        <v>95467436.510000005</v>
      </c>
    </row>
    <row r="450" spans="1:10">
      <c r="A450" s="1571" t="s">
        <v>2882</v>
      </c>
      <c r="B450" s="1557" t="s">
        <v>1486</v>
      </c>
      <c r="C450" s="1530"/>
      <c r="D450" s="1542"/>
      <c r="E450" s="220"/>
      <c r="F450" s="220"/>
      <c r="G450" s="220"/>
      <c r="H450" s="1673"/>
      <c r="I450" s="1577"/>
      <c r="J450" s="1543"/>
    </row>
    <row r="451" spans="1:10" ht="36">
      <c r="A451" s="1554" t="s">
        <v>2883</v>
      </c>
      <c r="B451" s="669" t="s">
        <v>2879</v>
      </c>
      <c r="C451" s="1530" t="s">
        <v>19</v>
      </c>
      <c r="D451" s="1542">
        <f>'HRT  (Alt.)'!L49-D452</f>
        <v>31883.427481891256</v>
      </c>
      <c r="E451" s="220"/>
      <c r="F451" s="220"/>
      <c r="G451" s="220"/>
      <c r="H451" s="1673"/>
      <c r="I451" s="1577">
        <f>I189</f>
        <v>655</v>
      </c>
      <c r="J451" s="1543">
        <f>ROUND(I451*D451,2)</f>
        <v>20883645</v>
      </c>
    </row>
    <row r="452" spans="1:10" ht="36">
      <c r="A452" s="1554" t="s">
        <v>2884</v>
      </c>
      <c r="B452" s="669" t="s">
        <v>2877</v>
      </c>
      <c r="C452" s="1530" t="s">
        <v>19</v>
      </c>
      <c r="D452" s="1542">
        <v>100</v>
      </c>
      <c r="E452" s="220"/>
      <c r="F452" s="220"/>
      <c r="G452" s="220"/>
      <c r="H452" s="1673"/>
      <c r="I452" s="1577">
        <f>I188</f>
        <v>524</v>
      </c>
      <c r="J452" s="1543">
        <f>D452*I452</f>
        <v>52400</v>
      </c>
    </row>
    <row r="453" spans="1:10">
      <c r="A453" s="1571" t="s">
        <v>2197</v>
      </c>
      <c r="B453" s="313" t="s">
        <v>1929</v>
      </c>
      <c r="C453" s="1530"/>
      <c r="D453" s="1542"/>
      <c r="E453" s="220"/>
      <c r="F453" s="220"/>
      <c r="G453" s="220"/>
      <c r="H453" s="1673"/>
      <c r="I453" s="1577"/>
      <c r="J453" s="1543"/>
    </row>
    <row r="454" spans="1:10" ht="54">
      <c r="A454" s="1554" t="s">
        <v>2203</v>
      </c>
      <c r="B454" s="1570" t="s">
        <v>2866</v>
      </c>
      <c r="C454" s="1530" t="s">
        <v>311</v>
      </c>
      <c r="D454" s="1542">
        <f>'HRT  (Alt.)'!L42</f>
        <v>11194</v>
      </c>
      <c r="E454" s="220"/>
      <c r="F454" s="220"/>
      <c r="G454" s="220"/>
      <c r="H454" s="1673"/>
      <c r="I454" s="1577">
        <f>I178</f>
        <v>4131.05</v>
      </c>
      <c r="J454" s="1543">
        <f>D454*I454</f>
        <v>46242973.700000003</v>
      </c>
    </row>
    <row r="455" spans="1:10" ht="54">
      <c r="A455" s="1554" t="s">
        <v>2691</v>
      </c>
      <c r="B455" s="1570" t="s">
        <v>2867</v>
      </c>
      <c r="C455" s="1530" t="s">
        <v>311</v>
      </c>
      <c r="D455" s="1542">
        <f>'HRT  (Alt.)'!L43</f>
        <v>15046</v>
      </c>
      <c r="E455" s="220"/>
      <c r="F455" s="220"/>
      <c r="G455" s="220"/>
      <c r="H455" s="1673"/>
      <c r="I455" s="1577">
        <f>I179</f>
        <v>4267.25</v>
      </c>
      <c r="J455" s="1543">
        <f>ROUND(I455*D455,2)</f>
        <v>64205043.5</v>
      </c>
    </row>
    <row r="456" spans="1:10">
      <c r="A456" s="1571" t="s">
        <v>2198</v>
      </c>
      <c r="B456" s="313" t="s">
        <v>2784</v>
      </c>
      <c r="C456" s="1530"/>
      <c r="D456" s="1542"/>
      <c r="E456" s="220"/>
      <c r="F456" s="220"/>
      <c r="G456" s="220"/>
      <c r="H456" s="1673"/>
      <c r="I456" s="1577"/>
      <c r="J456" s="1543"/>
    </row>
    <row r="457" spans="1:10" ht="54">
      <c r="A457" s="1554" t="s">
        <v>2204</v>
      </c>
      <c r="B457" s="669" t="s">
        <v>2881</v>
      </c>
      <c r="C457" s="1530" t="s">
        <v>311</v>
      </c>
      <c r="D457" s="1542">
        <f>'HRT  (Alt.)'!L44</f>
        <v>1427</v>
      </c>
      <c r="E457" s="220"/>
      <c r="F457" s="220"/>
      <c r="G457" s="220"/>
      <c r="H457" s="1673"/>
      <c r="I457" s="1577">
        <f>I181</f>
        <v>12161.5</v>
      </c>
      <c r="J457" s="1543">
        <f>ROUND(I457*D457,2)</f>
        <v>17354460.5</v>
      </c>
    </row>
    <row r="458" spans="1:10" ht="54">
      <c r="A458" s="1571" t="s">
        <v>2199</v>
      </c>
      <c r="B458" s="1578" t="s">
        <v>2742</v>
      </c>
      <c r="C458" s="1530"/>
      <c r="D458" s="1542"/>
      <c r="E458" s="220"/>
      <c r="F458" s="220"/>
      <c r="G458" s="220"/>
      <c r="H458" s="1673"/>
      <c r="I458" s="1577"/>
      <c r="J458" s="1543"/>
    </row>
    <row r="459" spans="1:10">
      <c r="A459" s="1554" t="s">
        <v>2885</v>
      </c>
      <c r="B459" s="1429" t="s">
        <v>2397</v>
      </c>
      <c r="C459" s="1530" t="s">
        <v>322</v>
      </c>
      <c r="D459" s="1542">
        <v>500</v>
      </c>
      <c r="E459" s="220"/>
      <c r="F459" s="220"/>
      <c r="G459" s="220"/>
      <c r="H459" s="1673"/>
      <c r="I459" s="1577">
        <f>I110</f>
        <v>54500</v>
      </c>
      <c r="J459" s="1577">
        <f>I459*D459</f>
        <v>27250000</v>
      </c>
    </row>
    <row r="460" spans="1:10">
      <c r="A460" s="1554" t="s">
        <v>2886</v>
      </c>
      <c r="B460" s="1429" t="s">
        <v>2398</v>
      </c>
      <c r="C460" s="1530" t="s">
        <v>322</v>
      </c>
      <c r="D460" s="1542">
        <v>45</v>
      </c>
      <c r="E460" s="220"/>
      <c r="F460" s="220"/>
      <c r="G460" s="220"/>
      <c r="H460" s="1673"/>
      <c r="I460" s="1577">
        <f t="shared" ref="I460:I462" si="14">I111</f>
        <v>54500</v>
      </c>
      <c r="J460" s="1577">
        <f t="shared" ref="J460:J462" si="15">I460*D460</f>
        <v>2452500</v>
      </c>
    </row>
    <row r="461" spans="1:10">
      <c r="A461" s="1554" t="s">
        <v>2887</v>
      </c>
      <c r="B461" s="1429" t="s">
        <v>2399</v>
      </c>
      <c r="C461" s="66" t="s">
        <v>47</v>
      </c>
      <c r="D461" s="1742">
        <v>50</v>
      </c>
      <c r="E461" s="220"/>
      <c r="F461" s="220"/>
      <c r="G461" s="220"/>
      <c r="H461" s="1673"/>
      <c r="I461" s="1577">
        <f t="shared" si="14"/>
        <v>272.5</v>
      </c>
      <c r="J461" s="1577">
        <f t="shared" si="15"/>
        <v>13625</v>
      </c>
    </row>
    <row r="462" spans="1:10">
      <c r="A462" s="1554" t="s">
        <v>2888</v>
      </c>
      <c r="B462" s="1586" t="s">
        <v>1902</v>
      </c>
      <c r="C462" s="1530" t="s">
        <v>27</v>
      </c>
      <c r="D462" s="1542">
        <v>7476.18</v>
      </c>
      <c r="E462" s="220"/>
      <c r="F462" s="220"/>
      <c r="G462" s="220"/>
      <c r="H462" s="1673"/>
      <c r="I462" s="1577">
        <f t="shared" si="14"/>
        <v>11600.82</v>
      </c>
      <c r="J462" s="1577">
        <f t="shared" si="15"/>
        <v>86729818.467600003</v>
      </c>
    </row>
    <row r="463" spans="1:10" ht="54">
      <c r="A463" s="1528" t="s">
        <v>2692</v>
      </c>
      <c r="B463" s="1545" t="s">
        <v>2735</v>
      </c>
      <c r="C463" s="1530"/>
      <c r="D463" s="1542"/>
      <c r="E463" s="220"/>
      <c r="F463" s="220"/>
      <c r="G463" s="220"/>
      <c r="H463" s="1673"/>
      <c r="I463" s="1577"/>
      <c r="J463" s="1577"/>
    </row>
    <row r="464" spans="1:10">
      <c r="A464" s="1914" t="s">
        <v>2947</v>
      </c>
      <c r="B464" s="1650" t="s">
        <v>2214</v>
      </c>
      <c r="C464" s="1647" t="s">
        <v>21</v>
      </c>
      <c r="D464" s="1648">
        <f>'HRT  (Alt.)'!L39</f>
        <v>3997.097874072032</v>
      </c>
      <c r="E464" s="1912"/>
      <c r="F464" s="1912"/>
      <c r="G464" s="1912"/>
      <c r="H464" s="1915"/>
      <c r="I464" s="1916">
        <f>I171</f>
        <v>19397</v>
      </c>
      <c r="J464" s="1916">
        <f>I464*D464</f>
        <v>77531707.463375211</v>
      </c>
    </row>
    <row r="465" spans="1:10">
      <c r="A465" s="1914" t="s">
        <v>2948</v>
      </c>
      <c r="B465" s="1650" t="s">
        <v>3254</v>
      </c>
      <c r="C465" s="1647" t="s">
        <v>21</v>
      </c>
      <c r="D465" s="1648">
        <f>'HRT  (Alt.)'!L47</f>
        <v>3056.3681280000005</v>
      </c>
      <c r="E465" s="1912"/>
      <c r="F465" s="1912"/>
      <c r="G465" s="1912"/>
      <c r="H465" s="1915"/>
      <c r="I465" s="1916">
        <f>I172</f>
        <v>16339.5</v>
      </c>
      <c r="J465" s="1916">
        <f>I465*D465</f>
        <v>49939527.027456008</v>
      </c>
    </row>
    <row r="466" spans="1:10">
      <c r="A466" s="1528" t="s">
        <v>2693</v>
      </c>
      <c r="B466" s="313" t="s">
        <v>1649</v>
      </c>
      <c r="C466" s="1530"/>
      <c r="D466" s="1542"/>
      <c r="E466" s="220"/>
      <c r="F466" s="220"/>
      <c r="G466" s="220"/>
      <c r="H466" s="1673"/>
      <c r="I466" s="1577"/>
      <c r="J466" s="1577"/>
    </row>
    <row r="467" spans="1:10" ht="54">
      <c r="A467" s="1914" t="s">
        <v>2949</v>
      </c>
      <c r="B467" s="1917" t="s">
        <v>1248</v>
      </c>
      <c r="C467" s="1647" t="s">
        <v>322</v>
      </c>
      <c r="D467" s="1648">
        <f>'HRT  (Alt.)'!J51</f>
        <v>339.60297720425814</v>
      </c>
      <c r="E467" s="1912"/>
      <c r="F467" s="1912"/>
      <c r="G467" s="1912"/>
      <c r="H467" s="1915"/>
      <c r="I467" s="1916">
        <f>I176</f>
        <v>166436.36363636362</v>
      </c>
      <c r="J467" s="1916">
        <f>I467*D467</f>
        <v>56522284.605959609</v>
      </c>
    </row>
    <row r="468" spans="1:10">
      <c r="A468" s="1571" t="s">
        <v>2943</v>
      </c>
      <c r="B468" s="1548" t="s">
        <v>309</v>
      </c>
      <c r="C468" s="1530"/>
      <c r="D468" s="1542"/>
      <c r="E468" s="1612"/>
      <c r="F468" s="1613"/>
      <c r="G468" s="1613"/>
      <c r="H468" s="1673"/>
      <c r="I468" s="1577"/>
      <c r="J468" s="1543"/>
    </row>
    <row r="469" spans="1:10" ht="54">
      <c r="A469" s="1554" t="s">
        <v>2950</v>
      </c>
      <c r="B469" s="1549" t="s">
        <v>2038</v>
      </c>
      <c r="C469" s="1530" t="s">
        <v>19</v>
      </c>
      <c r="D469" s="1542">
        <f>'HRT  (Alt.)'!L40</f>
        <v>10481.278780734105</v>
      </c>
      <c r="E469" s="1612"/>
      <c r="F469" s="1613"/>
      <c r="G469" s="1613"/>
      <c r="H469" s="1673"/>
      <c r="I469" s="1577">
        <f>I174</f>
        <v>1234.3283404166668</v>
      </c>
      <c r="J469" s="1543">
        <f>ROUND(I469*D469,2)</f>
        <v>12937339.439999999</v>
      </c>
    </row>
    <row r="470" spans="1:10">
      <c r="A470" s="1528" t="s">
        <v>2694</v>
      </c>
      <c r="B470" s="1557" t="s">
        <v>318</v>
      </c>
      <c r="C470" s="1530"/>
      <c r="D470" s="1542"/>
      <c r="E470" s="220"/>
      <c r="F470" s="220"/>
      <c r="G470" s="220"/>
      <c r="H470" s="1673"/>
      <c r="I470" s="1577"/>
      <c r="J470" s="1577"/>
    </row>
    <row r="471" spans="1:10" ht="54">
      <c r="A471" s="1914" t="s">
        <v>2695</v>
      </c>
      <c r="B471" s="1650" t="s">
        <v>2892</v>
      </c>
      <c r="C471" s="1647" t="s">
        <v>322</v>
      </c>
      <c r="D471" s="1648">
        <f>'HRT  (Alt.)'!L45</f>
        <v>170.66131033145385</v>
      </c>
      <c r="E471" s="1912"/>
      <c r="F471" s="1912"/>
      <c r="G471" s="1912"/>
      <c r="H471" s="1915"/>
      <c r="I471" s="1916">
        <f>I183</f>
        <v>338528.5</v>
      </c>
      <c r="J471" s="1916">
        <f>I471*D471</f>
        <v>57773717.394541577</v>
      </c>
    </row>
    <row r="472" spans="1:10" ht="72">
      <c r="A472" s="1554" t="s">
        <v>2889</v>
      </c>
      <c r="B472" s="669" t="s">
        <v>2893</v>
      </c>
      <c r="C472" s="1530" t="s">
        <v>322</v>
      </c>
      <c r="D472" s="1884">
        <v>5</v>
      </c>
      <c r="E472" s="220"/>
      <c r="F472" s="220"/>
      <c r="G472" s="220"/>
      <c r="H472" s="1673"/>
      <c r="I472" s="1577">
        <f>I471*1.05</f>
        <v>355454.92499999999</v>
      </c>
      <c r="J472" s="1577">
        <f>I472*D472</f>
        <v>1777274.625</v>
      </c>
    </row>
    <row r="473" spans="1:10" ht="54">
      <c r="A473" s="1528" t="s">
        <v>2696</v>
      </c>
      <c r="B473" s="1557" t="s">
        <v>2418</v>
      </c>
      <c r="C473" s="1530" t="s">
        <v>47</v>
      </c>
      <c r="D473" s="1542">
        <v>20814.41</v>
      </c>
      <c r="E473" s="220"/>
      <c r="F473" s="220"/>
      <c r="G473" s="220"/>
      <c r="H473" s="1673"/>
      <c r="I473" s="1577">
        <f>I186/1000</f>
        <v>183.08</v>
      </c>
      <c r="J473" s="1577">
        <f>I473*D473</f>
        <v>3810702.1828000001</v>
      </c>
    </row>
    <row r="474" spans="1:10" ht="36">
      <c r="A474" s="1528" t="s">
        <v>2697</v>
      </c>
      <c r="B474" s="1557" t="s">
        <v>2890</v>
      </c>
      <c r="C474" s="1530" t="s">
        <v>19</v>
      </c>
      <c r="D474" s="1542">
        <f>'HRT  (Alt.)'!L46</f>
        <v>19536</v>
      </c>
      <c r="E474" s="220"/>
      <c r="F474" s="220"/>
      <c r="G474" s="220"/>
      <c r="H474" s="1673"/>
      <c r="I474" s="1577">
        <v>350</v>
      </c>
      <c r="J474" s="1577">
        <f>I474*D474</f>
        <v>6837600</v>
      </c>
    </row>
    <row r="475" spans="1:10">
      <c r="A475" s="1571" t="s">
        <v>2951</v>
      </c>
      <c r="B475" s="1557" t="s">
        <v>2419</v>
      </c>
      <c r="C475" s="1530"/>
      <c r="D475" s="1732"/>
      <c r="E475" s="220"/>
      <c r="F475" s="220"/>
      <c r="G475" s="220"/>
      <c r="H475" s="1673"/>
      <c r="I475" s="1577"/>
      <c r="J475" s="1577"/>
    </row>
    <row r="476" spans="1:10">
      <c r="A476" s="1554" t="s">
        <v>2952</v>
      </c>
      <c r="B476" s="669" t="s">
        <v>2420</v>
      </c>
      <c r="C476" s="1530" t="s">
        <v>21</v>
      </c>
      <c r="D476" s="1542">
        <f>5%*D442</f>
        <v>1120.3826646054658</v>
      </c>
      <c r="E476" s="220"/>
      <c r="F476" s="220"/>
      <c r="G476" s="220"/>
      <c r="H476" s="1673"/>
      <c r="I476" s="1577">
        <f>10%*I442</f>
        <v>728.7115</v>
      </c>
      <c r="J476" s="1577">
        <f>D476*I476</f>
        <v>816435.73209864588</v>
      </c>
    </row>
    <row r="477" spans="1:10" ht="17.25" customHeight="1">
      <c r="A477" s="1528"/>
      <c r="B477" s="1557"/>
      <c r="C477" s="1563"/>
      <c r="D477" s="1688"/>
      <c r="E477" s="1612"/>
      <c r="F477" s="1666" t="s">
        <v>1483</v>
      </c>
      <c r="G477" s="1691"/>
      <c r="H477" s="1674"/>
      <c r="I477" s="1612"/>
      <c r="J477" s="1717">
        <f>SUM(J440:J476)</f>
        <v>1167051996.038831</v>
      </c>
    </row>
    <row r="478" spans="1:10" s="315" customFormat="1">
      <c r="A478" s="1532" t="s">
        <v>2205</v>
      </c>
      <c r="B478" s="1533" t="s">
        <v>2931</v>
      </c>
      <c r="C478" s="1534"/>
      <c r="D478" s="1736"/>
      <c r="E478" s="1697"/>
      <c r="F478" s="1536"/>
      <c r="G478" s="1697"/>
      <c r="H478" s="1668"/>
      <c r="I478" s="1542"/>
      <c r="J478" s="1543"/>
    </row>
    <row r="479" spans="1:10" s="1595" customFormat="1" ht="108">
      <c r="A479" s="1528" t="s">
        <v>2779</v>
      </c>
      <c r="B479" s="1556" t="s">
        <v>2880</v>
      </c>
      <c r="C479" s="1530" t="s">
        <v>21</v>
      </c>
      <c r="D479" s="1542">
        <f>'Adit Tunnel'!J22</f>
        <v>3404.9489855974825</v>
      </c>
      <c r="E479" s="1655"/>
      <c r="F479" s="1655"/>
      <c r="G479" s="1655"/>
      <c r="H479" s="1673"/>
      <c r="I479" s="1577">
        <f>I162</f>
        <v>6624.65</v>
      </c>
      <c r="J479" s="1543">
        <f>ROUND(I479*D479,2)</f>
        <v>22556595.300000001</v>
      </c>
    </row>
    <row r="480" spans="1:10">
      <c r="A480" s="1571" t="s">
        <v>2206</v>
      </c>
      <c r="B480" s="1557" t="s">
        <v>1872</v>
      </c>
      <c r="C480" s="66"/>
      <c r="D480" s="1612"/>
      <c r="E480" s="1612"/>
      <c r="F480" s="1613"/>
      <c r="G480" s="1613"/>
      <c r="H480" s="1673"/>
      <c r="I480" s="1613"/>
      <c r="J480" s="1613"/>
    </row>
    <row r="481" spans="1:10" ht="54">
      <c r="A481" s="1554" t="s">
        <v>2936</v>
      </c>
      <c r="B481" s="669" t="s">
        <v>1862</v>
      </c>
      <c r="C481" s="1530" t="s">
        <v>19</v>
      </c>
      <c r="D481" s="1542">
        <f>'Adit Tunnel'!J23</f>
        <v>1778.6275726812112</v>
      </c>
      <c r="E481" s="1612"/>
      <c r="F481" s="1613"/>
      <c r="G481" s="1613"/>
      <c r="H481" s="1673"/>
      <c r="I481" s="1577">
        <f>I167</f>
        <v>5767.1</v>
      </c>
      <c r="J481" s="1543">
        <f>ROUND(I481*D481,2)</f>
        <v>10257523.07</v>
      </c>
    </row>
    <row r="482" spans="1:10" ht="54">
      <c r="A482" s="1554" t="s">
        <v>2937</v>
      </c>
      <c r="B482" s="669" t="s">
        <v>1881</v>
      </c>
      <c r="C482" s="1530" t="s">
        <v>19</v>
      </c>
      <c r="D482" s="1542">
        <f>'Adit Tunnel'!J24</f>
        <v>1061.0636326233714</v>
      </c>
      <c r="E482" s="1612"/>
      <c r="F482" s="1613"/>
      <c r="G482" s="1613"/>
      <c r="H482" s="1673"/>
      <c r="I482" s="1577">
        <f>I168</f>
        <v>7208.875</v>
      </c>
      <c r="J482" s="1543">
        <f>ROUND(I482*D482,2)</f>
        <v>7649075.0899999999</v>
      </c>
    </row>
    <row r="483" spans="1:10" ht="54">
      <c r="A483" s="1554" t="s">
        <v>2938</v>
      </c>
      <c r="B483" s="669" t="s">
        <v>1883</v>
      </c>
      <c r="C483" s="1530" t="s">
        <v>19</v>
      </c>
      <c r="D483" s="1542">
        <f>'Adit Tunnel'!J25</f>
        <v>701.26284409689288</v>
      </c>
      <c r="E483" s="1612"/>
      <c r="F483" s="1613"/>
      <c r="G483" s="1613"/>
      <c r="H483" s="1673"/>
      <c r="I483" s="1577">
        <f>I169</f>
        <v>8650.65</v>
      </c>
      <c r="J483" s="1543">
        <f>ROUND(I483*D483,2)</f>
        <v>6066379.4199999999</v>
      </c>
    </row>
    <row r="484" spans="1:10">
      <c r="A484" s="1571" t="s">
        <v>2698</v>
      </c>
      <c r="B484" s="1557" t="s">
        <v>2414</v>
      </c>
      <c r="C484" s="1530"/>
      <c r="D484" s="1542"/>
      <c r="E484" s="1612"/>
      <c r="F484" s="1613"/>
      <c r="G484" s="1613"/>
      <c r="H484" s="1673"/>
      <c r="I484" s="1577"/>
      <c r="J484" s="1543"/>
    </row>
    <row r="485" spans="1:10" ht="36">
      <c r="A485" s="1554" t="s">
        <v>2780</v>
      </c>
      <c r="B485" s="669" t="s">
        <v>2879</v>
      </c>
      <c r="C485" s="1530" t="s">
        <v>19</v>
      </c>
      <c r="D485" s="1542">
        <f>'Adit Tunnel'!J35</f>
        <v>1416.3816197605902</v>
      </c>
      <c r="E485" s="1612"/>
      <c r="F485" s="1613"/>
      <c r="G485" s="1613"/>
      <c r="H485" s="1673"/>
      <c r="I485" s="1577">
        <f>I189</f>
        <v>655</v>
      </c>
      <c r="J485" s="1543">
        <f>ROUND(I485*D485,2)</f>
        <v>927729.96</v>
      </c>
    </row>
    <row r="486" spans="1:10" ht="36">
      <c r="A486" s="1554" t="s">
        <v>2781</v>
      </c>
      <c r="B486" s="669" t="s">
        <v>2891</v>
      </c>
      <c r="C486" s="1530" t="s">
        <v>19</v>
      </c>
      <c r="D486" s="1542">
        <v>50</v>
      </c>
      <c r="E486" s="1612"/>
      <c r="F486" s="1613"/>
      <c r="G486" s="1613"/>
      <c r="H486" s="1673"/>
      <c r="I486" s="1577">
        <f>I188</f>
        <v>524</v>
      </c>
      <c r="J486" s="1543">
        <f>ROUND(I486*D486,2)</f>
        <v>26200</v>
      </c>
    </row>
    <row r="487" spans="1:10">
      <c r="A487" s="1571" t="s">
        <v>2207</v>
      </c>
      <c r="B487" s="313" t="s">
        <v>1929</v>
      </c>
      <c r="C487" s="1530"/>
      <c r="D487" s="1542"/>
      <c r="E487" s="1612"/>
      <c r="F487" s="1613"/>
      <c r="G487" s="1613"/>
      <c r="H487" s="1673"/>
      <c r="I487" s="1577"/>
      <c r="J487" s="1543"/>
    </row>
    <row r="488" spans="1:10" ht="54">
      <c r="A488" s="1554" t="s">
        <v>2211</v>
      </c>
      <c r="B488" s="1550" t="s">
        <v>2868</v>
      </c>
      <c r="C488" s="1530" t="s">
        <v>307</v>
      </c>
      <c r="D488" s="1542">
        <f>'Adit Tunnel'!J28</f>
        <v>1369</v>
      </c>
      <c r="E488" s="1612"/>
      <c r="F488" s="1613"/>
      <c r="G488" s="1613"/>
      <c r="H488" s="1673"/>
      <c r="I488" s="1577">
        <f>I178</f>
        <v>4131.05</v>
      </c>
      <c r="J488" s="1577">
        <f>I488*D488</f>
        <v>5655407.4500000002</v>
      </c>
    </row>
    <row r="489" spans="1:10" ht="54">
      <c r="A489" s="1554" t="s">
        <v>2417</v>
      </c>
      <c r="B489" s="1550" t="s">
        <v>2867</v>
      </c>
      <c r="C489" s="1530" t="s">
        <v>307</v>
      </c>
      <c r="D489" s="1542">
        <f>'Adit Tunnel'!J29</f>
        <v>1414</v>
      </c>
      <c r="E489" s="1612"/>
      <c r="F489" s="1613"/>
      <c r="G489" s="1613"/>
      <c r="H489" s="1673"/>
      <c r="I489" s="1577">
        <f>I179</f>
        <v>4267.25</v>
      </c>
      <c r="J489" s="1577">
        <f>I489*D489</f>
        <v>6033891.5</v>
      </c>
    </row>
    <row r="490" spans="1:10">
      <c r="A490" s="1571" t="s">
        <v>2208</v>
      </c>
      <c r="B490" s="1557" t="s">
        <v>318</v>
      </c>
      <c r="C490" s="1530"/>
      <c r="D490" s="1542"/>
      <c r="E490" s="1612"/>
      <c r="F490" s="1613"/>
      <c r="G490" s="1613"/>
      <c r="H490" s="1673"/>
      <c r="I490" s="1577"/>
      <c r="J490" s="1577"/>
    </row>
    <row r="491" spans="1:10" ht="54">
      <c r="A491" s="1554" t="s">
        <v>2212</v>
      </c>
      <c r="B491" s="669" t="s">
        <v>2892</v>
      </c>
      <c r="C491" s="1530" t="s">
        <v>322</v>
      </c>
      <c r="D491" s="1542">
        <v>3</v>
      </c>
      <c r="E491" s="1612"/>
      <c r="F491" s="1613"/>
      <c r="G491" s="1613"/>
      <c r="H491" s="1673"/>
      <c r="I491" s="1577">
        <f>I183</f>
        <v>338528.5</v>
      </c>
      <c r="J491" s="1577">
        <f>I491*D491</f>
        <v>1015585.5</v>
      </c>
    </row>
    <row r="492" spans="1:10" ht="72">
      <c r="A492" s="1554" t="s">
        <v>2778</v>
      </c>
      <c r="B492" s="669" t="s">
        <v>2893</v>
      </c>
      <c r="C492" s="1530" t="s">
        <v>322</v>
      </c>
      <c r="D492" s="1542">
        <v>1</v>
      </c>
      <c r="E492" s="1612"/>
      <c r="F492" s="1613"/>
      <c r="G492" s="1613"/>
      <c r="H492" s="1673"/>
      <c r="I492" s="1577">
        <f>I472</f>
        <v>355454.92499999999</v>
      </c>
      <c r="J492" s="1577"/>
    </row>
    <row r="493" spans="1:10" ht="36">
      <c r="A493" s="1571" t="s">
        <v>2209</v>
      </c>
      <c r="B493" s="1557" t="s">
        <v>2890</v>
      </c>
      <c r="C493" s="1530" t="s">
        <v>19</v>
      </c>
      <c r="D493" s="1542">
        <f>'Adit Tunnel'!J34</f>
        <v>830.20799999999997</v>
      </c>
      <c r="E493" s="1612"/>
      <c r="F493" s="1613"/>
      <c r="G493" s="1613"/>
      <c r="H493" s="1673"/>
      <c r="I493" s="1577">
        <f>I474</f>
        <v>350</v>
      </c>
      <c r="J493" s="1543">
        <f>ROUND(I493*D493,2)</f>
        <v>290572.79999999999</v>
      </c>
    </row>
    <row r="494" spans="1:10" ht="54">
      <c r="A494" s="1571" t="s">
        <v>2210</v>
      </c>
      <c r="B494" s="1545" t="s">
        <v>2735</v>
      </c>
      <c r="C494" s="1530"/>
      <c r="D494" s="1542"/>
      <c r="E494" s="1612"/>
      <c r="F494" s="1613"/>
      <c r="G494" s="1613"/>
      <c r="H494" s="1673"/>
      <c r="I494" s="1577"/>
      <c r="J494" s="1543"/>
    </row>
    <row r="495" spans="1:10">
      <c r="A495" s="1554" t="s">
        <v>2939</v>
      </c>
      <c r="B495" s="669" t="s">
        <v>2221</v>
      </c>
      <c r="C495" s="1530" t="s">
        <v>21</v>
      </c>
      <c r="D495" s="1542">
        <f>'Adit Tunnel'!J32</f>
        <v>166.04160000000002</v>
      </c>
      <c r="E495" s="1612"/>
      <c r="F495" s="1613"/>
      <c r="G495" s="1613"/>
      <c r="H495" s="1673"/>
      <c r="I495" s="1577">
        <f>I172</f>
        <v>16339.5</v>
      </c>
      <c r="J495" s="1543">
        <f>ROUND(I495*D495,2)</f>
        <v>2713036.72</v>
      </c>
    </row>
    <row r="496" spans="1:10">
      <c r="A496" s="1571" t="s">
        <v>2213</v>
      </c>
      <c r="B496" s="313" t="s">
        <v>1649</v>
      </c>
      <c r="C496" s="1530"/>
      <c r="D496" s="1542"/>
      <c r="E496" s="1612"/>
      <c r="F496" s="1613"/>
      <c r="G496" s="1613"/>
      <c r="H496" s="1673"/>
      <c r="I496" s="1577"/>
      <c r="J496" s="1543"/>
    </row>
    <row r="497" spans="1:10" s="331" customFormat="1" ht="54">
      <c r="A497" s="1554" t="s">
        <v>2782</v>
      </c>
      <c r="B497" s="1550" t="s">
        <v>1248</v>
      </c>
      <c r="C497" s="1530" t="s">
        <v>322</v>
      </c>
      <c r="D497" s="1542">
        <f>'Adit Tunnel'!J33</f>
        <v>13.498246022773753</v>
      </c>
      <c r="E497" s="88"/>
      <c r="F497" s="88"/>
      <c r="G497" s="88"/>
      <c r="H497" s="1673"/>
      <c r="I497" s="1577">
        <f>I176</f>
        <v>166436.36363636362</v>
      </c>
      <c r="J497" s="1543">
        <f>ROUND(I497*D497,2)</f>
        <v>2246598.98</v>
      </c>
    </row>
    <row r="498" spans="1:10" ht="54">
      <c r="A498" s="1571" t="s">
        <v>2940</v>
      </c>
      <c r="B498" s="1557" t="s">
        <v>2418</v>
      </c>
      <c r="C498" s="1530" t="s">
        <v>438</v>
      </c>
      <c r="D498" s="1542">
        <v>681.23</v>
      </c>
      <c r="E498" s="1612"/>
      <c r="F498" s="1613"/>
      <c r="G498" s="1613"/>
      <c r="H498" s="1673"/>
      <c r="I498" s="1577">
        <f>I473</f>
        <v>183.08</v>
      </c>
      <c r="J498" s="1543">
        <f>ROUND(I498*D498,2)</f>
        <v>124719.59</v>
      </c>
    </row>
    <row r="499" spans="1:10" s="315" customFormat="1" ht="17.25" customHeight="1">
      <c r="A499" s="1528"/>
      <c r="B499" s="1557"/>
      <c r="C499" s="1563"/>
      <c r="D499" s="1688"/>
      <c r="E499" s="313"/>
      <c r="F499" s="1666" t="s">
        <v>1483</v>
      </c>
      <c r="G499" s="1696"/>
      <c r="H499" s="1674"/>
      <c r="I499" s="220"/>
      <c r="J499" s="1717">
        <f>SUM(J479:J498)</f>
        <v>65563315.380000003</v>
      </c>
    </row>
    <row r="500" spans="1:10" ht="17.25" customHeight="1">
      <c r="A500" s="1532" t="s">
        <v>2215</v>
      </c>
      <c r="B500" s="1533" t="s">
        <v>2927</v>
      </c>
      <c r="C500" s="1534"/>
      <c r="D500" s="1534"/>
      <c r="E500" s="1697"/>
      <c r="F500" s="1536"/>
      <c r="G500" s="1697"/>
      <c r="H500" s="1668"/>
      <c r="I500" s="1612"/>
      <c r="J500" s="1717"/>
    </row>
    <row r="501" spans="1:10">
      <c r="A501" s="1571" t="s">
        <v>2699</v>
      </c>
      <c r="B501" s="1548" t="s">
        <v>18</v>
      </c>
      <c r="C501" s="1572"/>
      <c r="D501" s="1572"/>
      <c r="E501" s="1689"/>
      <c r="F501" s="1573"/>
      <c r="G501" s="1689"/>
      <c r="H501" s="1667"/>
      <c r="I501" s="1612"/>
      <c r="J501" s="1717"/>
    </row>
    <row r="502" spans="1:10" s="315" customFormat="1" ht="72">
      <c r="A502" s="1554" t="s">
        <v>2932</v>
      </c>
      <c r="B502" s="1555" t="s">
        <v>2942</v>
      </c>
      <c r="C502" s="1530" t="s">
        <v>19</v>
      </c>
      <c r="D502" s="1542">
        <f>'HRT Adit Portal 1'!J13+'HRT Adit Portal 2'!J13</f>
        <v>340</v>
      </c>
      <c r="E502" s="220"/>
      <c r="F502" s="220"/>
      <c r="G502" s="220"/>
      <c r="H502" s="1673"/>
      <c r="I502" s="1577">
        <f>I425</f>
        <v>40.5</v>
      </c>
      <c r="J502" s="1543">
        <f>D502*I502</f>
        <v>13770</v>
      </c>
    </row>
    <row r="503" spans="1:10" s="315" customFormat="1" ht="72">
      <c r="A503" s="1571" t="s">
        <v>2216</v>
      </c>
      <c r="B503" s="1544" t="s">
        <v>2928</v>
      </c>
      <c r="C503" s="1530"/>
      <c r="D503" s="1542"/>
      <c r="E503" s="220"/>
      <c r="F503" s="220"/>
      <c r="G503" s="220"/>
      <c r="H503" s="1673"/>
      <c r="I503" s="1542"/>
      <c r="J503" s="1543"/>
    </row>
    <row r="504" spans="1:10" s="315" customFormat="1">
      <c r="A504" s="1554" t="s">
        <v>2761</v>
      </c>
      <c r="B504" s="220" t="s">
        <v>63</v>
      </c>
      <c r="C504" s="1530" t="s">
        <v>21</v>
      </c>
      <c r="D504" s="1542">
        <f>'HRT Adit Portal 1'!J16+'HRT Adit Portal 2'!J16</f>
        <v>7578.2</v>
      </c>
      <c r="E504" s="1612"/>
      <c r="F504" s="1613"/>
      <c r="G504" s="1613"/>
      <c r="H504" s="1677"/>
      <c r="I504" s="1543">
        <f>I428</f>
        <v>1375.6949999999999</v>
      </c>
      <c r="J504" s="1543">
        <f t="shared" ref="J504:J514" si="16">D504*I504</f>
        <v>10425291.848999999</v>
      </c>
    </row>
    <row r="505" spans="1:10" s="1595" customFormat="1">
      <c r="A505" s="1571" t="s">
        <v>2217</v>
      </c>
      <c r="B505" s="313" t="s">
        <v>1929</v>
      </c>
      <c r="C505" s="1530"/>
      <c r="D505" s="1542"/>
      <c r="E505" s="1612"/>
      <c r="F505" s="1613"/>
      <c r="G505" s="1613"/>
      <c r="H505" s="1677"/>
      <c r="I505" s="1655"/>
      <c r="J505" s="1543"/>
    </row>
    <row r="506" spans="1:10" s="1595" customFormat="1" ht="54">
      <c r="A506" s="1554" t="s">
        <v>2700</v>
      </c>
      <c r="B506" s="1550" t="s">
        <v>2929</v>
      </c>
      <c r="C506" s="1530" t="s">
        <v>307</v>
      </c>
      <c r="D506" s="1542">
        <f>'HRT Adit Portal 1'!J20+'HRT Adit Portal 2'!J20</f>
        <v>523</v>
      </c>
      <c r="E506" s="1612"/>
      <c r="F506" s="1613"/>
      <c r="G506" s="1613"/>
      <c r="H506" s="1673"/>
      <c r="I506" s="1577">
        <f>I430</f>
        <v>5381.75</v>
      </c>
      <c r="J506" s="1543">
        <f t="shared" si="16"/>
        <v>2814655.25</v>
      </c>
    </row>
    <row r="507" spans="1:10">
      <c r="A507" s="1571" t="s">
        <v>2218</v>
      </c>
      <c r="B507" s="313" t="s">
        <v>1872</v>
      </c>
      <c r="C507" s="1530"/>
      <c r="D507" s="1542"/>
      <c r="E507" s="1612"/>
      <c r="F507" s="1613"/>
      <c r="G507" s="1613"/>
      <c r="H507" s="1673"/>
      <c r="I507" s="220"/>
      <c r="J507" s="1543"/>
    </row>
    <row r="508" spans="1:10" ht="54">
      <c r="A508" s="1554" t="s">
        <v>2224</v>
      </c>
      <c r="B508" s="1550" t="s">
        <v>2606</v>
      </c>
      <c r="C508" s="1530" t="s">
        <v>19</v>
      </c>
      <c r="D508" s="1542">
        <v>50</v>
      </c>
      <c r="E508" s="1612"/>
      <c r="F508" s="1613"/>
      <c r="G508" s="1613"/>
      <c r="H508" s="1673"/>
      <c r="I508" s="1577">
        <f>I444</f>
        <v>2755.1750000000002</v>
      </c>
      <c r="J508" s="1543">
        <f>D508*I508</f>
        <v>137758.75</v>
      </c>
    </row>
    <row r="509" spans="1:10" ht="54">
      <c r="A509" s="1554" t="s">
        <v>2934</v>
      </c>
      <c r="B509" s="1550" t="s">
        <v>2607</v>
      </c>
      <c r="C509" s="1530" t="s">
        <v>19</v>
      </c>
      <c r="D509" s="1542">
        <v>50</v>
      </c>
      <c r="E509" s="1612"/>
      <c r="F509" s="1613"/>
      <c r="G509" s="1613"/>
      <c r="H509" s="1673"/>
      <c r="I509" s="1577">
        <f>I432</f>
        <v>4132.7625000000007</v>
      </c>
      <c r="J509" s="1543">
        <f>D509*I509</f>
        <v>206638.12500000003</v>
      </c>
    </row>
    <row r="510" spans="1:10" ht="54">
      <c r="A510" s="1554" t="s">
        <v>2933</v>
      </c>
      <c r="B510" s="1550" t="s">
        <v>2412</v>
      </c>
      <c r="C510" s="1530" t="s">
        <v>19</v>
      </c>
      <c r="D510" s="1542">
        <f>'HRT Adit Portal 1'!J24+'HRT Adit Portal 2'!J24</f>
        <v>1173.95</v>
      </c>
      <c r="E510" s="1612"/>
      <c r="F510" s="1613"/>
      <c r="G510" s="1613"/>
      <c r="H510" s="1673"/>
      <c r="I510" s="1577">
        <f>I433</f>
        <v>5510.35</v>
      </c>
      <c r="J510" s="1543">
        <f t="shared" si="16"/>
        <v>6468875.3825000003</v>
      </c>
    </row>
    <row r="511" spans="1:10">
      <c r="A511" s="1571" t="s">
        <v>2219</v>
      </c>
      <c r="B511" s="1557" t="s">
        <v>1484</v>
      </c>
      <c r="C511" s="1530" t="s">
        <v>307</v>
      </c>
      <c r="D511" s="1542">
        <f>'HRT Adit Portal 1'!J32+'HRT Adit Portal 2'!J32</f>
        <v>392</v>
      </c>
      <c r="E511" s="1612"/>
      <c r="F511" s="1613"/>
      <c r="G511" s="1613"/>
      <c r="H511" s="1677"/>
      <c r="I511" s="1543">
        <f>I437</f>
        <v>618</v>
      </c>
      <c r="J511" s="1543">
        <f t="shared" si="16"/>
        <v>242256</v>
      </c>
    </row>
    <row r="512" spans="1:10">
      <c r="A512" s="1571" t="s">
        <v>2220</v>
      </c>
      <c r="B512" s="1557" t="s">
        <v>1486</v>
      </c>
      <c r="C512" s="1530"/>
      <c r="D512" s="1542"/>
      <c r="E512" s="1612"/>
      <c r="F512" s="1613"/>
      <c r="G512" s="1613"/>
      <c r="H512" s="1677"/>
      <c r="I512" s="1543"/>
      <c r="J512" s="1543"/>
    </row>
    <row r="513" spans="1:76" ht="36">
      <c r="A513" s="1554" t="s">
        <v>2777</v>
      </c>
      <c r="B513" s="669" t="s">
        <v>2657</v>
      </c>
      <c r="C513" s="1530" t="s">
        <v>19</v>
      </c>
      <c r="D513" s="1542">
        <v>100</v>
      </c>
      <c r="E513" s="1612"/>
      <c r="F513" s="1613"/>
      <c r="G513" s="1613"/>
      <c r="H513" s="1677"/>
      <c r="I513" s="1543">
        <f>I435</f>
        <v>524</v>
      </c>
      <c r="J513" s="1543">
        <f t="shared" si="16"/>
        <v>52400</v>
      </c>
    </row>
    <row r="514" spans="1:76" ht="36">
      <c r="A514" s="1554" t="s">
        <v>2935</v>
      </c>
      <c r="B514" s="669" t="s">
        <v>2422</v>
      </c>
      <c r="C514" s="1530" t="s">
        <v>19</v>
      </c>
      <c r="D514" s="1542">
        <f>'HRT Adit Portal 1'!J28+'HRT Adit Portal 2'!J28</f>
        <v>1173.95</v>
      </c>
      <c r="E514" s="1612"/>
      <c r="F514" s="1613"/>
      <c r="G514" s="1613"/>
      <c r="H514" s="1677"/>
      <c r="I514" s="1543">
        <f>I436</f>
        <v>655</v>
      </c>
      <c r="J514" s="1543">
        <f t="shared" si="16"/>
        <v>768937.25</v>
      </c>
    </row>
    <row r="515" spans="1:76">
      <c r="A515" s="1528"/>
      <c r="B515" s="1557"/>
      <c r="C515" s="1563"/>
      <c r="D515" s="1563"/>
      <c r="E515" s="1612"/>
      <c r="F515" s="1666" t="s">
        <v>1483</v>
      </c>
      <c r="G515" s="1691"/>
      <c r="H515" s="1674"/>
      <c r="I515" s="220"/>
      <c r="J515" s="1770">
        <f>SUM(J502:J514)</f>
        <v>21130582.6065</v>
      </c>
    </row>
    <row r="516" spans="1:76" s="1654" customFormat="1">
      <c r="A516" s="1532" t="s">
        <v>2222</v>
      </c>
      <c r="B516" s="1533" t="s">
        <v>1487</v>
      </c>
      <c r="C516" s="1551"/>
      <c r="D516" s="1738"/>
      <c r="E516" s="1552"/>
      <c r="F516" s="1536"/>
      <c r="G516" s="1697"/>
      <c r="H516" s="1668"/>
      <c r="I516" s="220"/>
      <c r="J516" s="1543"/>
      <c r="K516" s="315"/>
      <c r="L516" s="315"/>
      <c r="M516" s="315"/>
      <c r="N516" s="315"/>
      <c r="O516" s="315"/>
      <c r="P516" s="315"/>
      <c r="Q516" s="315"/>
      <c r="R516" s="315"/>
      <c r="S516" s="315"/>
      <c r="T516" s="315"/>
      <c r="U516" s="315"/>
      <c r="V516" s="315"/>
      <c r="W516" s="315"/>
      <c r="X516" s="315"/>
      <c r="Y516" s="315"/>
      <c r="Z516" s="315"/>
      <c r="AA516" s="315"/>
      <c r="AB516" s="315"/>
      <c r="AC516" s="315"/>
      <c r="AD516" s="315"/>
      <c r="AE516" s="315"/>
      <c r="AF516" s="315"/>
      <c r="AG516" s="315"/>
      <c r="AH516" s="315"/>
      <c r="AI516" s="315"/>
      <c r="AJ516" s="315"/>
      <c r="AK516" s="315"/>
      <c r="AL516" s="315"/>
      <c r="AM516" s="315"/>
      <c r="AN516" s="315"/>
      <c r="AO516" s="315"/>
      <c r="AP516" s="315"/>
      <c r="AQ516" s="315"/>
      <c r="AR516" s="315"/>
      <c r="AS516" s="315"/>
      <c r="AT516" s="315"/>
      <c r="AU516" s="315"/>
      <c r="AV516" s="315"/>
      <c r="AW516" s="315"/>
      <c r="AX516" s="315"/>
      <c r="AY516" s="315"/>
      <c r="AZ516" s="315"/>
      <c r="BA516" s="315"/>
      <c r="BB516" s="315"/>
      <c r="BC516" s="315"/>
      <c r="BD516" s="315"/>
      <c r="BE516" s="315"/>
      <c r="BF516" s="315"/>
      <c r="BG516" s="315"/>
      <c r="BH516" s="315"/>
      <c r="BI516" s="315"/>
      <c r="BJ516" s="315"/>
      <c r="BK516" s="315"/>
      <c r="BL516" s="315"/>
      <c r="BM516" s="315"/>
      <c r="BN516" s="315"/>
      <c r="BO516" s="315"/>
      <c r="BP516" s="315"/>
      <c r="BQ516" s="315"/>
      <c r="BR516" s="315"/>
      <c r="BS516" s="315"/>
      <c r="BT516" s="315"/>
      <c r="BU516" s="315"/>
      <c r="BV516" s="315"/>
      <c r="BW516" s="315"/>
      <c r="BX516" s="315"/>
    </row>
    <row r="517" spans="1:76" ht="90">
      <c r="A517" s="1571" t="s">
        <v>2223</v>
      </c>
      <c r="B517" s="1556" t="s">
        <v>1866</v>
      </c>
      <c r="C517" s="1530" t="s">
        <v>21</v>
      </c>
      <c r="D517" s="1542">
        <f>'Aeration tunnel (Alt.)'!J29</f>
        <v>395.22365676192737</v>
      </c>
      <c r="E517" s="1612"/>
      <c r="F517" s="1613"/>
      <c r="G517" s="1613"/>
      <c r="H517" s="1677"/>
      <c r="I517" s="1543">
        <f>I441</f>
        <v>6624.65</v>
      </c>
      <c r="J517" s="1543">
        <f>ROUND(I517*D517,2)</f>
        <v>2618218.4</v>
      </c>
    </row>
    <row r="518" spans="1:76" s="315" customFormat="1">
      <c r="A518" s="1571" t="s">
        <v>2225</v>
      </c>
      <c r="B518" s="1557" t="s">
        <v>2621</v>
      </c>
      <c r="C518" s="1759"/>
      <c r="D518" s="1743"/>
      <c r="E518" s="313"/>
      <c r="F518" s="313"/>
      <c r="G518" s="313"/>
      <c r="H518" s="1678"/>
      <c r="I518" s="220"/>
      <c r="J518" s="220"/>
    </row>
    <row r="519" spans="1:76" s="315" customFormat="1" ht="54">
      <c r="A519" s="1554" t="s">
        <v>2701</v>
      </c>
      <c r="B519" s="669" t="s">
        <v>2606</v>
      </c>
      <c r="C519" s="66" t="s">
        <v>19</v>
      </c>
      <c r="D519" s="1732">
        <v>10</v>
      </c>
      <c r="E519" s="313"/>
      <c r="F519" s="313"/>
      <c r="G519" s="313"/>
      <c r="H519" s="1678"/>
      <c r="I519" s="1593">
        <f>I444</f>
        <v>2755.1750000000002</v>
      </c>
      <c r="J519" s="220"/>
    </row>
    <row r="520" spans="1:76" s="315" customFormat="1" ht="54">
      <c r="A520" s="1554" t="s">
        <v>2953</v>
      </c>
      <c r="B520" s="669" t="s">
        <v>2607</v>
      </c>
      <c r="C520" s="66" t="s">
        <v>19</v>
      </c>
      <c r="D520" s="1732">
        <v>20</v>
      </c>
      <c r="E520" s="313"/>
      <c r="F520" s="313"/>
      <c r="G520" s="313"/>
      <c r="H520" s="1678"/>
      <c r="I520" s="1593">
        <f>I445</f>
        <v>4132.7625000000007</v>
      </c>
      <c r="J520" s="220"/>
    </row>
    <row r="521" spans="1:76" ht="54">
      <c r="A521" s="1554" t="s">
        <v>2954</v>
      </c>
      <c r="B521" s="669" t="s">
        <v>1862</v>
      </c>
      <c r="C521" s="1530" t="s">
        <v>19</v>
      </c>
      <c r="D521" s="1542">
        <f>'Aeration tunnel (Alt.)'!J31</f>
        <v>252.96635855661785</v>
      </c>
      <c r="E521" s="1612"/>
      <c r="F521" s="1613"/>
      <c r="G521" s="1613"/>
      <c r="H521" s="1677"/>
      <c r="I521" s="1543">
        <f>I447</f>
        <v>5767.1</v>
      </c>
      <c r="J521" s="1543">
        <f>ROUND(I521*D521,2)</f>
        <v>1458882.29</v>
      </c>
    </row>
    <row r="522" spans="1:76" ht="54">
      <c r="A522" s="1554" t="s">
        <v>2955</v>
      </c>
      <c r="B522" s="669" t="s">
        <v>1881</v>
      </c>
      <c r="C522" s="1530" t="s">
        <v>19</v>
      </c>
      <c r="D522" s="1542">
        <v>25</v>
      </c>
      <c r="E522" s="1612"/>
      <c r="F522" s="1613"/>
      <c r="G522" s="1613"/>
      <c r="H522" s="1677"/>
      <c r="I522" s="1543">
        <f>I448</f>
        <v>7208.875</v>
      </c>
      <c r="J522" s="1543">
        <f>ROUND(I522*D522,2)</f>
        <v>180221.88</v>
      </c>
    </row>
    <row r="523" spans="1:76" ht="54">
      <c r="A523" s="1554" t="s">
        <v>2956</v>
      </c>
      <c r="B523" s="669" t="s">
        <v>1883</v>
      </c>
      <c r="C523" s="1530" t="s">
        <v>19</v>
      </c>
      <c r="D523" s="1542">
        <f>'Aeration tunnel (Alt.)'!J32</f>
        <v>63.241589639154462</v>
      </c>
      <c r="E523" s="1612"/>
      <c r="F523" s="1613"/>
      <c r="G523" s="1613"/>
      <c r="H523" s="1677"/>
      <c r="I523" s="1543">
        <f>I449</f>
        <v>8650.65</v>
      </c>
      <c r="J523" s="1543">
        <f>ROUND(I523*D523,2)</f>
        <v>547080.86</v>
      </c>
    </row>
    <row r="524" spans="1:76">
      <c r="A524" s="1571" t="s">
        <v>2226</v>
      </c>
      <c r="B524" s="1557" t="s">
        <v>1486</v>
      </c>
      <c r="C524" s="1530"/>
      <c r="D524" s="1542"/>
      <c r="E524" s="1612"/>
      <c r="F524" s="1613"/>
      <c r="G524" s="1613"/>
      <c r="H524" s="1677"/>
      <c r="I524" s="1543"/>
      <c r="J524" s="1543"/>
    </row>
    <row r="525" spans="1:76" ht="36">
      <c r="A525" s="1554" t="s">
        <v>2231</v>
      </c>
      <c r="B525" s="669" t="s">
        <v>2749</v>
      </c>
      <c r="C525" s="1530" t="s">
        <v>19</v>
      </c>
      <c r="D525" s="1542">
        <v>10</v>
      </c>
      <c r="E525" s="1612"/>
      <c r="F525" s="1613"/>
      <c r="G525" s="1613"/>
      <c r="H525" s="1677"/>
      <c r="I525" s="1543">
        <f>I452</f>
        <v>524</v>
      </c>
      <c r="J525" s="1543">
        <f>ROUND(I525*D525,2)</f>
        <v>5240</v>
      </c>
    </row>
    <row r="526" spans="1:76" ht="36">
      <c r="A526" s="1554" t="s">
        <v>2957</v>
      </c>
      <c r="B526" s="669" t="s">
        <v>2421</v>
      </c>
      <c r="C526" s="1530" t="s">
        <v>19</v>
      </c>
      <c r="D526" s="1708">
        <f>'Aeration tunnel (Alt.)'!J35</f>
        <v>31.620794819577231</v>
      </c>
      <c r="E526" s="1612"/>
      <c r="F526" s="1613"/>
      <c r="G526" s="1613"/>
      <c r="H526" s="1673"/>
      <c r="I526" s="1577">
        <f>I451</f>
        <v>655</v>
      </c>
      <c r="J526" s="1543">
        <f>ROUND(I526*D526,2)</f>
        <v>20711.62</v>
      </c>
    </row>
    <row r="527" spans="1:76">
      <c r="A527" s="1571" t="s">
        <v>2227</v>
      </c>
      <c r="B527" s="313" t="s">
        <v>92</v>
      </c>
      <c r="C527" s="1530"/>
      <c r="D527" s="1542"/>
      <c r="E527" s="1612"/>
      <c r="F527" s="1613"/>
      <c r="G527" s="1613"/>
      <c r="H527" s="1673"/>
      <c r="I527" s="1577"/>
      <c r="J527" s="1543"/>
    </row>
    <row r="528" spans="1:76" ht="54">
      <c r="A528" s="1554" t="s">
        <v>2232</v>
      </c>
      <c r="B528" s="1550" t="s">
        <v>2867</v>
      </c>
      <c r="C528" s="1530" t="s">
        <v>307</v>
      </c>
      <c r="D528" s="1542">
        <f>'Aeration tunnel (Alt.)'!J39</f>
        <v>220</v>
      </c>
      <c r="E528" s="1612"/>
      <c r="F528" s="1613"/>
      <c r="G528" s="1613"/>
      <c r="H528" s="1673"/>
      <c r="I528" s="1577">
        <f>I455</f>
        <v>4267.25</v>
      </c>
      <c r="J528" s="1543">
        <f>ROUND(I528*D528,2)</f>
        <v>938795</v>
      </c>
    </row>
    <row r="529" spans="1:76">
      <c r="A529" s="1571" t="s">
        <v>2228</v>
      </c>
      <c r="B529" s="313" t="s">
        <v>2773</v>
      </c>
      <c r="C529" s="1530"/>
      <c r="D529" s="1542"/>
      <c r="E529" s="1612"/>
      <c r="F529" s="1613"/>
      <c r="G529" s="1613"/>
      <c r="H529" s="1673"/>
      <c r="I529" s="1577"/>
      <c r="J529" s="1543"/>
    </row>
    <row r="530" spans="1:76" ht="54">
      <c r="A530" s="1554" t="s">
        <v>2230</v>
      </c>
      <c r="B530" s="669" t="s">
        <v>2881</v>
      </c>
      <c r="C530" s="1530" t="s">
        <v>307</v>
      </c>
      <c r="D530" s="1542">
        <f>'Aeration tunnel (Alt.)'!J42</f>
        <v>25</v>
      </c>
      <c r="E530" s="1612"/>
      <c r="F530" s="1613"/>
      <c r="G530" s="1613"/>
      <c r="H530" s="1673"/>
      <c r="I530" s="1543">
        <f>I457</f>
        <v>12161.5</v>
      </c>
      <c r="J530" s="1577">
        <f>I530*D530</f>
        <v>304037.5</v>
      </c>
    </row>
    <row r="531" spans="1:76">
      <c r="A531" s="1571" t="s">
        <v>2229</v>
      </c>
      <c r="B531" s="1557" t="s">
        <v>318</v>
      </c>
      <c r="C531" s="1530"/>
      <c r="D531" s="1542"/>
      <c r="E531" s="1612"/>
      <c r="F531" s="1613"/>
      <c r="G531" s="1613"/>
      <c r="H531" s="1673"/>
      <c r="I531" s="1577"/>
      <c r="J531" s="1543"/>
    </row>
    <row r="532" spans="1:76" ht="54">
      <c r="A532" s="1554" t="s">
        <v>2702</v>
      </c>
      <c r="B532" s="669" t="s">
        <v>2892</v>
      </c>
      <c r="C532" s="1530" t="s">
        <v>322</v>
      </c>
      <c r="D532" s="1542">
        <f>'Aeration tunnel (Alt.)'!J41</f>
        <v>0.94862384458731686</v>
      </c>
      <c r="E532" s="1612"/>
      <c r="F532" s="1613"/>
      <c r="G532" s="1613"/>
      <c r="H532" s="1677"/>
      <c r="I532" s="1543">
        <f>I471</f>
        <v>338528.5</v>
      </c>
      <c r="J532" s="1577">
        <f>I532*D532</f>
        <v>321136.2071723775</v>
      </c>
    </row>
    <row r="533" spans="1:76" ht="36">
      <c r="A533" s="1571" t="s">
        <v>2958</v>
      </c>
      <c r="B533" s="1557" t="s">
        <v>2890</v>
      </c>
      <c r="C533" s="1530" t="s">
        <v>19</v>
      </c>
      <c r="D533" s="1542">
        <f>'Aeration tunnel (Alt.)'!J37</f>
        <v>123</v>
      </c>
      <c r="E533" s="1612"/>
      <c r="F533" s="1613"/>
      <c r="G533" s="1613"/>
      <c r="H533" s="1677"/>
      <c r="I533" s="1543">
        <f>I474</f>
        <v>350</v>
      </c>
      <c r="J533" s="1543">
        <f>ROUND(I533*D533,2)</f>
        <v>43050</v>
      </c>
    </row>
    <row r="534" spans="1:76" ht="54">
      <c r="A534" s="1571" t="s">
        <v>2959</v>
      </c>
      <c r="B534" s="1557" t="s">
        <v>2418</v>
      </c>
      <c r="C534" s="1530" t="s">
        <v>438</v>
      </c>
      <c r="D534" s="1542">
        <f>0.1*D532*1000</f>
        <v>94.862384458731682</v>
      </c>
      <c r="E534" s="1612"/>
      <c r="F534" s="1613"/>
      <c r="G534" s="1613"/>
      <c r="H534" s="1677"/>
      <c r="I534" s="1543">
        <f>I473</f>
        <v>183.08</v>
      </c>
      <c r="J534" s="1543">
        <f>ROUND(I534*D534,2)</f>
        <v>17367.41</v>
      </c>
    </row>
    <row r="535" spans="1:76" ht="17.25" customHeight="1">
      <c r="A535" s="1528"/>
      <c r="B535" s="1557"/>
      <c r="C535" s="1563"/>
      <c r="D535" s="1688"/>
      <c r="E535" s="1612"/>
      <c r="F535" s="1666" t="s">
        <v>1483</v>
      </c>
      <c r="G535" s="1691"/>
      <c r="H535" s="1678"/>
      <c r="I535" s="1612"/>
      <c r="J535" s="1717">
        <f>SUM(J517:J534)</f>
        <v>6454741.1671723779</v>
      </c>
    </row>
    <row r="536" spans="1:76" s="1654" customFormat="1">
      <c r="A536" s="1532" t="s">
        <v>2233</v>
      </c>
      <c r="B536" s="1533" t="s">
        <v>298</v>
      </c>
      <c r="C536" s="1551"/>
      <c r="D536" s="1738"/>
      <c r="E536" s="1697"/>
      <c r="F536" s="1536"/>
      <c r="G536" s="1697"/>
      <c r="H536" s="1668"/>
      <c r="I536" s="1542"/>
      <c r="J536" s="1543"/>
      <c r="K536" s="315"/>
      <c r="L536" s="315"/>
      <c r="M536" s="315"/>
      <c r="N536" s="315"/>
      <c r="O536" s="315"/>
      <c r="P536" s="315"/>
      <c r="Q536" s="315"/>
      <c r="R536" s="315"/>
      <c r="S536" s="315"/>
      <c r="T536" s="315"/>
      <c r="U536" s="315"/>
      <c r="V536" s="315"/>
      <c r="W536" s="315"/>
      <c r="X536" s="315"/>
      <c r="Y536" s="315"/>
      <c r="Z536" s="315"/>
      <c r="AA536" s="315"/>
      <c r="AB536" s="315"/>
      <c r="AC536" s="315"/>
      <c r="AD536" s="315"/>
      <c r="AE536" s="315"/>
      <c r="AF536" s="315"/>
      <c r="AG536" s="315"/>
      <c r="AH536" s="315"/>
      <c r="AI536" s="315"/>
      <c r="AJ536" s="315"/>
      <c r="AK536" s="315"/>
      <c r="AL536" s="315"/>
      <c r="AM536" s="315"/>
      <c r="AN536" s="315"/>
      <c r="AO536" s="315"/>
      <c r="AP536" s="315"/>
      <c r="AQ536" s="315"/>
      <c r="AR536" s="315"/>
      <c r="AS536" s="315"/>
      <c r="AT536" s="315"/>
      <c r="AU536" s="315"/>
      <c r="AV536" s="315"/>
      <c r="AW536" s="315"/>
      <c r="AX536" s="315"/>
      <c r="AY536" s="315"/>
      <c r="AZ536" s="315"/>
      <c r="BA536" s="315"/>
      <c r="BB536" s="315"/>
      <c r="BC536" s="315"/>
      <c r="BD536" s="315"/>
      <c r="BE536" s="315"/>
      <c r="BF536" s="315"/>
      <c r="BG536" s="315"/>
      <c r="BH536" s="315"/>
      <c r="BI536" s="315"/>
      <c r="BJ536" s="315"/>
      <c r="BK536" s="315"/>
      <c r="BL536" s="315"/>
      <c r="BM536" s="315"/>
      <c r="BN536" s="315"/>
      <c r="BO536" s="315"/>
      <c r="BP536" s="315"/>
      <c r="BQ536" s="315"/>
      <c r="BR536" s="315"/>
      <c r="BS536" s="315"/>
      <c r="BT536" s="315"/>
      <c r="BU536" s="315"/>
      <c r="BV536" s="315"/>
      <c r="BW536" s="315"/>
      <c r="BX536" s="315"/>
    </row>
    <row r="537" spans="1:76" ht="90">
      <c r="A537" s="1571" t="s">
        <v>2234</v>
      </c>
      <c r="B537" s="1556" t="s">
        <v>2941</v>
      </c>
      <c r="C537" s="1530" t="s">
        <v>21</v>
      </c>
      <c r="D537" s="1542">
        <f>'Surge '!J15</f>
        <v>4257.301795576489</v>
      </c>
      <c r="E537" s="1612"/>
      <c r="F537" s="1613"/>
      <c r="G537" s="1613"/>
      <c r="H537" s="1677"/>
      <c r="I537" s="1543">
        <f>[45]Summary!$K$225</f>
        <v>10548</v>
      </c>
      <c r="J537" s="1543">
        <f>ROUND(I537*D537,2)</f>
        <v>44906019.340000004</v>
      </c>
    </row>
    <row r="538" spans="1:76" ht="54">
      <c r="A538" s="1571" t="s">
        <v>2235</v>
      </c>
      <c r="B538" s="1545" t="s">
        <v>2735</v>
      </c>
      <c r="C538" s="1530"/>
      <c r="D538" s="1542"/>
      <c r="E538" s="1612"/>
      <c r="F538" s="1613"/>
      <c r="G538" s="1613"/>
      <c r="H538" s="1677"/>
      <c r="I538" s="1543"/>
      <c r="J538" s="1543"/>
    </row>
    <row r="539" spans="1:76">
      <c r="A539" s="1554" t="s">
        <v>2618</v>
      </c>
      <c r="B539" s="1562" t="s">
        <v>1553</v>
      </c>
      <c r="C539" s="1530" t="s">
        <v>21</v>
      </c>
      <c r="D539" s="1542">
        <f>'Surge '!J29</f>
        <v>1465.3046366141657</v>
      </c>
      <c r="E539" s="1612"/>
      <c r="F539" s="1613"/>
      <c r="G539" s="1613"/>
      <c r="H539" s="1677"/>
      <c r="I539" s="1543">
        <f>[45]Summary!$K$257*1.4</f>
        <v>27155.8</v>
      </c>
      <c r="J539" s="1543">
        <f>ROUND(I539*D539,2)</f>
        <v>39791519.649999999</v>
      </c>
    </row>
    <row r="540" spans="1:76">
      <c r="A540" s="1571" t="s">
        <v>2236</v>
      </c>
      <c r="B540" s="313" t="s">
        <v>1649</v>
      </c>
      <c r="C540" s="1530"/>
      <c r="D540" s="1542"/>
      <c r="E540" s="1612"/>
      <c r="F540" s="1613"/>
      <c r="G540" s="1613"/>
      <c r="H540" s="1677"/>
      <c r="I540" s="1543"/>
      <c r="J540" s="1543"/>
    </row>
    <row r="541" spans="1:76" ht="54">
      <c r="A541" s="1554" t="s">
        <v>2242</v>
      </c>
      <c r="B541" s="1550" t="s">
        <v>1248</v>
      </c>
      <c r="C541" s="1530" t="s">
        <v>322</v>
      </c>
      <c r="D541" s="1542">
        <f>'Surge '!J36</f>
        <v>164.00056129534795</v>
      </c>
      <c r="E541" s="1612"/>
      <c r="F541" s="1613"/>
      <c r="G541" s="1613"/>
      <c r="H541" s="1673"/>
      <c r="I541" s="1577">
        <f>I497*1.05</f>
        <v>174758.18181818179</v>
      </c>
      <c r="J541" s="1543">
        <f>ROUND(I541*D541,2)</f>
        <v>28660439.91</v>
      </c>
    </row>
    <row r="542" spans="1:76">
      <c r="A542" s="1571" t="s">
        <v>2237</v>
      </c>
      <c r="B542" s="1548" t="s">
        <v>309</v>
      </c>
      <c r="C542" s="1530"/>
      <c r="D542" s="1542"/>
      <c r="E542" s="1612"/>
      <c r="F542" s="1613"/>
      <c r="G542" s="1613"/>
      <c r="H542" s="1673"/>
      <c r="I542" s="1577"/>
      <c r="J542" s="1543"/>
    </row>
    <row r="543" spans="1:76" ht="54">
      <c r="A543" s="1554" t="s">
        <v>2241</v>
      </c>
      <c r="B543" s="1549" t="s">
        <v>2038</v>
      </c>
      <c r="C543" s="1530" t="s">
        <v>19</v>
      </c>
      <c r="D543" s="1542">
        <f>'Surge '!J33</f>
        <v>1758.3655639369988</v>
      </c>
      <c r="E543" s="1612"/>
      <c r="F543" s="1613"/>
      <c r="G543" s="1613"/>
      <c r="H543" s="1673"/>
      <c r="I543" s="1577">
        <f>I174*1.4</f>
        <v>1728.0596765833334</v>
      </c>
      <c r="J543" s="1543">
        <f>ROUND(I543*D543,2)</f>
        <v>3038560.63</v>
      </c>
    </row>
    <row r="544" spans="1:76">
      <c r="A544" s="1571" t="s">
        <v>2238</v>
      </c>
      <c r="B544" s="313" t="s">
        <v>1929</v>
      </c>
      <c r="C544" s="1530"/>
      <c r="D544" s="1542"/>
      <c r="E544" s="1612"/>
      <c r="F544" s="1613"/>
      <c r="G544" s="1613"/>
      <c r="H544" s="1673"/>
      <c r="I544" s="1577"/>
      <c r="J544" s="1543"/>
    </row>
    <row r="545" spans="1:76" ht="51.75" customHeight="1">
      <c r="A545" s="1554" t="s">
        <v>2960</v>
      </c>
      <c r="B545" s="1550" t="s">
        <v>2869</v>
      </c>
      <c r="C545" s="1530" t="s">
        <v>311</v>
      </c>
      <c r="D545" s="1542">
        <f>'Surge '!J40</f>
        <v>690</v>
      </c>
      <c r="E545" s="1612"/>
      <c r="F545" s="1613"/>
      <c r="G545" s="1613"/>
      <c r="H545" s="1677"/>
      <c r="I545" s="1543">
        <f>[45]Summary!$K$243*1.4</f>
        <v>6690.5999999999995</v>
      </c>
      <c r="J545" s="1577">
        <f>I545*D545</f>
        <v>4616514</v>
      </c>
    </row>
    <row r="546" spans="1:76">
      <c r="A546" s="1571" t="s">
        <v>2239</v>
      </c>
      <c r="B546" s="313" t="s">
        <v>1872</v>
      </c>
      <c r="C546" s="1530"/>
      <c r="D546" s="1542"/>
      <c r="E546" s="1612"/>
      <c r="F546" s="1613"/>
      <c r="G546" s="1613"/>
      <c r="H546" s="1677"/>
      <c r="I546" s="1543"/>
      <c r="J546" s="1577"/>
    </row>
    <row r="547" spans="1:76" ht="54">
      <c r="A547" s="1554" t="s">
        <v>2240</v>
      </c>
      <c r="B547" s="1570" t="s">
        <v>1862</v>
      </c>
      <c r="C547" s="1530" t="s">
        <v>19</v>
      </c>
      <c r="D547" s="1542">
        <f>'Surge '!J31</f>
        <v>1640.0056129534796</v>
      </c>
      <c r="E547" s="1612"/>
      <c r="F547" s="1613"/>
      <c r="G547" s="1613"/>
      <c r="H547" s="1677"/>
      <c r="I547" s="1543">
        <f>I481*1.4</f>
        <v>8073.94</v>
      </c>
      <c r="J547" s="1577">
        <f>I547*D547</f>
        <v>13241306.918649616</v>
      </c>
    </row>
    <row r="548" spans="1:76" ht="54">
      <c r="A548" s="1554" t="s">
        <v>2619</v>
      </c>
      <c r="B548" s="1570" t="s">
        <v>1883</v>
      </c>
      <c r="C548" s="1530" t="s">
        <v>19</v>
      </c>
      <c r="D548" s="1547">
        <v>20</v>
      </c>
      <c r="E548" s="1612"/>
      <c r="F548" s="1613"/>
      <c r="G548" s="1613"/>
      <c r="H548" s="1677"/>
      <c r="I548" s="1543">
        <f>I483*1.4</f>
        <v>12110.909999999998</v>
      </c>
      <c r="J548" s="1577">
        <f>I548*D548</f>
        <v>242218.19999999995</v>
      </c>
    </row>
    <row r="549" spans="1:76" ht="17.25" customHeight="1">
      <c r="A549" s="1528"/>
      <c r="B549" s="1557"/>
      <c r="C549" s="1563"/>
      <c r="D549" s="1688"/>
      <c r="E549" s="1612"/>
      <c r="F549" s="1666" t="s">
        <v>1483</v>
      </c>
      <c r="G549" s="1691"/>
      <c r="H549" s="1678"/>
      <c r="I549" s="1612"/>
      <c r="J549" s="1717">
        <f>SUM(J537:J548)</f>
        <v>134496578.6486496</v>
      </c>
    </row>
    <row r="550" spans="1:76" s="1654" customFormat="1">
      <c r="A550" s="1532" t="s">
        <v>2244</v>
      </c>
      <c r="B550" s="1533" t="s">
        <v>829</v>
      </c>
      <c r="C550" s="1551"/>
      <c r="D550" s="1738"/>
      <c r="E550" s="1697"/>
      <c r="F550" s="1536"/>
      <c r="G550" s="1697"/>
      <c r="H550" s="1668"/>
      <c r="I550" s="1542"/>
      <c r="J550" s="1543"/>
      <c r="K550" s="315"/>
      <c r="L550" s="315"/>
      <c r="M550" s="315"/>
      <c r="N550" s="315"/>
      <c r="O550" s="315"/>
      <c r="P550" s="315"/>
      <c r="Q550" s="315"/>
      <c r="R550" s="315"/>
      <c r="S550" s="315"/>
      <c r="T550" s="315"/>
      <c r="U550" s="315"/>
      <c r="V550" s="315"/>
      <c r="W550" s="315"/>
      <c r="X550" s="315"/>
      <c r="Y550" s="315"/>
      <c r="Z550" s="315"/>
      <c r="AA550" s="315"/>
      <c r="AB550" s="315"/>
      <c r="AC550" s="315"/>
      <c r="AD550" s="315"/>
      <c r="AE550" s="315"/>
      <c r="AF550" s="315"/>
      <c r="AG550" s="315"/>
      <c r="AH550" s="315"/>
      <c r="AI550" s="315"/>
      <c r="AJ550" s="315"/>
      <c r="AK550" s="315"/>
      <c r="AL550" s="315"/>
      <c r="AM550" s="315"/>
      <c r="AN550" s="315"/>
      <c r="AO550" s="315"/>
      <c r="AP550" s="315"/>
      <c r="AQ550" s="315"/>
      <c r="AR550" s="315"/>
      <c r="AS550" s="315"/>
      <c r="AT550" s="315"/>
      <c r="AU550" s="315"/>
      <c r="AV550" s="315"/>
      <c r="AW550" s="315"/>
      <c r="AX550" s="315"/>
      <c r="AY550" s="315"/>
      <c r="AZ550" s="315"/>
      <c r="BA550" s="315"/>
      <c r="BB550" s="315"/>
      <c r="BC550" s="315"/>
      <c r="BD550" s="315"/>
      <c r="BE550" s="315"/>
      <c r="BF550" s="315"/>
      <c r="BG550" s="315"/>
      <c r="BH550" s="315"/>
      <c r="BI550" s="315"/>
      <c r="BJ550" s="315"/>
      <c r="BK550" s="315"/>
      <c r="BL550" s="315"/>
      <c r="BM550" s="315"/>
      <c r="BN550" s="315"/>
      <c r="BO550" s="315"/>
      <c r="BP550" s="315"/>
      <c r="BQ550" s="315"/>
      <c r="BR550" s="315"/>
      <c r="BS550" s="315"/>
      <c r="BT550" s="315"/>
      <c r="BU550" s="315"/>
      <c r="BV550" s="315"/>
      <c r="BW550" s="315"/>
      <c r="BX550" s="315"/>
    </row>
    <row r="551" spans="1:76" s="1590" customFormat="1">
      <c r="A551" s="1571" t="s">
        <v>2274</v>
      </c>
      <c r="B551" s="1548" t="s">
        <v>18</v>
      </c>
      <c r="C551" s="1572"/>
      <c r="D551" s="1737"/>
      <c r="E551" s="1689"/>
      <c r="F551" s="1573"/>
      <c r="G551" s="1689"/>
      <c r="H551" s="1667"/>
      <c r="I551" s="1542"/>
      <c r="J551" s="1543"/>
    </row>
    <row r="552" spans="1:76" ht="72">
      <c r="A552" s="1554" t="s">
        <v>2961</v>
      </c>
      <c r="B552" s="1555" t="s">
        <v>2847</v>
      </c>
      <c r="C552" s="1530" t="s">
        <v>19</v>
      </c>
      <c r="D552" s="1542">
        <f>3*'DS1'!J13</f>
        <v>1500</v>
      </c>
      <c r="E552" s="220"/>
      <c r="F552" s="220"/>
      <c r="G552" s="220"/>
      <c r="H552" s="1673"/>
      <c r="I552" s="1577">
        <f>I425</f>
        <v>40.5</v>
      </c>
      <c r="J552" s="1543">
        <f>ROUND(I552*D552,2)</f>
        <v>60750</v>
      </c>
    </row>
    <row r="553" spans="1:76" ht="72">
      <c r="A553" s="1571" t="s">
        <v>2275</v>
      </c>
      <c r="B553" s="1544" t="s">
        <v>2849</v>
      </c>
      <c r="C553" s="1530"/>
      <c r="D553" s="1542"/>
      <c r="E553" s="220"/>
      <c r="F553" s="220"/>
      <c r="G553" s="220"/>
      <c r="H553" s="1673"/>
      <c r="I553" s="1577"/>
      <c r="J553" s="1543"/>
    </row>
    <row r="554" spans="1:76">
      <c r="A554" s="1554" t="s">
        <v>2276</v>
      </c>
      <c r="B554" s="220" t="s">
        <v>63</v>
      </c>
      <c r="C554" s="1530" t="s">
        <v>21</v>
      </c>
      <c r="D554" s="1542">
        <f>3*'DS1'!J16</f>
        <v>4824</v>
      </c>
      <c r="E554" s="1612"/>
      <c r="F554" s="1613"/>
      <c r="G554" s="1613"/>
      <c r="H554" s="1677"/>
      <c r="I554" s="1543">
        <f>I428</f>
        <v>1375.6949999999999</v>
      </c>
      <c r="J554" s="1543">
        <f>ROUND(I554*D554,2)</f>
        <v>6636352.6799999997</v>
      </c>
    </row>
    <row r="555" spans="1:76">
      <c r="A555" s="1571" t="s">
        <v>2277</v>
      </c>
      <c r="B555" s="313" t="s">
        <v>1929</v>
      </c>
      <c r="C555" s="1530"/>
      <c r="D555" s="1542"/>
      <c r="E555" s="1612"/>
      <c r="F555" s="1613"/>
      <c r="G555" s="1613"/>
      <c r="H555" s="1677"/>
      <c r="I555" s="1543"/>
      <c r="J555" s="1543"/>
    </row>
    <row r="556" spans="1:76" ht="54">
      <c r="A556" s="1554" t="s">
        <v>2278</v>
      </c>
      <c r="B556" s="1550" t="s">
        <v>2865</v>
      </c>
      <c r="C556" s="1530" t="s">
        <v>307</v>
      </c>
      <c r="D556" s="1542">
        <f>3*'DS1'!J20</f>
        <v>576</v>
      </c>
      <c r="E556" s="1612"/>
      <c r="F556" s="1613"/>
      <c r="G556" s="1613"/>
      <c r="H556" s="1673"/>
      <c r="I556" s="1577">
        <f>I430</f>
        <v>5381.75</v>
      </c>
      <c r="J556" s="1543">
        <f>ROUND(I556*D556,2)</f>
        <v>3099888</v>
      </c>
    </row>
    <row r="557" spans="1:76">
      <c r="A557" s="1571" t="s">
        <v>2279</v>
      </c>
      <c r="B557" s="313" t="s">
        <v>1872</v>
      </c>
      <c r="C557" s="1530"/>
      <c r="D557" s="1542"/>
      <c r="E557" s="1612"/>
      <c r="F557" s="1613"/>
      <c r="G557" s="1613"/>
      <c r="H557" s="1673"/>
      <c r="I557" s="1577"/>
      <c r="J557" s="1543"/>
    </row>
    <row r="558" spans="1:76" ht="54">
      <c r="A558" s="1554" t="s">
        <v>2962</v>
      </c>
      <c r="B558" s="1550" t="s">
        <v>2412</v>
      </c>
      <c r="C558" s="1530" t="s">
        <v>19</v>
      </c>
      <c r="D558" s="1542">
        <f>'DS1'!J24</f>
        <v>432</v>
      </c>
      <c r="E558" s="1612"/>
      <c r="F558" s="1613"/>
      <c r="G558" s="1613"/>
      <c r="H558" s="1673"/>
      <c r="I558" s="1577">
        <f>I433</f>
        <v>5510.35</v>
      </c>
      <c r="J558" s="1543">
        <f>ROUND(I558*D558,2)</f>
        <v>2380471.2000000002</v>
      </c>
    </row>
    <row r="559" spans="1:76" ht="54">
      <c r="A559" s="1554" t="s">
        <v>2963</v>
      </c>
      <c r="B559" s="1550" t="s">
        <v>2607</v>
      </c>
      <c r="C559" s="1530" t="s">
        <v>19</v>
      </c>
      <c r="D559" s="1542">
        <v>50</v>
      </c>
      <c r="E559" s="1612"/>
      <c r="F559" s="1613"/>
      <c r="G559" s="1613"/>
      <c r="H559" s="1673"/>
      <c r="I559" s="1577">
        <f>I432</f>
        <v>4132.7625000000007</v>
      </c>
      <c r="J559" s="1543">
        <f>ROUND(I559*D559,2)</f>
        <v>206638.13</v>
      </c>
    </row>
    <row r="560" spans="1:76" ht="54">
      <c r="A560" s="1554" t="s">
        <v>2964</v>
      </c>
      <c r="B560" s="1550" t="s">
        <v>2606</v>
      </c>
      <c r="C560" s="1530" t="s">
        <v>19</v>
      </c>
      <c r="D560" s="1542">
        <v>100</v>
      </c>
      <c r="E560" s="1612"/>
      <c r="F560" s="1613"/>
      <c r="G560" s="1613"/>
      <c r="H560" s="1673"/>
      <c r="I560" s="1577">
        <f>I444</f>
        <v>2755.1750000000002</v>
      </c>
      <c r="J560" s="1543">
        <f>ROUND(I560*D560,2)</f>
        <v>275517.5</v>
      </c>
    </row>
    <row r="561" spans="1:10">
      <c r="A561" s="1571" t="s">
        <v>2280</v>
      </c>
      <c r="B561" s="1557" t="s">
        <v>1484</v>
      </c>
      <c r="C561" s="1530" t="s">
        <v>307</v>
      </c>
      <c r="D561" s="1542">
        <f>3*'DS1'!J32</f>
        <v>432</v>
      </c>
      <c r="E561" s="1612"/>
      <c r="F561" s="1613"/>
      <c r="G561" s="1613"/>
      <c r="H561" s="1677"/>
      <c r="I561" s="1543">
        <f>I437</f>
        <v>618</v>
      </c>
      <c r="J561" s="1577">
        <f>I561*D561</f>
        <v>266976</v>
      </c>
    </row>
    <row r="562" spans="1:10">
      <c r="A562" s="1571" t="s">
        <v>2281</v>
      </c>
      <c r="B562" s="1557" t="s">
        <v>1486</v>
      </c>
      <c r="C562" s="1530"/>
      <c r="D562" s="1542"/>
      <c r="E562" s="1612"/>
      <c r="F562" s="1613"/>
      <c r="G562" s="1613"/>
      <c r="H562" s="1677"/>
      <c r="I562" s="1543"/>
      <c r="J562" s="1577"/>
    </row>
    <row r="563" spans="1:10" ht="36">
      <c r="A563" s="1554" t="s">
        <v>2282</v>
      </c>
      <c r="B563" s="669" t="s">
        <v>2749</v>
      </c>
      <c r="C563" s="1530" t="s">
        <v>19</v>
      </c>
      <c r="D563" s="1542">
        <v>100</v>
      </c>
      <c r="E563" s="1612"/>
      <c r="F563" s="1613"/>
      <c r="G563" s="1613"/>
      <c r="H563" s="1677"/>
      <c r="I563" s="1543">
        <f>I435</f>
        <v>524</v>
      </c>
      <c r="J563" s="1577">
        <f>D563*I563</f>
        <v>52400</v>
      </c>
    </row>
    <row r="564" spans="1:10" ht="36">
      <c r="A564" s="1554" t="s">
        <v>2763</v>
      </c>
      <c r="B564" s="669" t="s">
        <v>2421</v>
      </c>
      <c r="C564" s="1530" t="s">
        <v>19</v>
      </c>
      <c r="D564" s="1542">
        <f>3*'DS1'!J28</f>
        <v>1296</v>
      </c>
      <c r="E564" s="1612"/>
      <c r="F564" s="1613"/>
      <c r="G564" s="1613"/>
      <c r="H564" s="1677"/>
      <c r="I564" s="1543">
        <f>I436</f>
        <v>655</v>
      </c>
      <c r="J564" s="1577">
        <f>I564*D564</f>
        <v>848880</v>
      </c>
    </row>
    <row r="565" spans="1:10" ht="17.25" customHeight="1">
      <c r="A565" s="1528"/>
      <c r="B565" s="1557"/>
      <c r="C565" s="1563"/>
      <c r="D565" s="1688"/>
      <c r="E565" s="1612"/>
      <c r="F565" s="1666" t="s">
        <v>1483</v>
      </c>
      <c r="G565" s="1691"/>
      <c r="H565" s="1678"/>
      <c r="I565" s="1612"/>
      <c r="J565" s="1717">
        <f>SUM(J552:J564)</f>
        <v>13827873.51</v>
      </c>
    </row>
    <row r="566" spans="1:10" s="315" customFormat="1">
      <c r="A566" s="1532" t="s">
        <v>2245</v>
      </c>
      <c r="B566" s="1533" t="s">
        <v>1488</v>
      </c>
      <c r="C566" s="1551"/>
      <c r="D566" s="1738"/>
      <c r="E566" s="1697"/>
      <c r="F566" s="1536"/>
      <c r="G566" s="1697"/>
      <c r="H566" s="1668"/>
      <c r="I566" s="1542"/>
      <c r="J566" s="1543"/>
    </row>
    <row r="567" spans="1:10" ht="108">
      <c r="A567" s="1927" t="s">
        <v>2283</v>
      </c>
      <c r="B567" s="1928" t="s">
        <v>2243</v>
      </c>
      <c r="C567" s="1929" t="s">
        <v>21</v>
      </c>
      <c r="D567" s="1897">
        <f>'Vertical Shaft'!J14</f>
        <v>5576.7349901757316</v>
      </c>
      <c r="E567" s="1930"/>
      <c r="F567" s="1930"/>
      <c r="G567" s="1930"/>
      <c r="H567" s="1931"/>
      <c r="I567" s="1932">
        <f>[45]Summary!$K$224</f>
        <v>16575</v>
      </c>
      <c r="J567" s="1933">
        <f>ROUND(I567*D567,2)</f>
        <v>92434382.459999993</v>
      </c>
    </row>
    <row r="568" spans="1:10">
      <c r="A568" s="1571" t="s">
        <v>2284</v>
      </c>
      <c r="B568" s="313" t="s">
        <v>1929</v>
      </c>
      <c r="C568" s="1576"/>
      <c r="D568" s="1542"/>
      <c r="E568" s="220"/>
      <c r="F568" s="220"/>
      <c r="G568" s="220"/>
      <c r="H568" s="1673"/>
      <c r="I568" s="1577"/>
      <c r="J568" s="1543"/>
    </row>
    <row r="569" spans="1:10" ht="54">
      <c r="A569" s="1554" t="s">
        <v>2285</v>
      </c>
      <c r="B569" s="1550" t="s">
        <v>2870</v>
      </c>
      <c r="C569" s="1576" t="s">
        <v>307</v>
      </c>
      <c r="D569" s="1542">
        <f>'Vertical Shaft'!D16</f>
        <v>2894</v>
      </c>
      <c r="E569" s="220"/>
      <c r="F569" s="220"/>
      <c r="G569" s="220"/>
      <c r="H569" s="1673"/>
      <c r="I569" s="1577">
        <f>AVERAGE([45]Summary!$K$241,[45]Summary!$K$243)*1.5</f>
        <v>6400.875</v>
      </c>
      <c r="J569" s="1543">
        <f>ROUND(I569*D569,2)</f>
        <v>18524132.25</v>
      </c>
    </row>
    <row r="570" spans="1:10">
      <c r="A570" s="1571" t="s">
        <v>2288</v>
      </c>
      <c r="B570" s="313" t="s">
        <v>1872</v>
      </c>
      <c r="C570" s="1576"/>
      <c r="D570" s="1542"/>
      <c r="E570" s="220"/>
      <c r="F570" s="220"/>
      <c r="G570" s="220"/>
      <c r="H570" s="1673"/>
      <c r="I570" s="1577"/>
      <c r="J570" s="1543"/>
    </row>
    <row r="571" spans="1:10" ht="54">
      <c r="A571" s="1554" t="s">
        <v>2295</v>
      </c>
      <c r="B571" s="1550" t="s">
        <v>1862</v>
      </c>
      <c r="C571" s="1530" t="s">
        <v>19</v>
      </c>
      <c r="D571" s="1542">
        <v>50</v>
      </c>
      <c r="E571" s="220"/>
      <c r="F571" s="220"/>
      <c r="G571" s="220"/>
      <c r="H571" s="1673"/>
      <c r="I571" s="1577">
        <f>I547</f>
        <v>8073.94</v>
      </c>
      <c r="J571" s="1543">
        <f>ROUND(I571*D571,2)</f>
        <v>403697</v>
      </c>
    </row>
    <row r="572" spans="1:10" ht="54">
      <c r="A572" s="1554" t="s">
        <v>2762</v>
      </c>
      <c r="B572" s="1550" t="s">
        <v>1881</v>
      </c>
      <c r="C572" s="1530" t="s">
        <v>19</v>
      </c>
      <c r="D572" s="1542">
        <f>'Vertical Shaft'!J17</f>
        <v>3680.5793688843951</v>
      </c>
      <c r="E572" s="220"/>
      <c r="F572" s="220"/>
      <c r="G572" s="220"/>
      <c r="H572" s="1673"/>
      <c r="I572" s="1577">
        <f>AVERAGE(I571,I573)</f>
        <v>10092.424999999999</v>
      </c>
      <c r="J572" s="1543">
        <f>ROUND(I572*D572,2)</f>
        <v>37145971.240000002</v>
      </c>
    </row>
    <row r="573" spans="1:10" ht="54">
      <c r="A573" s="1554" t="s">
        <v>2965</v>
      </c>
      <c r="B573" s="1550" t="s">
        <v>1883</v>
      </c>
      <c r="C573" s="1530" t="s">
        <v>19</v>
      </c>
      <c r="D573" s="1542">
        <f>'Vertical Shaft'!J18</f>
        <v>1577.391158093312</v>
      </c>
      <c r="E573" s="220"/>
      <c r="F573" s="220"/>
      <c r="G573" s="220"/>
      <c r="H573" s="1673"/>
      <c r="I573" s="1577">
        <f>I548</f>
        <v>12110.909999999998</v>
      </c>
      <c r="J573" s="1543">
        <f>ROUND(I573*D573,2)</f>
        <v>19103642.350000001</v>
      </c>
    </row>
    <row r="574" spans="1:10" ht="54">
      <c r="A574" s="1554" t="s">
        <v>2966</v>
      </c>
      <c r="B574" s="1550" t="s">
        <v>2412</v>
      </c>
      <c r="C574" s="1530" t="s">
        <v>19</v>
      </c>
      <c r="D574" s="1542">
        <v>20</v>
      </c>
      <c r="E574" s="220"/>
      <c r="F574" s="220"/>
      <c r="G574" s="220"/>
      <c r="H574" s="1673"/>
      <c r="I574" s="1577">
        <f>I510*1.4</f>
        <v>7714.49</v>
      </c>
      <c r="J574" s="1543">
        <f>ROUND(I574*D574,2)</f>
        <v>154289.79999999999</v>
      </c>
    </row>
    <row r="575" spans="1:10">
      <c r="A575" s="1927" t="s">
        <v>2289</v>
      </c>
      <c r="B575" s="1934" t="s">
        <v>1489</v>
      </c>
      <c r="C575" s="1929" t="s">
        <v>19</v>
      </c>
      <c r="D575" s="1897">
        <f>4726.84*1.4</f>
        <v>6617.576</v>
      </c>
      <c r="E575" s="1930"/>
      <c r="F575" s="1930"/>
      <c r="G575" s="1930"/>
      <c r="H575" s="1931"/>
      <c r="I575" s="1932">
        <f>I493</f>
        <v>350</v>
      </c>
      <c r="J575" s="1932">
        <f>I575*D575</f>
        <v>2316151.6</v>
      </c>
    </row>
    <row r="576" spans="1:10">
      <c r="A576" s="1571" t="s">
        <v>2290</v>
      </c>
      <c r="B576" s="1557" t="s">
        <v>318</v>
      </c>
      <c r="C576" s="1576"/>
      <c r="D576" s="1542"/>
      <c r="E576" s="220"/>
      <c r="F576" s="220"/>
      <c r="G576" s="220"/>
      <c r="H576" s="1673"/>
      <c r="I576" s="1577"/>
      <c r="J576" s="1577"/>
    </row>
    <row r="577" spans="1:10" ht="54">
      <c r="A577" s="1554" t="s">
        <v>2967</v>
      </c>
      <c r="B577" s="669" t="s">
        <v>2892</v>
      </c>
      <c r="C577" s="1576" t="s">
        <v>25</v>
      </c>
      <c r="D577" s="1542">
        <f>'Vertical Shaft'!J20</f>
        <v>15.77391158093312</v>
      </c>
      <c r="E577" s="220"/>
      <c r="F577" s="220"/>
      <c r="G577" s="220"/>
      <c r="H577" s="1673"/>
      <c r="I577" s="1577">
        <f>I532*1.4</f>
        <v>473939.89999999997</v>
      </c>
      <c r="J577" s="1577">
        <f>I577*D577</f>
        <v>7475886.0772762848</v>
      </c>
    </row>
    <row r="578" spans="1:10">
      <c r="A578" s="1571" t="s">
        <v>2291</v>
      </c>
      <c r="B578" s="1557" t="s">
        <v>1486</v>
      </c>
      <c r="C578" s="1576"/>
      <c r="D578" s="1542"/>
      <c r="E578" s="220"/>
      <c r="F578" s="220"/>
      <c r="G578" s="220"/>
      <c r="H578" s="1673"/>
      <c r="I578" s="1577"/>
      <c r="J578" s="1577"/>
    </row>
    <row r="579" spans="1:10" ht="36">
      <c r="A579" s="1554" t="s">
        <v>2771</v>
      </c>
      <c r="B579" s="669" t="s">
        <v>2423</v>
      </c>
      <c r="C579" s="1576" t="s">
        <v>19</v>
      </c>
      <c r="D579" s="1542">
        <f>'Vertical Shaft'!J19</f>
        <v>1314.4926317444269</v>
      </c>
      <c r="E579" s="220"/>
      <c r="F579" s="220"/>
      <c r="G579" s="220"/>
      <c r="H579" s="1673"/>
      <c r="I579" s="1577">
        <f>I526</f>
        <v>655</v>
      </c>
      <c r="J579" s="1577">
        <f>I579*D579</f>
        <v>860992.6737925997</v>
      </c>
    </row>
    <row r="580" spans="1:10" ht="36">
      <c r="A580" s="1554" t="s">
        <v>2894</v>
      </c>
      <c r="B580" s="669" t="s">
        <v>2748</v>
      </c>
      <c r="C580" s="1576" t="s">
        <v>19</v>
      </c>
      <c r="D580" s="1542">
        <f>'Vertical Shaft'!J20</f>
        <v>15.77391158093312</v>
      </c>
      <c r="E580" s="220"/>
      <c r="F580" s="220"/>
      <c r="G580" s="220"/>
      <c r="H580" s="1673"/>
      <c r="I580" s="1577">
        <f>I525</f>
        <v>524</v>
      </c>
      <c r="J580" s="1577">
        <f>I580*D580</f>
        <v>8265.5296684089553</v>
      </c>
    </row>
    <row r="581" spans="1:10" ht="54">
      <c r="A581" s="1571" t="s">
        <v>2292</v>
      </c>
      <c r="B581" s="1545" t="s">
        <v>2735</v>
      </c>
      <c r="C581" s="1576"/>
      <c r="D581" s="1542"/>
      <c r="E581" s="220"/>
      <c r="F581" s="220"/>
      <c r="G581" s="220"/>
      <c r="H581" s="1673"/>
      <c r="I581" s="1577"/>
      <c r="J581" s="1577"/>
    </row>
    <row r="582" spans="1:10">
      <c r="A582" s="1554" t="s">
        <v>2968</v>
      </c>
      <c r="B582" s="669" t="s">
        <v>2286</v>
      </c>
      <c r="C582" s="1576" t="s">
        <v>21</v>
      </c>
      <c r="D582" s="1542">
        <f>'Vertical Shaft'!J22</f>
        <v>3333</v>
      </c>
      <c r="E582" s="220"/>
      <c r="F582" s="220"/>
      <c r="G582" s="220"/>
      <c r="H582" s="1673"/>
      <c r="I582" s="1577">
        <f>I172</f>
        <v>16339.5</v>
      </c>
      <c r="J582" s="1577">
        <f>I582*D582</f>
        <v>54459553.5</v>
      </c>
    </row>
    <row r="583" spans="1:10">
      <c r="A583" s="1554" t="s">
        <v>2969</v>
      </c>
      <c r="B583" s="669" t="s">
        <v>2287</v>
      </c>
      <c r="C583" s="1576" t="s">
        <v>21</v>
      </c>
      <c r="D583" s="1542">
        <f>'Vertical Shaft'!J15</f>
        <v>2563.2606319016327</v>
      </c>
      <c r="E583" s="220"/>
      <c r="F583" s="220"/>
      <c r="G583" s="220"/>
      <c r="H583" s="1673"/>
      <c r="I583" s="1577">
        <f>I582*1.1</f>
        <v>17973.45</v>
      </c>
      <c r="J583" s="1543">
        <f>ROUND(I583*D583,2)</f>
        <v>46070636.799999997</v>
      </c>
    </row>
    <row r="584" spans="1:10">
      <c r="A584" s="1571" t="s">
        <v>2293</v>
      </c>
      <c r="B584" s="1548" t="s">
        <v>309</v>
      </c>
      <c r="C584" s="1576"/>
      <c r="D584" s="1542"/>
      <c r="E584" s="220"/>
      <c r="F584" s="220"/>
      <c r="G584" s="220"/>
      <c r="H584" s="1673"/>
      <c r="I584" s="1577"/>
      <c r="J584" s="1543"/>
    </row>
    <row r="585" spans="1:10" ht="54">
      <c r="A585" s="1554" t="s">
        <v>2296</v>
      </c>
      <c r="B585" s="1549" t="s">
        <v>2038</v>
      </c>
      <c r="C585" s="1576" t="s">
        <v>19</v>
      </c>
      <c r="D585" s="1542">
        <f>'Vertical Shaft'!J23</f>
        <v>270</v>
      </c>
      <c r="E585" s="220"/>
      <c r="F585" s="220"/>
      <c r="G585" s="220"/>
      <c r="H585" s="1673"/>
      <c r="I585" s="1577">
        <f>I174</f>
        <v>1234.3283404166668</v>
      </c>
      <c r="J585" s="1577">
        <f>I585*D585</f>
        <v>333268.65191250003</v>
      </c>
    </row>
    <row r="586" spans="1:10">
      <c r="A586" s="1571" t="s">
        <v>2294</v>
      </c>
      <c r="B586" s="313" t="s">
        <v>1649</v>
      </c>
      <c r="C586" s="1576"/>
      <c r="D586" s="1542"/>
      <c r="E586" s="220"/>
      <c r="F586" s="220"/>
      <c r="G586" s="220"/>
      <c r="H586" s="1673"/>
      <c r="I586" s="1577"/>
      <c r="J586" s="1577"/>
    </row>
    <row r="587" spans="1:10" ht="54">
      <c r="A587" s="1554" t="s">
        <v>2772</v>
      </c>
      <c r="B587" s="1550" t="s">
        <v>1248</v>
      </c>
      <c r="C587" s="1576" t="s">
        <v>322</v>
      </c>
      <c r="D587" s="1542">
        <f>'Vertical Shaft'!J24</f>
        <v>130.82024999999999</v>
      </c>
      <c r="E587" s="220"/>
      <c r="F587" s="220"/>
      <c r="G587" s="220"/>
      <c r="H587" s="1673"/>
      <c r="I587" s="1577">
        <f>I176</f>
        <v>166436.36363636362</v>
      </c>
      <c r="J587" s="1577">
        <f>I587*D587</f>
        <v>21773246.699999996</v>
      </c>
    </row>
    <row r="588" spans="1:10" ht="17.25" customHeight="1">
      <c r="A588" s="1528"/>
      <c r="B588" s="1557"/>
      <c r="C588" s="1581"/>
      <c r="D588" s="1741"/>
      <c r="E588" s="220"/>
      <c r="F588" s="1666" t="s">
        <v>1483</v>
      </c>
      <c r="G588" s="1695"/>
      <c r="H588" s="1674"/>
      <c r="I588" s="220"/>
      <c r="J588" s="1717">
        <f>SUM(J567:J587)</f>
        <v>301064116.63264978</v>
      </c>
    </row>
    <row r="589" spans="1:10" s="315" customFormat="1">
      <c r="A589" s="1532" t="s">
        <v>2246</v>
      </c>
      <c r="B589" s="1533" t="s">
        <v>1513</v>
      </c>
      <c r="C589" s="1534"/>
      <c r="D589" s="1736"/>
      <c r="E589" s="1697"/>
      <c r="F589" s="1536"/>
      <c r="G589" s="1697"/>
      <c r="H589" s="1668"/>
      <c r="I589" s="1542"/>
      <c r="J589" s="1543"/>
    </row>
    <row r="590" spans="1:10" ht="108">
      <c r="A590" s="1571" t="s">
        <v>2297</v>
      </c>
      <c r="B590" s="669" t="s">
        <v>2944</v>
      </c>
      <c r="C590" s="1530" t="s">
        <v>21</v>
      </c>
      <c r="D590" s="1542">
        <f>'Valve House'!D20</f>
        <v>1655.3586032832375</v>
      </c>
      <c r="E590" s="220"/>
      <c r="F590" s="220"/>
      <c r="G590" s="220"/>
      <c r="H590" s="1677"/>
      <c r="I590" s="1543">
        <v>6677.4400000000005</v>
      </c>
      <c r="J590" s="1543">
        <f>ROUND(I590*D590,2)</f>
        <v>11053557.75</v>
      </c>
    </row>
    <row r="591" spans="1:10">
      <c r="A591" s="1571" t="s">
        <v>2298</v>
      </c>
      <c r="B591" s="313" t="s">
        <v>1872</v>
      </c>
      <c r="C591" s="1530"/>
      <c r="D591" s="1542"/>
      <c r="E591" s="220"/>
      <c r="F591" s="220"/>
      <c r="G591" s="220"/>
      <c r="H591" s="1677"/>
      <c r="I591" s="1543"/>
      <c r="J591" s="1543"/>
    </row>
    <row r="592" spans="1:10" ht="54">
      <c r="A592" s="1554" t="s">
        <v>2617</v>
      </c>
      <c r="B592" s="1550" t="s">
        <v>2747</v>
      </c>
      <c r="C592" s="1530" t="s">
        <v>19</v>
      </c>
      <c r="D592" s="1542">
        <v>60</v>
      </c>
      <c r="E592" s="220"/>
      <c r="F592" s="220"/>
      <c r="G592" s="220"/>
      <c r="H592" s="1677"/>
      <c r="I592" s="1543">
        <f>I167</f>
        <v>5767.1</v>
      </c>
      <c r="J592" s="1543">
        <f>D592*I592</f>
        <v>346026</v>
      </c>
    </row>
    <row r="593" spans="1:10" ht="54">
      <c r="A593" s="1554" t="s">
        <v>2970</v>
      </c>
      <c r="B593" s="1550" t="s">
        <v>2746</v>
      </c>
      <c r="C593" s="1530" t="s">
        <v>19</v>
      </c>
      <c r="D593" s="1542">
        <v>30</v>
      </c>
      <c r="E593" s="220"/>
      <c r="F593" s="220"/>
      <c r="G593" s="220"/>
      <c r="H593" s="1677"/>
      <c r="I593" s="1543">
        <f>I168</f>
        <v>7208.875</v>
      </c>
      <c r="J593" s="1543">
        <f>D593*I593</f>
        <v>216266.25</v>
      </c>
    </row>
    <row r="594" spans="1:10" ht="54">
      <c r="A594" s="1554" t="s">
        <v>2971</v>
      </c>
      <c r="B594" s="1550" t="s">
        <v>2612</v>
      </c>
      <c r="C594" s="1530" t="s">
        <v>19</v>
      </c>
      <c r="D594" s="1542">
        <f>'Valve House'!D21</f>
        <v>491.27493479255008</v>
      </c>
      <c r="E594" s="220"/>
      <c r="F594" s="220"/>
      <c r="G594" s="220"/>
      <c r="H594" s="1677"/>
      <c r="I594" s="1543">
        <f>I169</f>
        <v>8650.65</v>
      </c>
      <c r="J594" s="1543">
        <f>D594*I594</f>
        <v>4249847.5146631729</v>
      </c>
    </row>
    <row r="595" spans="1:10">
      <c r="A595" s="1571" t="s">
        <v>2299</v>
      </c>
      <c r="B595" s="1557" t="s">
        <v>1486</v>
      </c>
      <c r="C595" s="1530"/>
      <c r="D595" s="1542"/>
      <c r="E595" s="220"/>
      <c r="F595" s="220"/>
      <c r="G595" s="220"/>
      <c r="H595" s="1677"/>
      <c r="I595" s="1543"/>
      <c r="J595" s="1543"/>
    </row>
    <row r="596" spans="1:10" ht="36">
      <c r="A596" s="1554" t="s">
        <v>2303</v>
      </c>
      <c r="B596" s="669" t="s">
        <v>2655</v>
      </c>
      <c r="C596" s="1530" t="s">
        <v>19</v>
      </c>
      <c r="D596" s="1542">
        <v>50</v>
      </c>
      <c r="E596" s="220"/>
      <c r="F596" s="220"/>
      <c r="G596" s="220"/>
      <c r="H596" s="1677"/>
      <c r="I596" s="1543">
        <f>I188</f>
        <v>524</v>
      </c>
      <c r="J596" s="1543">
        <f>D596*I596</f>
        <v>26200</v>
      </c>
    </row>
    <row r="597" spans="1:10" ht="36">
      <c r="A597" s="1554" t="s">
        <v>2972</v>
      </c>
      <c r="B597" s="669" t="s">
        <v>2656</v>
      </c>
      <c r="C597" s="1530" t="s">
        <v>19</v>
      </c>
      <c r="D597" s="1542">
        <f>'Valve House'!D22</f>
        <v>196.50997391702003</v>
      </c>
      <c r="E597" s="220"/>
      <c r="F597" s="220"/>
      <c r="G597" s="220"/>
      <c r="H597" s="1673"/>
      <c r="I597" s="1577">
        <f>I189</f>
        <v>655</v>
      </c>
      <c r="J597" s="1543">
        <f>ROUND(I597*D597,2)</f>
        <v>128714.03</v>
      </c>
    </row>
    <row r="598" spans="1:10">
      <c r="A598" s="1571" t="s">
        <v>2300</v>
      </c>
      <c r="B598" s="313" t="s">
        <v>92</v>
      </c>
      <c r="C598" s="1530"/>
      <c r="D598" s="1542"/>
      <c r="E598" s="220"/>
      <c r="F598" s="220"/>
      <c r="G598" s="220"/>
      <c r="H598" s="1673"/>
      <c r="I598" s="1577"/>
      <c r="J598" s="1543"/>
    </row>
    <row r="599" spans="1:10" ht="54">
      <c r="A599" s="1554" t="s">
        <v>2304</v>
      </c>
      <c r="B599" s="1550" t="s">
        <v>2865</v>
      </c>
      <c r="C599" s="1530" t="s">
        <v>367</v>
      </c>
      <c r="D599" s="1542">
        <f>'Valve House'!D23</f>
        <v>492</v>
      </c>
      <c r="E599" s="220"/>
      <c r="F599" s="220"/>
      <c r="G599" s="220"/>
      <c r="H599" s="1673"/>
      <c r="I599" s="1577">
        <f>AVERAGE([45]Summary!$K$243,[45]Summary!$K$244)</f>
        <v>5381.75</v>
      </c>
      <c r="J599" s="1543">
        <f>ROUND(I599*D599,2)</f>
        <v>2647821</v>
      </c>
    </row>
    <row r="600" spans="1:10">
      <c r="A600" s="1571" t="s">
        <v>2301</v>
      </c>
      <c r="B600" s="313" t="s">
        <v>2770</v>
      </c>
      <c r="C600" s="1530"/>
      <c r="D600" s="1542"/>
      <c r="E600" s="220"/>
      <c r="F600" s="220"/>
      <c r="G600" s="220"/>
      <c r="H600" s="1673"/>
      <c r="I600" s="1577"/>
      <c r="J600" s="1543"/>
    </row>
    <row r="601" spans="1:10" ht="54">
      <c r="A601" s="1554" t="s">
        <v>2973</v>
      </c>
      <c r="B601" s="669" t="s">
        <v>2881</v>
      </c>
      <c r="C601" s="1530" t="s">
        <v>307</v>
      </c>
      <c r="D601" s="1542">
        <f>'Valve House'!D24</f>
        <v>151</v>
      </c>
      <c r="E601" s="220"/>
      <c r="F601" s="220"/>
      <c r="G601" s="220"/>
      <c r="H601" s="1673"/>
      <c r="I601" s="1577">
        <f>I181</f>
        <v>12161.5</v>
      </c>
      <c r="J601" s="1577">
        <f>I601*D601</f>
        <v>1836386.5</v>
      </c>
    </row>
    <row r="602" spans="1:10">
      <c r="A602" s="1571" t="s">
        <v>2302</v>
      </c>
      <c r="B602" s="1557" t="s">
        <v>318</v>
      </c>
      <c r="C602" s="1530"/>
      <c r="D602" s="1542"/>
      <c r="E602" s="220"/>
      <c r="F602" s="220"/>
      <c r="G602" s="220"/>
      <c r="H602" s="1673"/>
      <c r="I602" s="1577"/>
      <c r="J602" s="1577"/>
    </row>
    <row r="603" spans="1:10" ht="54">
      <c r="A603" s="1554" t="s">
        <v>2703</v>
      </c>
      <c r="B603" s="669" t="s">
        <v>2892</v>
      </c>
      <c r="C603" s="1530" t="s">
        <v>322</v>
      </c>
      <c r="D603" s="1542">
        <f>'Valve House'!D25</f>
        <v>7.3849775699942883</v>
      </c>
      <c r="E603" s="220"/>
      <c r="F603" s="220"/>
      <c r="G603" s="220"/>
      <c r="H603" s="1673"/>
      <c r="I603" s="1577">
        <f>I183</f>
        <v>338528.5</v>
      </c>
      <c r="J603" s="1543">
        <f>ROUND(I603*D603,2)</f>
        <v>2500025.38</v>
      </c>
    </row>
    <row r="604" spans="1:10" ht="72">
      <c r="A604" s="1554" t="s">
        <v>2974</v>
      </c>
      <c r="B604" s="669" t="s">
        <v>2893</v>
      </c>
      <c r="C604" s="1530" t="s">
        <v>322</v>
      </c>
      <c r="D604" s="1542">
        <v>1</v>
      </c>
      <c r="E604" s="220"/>
      <c r="F604" s="220"/>
      <c r="G604" s="220"/>
      <c r="H604" s="1673"/>
      <c r="I604" s="1577">
        <f>I472</f>
        <v>355454.92499999999</v>
      </c>
      <c r="J604" s="1543"/>
    </row>
    <row r="605" spans="1:10" ht="36">
      <c r="A605" s="1571" t="s">
        <v>2975</v>
      </c>
      <c r="B605" s="1557" t="s">
        <v>2890</v>
      </c>
      <c r="C605" s="1530" t="s">
        <v>19</v>
      </c>
      <c r="D605" s="1542">
        <f>'Valve House'!D26</f>
        <v>148.41</v>
      </c>
      <c r="E605" s="220"/>
      <c r="F605" s="220"/>
      <c r="G605" s="220"/>
      <c r="H605" s="1673"/>
      <c r="I605" s="1577">
        <f>I474</f>
        <v>350</v>
      </c>
      <c r="J605" s="1543">
        <f>ROUND(I605*D605,2)</f>
        <v>51943.5</v>
      </c>
    </row>
    <row r="606" spans="1:10" ht="54">
      <c r="A606" s="1571" t="s">
        <v>2976</v>
      </c>
      <c r="B606" s="1545" t="s">
        <v>2735</v>
      </c>
      <c r="C606" s="1530"/>
      <c r="D606" s="1542"/>
      <c r="E606" s="220"/>
      <c r="F606" s="220"/>
      <c r="G606" s="220"/>
      <c r="H606" s="1673"/>
      <c r="I606" s="1577"/>
      <c r="J606" s="1543"/>
    </row>
    <row r="607" spans="1:10">
      <c r="A607" s="1554" t="s">
        <v>2977</v>
      </c>
      <c r="B607" s="669" t="s">
        <v>2221</v>
      </c>
      <c r="C607" s="1530" t="s">
        <v>21</v>
      </c>
      <c r="D607" s="1542">
        <f>'Valve House'!D28</f>
        <v>30.729600000000005</v>
      </c>
      <c r="E607" s="220"/>
      <c r="F607" s="220"/>
      <c r="G607" s="220"/>
      <c r="H607" s="1677"/>
      <c r="I607" s="1543">
        <f>I582</f>
        <v>16339.5</v>
      </c>
      <c r="J607" s="1543">
        <f>ROUND(I607*D607,2)</f>
        <v>502106.3</v>
      </c>
    </row>
    <row r="608" spans="1:10">
      <c r="A608" s="1554" t="s">
        <v>2978</v>
      </c>
      <c r="B608" s="669" t="s">
        <v>2305</v>
      </c>
      <c r="C608" s="1530" t="s">
        <v>21</v>
      </c>
      <c r="D608" s="1542">
        <f>'Valve House'!D35</f>
        <v>461.68</v>
      </c>
      <c r="E608" s="220"/>
      <c r="F608" s="220"/>
      <c r="G608" s="220"/>
      <c r="H608" s="1677"/>
      <c r="I608" s="1543">
        <f>I464</f>
        <v>19397</v>
      </c>
      <c r="J608" s="1543">
        <f>I608*D608</f>
        <v>8955206.9600000009</v>
      </c>
    </row>
    <row r="609" spans="1:10">
      <c r="A609" s="1571" t="s">
        <v>2979</v>
      </c>
      <c r="B609" s="313" t="s">
        <v>1649</v>
      </c>
      <c r="C609" s="1530"/>
      <c r="D609" s="1542"/>
      <c r="E609" s="220"/>
      <c r="F609" s="220"/>
      <c r="G609" s="220"/>
      <c r="H609" s="1677"/>
      <c r="I609" s="1543"/>
      <c r="J609" s="1543"/>
    </row>
    <row r="610" spans="1:10" ht="54">
      <c r="A610" s="1554" t="s">
        <v>2980</v>
      </c>
      <c r="B610" s="1550" t="s">
        <v>2306</v>
      </c>
      <c r="C610" s="1530" t="s">
        <v>322</v>
      </c>
      <c r="D610" s="1542">
        <f>'Valve House'!D27+'Valve House'!D36</f>
        <v>28.990615200000001</v>
      </c>
      <c r="E610" s="220"/>
      <c r="F610" s="220"/>
      <c r="G610" s="220"/>
      <c r="H610" s="1677"/>
      <c r="I610" s="1543">
        <f>I467</f>
        <v>166436.36363636362</v>
      </c>
      <c r="J610" s="1543">
        <f>ROUND(I610*D610,2)</f>
        <v>4825092.57</v>
      </c>
    </row>
    <row r="611" spans="1:10" ht="54">
      <c r="A611" s="1571" t="s">
        <v>2981</v>
      </c>
      <c r="B611" s="1557" t="s">
        <v>2418</v>
      </c>
      <c r="C611" s="1530" t="s">
        <v>438</v>
      </c>
      <c r="D611" s="1542">
        <f>0.1*1000*D603</f>
        <v>738.49775699942882</v>
      </c>
      <c r="E611" s="220"/>
      <c r="F611" s="220"/>
      <c r="G611" s="220"/>
      <c r="H611" s="1677"/>
      <c r="I611" s="1543">
        <f>I473</f>
        <v>183.08</v>
      </c>
      <c r="J611" s="1543">
        <f>ROUND(I611*D611,2)</f>
        <v>135204.17000000001</v>
      </c>
    </row>
    <row r="612" spans="1:10" ht="17.25" customHeight="1">
      <c r="A612" s="1528"/>
      <c r="B612" s="1557"/>
      <c r="C612" s="1563"/>
      <c r="D612" s="1688"/>
      <c r="E612" s="220"/>
      <c r="F612" s="1666" t="s">
        <v>1483</v>
      </c>
      <c r="G612" s="1695"/>
      <c r="H612" s="1678"/>
      <c r="I612" s="220"/>
      <c r="J612" s="1717">
        <f>SUM(J590:J611)</f>
        <v>37474397.924663171</v>
      </c>
    </row>
    <row r="613" spans="1:10">
      <c r="A613" s="1532" t="s">
        <v>2247</v>
      </c>
      <c r="B613" s="1533" t="s">
        <v>1521</v>
      </c>
      <c r="C613" s="1551"/>
      <c r="D613" s="1738"/>
      <c r="E613" s="1698"/>
      <c r="F613" s="1536"/>
      <c r="G613" s="1698"/>
      <c r="H613" s="1668"/>
      <c r="I613" s="1542"/>
      <c r="J613" s="1543"/>
    </row>
    <row r="614" spans="1:10" s="1582" customFormat="1">
      <c r="A614" s="1571" t="s">
        <v>2321</v>
      </c>
      <c r="B614" s="1548" t="s">
        <v>18</v>
      </c>
      <c r="C614" s="1572"/>
      <c r="D614" s="1737"/>
      <c r="E614" s="1506"/>
      <c r="F614" s="1573"/>
      <c r="G614" s="1506"/>
      <c r="H614" s="1667"/>
      <c r="I614" s="1542"/>
      <c r="J614" s="1543"/>
    </row>
    <row r="615" spans="1:10" ht="72">
      <c r="A615" s="1554" t="s">
        <v>2322</v>
      </c>
      <c r="B615" s="1555" t="s">
        <v>2847</v>
      </c>
      <c r="C615" s="1530" t="s">
        <v>19</v>
      </c>
      <c r="D615" s="1542">
        <f>'Valve House Access Portal'!J13</f>
        <v>350</v>
      </c>
      <c r="E615" s="220"/>
      <c r="F615" s="220"/>
      <c r="G615" s="220"/>
      <c r="H615" s="1677"/>
      <c r="I615" s="1577">
        <f>I502</f>
        <v>40.5</v>
      </c>
      <c r="J615" s="1542">
        <f>I615*D615</f>
        <v>14175</v>
      </c>
    </row>
    <row r="616" spans="1:10" ht="72">
      <c r="A616" s="1571" t="s">
        <v>2323</v>
      </c>
      <c r="B616" s="1544" t="s">
        <v>2849</v>
      </c>
      <c r="C616" s="1530"/>
      <c r="D616" s="1542"/>
      <c r="E616" s="220"/>
      <c r="F616" s="220"/>
      <c r="G616" s="220"/>
      <c r="H616" s="1677"/>
      <c r="I616" s="1577"/>
      <c r="J616" s="1542"/>
    </row>
    <row r="617" spans="1:10">
      <c r="A617" s="1554" t="s">
        <v>2324</v>
      </c>
      <c r="B617" s="220" t="s">
        <v>63</v>
      </c>
      <c r="C617" s="1530" t="s">
        <v>21</v>
      </c>
      <c r="D617" s="1542">
        <f>'Valve House Access Portal'!J16</f>
        <v>5714.58</v>
      </c>
      <c r="E617" s="220"/>
      <c r="F617" s="220"/>
      <c r="G617" s="220"/>
      <c r="H617" s="1677"/>
      <c r="I617" s="1543">
        <f>I504</f>
        <v>1375.6949999999999</v>
      </c>
      <c r="J617" s="1542">
        <f>I617*D617</f>
        <v>7861519.1330999993</v>
      </c>
    </row>
    <row r="618" spans="1:10">
      <c r="A618" s="1571" t="s">
        <v>2325</v>
      </c>
      <c r="B618" s="313" t="s">
        <v>92</v>
      </c>
      <c r="C618" s="1530"/>
      <c r="D618" s="1542"/>
      <c r="E618" s="220"/>
      <c r="F618" s="220"/>
      <c r="G618" s="220"/>
      <c r="H618" s="1677"/>
      <c r="I618" s="1543"/>
      <c r="J618" s="1542"/>
    </row>
    <row r="619" spans="1:10" ht="54">
      <c r="A619" s="1554" t="s">
        <v>2329</v>
      </c>
      <c r="B619" s="1550" t="s">
        <v>2865</v>
      </c>
      <c r="C619" s="1530" t="s">
        <v>307</v>
      </c>
      <c r="D619" s="1542">
        <f>'Valve House Access Portal'!J20</f>
        <v>445</v>
      </c>
      <c r="E619" s="220"/>
      <c r="F619" s="220"/>
      <c r="G619" s="220"/>
      <c r="H619" s="1677"/>
      <c r="I619" s="1577">
        <f>I506</f>
        <v>5381.75</v>
      </c>
      <c r="J619" s="1542">
        <f>I619*D619</f>
        <v>2394878.75</v>
      </c>
    </row>
    <row r="620" spans="1:10">
      <c r="A620" s="1571" t="s">
        <v>2326</v>
      </c>
      <c r="B620" s="313" t="s">
        <v>1872</v>
      </c>
      <c r="C620" s="1530"/>
      <c r="D620" s="1542"/>
      <c r="E620" s="220"/>
      <c r="F620" s="220"/>
      <c r="G620" s="220"/>
      <c r="H620" s="1677"/>
      <c r="I620" s="1577"/>
      <c r="J620" s="1542"/>
    </row>
    <row r="621" spans="1:10" ht="54">
      <c r="A621" s="1554" t="s">
        <v>2330</v>
      </c>
      <c r="B621" s="1550" t="s">
        <v>1874</v>
      </c>
      <c r="C621" s="1530" t="s">
        <v>19</v>
      </c>
      <c r="D621" s="1542">
        <v>20</v>
      </c>
      <c r="E621" s="220"/>
      <c r="F621" s="220"/>
      <c r="G621" s="220"/>
      <c r="H621" s="1677"/>
      <c r="I621" s="1577">
        <f>I508</f>
        <v>2755.1750000000002</v>
      </c>
      <c r="J621" s="1542">
        <f>I621*D621</f>
        <v>55103.5</v>
      </c>
    </row>
    <row r="622" spans="1:10" ht="54">
      <c r="A622" s="1554" t="s">
        <v>2982</v>
      </c>
      <c r="B622" s="1550" t="s">
        <v>1876</v>
      </c>
      <c r="C622" s="1530" t="s">
        <v>19</v>
      </c>
      <c r="D622" s="1542">
        <v>50</v>
      </c>
      <c r="E622" s="220"/>
      <c r="F622" s="220"/>
      <c r="G622" s="220"/>
      <c r="H622" s="1677"/>
      <c r="I622" s="1577">
        <f>I509</f>
        <v>4132.7625000000007</v>
      </c>
      <c r="J622" s="1542">
        <f>I622*D622</f>
        <v>206638.12500000003</v>
      </c>
    </row>
    <row r="623" spans="1:10" ht="54">
      <c r="A623" s="1554" t="s">
        <v>2983</v>
      </c>
      <c r="B623" s="1550" t="s">
        <v>1807</v>
      </c>
      <c r="C623" s="1530" t="s">
        <v>19</v>
      </c>
      <c r="D623" s="1542">
        <f>'Valve House Access Portal'!J24</f>
        <v>1000</v>
      </c>
      <c r="E623" s="220"/>
      <c r="F623" s="220"/>
      <c r="G623" s="220"/>
      <c r="H623" s="1677"/>
      <c r="I623" s="1577">
        <f>I510</f>
        <v>5510.35</v>
      </c>
      <c r="J623" s="1542">
        <f>I623*D623</f>
        <v>5510350</v>
      </c>
    </row>
    <row r="624" spans="1:10">
      <c r="A624" s="1571" t="s">
        <v>2327</v>
      </c>
      <c r="B624" s="1557" t="s">
        <v>1484</v>
      </c>
      <c r="C624" s="1530" t="s">
        <v>307</v>
      </c>
      <c r="D624" s="1542">
        <f>'Valve House Access Portal'!J32</f>
        <v>334</v>
      </c>
      <c r="E624" s="220"/>
      <c r="F624" s="220"/>
      <c r="G624" s="220"/>
      <c r="H624" s="1677"/>
      <c r="I624" s="1543">
        <f>I511</f>
        <v>618</v>
      </c>
      <c r="J624" s="1542">
        <f>I624*D624</f>
        <v>206412</v>
      </c>
    </row>
    <row r="625" spans="1:10">
      <c r="A625" s="1571" t="s">
        <v>2328</v>
      </c>
      <c r="B625" s="1557" t="s">
        <v>1486</v>
      </c>
      <c r="C625" s="1530"/>
      <c r="D625" s="1542"/>
      <c r="E625" s="220"/>
      <c r="F625" s="220"/>
      <c r="G625" s="220"/>
      <c r="H625" s="1677"/>
      <c r="I625" s="1543"/>
      <c r="J625" s="1542"/>
    </row>
    <row r="626" spans="1:10" ht="36">
      <c r="A626" s="1554" t="s">
        <v>2331</v>
      </c>
      <c r="B626" s="669" t="s">
        <v>2395</v>
      </c>
      <c r="C626" s="1607" t="s">
        <v>19</v>
      </c>
      <c r="D626" s="1542">
        <v>20</v>
      </c>
      <c r="E626" s="220"/>
      <c r="F626" s="220"/>
      <c r="G626" s="220"/>
      <c r="H626" s="1677"/>
      <c r="I626" s="1543">
        <f>I513</f>
        <v>524</v>
      </c>
      <c r="J626" s="1542">
        <f>D626*I626</f>
        <v>10480</v>
      </c>
    </row>
    <row r="627" spans="1:10" ht="36">
      <c r="A627" s="1554" t="s">
        <v>2331</v>
      </c>
      <c r="B627" s="669" t="s">
        <v>2769</v>
      </c>
      <c r="C627" s="1530" t="s">
        <v>19</v>
      </c>
      <c r="D627" s="1542">
        <f>'Valve House Access Portal'!J28</f>
        <v>1000</v>
      </c>
      <c r="E627" s="220"/>
      <c r="F627" s="220"/>
      <c r="G627" s="220"/>
      <c r="H627" s="1677"/>
      <c r="I627" s="1543">
        <f>I514</f>
        <v>655</v>
      </c>
      <c r="J627" s="1542">
        <f>I627*D627</f>
        <v>655000</v>
      </c>
    </row>
    <row r="628" spans="1:10" ht="17.25" customHeight="1">
      <c r="A628" s="1528"/>
      <c r="B628" s="1557"/>
      <c r="C628" s="1563"/>
      <c r="D628" s="1688"/>
      <c r="E628" s="220"/>
      <c r="F628" s="1666" t="s">
        <v>1483</v>
      </c>
      <c r="G628" s="1695"/>
      <c r="H628" s="1678"/>
      <c r="I628" s="220"/>
      <c r="J628" s="1717">
        <f>SUM(J615:J627)</f>
        <v>16914556.508099999</v>
      </c>
    </row>
    <row r="629" spans="1:10">
      <c r="A629" s="1532" t="s">
        <v>2248</v>
      </c>
      <c r="B629" s="1533" t="s">
        <v>1526</v>
      </c>
      <c r="C629" s="1551"/>
      <c r="D629" s="1738"/>
      <c r="E629" s="1698"/>
      <c r="F629" s="1536"/>
      <c r="G629" s="1698"/>
      <c r="H629" s="1668"/>
      <c r="I629" s="1542"/>
      <c r="J629" s="1543"/>
    </row>
    <row r="630" spans="1:10" s="1582" customFormat="1">
      <c r="A630" s="1571" t="s">
        <v>2332</v>
      </c>
      <c r="B630" s="1548" t="s">
        <v>1961</v>
      </c>
      <c r="C630" s="1572"/>
      <c r="D630" s="1737"/>
      <c r="E630" s="1506"/>
      <c r="F630" s="1573"/>
      <c r="G630" s="1506"/>
      <c r="H630" s="1667"/>
      <c r="I630" s="1542"/>
      <c r="J630" s="1543"/>
    </row>
    <row r="631" spans="1:10" ht="108">
      <c r="A631" s="1554" t="s">
        <v>2333</v>
      </c>
      <c r="B631" s="1556" t="s">
        <v>2008</v>
      </c>
      <c r="C631" s="1607" t="s">
        <v>21</v>
      </c>
      <c r="D631" s="1542">
        <f>'Valve house Access Tunnel'!J22</f>
        <v>1035.3929477761615</v>
      </c>
      <c r="E631" s="220"/>
      <c r="F631" s="220"/>
      <c r="G631" s="220"/>
      <c r="H631" s="1677"/>
      <c r="I631" s="1543">
        <f>I517</f>
        <v>6624.65</v>
      </c>
      <c r="J631" s="1542">
        <f>I631*D631</f>
        <v>6859115.8914853474</v>
      </c>
    </row>
    <row r="632" spans="1:10">
      <c r="A632" s="1571" t="s">
        <v>2367</v>
      </c>
      <c r="B632" s="313" t="s">
        <v>1872</v>
      </c>
      <c r="C632" s="1607"/>
      <c r="D632" s="1542"/>
      <c r="E632" s="220"/>
      <c r="F632" s="220"/>
      <c r="G632" s="220"/>
      <c r="H632" s="1677"/>
      <c r="I632" s="1543"/>
      <c r="J632" s="1542"/>
    </row>
    <row r="633" spans="1:10" ht="54">
      <c r="A633" s="1554" t="s">
        <v>2375</v>
      </c>
      <c r="B633" s="1550" t="s">
        <v>2606</v>
      </c>
      <c r="C633" s="1607" t="s">
        <v>19</v>
      </c>
      <c r="D633" s="1542">
        <v>10</v>
      </c>
      <c r="E633" s="220"/>
      <c r="F633" s="220"/>
      <c r="G633" s="220"/>
      <c r="H633" s="1677"/>
      <c r="I633" s="1543">
        <f>I519</f>
        <v>2755.1750000000002</v>
      </c>
      <c r="J633" s="1542">
        <f>D633*I633</f>
        <v>27551.75</v>
      </c>
    </row>
    <row r="634" spans="1:10" ht="54">
      <c r="A634" s="1554" t="s">
        <v>2704</v>
      </c>
      <c r="B634" s="1550" t="s">
        <v>2607</v>
      </c>
      <c r="C634" s="1607" t="s">
        <v>19</v>
      </c>
      <c r="D634" s="1542">
        <v>12</v>
      </c>
      <c r="E634" s="220"/>
      <c r="F634" s="220"/>
      <c r="G634" s="220"/>
      <c r="H634" s="1677"/>
      <c r="I634" s="1543">
        <f>I520</f>
        <v>4132.7625000000007</v>
      </c>
      <c r="J634" s="1542">
        <f>D634*I634</f>
        <v>49593.150000000009</v>
      </c>
    </row>
    <row r="635" spans="1:10" ht="54">
      <c r="A635" s="1554" t="s">
        <v>2705</v>
      </c>
      <c r="B635" s="1550" t="s">
        <v>2412</v>
      </c>
      <c r="C635" s="1607" t="s">
        <v>19</v>
      </c>
      <c r="D635" s="1542">
        <v>10</v>
      </c>
      <c r="E635" s="220"/>
      <c r="F635" s="220"/>
      <c r="G635" s="220"/>
      <c r="H635" s="1677"/>
      <c r="I635" s="1543">
        <f>I521</f>
        <v>5767.1</v>
      </c>
      <c r="J635" s="1542"/>
    </row>
    <row r="636" spans="1:10" ht="54">
      <c r="A636" s="1554" t="s">
        <v>2706</v>
      </c>
      <c r="B636" s="1550" t="s">
        <v>1862</v>
      </c>
      <c r="C636" s="1607" t="s">
        <v>19</v>
      </c>
      <c r="D636" s="1542">
        <f>'Valve house Access Tunnel'!J23</f>
        <v>388.5246460415525</v>
      </c>
      <c r="E636" s="220"/>
      <c r="F636" s="220"/>
      <c r="G636" s="220"/>
      <c r="H636" s="1677"/>
      <c r="I636" s="1543">
        <f>I521</f>
        <v>5767.1</v>
      </c>
      <c r="J636" s="1542">
        <f>I636*D636</f>
        <v>2240660.4861862375</v>
      </c>
    </row>
    <row r="637" spans="1:10" ht="54">
      <c r="A637" s="1554" t="s">
        <v>2764</v>
      </c>
      <c r="B637" s="1550" t="s">
        <v>1881</v>
      </c>
      <c r="C637" s="1607" t="s">
        <v>2614</v>
      </c>
      <c r="D637" s="1542">
        <f>'Valve house Access Tunnel'!J24</f>
        <v>231.72708331798782</v>
      </c>
      <c r="E637" s="220"/>
      <c r="F637" s="220"/>
      <c r="G637" s="220"/>
      <c r="H637" s="1677"/>
      <c r="I637" s="1543">
        <f>I522</f>
        <v>7208.875</v>
      </c>
      <c r="J637" s="1542">
        <f>D637*I637</f>
        <v>1670491.5777539595</v>
      </c>
    </row>
    <row r="638" spans="1:10" ht="54">
      <c r="A638" s="1554" t="s">
        <v>2765</v>
      </c>
      <c r="B638" s="1550" t="s">
        <v>1883</v>
      </c>
      <c r="C638" s="1607" t="s">
        <v>19</v>
      </c>
      <c r="D638" s="1542">
        <f>'Valve house Access Tunnel'!J25</f>
        <v>153.0970179050482</v>
      </c>
      <c r="E638" s="220"/>
      <c r="F638" s="220"/>
      <c r="G638" s="220"/>
      <c r="H638" s="1677"/>
      <c r="I638" s="1543">
        <f>I523</f>
        <v>8650.65</v>
      </c>
      <c r="J638" s="1542">
        <f>D638*I638</f>
        <v>1324388.7179403051</v>
      </c>
    </row>
    <row r="639" spans="1:10" ht="54">
      <c r="A639" s="1571" t="s">
        <v>2368</v>
      </c>
      <c r="B639" s="1545" t="s">
        <v>2735</v>
      </c>
      <c r="C639" s="1607"/>
      <c r="D639" s="1542"/>
      <c r="E639" s="220"/>
      <c r="F639" s="220"/>
      <c r="G639" s="220"/>
      <c r="H639" s="1677"/>
      <c r="I639" s="1543"/>
      <c r="J639" s="1542"/>
    </row>
    <row r="640" spans="1:10">
      <c r="A640" s="1554" t="s">
        <v>2376</v>
      </c>
      <c r="B640" s="669" t="s">
        <v>2334</v>
      </c>
      <c r="C640" s="1607" t="s">
        <v>21</v>
      </c>
      <c r="D640" s="1542">
        <f>'Valve house Access Tunnel'!J26</f>
        <v>38.852464604155251</v>
      </c>
      <c r="E640" s="220"/>
      <c r="F640" s="220"/>
      <c r="G640" s="220"/>
      <c r="H640" s="1677"/>
      <c r="I640" s="1543">
        <f>I171</f>
        <v>19397</v>
      </c>
      <c r="J640" s="1542">
        <f>I640*D640</f>
        <v>753621.25592679938</v>
      </c>
    </row>
    <row r="641" spans="1:10">
      <c r="A641" s="1554" t="s">
        <v>2377</v>
      </c>
      <c r="B641" s="669" t="s">
        <v>2335</v>
      </c>
      <c r="C641" s="1607" t="s">
        <v>19</v>
      </c>
      <c r="D641" s="1542">
        <f>'Valve house Access Tunnel'!J32</f>
        <v>44.760960000000004</v>
      </c>
      <c r="E641" s="220"/>
      <c r="F641" s="220"/>
      <c r="G641" s="220"/>
      <c r="H641" s="1677"/>
      <c r="I641" s="1543">
        <f>I172</f>
        <v>16339.5</v>
      </c>
      <c r="J641" s="1542">
        <f>I641*D641</f>
        <v>731371.70592000009</v>
      </c>
    </row>
    <row r="642" spans="1:10">
      <c r="A642" s="1571" t="s">
        <v>2369</v>
      </c>
      <c r="B642" s="1548" t="s">
        <v>309</v>
      </c>
      <c r="C642" s="1607"/>
      <c r="D642" s="1542"/>
      <c r="E642" s="220"/>
      <c r="F642" s="220"/>
      <c r="G642" s="220"/>
      <c r="H642" s="1677"/>
      <c r="I642" s="1543"/>
      <c r="J642" s="1542"/>
    </row>
    <row r="643" spans="1:10" ht="54">
      <c r="A643" s="1554" t="s">
        <v>2378</v>
      </c>
      <c r="B643" s="1549" t="s">
        <v>2038</v>
      </c>
      <c r="C643" s="1607" t="s">
        <v>19</v>
      </c>
      <c r="D643" s="1542">
        <f>'Valve house Access Tunnel'!J27</f>
        <v>155.40985841662101</v>
      </c>
      <c r="E643" s="220"/>
      <c r="F643" s="220"/>
      <c r="G643" s="220"/>
      <c r="H643" s="1677"/>
      <c r="I643" s="1543">
        <f>I174</f>
        <v>1234.3283404166668</v>
      </c>
      <c r="J643" s="1542">
        <f>I643*D643</f>
        <v>191826.79262377697</v>
      </c>
    </row>
    <row r="644" spans="1:10">
      <c r="A644" s="1571" t="s">
        <v>2370</v>
      </c>
      <c r="B644" s="313" t="s">
        <v>1649</v>
      </c>
      <c r="C644" s="1607"/>
      <c r="D644" s="1542"/>
      <c r="E644" s="220"/>
      <c r="F644" s="220"/>
      <c r="G644" s="220"/>
      <c r="H644" s="1677"/>
      <c r="I644" s="1543"/>
      <c r="J644" s="1542"/>
    </row>
    <row r="645" spans="1:10" ht="54">
      <c r="A645" s="1554" t="s">
        <v>2984</v>
      </c>
      <c r="B645" s="1550" t="s">
        <v>2306</v>
      </c>
      <c r="C645" s="1607" t="s">
        <v>25</v>
      </c>
      <c r="D645" s="1542">
        <f>'Valve house Access Tunnel'!J33</f>
        <v>2.6353015200000001</v>
      </c>
      <c r="E645" s="220"/>
      <c r="F645" s="220"/>
      <c r="G645" s="220"/>
      <c r="H645" s="1677"/>
      <c r="I645" s="1543">
        <f>I176</f>
        <v>166436.36363636362</v>
      </c>
      <c r="J645" s="1542">
        <f>I645*D645</f>
        <v>438610.0020741818</v>
      </c>
    </row>
    <row r="646" spans="1:10">
      <c r="A646" s="1571" t="s">
        <v>2371</v>
      </c>
      <c r="B646" s="313" t="s">
        <v>92</v>
      </c>
      <c r="C646" s="1607"/>
      <c r="D646" s="1542"/>
      <c r="E646" s="220"/>
      <c r="F646" s="220"/>
      <c r="G646" s="220"/>
      <c r="H646" s="1677"/>
      <c r="I646" s="1543"/>
      <c r="J646" s="1542"/>
    </row>
    <row r="647" spans="1:10" ht="54">
      <c r="A647" s="1554" t="s">
        <v>2774</v>
      </c>
      <c r="B647" s="1550" t="s">
        <v>2867</v>
      </c>
      <c r="C647" s="1607" t="s">
        <v>367</v>
      </c>
      <c r="D647" s="1542">
        <f>'Valve house Access Tunnel'!J29</f>
        <v>1212</v>
      </c>
      <c r="E647" s="220"/>
      <c r="F647" s="220"/>
      <c r="G647" s="220"/>
      <c r="H647" s="1677"/>
      <c r="I647" s="1543">
        <f>I179</f>
        <v>4267.25</v>
      </c>
      <c r="J647" s="1542">
        <f>I647*D647</f>
        <v>5171907</v>
      </c>
    </row>
    <row r="648" spans="1:10">
      <c r="A648" s="1571" t="s">
        <v>2372</v>
      </c>
      <c r="B648" s="1557" t="s">
        <v>2104</v>
      </c>
      <c r="C648" s="1607"/>
      <c r="D648" s="1542"/>
      <c r="E648" s="220"/>
      <c r="F648" s="220"/>
      <c r="G648" s="220"/>
      <c r="H648" s="1677"/>
      <c r="I648" s="1543"/>
      <c r="J648" s="1542"/>
    </row>
    <row r="649" spans="1:10" ht="54">
      <c r="A649" s="1554" t="s">
        <v>2985</v>
      </c>
      <c r="B649" s="669" t="s">
        <v>2871</v>
      </c>
      <c r="C649" s="1607" t="s">
        <v>367</v>
      </c>
      <c r="D649" s="1542">
        <f>'Valve house Access Tunnel'!J30</f>
        <v>114</v>
      </c>
      <c r="E649" s="220"/>
      <c r="F649" s="220"/>
      <c r="G649" s="220"/>
      <c r="H649" s="1677"/>
      <c r="I649" s="1543">
        <f>I181</f>
        <v>12161.5</v>
      </c>
      <c r="J649" s="1542">
        <f>I649*D649</f>
        <v>1386411</v>
      </c>
    </row>
    <row r="650" spans="1:10" ht="36">
      <c r="A650" s="1571" t="s">
        <v>2373</v>
      </c>
      <c r="B650" s="1557" t="s">
        <v>2890</v>
      </c>
      <c r="C650" s="1607" t="s">
        <v>19</v>
      </c>
      <c r="D650" s="1542">
        <f>'Valve house Access Tunnel'!J34</f>
        <v>1053.6897929747397</v>
      </c>
      <c r="E650" s="220"/>
      <c r="F650" s="220"/>
      <c r="G650" s="220"/>
      <c r="H650" s="1677"/>
      <c r="I650" s="1543">
        <f>I184</f>
        <v>350</v>
      </c>
      <c r="J650" s="1542">
        <f>I650*D650</f>
        <v>368791.42754115892</v>
      </c>
    </row>
    <row r="651" spans="1:10">
      <c r="A651" s="1571" t="s">
        <v>2374</v>
      </c>
      <c r="B651" s="1557" t="s">
        <v>2424</v>
      </c>
      <c r="C651" s="1607"/>
      <c r="D651" s="1542"/>
      <c r="E651" s="220"/>
      <c r="F651" s="220"/>
      <c r="G651" s="220"/>
      <c r="H651" s="1677"/>
      <c r="I651" s="1543"/>
      <c r="J651" s="1542"/>
    </row>
    <row r="652" spans="1:10" ht="36">
      <c r="A652" s="1554" t="s">
        <v>2379</v>
      </c>
      <c r="B652" s="669" t="s">
        <v>2395</v>
      </c>
      <c r="C652" s="1607" t="s">
        <v>19</v>
      </c>
      <c r="D652" s="1542">
        <v>10</v>
      </c>
      <c r="E652" s="220"/>
      <c r="F652" s="220"/>
      <c r="G652" s="220"/>
      <c r="H652" s="1677"/>
      <c r="I652" s="1543">
        <f>I188</f>
        <v>524</v>
      </c>
      <c r="J652" s="1542">
        <f>D652*I652</f>
        <v>5240</v>
      </c>
    </row>
    <row r="653" spans="1:10" ht="36">
      <c r="A653" s="1554" t="s">
        <v>2775</v>
      </c>
      <c r="B653" s="669" t="s">
        <v>2394</v>
      </c>
      <c r="C653" s="1607" t="s">
        <v>19</v>
      </c>
      <c r="D653" s="1542">
        <f>'Valve house Access Tunnel'!J35</f>
        <v>84.082571182731883</v>
      </c>
      <c r="E653" s="220"/>
      <c r="F653" s="220"/>
      <c r="G653" s="220"/>
      <c r="H653" s="1677"/>
      <c r="I653" s="1543">
        <f>I189</f>
        <v>655</v>
      </c>
      <c r="J653" s="1542">
        <f>I653*D653</f>
        <v>55074.084124689383</v>
      </c>
    </row>
    <row r="654" spans="1:10">
      <c r="A654" s="1571" t="s">
        <v>2986</v>
      </c>
      <c r="B654" s="1557" t="s">
        <v>318</v>
      </c>
      <c r="C654" s="1607"/>
      <c r="D654" s="1542"/>
      <c r="E654" s="220"/>
      <c r="F654" s="220"/>
      <c r="G654" s="220"/>
      <c r="H654" s="1677"/>
      <c r="I654" s="1543"/>
      <c r="J654" s="1542"/>
    </row>
    <row r="655" spans="1:10" ht="54">
      <c r="A655" s="1554" t="s">
        <v>2776</v>
      </c>
      <c r="B655" s="669" t="s">
        <v>2892</v>
      </c>
      <c r="C655" s="1607" t="s">
        <v>25</v>
      </c>
      <c r="D655" s="1542">
        <f>'Valve house Access Tunnel'!I31</f>
        <v>1.5832300164692437</v>
      </c>
      <c r="E655" s="220"/>
      <c r="F655" s="220"/>
      <c r="G655" s="220"/>
      <c r="H655" s="1677"/>
      <c r="I655" s="1543">
        <f>I183</f>
        <v>338528.5</v>
      </c>
      <c r="J655" s="1542">
        <f>I655*D655</f>
        <v>535968.48263030837</v>
      </c>
    </row>
    <row r="656" spans="1:10" ht="17.25" customHeight="1">
      <c r="A656" s="1528"/>
      <c r="B656" s="1557"/>
      <c r="C656" s="1563"/>
      <c r="D656" s="1688"/>
      <c r="E656" s="220"/>
      <c r="F656" s="1666" t="s">
        <v>1483</v>
      </c>
      <c r="G656" s="1695"/>
      <c r="H656" s="1678"/>
      <c r="I656" s="220"/>
      <c r="J656" s="1717">
        <f>SUM(J631:J655)</f>
        <v>21810623.324206762</v>
      </c>
    </row>
    <row r="657" spans="1:10">
      <c r="A657" s="1532" t="s">
        <v>2249</v>
      </c>
      <c r="B657" s="1533" t="s">
        <v>3086</v>
      </c>
      <c r="C657" s="1551"/>
      <c r="D657" s="1738"/>
      <c r="E657" s="1698"/>
      <c r="F657" s="1536"/>
      <c r="G657" s="1698"/>
      <c r="H657" s="1668"/>
      <c r="I657" s="1542"/>
      <c r="J657" s="1543"/>
    </row>
    <row r="658" spans="1:10">
      <c r="A658" s="1571" t="s">
        <v>2336</v>
      </c>
      <c r="B658" s="1548" t="s">
        <v>1961</v>
      </c>
      <c r="C658" s="1530"/>
      <c r="D658" s="1686"/>
      <c r="E658" s="220"/>
      <c r="F658" s="1577"/>
      <c r="G658" s="220"/>
      <c r="H658" s="1673"/>
      <c r="I658" s="1542"/>
      <c r="J658" s="1543"/>
    </row>
    <row r="659" spans="1:10" ht="108">
      <c r="A659" s="1554" t="s">
        <v>2337</v>
      </c>
      <c r="B659" s="1591" t="s">
        <v>2008</v>
      </c>
      <c r="C659" s="1530" t="s">
        <v>21</v>
      </c>
      <c r="D659" s="1542">
        <f>'Horizontal Shaft Tunnel-IV'!D20+'Horizontal Shaft Tunnel-II'!D20+'Horizontal Shaft Tunnel-III'!D20+'Horizontal Shaft Tunnel-I'!D20</f>
        <v>6999.7922070581335</v>
      </c>
      <c r="E659" s="220"/>
      <c r="F659" s="220"/>
      <c r="G659" s="220"/>
      <c r="H659" s="1677"/>
      <c r="I659" s="1543">
        <f>I162</f>
        <v>6624.65</v>
      </c>
      <c r="J659" s="1577">
        <f>I659*D659</f>
        <v>46371173.444487661</v>
      </c>
    </row>
    <row r="660" spans="1:10">
      <c r="A660" s="1571" t="s">
        <v>2338</v>
      </c>
      <c r="B660" s="313" t="s">
        <v>1872</v>
      </c>
      <c r="C660" s="1530"/>
      <c r="D660" s="1542"/>
      <c r="E660" s="220"/>
      <c r="F660" s="220"/>
      <c r="G660" s="220"/>
      <c r="H660" s="1677"/>
      <c r="I660" s="1543"/>
      <c r="J660" s="1577"/>
    </row>
    <row r="661" spans="1:10" ht="54">
      <c r="A661" s="1554" t="s">
        <v>2343</v>
      </c>
      <c r="B661" s="1550" t="s">
        <v>2606</v>
      </c>
      <c r="C661" s="1530" t="s">
        <v>19</v>
      </c>
      <c r="D661" s="1542">
        <v>20</v>
      </c>
      <c r="E661" s="220"/>
      <c r="F661" s="220"/>
      <c r="G661" s="220"/>
      <c r="H661" s="1677"/>
      <c r="I661" s="1543">
        <f t="shared" ref="I661:I666" si="17">I164</f>
        <v>2755.1750000000002</v>
      </c>
      <c r="J661" s="1577">
        <f>D661*I661</f>
        <v>55103.5</v>
      </c>
    </row>
    <row r="662" spans="1:10" ht="54">
      <c r="A662" s="1554" t="s">
        <v>2987</v>
      </c>
      <c r="B662" s="1550" t="s">
        <v>2607</v>
      </c>
      <c r="C662" s="1530" t="s">
        <v>19</v>
      </c>
      <c r="D662" s="1542">
        <v>20</v>
      </c>
      <c r="E662" s="220"/>
      <c r="F662" s="220"/>
      <c r="G662" s="220"/>
      <c r="H662" s="1677"/>
      <c r="I662" s="1543">
        <f t="shared" si="17"/>
        <v>4132.7625000000007</v>
      </c>
      <c r="J662" s="1577">
        <f>D662*I662</f>
        <v>82655.250000000015</v>
      </c>
    </row>
    <row r="663" spans="1:10" ht="54">
      <c r="A663" s="1554" t="s">
        <v>2988</v>
      </c>
      <c r="B663" s="1550" t="s">
        <v>2412</v>
      </c>
      <c r="C663" s="1530" t="s">
        <v>19</v>
      </c>
      <c r="D663" s="1542">
        <v>20</v>
      </c>
      <c r="E663" s="220"/>
      <c r="F663" s="220"/>
      <c r="G663" s="220"/>
      <c r="H663" s="1677"/>
      <c r="I663" s="1543">
        <f t="shared" si="17"/>
        <v>5510.35</v>
      </c>
      <c r="J663" s="1543">
        <f>ROUND(I663*D663,2)</f>
        <v>110207</v>
      </c>
    </row>
    <row r="664" spans="1:10" ht="54">
      <c r="A664" s="1554" t="s">
        <v>2989</v>
      </c>
      <c r="B664" s="1550" t="s">
        <v>2745</v>
      </c>
      <c r="C664" s="1530" t="s">
        <v>19</v>
      </c>
      <c r="D664" s="1542">
        <v>20</v>
      </c>
      <c r="E664" s="220"/>
      <c r="F664" s="220"/>
      <c r="G664" s="220"/>
      <c r="H664" s="1677"/>
      <c r="I664" s="1543">
        <f t="shared" si="17"/>
        <v>5767.1</v>
      </c>
      <c r="J664" s="1543"/>
    </row>
    <row r="665" spans="1:10" ht="54">
      <c r="A665" s="1554" t="s">
        <v>2990</v>
      </c>
      <c r="B665" s="1550" t="s">
        <v>1881</v>
      </c>
      <c r="C665" s="1530" t="s">
        <v>19</v>
      </c>
      <c r="D665" s="1542">
        <f>'Horizontal Shaft Tunnel-IV'!D21+'Horizontal Shaft Tunnel-III'!D21+'Horizontal Shaft Tunnel-II'!D21+'Horizontal Shaft Tunnel-IV'!D21</f>
        <v>4689.711035053976</v>
      </c>
      <c r="E665" s="220"/>
      <c r="F665" s="220"/>
      <c r="G665" s="220"/>
      <c r="H665" s="1677"/>
      <c r="I665" s="1543">
        <f t="shared" si="17"/>
        <v>7208.875</v>
      </c>
      <c r="J665" s="1577">
        <f>D665*I665</f>
        <v>33807540.637824729</v>
      </c>
    </row>
    <row r="666" spans="1:10" ht="54">
      <c r="A666" s="1554" t="s">
        <v>2991</v>
      </c>
      <c r="B666" s="1550" t="s">
        <v>1883</v>
      </c>
      <c r="C666" s="1530" t="s">
        <v>19</v>
      </c>
      <c r="D666" s="1542">
        <f>'Horizontal Shaft Tunnel-I'!D22+'Horizontal Shaft Tunnel-III'!D22+'Horizontal Shaft Tunnel-II'!D22+'Horizontal Shaft Tunnel-IV'!D22</f>
        <v>1797.1612966087528</v>
      </c>
      <c r="E666" s="220"/>
      <c r="F666" s="220"/>
      <c r="G666" s="220"/>
      <c r="H666" s="1677"/>
      <c r="I666" s="1543">
        <f t="shared" si="17"/>
        <v>8650.65</v>
      </c>
      <c r="J666" s="1543">
        <f>ROUND(I666*D666,2)</f>
        <v>15546613.369999999</v>
      </c>
    </row>
    <row r="667" spans="1:10">
      <c r="A667" s="1571" t="s">
        <v>2339</v>
      </c>
      <c r="B667" s="1557" t="s">
        <v>1518</v>
      </c>
      <c r="C667" s="1530"/>
      <c r="D667" s="1542"/>
      <c r="E667" s="220"/>
      <c r="F667" s="220"/>
      <c r="G667" s="220"/>
      <c r="H667" s="1677"/>
      <c r="I667" s="1543"/>
      <c r="J667" s="1543"/>
    </row>
    <row r="668" spans="1:10" ht="36">
      <c r="A668" s="1554" t="s">
        <v>2344</v>
      </c>
      <c r="B668" s="669" t="s">
        <v>2394</v>
      </c>
      <c r="C668" s="1530" t="s">
        <v>19</v>
      </c>
      <c r="D668" s="1542">
        <f>'Horizontal Shaft Tunnel-I'!D23+'Horizontal Shaft Tunnel-III'!D23+'Horizontal Shaft Tunnel-II'!D23+'Horizontal Shaft Tunnel-IV'!D23</f>
        <v>599.05376553625092</v>
      </c>
      <c r="E668" s="220"/>
      <c r="F668" s="220"/>
      <c r="G668" s="220"/>
      <c r="H668" s="1677"/>
      <c r="I668" s="1577">
        <f>I189</f>
        <v>655</v>
      </c>
      <c r="J668" s="1543">
        <f>ROUND(I668*D668,2)</f>
        <v>392380.22</v>
      </c>
    </row>
    <row r="669" spans="1:10" ht="36">
      <c r="A669" s="1554" t="s">
        <v>2992</v>
      </c>
      <c r="B669" s="669" t="s">
        <v>2395</v>
      </c>
      <c r="C669" s="1530" t="s">
        <v>19</v>
      </c>
      <c r="D669" s="1742">
        <v>42</v>
      </c>
      <c r="E669" s="220"/>
      <c r="F669" s="220"/>
      <c r="G669" s="220"/>
      <c r="H669" s="1673"/>
      <c r="I669" s="1577">
        <f>I188</f>
        <v>524</v>
      </c>
      <c r="J669" s="1593">
        <f>D669*I669</f>
        <v>22008</v>
      </c>
    </row>
    <row r="670" spans="1:10">
      <c r="A670" s="1571" t="s">
        <v>2340</v>
      </c>
      <c r="B670" s="313" t="s">
        <v>1929</v>
      </c>
      <c r="C670" s="1530"/>
      <c r="D670" s="1542"/>
      <c r="E670" s="220"/>
      <c r="F670" s="220"/>
      <c r="G670" s="220"/>
      <c r="H670" s="1673"/>
      <c r="I670" s="1577"/>
      <c r="J670" s="1543"/>
    </row>
    <row r="671" spans="1:10" ht="51.75" customHeight="1">
      <c r="A671" s="1554" t="s">
        <v>2345</v>
      </c>
      <c r="B671" s="1550" t="s">
        <v>2872</v>
      </c>
      <c r="C671" s="1530" t="s">
        <v>307</v>
      </c>
      <c r="D671" s="1542">
        <f>'Horizontal Shaft Tunnel-I'!D24+'Horizontal Shaft Tunnel-III'!D24+'Horizontal Shaft Tunnel-II'!D24+'Horizontal Shaft Tunnel-IV'!D24</f>
        <v>3115</v>
      </c>
      <c r="E671" s="220"/>
      <c r="F671" s="220"/>
      <c r="G671" s="220"/>
      <c r="H671" s="1673"/>
      <c r="I671" s="1577">
        <f>I179</f>
        <v>4267.25</v>
      </c>
      <c r="J671" s="1543">
        <f>ROUND(I671*D671,2)</f>
        <v>13292483.75</v>
      </c>
    </row>
    <row r="672" spans="1:10">
      <c r="A672" s="1571" t="s">
        <v>2341</v>
      </c>
      <c r="B672" s="313" t="s">
        <v>2773</v>
      </c>
      <c r="C672" s="1530"/>
      <c r="D672" s="1542"/>
      <c r="E672" s="220"/>
      <c r="F672" s="220"/>
      <c r="G672" s="220"/>
      <c r="H672" s="1673"/>
      <c r="I672" s="1577"/>
      <c r="J672" s="1543"/>
    </row>
    <row r="673" spans="1:10" ht="54">
      <c r="A673" s="1554" t="s">
        <v>2993</v>
      </c>
      <c r="B673" s="669" t="s">
        <v>2881</v>
      </c>
      <c r="C673" s="1530" t="s">
        <v>307</v>
      </c>
      <c r="D673" s="1542">
        <f>'Horizontal Shaft Tunnel-I'!D25+'Horizontal Shaft Tunnel-III'!D25+'Horizontal Shaft Tunnel-II'!D25+'Horizontal Shaft Tunnel-IV'!D25</f>
        <v>673</v>
      </c>
      <c r="E673" s="220"/>
      <c r="F673" s="220"/>
      <c r="G673" s="220"/>
      <c r="H673" s="1673"/>
      <c r="I673" s="1577">
        <f>I181</f>
        <v>12161.5</v>
      </c>
      <c r="J673" s="1543">
        <f>ROUND(I673*D673,2)</f>
        <v>8184689.5</v>
      </c>
    </row>
    <row r="674" spans="1:10">
      <c r="A674" s="1571" t="s">
        <v>2342</v>
      </c>
      <c r="B674" s="1557" t="s">
        <v>318</v>
      </c>
      <c r="C674" s="1530"/>
      <c r="D674" s="1542"/>
      <c r="E674" s="220"/>
      <c r="F674" s="220"/>
      <c r="G674" s="220"/>
      <c r="H674" s="1673"/>
      <c r="I674" s="1577"/>
      <c r="J674" s="1543"/>
    </row>
    <row r="675" spans="1:10" ht="54">
      <c r="A675" s="1554" t="s">
        <v>2707</v>
      </c>
      <c r="B675" s="669" t="s">
        <v>2892</v>
      </c>
      <c r="C675" s="1530" t="s">
        <v>322</v>
      </c>
      <c r="D675" s="1542">
        <f>'Horizontal Shaft Tunnel-I'!D29+'Horizontal Shaft Tunnel-III'!D29+'Horizontal Shaft Tunnel-II'!D29+'Horizontal Shaft Tunnel-IV'!D29</f>
        <v>18.191706998648641</v>
      </c>
      <c r="E675" s="220"/>
      <c r="F675" s="220"/>
      <c r="G675" s="220"/>
      <c r="H675" s="1673"/>
      <c r="I675" s="1577">
        <f>I183</f>
        <v>338528.5</v>
      </c>
      <c r="J675" s="1543">
        <f>ROUND(I675*D675,2)</f>
        <v>6158411.2800000003</v>
      </c>
    </row>
    <row r="676" spans="1:10" ht="36">
      <c r="A676" s="1571" t="s">
        <v>2994</v>
      </c>
      <c r="B676" s="1557" t="s">
        <v>2890</v>
      </c>
      <c r="C676" s="1530" t="s">
        <v>19</v>
      </c>
      <c r="D676" s="1542">
        <f>'Horizontal Shaft Tunnel-I'!D26+'Horizontal Shaft Tunnel-III'!D26+'Horizontal Shaft Tunnel-II'!D26+'Horizontal Shaft Tunnel-IV'!D26</f>
        <v>2412.8504000000003</v>
      </c>
      <c r="E676" s="220"/>
      <c r="F676" s="220"/>
      <c r="G676" s="220"/>
      <c r="H676" s="1673"/>
      <c r="I676" s="1577">
        <f>I184</f>
        <v>350</v>
      </c>
      <c r="J676" s="1543">
        <f>ROUND(I676*D676,2)</f>
        <v>844497.64</v>
      </c>
    </row>
    <row r="677" spans="1:10" ht="54">
      <c r="A677" s="1571" t="s">
        <v>2995</v>
      </c>
      <c r="B677" s="1557" t="s">
        <v>2418</v>
      </c>
      <c r="C677" s="1530" t="s">
        <v>438</v>
      </c>
      <c r="D677" s="1542">
        <f>0.2*1000*D675</f>
        <v>3638.3413997297284</v>
      </c>
      <c r="E677" s="220"/>
      <c r="F677" s="220"/>
      <c r="G677" s="220"/>
      <c r="H677" s="1677"/>
      <c r="I677" s="1543">
        <f>I473</f>
        <v>183.08</v>
      </c>
      <c r="J677" s="1543">
        <f>ROUND(I677*D677,2)</f>
        <v>666107.54</v>
      </c>
    </row>
    <row r="678" spans="1:10" ht="54">
      <c r="A678" s="1571" t="s">
        <v>2996</v>
      </c>
      <c r="B678" s="1545" t="s">
        <v>2735</v>
      </c>
      <c r="C678" s="1530"/>
      <c r="D678" s="1542"/>
      <c r="E678" s="220"/>
      <c r="F678" s="220"/>
      <c r="G678" s="220"/>
      <c r="H678" s="1677"/>
      <c r="I678" s="1543"/>
      <c r="J678" s="1543"/>
    </row>
    <row r="679" spans="1:10">
      <c r="A679" s="1554" t="s">
        <v>2997</v>
      </c>
      <c r="B679" s="669" t="s">
        <v>2608</v>
      </c>
      <c r="C679" s="1530" t="s">
        <v>21</v>
      </c>
      <c r="D679" s="1542">
        <f>'Horizontal Shaft Tunnel-I'!D30+'Horizontal Shaft Tunnel-III'!D30+'Horizontal Shaft Tunnel-II'!D30+'Horizontal Shaft Tunnel-IV'!D30</f>
        <v>4796.2477039037167</v>
      </c>
      <c r="E679" s="220"/>
      <c r="F679" s="220"/>
      <c r="G679" s="220"/>
      <c r="H679" s="1677"/>
      <c r="I679" s="1543">
        <f>I680*1.1</f>
        <v>17973.45</v>
      </c>
      <c r="J679" s="1543">
        <f>ROUND(I679*D679,2)</f>
        <v>86205118.290000007</v>
      </c>
    </row>
    <row r="680" spans="1:10">
      <c r="A680" s="1554" t="s">
        <v>2998</v>
      </c>
      <c r="B680" s="669" t="s">
        <v>2610</v>
      </c>
      <c r="C680" s="1530" t="s">
        <v>21</v>
      </c>
      <c r="D680" s="1542">
        <f>'Horizontal Shaft Tunnel-I'!D27+'Horizontal Shaft Tunnel-III'!D27+'Horizontal Shaft Tunnel-II'!D27+'Horizontal Shaft Tunnel-IV'!D27</f>
        <v>134.67072000000002</v>
      </c>
      <c r="E680" s="220"/>
      <c r="F680" s="220"/>
      <c r="G680" s="220"/>
      <c r="H680" s="1677"/>
      <c r="I680" s="1543">
        <f>I172</f>
        <v>16339.5</v>
      </c>
      <c r="J680" s="1543">
        <f>ROUND(I680*D680,2)</f>
        <v>2200452.23</v>
      </c>
    </row>
    <row r="681" spans="1:10">
      <c r="A681" s="1571" t="s">
        <v>2999</v>
      </c>
      <c r="B681" s="313" t="s">
        <v>1649</v>
      </c>
      <c r="C681" s="1530"/>
      <c r="D681" s="1542"/>
      <c r="E681" s="220"/>
      <c r="F681" s="220"/>
      <c r="G681" s="220"/>
      <c r="H681" s="1677"/>
      <c r="I681" s="1543"/>
      <c r="J681" s="1543"/>
    </row>
    <row r="682" spans="1:10" ht="54">
      <c r="A682" s="1554" t="s">
        <v>2999</v>
      </c>
      <c r="B682" s="1550" t="s">
        <v>1248</v>
      </c>
      <c r="C682" s="1530" t="s">
        <v>25</v>
      </c>
      <c r="D682" s="1542">
        <f>'Horizontal Shaft Tunnel-I'!D28+'Horizontal Shaft Tunnel-II'!D28+'Horizontal Shaft Tunnel-III'!D28+'Horizontal Shaft Tunnel-I'!D28</f>
        <v>0.59365440000000003</v>
      </c>
      <c r="E682" s="220"/>
      <c r="F682" s="220"/>
      <c r="G682" s="220"/>
      <c r="H682" s="1677"/>
      <c r="I682" s="1543">
        <f>I176</f>
        <v>166436.36363636362</v>
      </c>
      <c r="J682" s="1543">
        <f>I682*D682</f>
        <v>98805.679592727261</v>
      </c>
    </row>
    <row r="683" spans="1:10" ht="17.25" customHeight="1">
      <c r="A683" s="1528"/>
      <c r="B683" s="1557"/>
      <c r="C683" s="1563"/>
      <c r="D683" s="1688"/>
      <c r="E683" s="220"/>
      <c r="F683" s="1666" t="s">
        <v>1483</v>
      </c>
      <c r="G683" s="1695"/>
      <c r="H683" s="1678"/>
      <c r="I683" s="220"/>
      <c r="J683" s="1717">
        <f>SUM(J658:J682)</f>
        <v>214038247.33190513</v>
      </c>
    </row>
    <row r="684" spans="1:10">
      <c r="A684" s="1532" t="s">
        <v>2250</v>
      </c>
      <c r="B684" s="1533" t="s">
        <v>1528</v>
      </c>
      <c r="C684" s="1551"/>
      <c r="D684" s="1738"/>
      <c r="E684" s="1698"/>
      <c r="F684" s="1536"/>
      <c r="G684" s="1698"/>
      <c r="H684" s="1668"/>
      <c r="I684" s="1542"/>
      <c r="J684" s="1543"/>
    </row>
    <row r="685" spans="1:10" s="1582" customFormat="1">
      <c r="A685" s="1571" t="s">
        <v>2346</v>
      </c>
      <c r="B685" s="1548" t="s">
        <v>18</v>
      </c>
      <c r="C685" s="1572"/>
      <c r="D685" s="1737"/>
      <c r="E685" s="1506"/>
      <c r="F685" s="1573"/>
      <c r="G685" s="1506"/>
      <c r="H685" s="1667"/>
      <c r="I685" s="1542"/>
      <c r="J685" s="1543"/>
    </row>
    <row r="686" spans="1:10" ht="72">
      <c r="A686" s="1554" t="s">
        <v>2347</v>
      </c>
      <c r="B686" s="1555" t="s">
        <v>2847</v>
      </c>
      <c r="C686" s="1530" t="s">
        <v>19</v>
      </c>
      <c r="D686" s="1542">
        <f>'Powrhouse Adit Portal'!J13</f>
        <v>100</v>
      </c>
      <c r="E686" s="220"/>
      <c r="F686" s="220"/>
      <c r="G686" s="220"/>
      <c r="H686" s="1677"/>
      <c r="I686" s="1577">
        <f>I425</f>
        <v>40.5</v>
      </c>
      <c r="J686" s="1542">
        <f>I686*D686</f>
        <v>4050</v>
      </c>
    </row>
    <row r="687" spans="1:10" ht="72">
      <c r="A687" s="1571" t="s">
        <v>2348</v>
      </c>
      <c r="B687" s="1544" t="s">
        <v>2849</v>
      </c>
      <c r="C687" s="1530"/>
      <c r="D687" s="1542"/>
      <c r="E687" s="220"/>
      <c r="F687" s="220"/>
      <c r="G687" s="220"/>
      <c r="H687" s="1677"/>
      <c r="I687" s="1577"/>
      <c r="J687" s="1542"/>
    </row>
    <row r="688" spans="1:10">
      <c r="A688" s="1554" t="s">
        <v>2353</v>
      </c>
      <c r="B688" s="220" t="s">
        <v>63</v>
      </c>
      <c r="C688" s="1530" t="s">
        <v>21</v>
      </c>
      <c r="D688" s="1542">
        <f>'Powrhouse Adit Portal'!J16</f>
        <v>2328</v>
      </c>
      <c r="E688" s="220"/>
      <c r="F688" s="220"/>
      <c r="G688" s="220"/>
      <c r="H688" s="1677"/>
      <c r="I688" s="1543">
        <f>I428</f>
        <v>1375.6949999999999</v>
      </c>
      <c r="J688" s="1542">
        <f>I688*D688</f>
        <v>3202617.96</v>
      </c>
    </row>
    <row r="689" spans="1:10">
      <c r="A689" s="1571" t="s">
        <v>2349</v>
      </c>
      <c r="B689" s="313" t="s">
        <v>1929</v>
      </c>
      <c r="C689" s="1530"/>
      <c r="D689" s="1542"/>
      <c r="E689" s="220"/>
      <c r="F689" s="220"/>
      <c r="G689" s="220"/>
      <c r="H689" s="1677"/>
      <c r="I689" s="1543"/>
      <c r="J689" s="1542"/>
    </row>
    <row r="690" spans="1:10" ht="54">
      <c r="A690" s="1554" t="s">
        <v>2354</v>
      </c>
      <c r="B690" s="1550" t="s">
        <v>2945</v>
      </c>
      <c r="C690" s="1530" t="s">
        <v>307</v>
      </c>
      <c r="D690" s="1542">
        <f>'Powrhouse Adit Portal'!J20</f>
        <v>139</v>
      </c>
      <c r="E690" s="220"/>
      <c r="F690" s="220"/>
      <c r="G690" s="220"/>
      <c r="H690" s="1677"/>
      <c r="I690" s="1720">
        <f>I430</f>
        <v>5381.75</v>
      </c>
      <c r="J690" s="1542">
        <f>I690*D690</f>
        <v>748063.25</v>
      </c>
    </row>
    <row r="691" spans="1:10">
      <c r="A691" s="1571" t="s">
        <v>2350</v>
      </c>
      <c r="B691" s="313" t="s">
        <v>1872</v>
      </c>
      <c r="C691" s="1530"/>
      <c r="D691" s="1542"/>
      <c r="E691" s="220"/>
      <c r="F691" s="220"/>
      <c r="G691" s="220"/>
      <c r="H691" s="1677"/>
      <c r="I691" s="1577"/>
      <c r="J691" s="1542"/>
    </row>
    <row r="692" spans="1:10" ht="54">
      <c r="A692" s="1554" t="s">
        <v>2355</v>
      </c>
      <c r="B692" s="1550" t="s">
        <v>2606</v>
      </c>
      <c r="C692" s="1530" t="s">
        <v>19</v>
      </c>
      <c r="D692" s="1542">
        <v>20</v>
      </c>
      <c r="E692" s="220"/>
      <c r="F692" s="220"/>
      <c r="G692" s="220"/>
      <c r="H692" s="1677"/>
      <c r="I692" s="1543">
        <f>I444</f>
        <v>2755.1750000000002</v>
      </c>
      <c r="J692" s="1542">
        <f>D692*I692</f>
        <v>55103.5</v>
      </c>
    </row>
    <row r="693" spans="1:10" ht="54">
      <c r="A693" s="1554" t="s">
        <v>3000</v>
      </c>
      <c r="B693" s="1550" t="s">
        <v>2607</v>
      </c>
      <c r="C693" s="1530" t="s">
        <v>19</v>
      </c>
      <c r="D693" s="1542">
        <v>10</v>
      </c>
      <c r="E693" s="220"/>
      <c r="F693" s="220"/>
      <c r="G693" s="220"/>
      <c r="H693" s="1677"/>
      <c r="I693" s="1543">
        <f>I445</f>
        <v>4132.7625000000007</v>
      </c>
      <c r="J693" s="1542">
        <f>D693*I693</f>
        <v>41327.625000000007</v>
      </c>
    </row>
    <row r="694" spans="1:10" ht="54">
      <c r="A694" s="1554" t="s">
        <v>3001</v>
      </c>
      <c r="B694" s="1550" t="s">
        <v>2412</v>
      </c>
      <c r="C694" s="1530" t="s">
        <v>19</v>
      </c>
      <c r="D694" s="1542">
        <f>'Powrhouse Adit Portal'!J24</f>
        <v>312.5</v>
      </c>
      <c r="E694" s="220"/>
      <c r="F694" s="220"/>
      <c r="G694" s="220"/>
      <c r="H694" s="1677"/>
      <c r="I694" s="1577">
        <f>I446</f>
        <v>5510.35</v>
      </c>
      <c r="J694" s="1542">
        <f>I694*D694</f>
        <v>1721984.375</v>
      </c>
    </row>
    <row r="695" spans="1:10">
      <c r="A695" s="1571" t="s">
        <v>2351</v>
      </c>
      <c r="B695" s="1557" t="s">
        <v>1484</v>
      </c>
      <c r="C695" s="1530" t="s">
        <v>307</v>
      </c>
      <c r="D695" s="1542">
        <f>'Powrhouse Adit Portal'!J32</f>
        <v>105</v>
      </c>
      <c r="E695" s="220"/>
      <c r="F695" s="220"/>
      <c r="G695" s="220"/>
      <c r="H695" s="1677"/>
      <c r="I695" s="1543">
        <f>I437</f>
        <v>618</v>
      </c>
      <c r="J695" s="1542">
        <f>I695*D695</f>
        <v>64890</v>
      </c>
    </row>
    <row r="696" spans="1:10">
      <c r="A696" s="1571" t="s">
        <v>2352</v>
      </c>
      <c r="B696" s="1557" t="s">
        <v>1518</v>
      </c>
      <c r="C696" s="1530"/>
      <c r="D696" s="1542"/>
      <c r="E696" s="220"/>
      <c r="F696" s="220"/>
      <c r="G696" s="220"/>
      <c r="H696" s="1677"/>
      <c r="I696" s="1543"/>
      <c r="J696" s="1542"/>
    </row>
    <row r="697" spans="1:10" ht="36">
      <c r="A697" s="1554" t="s">
        <v>2356</v>
      </c>
      <c r="B697" s="669" t="s">
        <v>2655</v>
      </c>
      <c r="C697" s="1530" t="s">
        <v>19</v>
      </c>
      <c r="D697" s="1542">
        <v>20</v>
      </c>
      <c r="E697" s="220"/>
      <c r="F697" s="220"/>
      <c r="G697" s="220"/>
      <c r="H697" s="1677"/>
      <c r="I697" s="1543">
        <f>I435</f>
        <v>524</v>
      </c>
      <c r="J697" s="1542">
        <f>D697*I697</f>
        <v>10480</v>
      </c>
    </row>
    <row r="698" spans="1:10" ht="36">
      <c r="A698" s="1554" t="s">
        <v>3002</v>
      </c>
      <c r="B698" s="669" t="s">
        <v>2656</v>
      </c>
      <c r="C698" s="1530" t="s">
        <v>19</v>
      </c>
      <c r="D698" s="1542">
        <f>'Powrhouse Adit Portal'!J28</f>
        <v>312.5</v>
      </c>
      <c r="E698" s="220"/>
      <c r="F698" s="220"/>
      <c r="G698" s="220"/>
      <c r="H698" s="1677"/>
      <c r="I698" s="1543">
        <f>I436</f>
        <v>655</v>
      </c>
      <c r="J698" s="1542">
        <f>I698*D698</f>
        <v>204687.5</v>
      </c>
    </row>
    <row r="699" spans="1:10" ht="17.25" customHeight="1">
      <c r="A699" s="1528"/>
      <c r="B699" s="1557"/>
      <c r="C699" s="1563"/>
      <c r="D699" s="1688"/>
      <c r="E699" s="220"/>
      <c r="F699" s="1666" t="s">
        <v>1483</v>
      </c>
      <c r="G699" s="1695"/>
      <c r="H699" s="1678"/>
      <c r="I699" s="220"/>
      <c r="J699" s="1717">
        <f>SUM(J686:J698)</f>
        <v>6053204.21</v>
      </c>
    </row>
    <row r="700" spans="1:10">
      <c r="A700" s="1532" t="s">
        <v>2251</v>
      </c>
      <c r="B700" s="1533" t="s">
        <v>1527</v>
      </c>
      <c r="C700" s="1551"/>
      <c r="D700" s="1738"/>
      <c r="E700" s="1698"/>
      <c r="F700" s="1536"/>
      <c r="G700" s="1698"/>
      <c r="H700" s="1668"/>
      <c r="I700" s="1542"/>
      <c r="J700" s="1543"/>
    </row>
    <row r="701" spans="1:10" s="1583" customFormat="1">
      <c r="A701" s="1571" t="s">
        <v>2357</v>
      </c>
      <c r="B701" s="1548" t="s">
        <v>1961</v>
      </c>
      <c r="C701" s="1539"/>
      <c r="D701" s="1739"/>
      <c r="E701" s="1690"/>
      <c r="F701" s="1540"/>
      <c r="G701" s="1690"/>
      <c r="H701" s="1665"/>
      <c r="I701" s="1542"/>
      <c r="J701" s="1543"/>
    </row>
    <row r="702" spans="1:10" ht="108">
      <c r="A702" s="1554" t="s">
        <v>3003</v>
      </c>
      <c r="B702" s="1591" t="s">
        <v>2008</v>
      </c>
      <c r="C702" s="1530" t="s">
        <v>21</v>
      </c>
      <c r="D702" s="1542">
        <f>'Powerhouse Adit Tunnel'!J22</f>
        <v>825.96858438337108</v>
      </c>
      <c r="E702" s="220"/>
      <c r="F702" s="220"/>
      <c r="G702" s="220"/>
      <c r="H702" s="1677"/>
      <c r="I702" s="1543">
        <f>I441</f>
        <v>6624.65</v>
      </c>
      <c r="J702" s="1542">
        <f>I702*D702</f>
        <v>5471752.7825352987</v>
      </c>
    </row>
    <row r="703" spans="1:10">
      <c r="A703" s="1571" t="s">
        <v>2358</v>
      </c>
      <c r="B703" s="313" t="s">
        <v>1872</v>
      </c>
      <c r="C703" s="1530"/>
      <c r="D703" s="1542"/>
      <c r="E703" s="220"/>
      <c r="F703" s="220"/>
      <c r="G703" s="220"/>
      <c r="H703" s="1677"/>
      <c r="I703" s="1543"/>
      <c r="J703" s="1542"/>
    </row>
    <row r="704" spans="1:10" ht="54">
      <c r="A704" s="1554" t="s">
        <v>3004</v>
      </c>
      <c r="B704" s="1550" t="s">
        <v>1862</v>
      </c>
      <c r="C704" s="1530" t="s">
        <v>19</v>
      </c>
      <c r="D704" s="1542">
        <f>'Powerhouse Adit Tunnel'!J23</f>
        <v>280.68423421464865</v>
      </c>
      <c r="E704" s="220"/>
      <c r="F704" s="220"/>
      <c r="G704" s="220"/>
      <c r="H704" s="1677"/>
      <c r="I704" s="1543">
        <f>I481</f>
        <v>5767.1</v>
      </c>
      <c r="J704" s="1542">
        <f>I704*D704</f>
        <v>1618734.0471393003</v>
      </c>
    </row>
    <row r="705" spans="1:10" ht="54">
      <c r="A705" s="1554" t="s">
        <v>3005</v>
      </c>
      <c r="B705" s="1550" t="s">
        <v>1881</v>
      </c>
      <c r="C705" s="1530" t="s">
        <v>19</v>
      </c>
      <c r="D705" s="1542">
        <f>'Powerhouse Adit Tunnel'!J24</f>
        <v>112.27369368585948</v>
      </c>
      <c r="E705" s="220"/>
      <c r="F705" s="220"/>
      <c r="G705" s="220"/>
      <c r="H705" s="1677"/>
      <c r="I705" s="1543">
        <f>I482</f>
        <v>7208.875</v>
      </c>
      <c r="J705" s="1542">
        <f>I705*D705</f>
        <v>809367.02356965025</v>
      </c>
    </row>
    <row r="706" spans="1:10" ht="54">
      <c r="A706" s="1554" t="s">
        <v>3006</v>
      </c>
      <c r="B706" s="1550" t="s">
        <v>1883</v>
      </c>
      <c r="C706" s="1530" t="s">
        <v>19</v>
      </c>
      <c r="D706" s="1542">
        <f>'Powerhouse Adit Tunnel'!J25</f>
        <v>168.4105405287892</v>
      </c>
      <c r="E706" s="220"/>
      <c r="F706" s="220"/>
      <c r="G706" s="220"/>
      <c r="H706" s="1677"/>
      <c r="I706" s="1543">
        <f>I483</f>
        <v>8650.65</v>
      </c>
      <c r="J706" s="1542">
        <f>I706*D706</f>
        <v>1456860.6424253702</v>
      </c>
    </row>
    <row r="707" spans="1:10" ht="54">
      <c r="A707" s="1554" t="s">
        <v>3007</v>
      </c>
      <c r="B707" s="1550" t="s">
        <v>2606</v>
      </c>
      <c r="C707" s="1530" t="s">
        <v>19</v>
      </c>
      <c r="D707" s="1542">
        <v>20</v>
      </c>
      <c r="E707" s="220"/>
      <c r="F707" s="220"/>
      <c r="G707" s="220"/>
      <c r="H707" s="1677"/>
      <c r="I707" s="1543">
        <f>I444</f>
        <v>2755.1750000000002</v>
      </c>
      <c r="J707" s="1542">
        <f>I707*D707</f>
        <v>55103.5</v>
      </c>
    </row>
    <row r="708" spans="1:10" ht="54">
      <c r="A708" s="1554" t="s">
        <v>3008</v>
      </c>
      <c r="B708" s="1550" t="s">
        <v>2607</v>
      </c>
      <c r="C708" s="1530" t="s">
        <v>19</v>
      </c>
      <c r="D708" s="1542">
        <v>10</v>
      </c>
      <c r="E708" s="220"/>
      <c r="F708" s="220"/>
      <c r="G708" s="220"/>
      <c r="H708" s="1677"/>
      <c r="I708" s="1543">
        <f>I445</f>
        <v>4132.7625000000007</v>
      </c>
      <c r="J708" s="1542">
        <f>I708*D708</f>
        <v>41327.625000000007</v>
      </c>
    </row>
    <row r="709" spans="1:10">
      <c r="A709" s="1571" t="s">
        <v>2359</v>
      </c>
      <c r="B709" s="313" t="s">
        <v>1929</v>
      </c>
      <c r="C709" s="1530"/>
      <c r="D709" s="1542"/>
      <c r="E709" s="220"/>
      <c r="F709" s="220"/>
      <c r="G709" s="220"/>
      <c r="H709" s="1677"/>
      <c r="I709" s="1543"/>
      <c r="J709" s="1542"/>
    </row>
    <row r="710" spans="1:10" ht="54">
      <c r="A710" s="1554" t="s">
        <v>3009</v>
      </c>
      <c r="B710" s="1550" t="s">
        <v>2873</v>
      </c>
      <c r="C710" s="1530" t="s">
        <v>367</v>
      </c>
      <c r="D710" s="1542">
        <f>'Powerhouse Adit Tunnel'!J29</f>
        <v>145</v>
      </c>
      <c r="E710" s="220"/>
      <c r="F710" s="220"/>
      <c r="G710" s="220"/>
      <c r="H710" s="1677"/>
      <c r="I710" s="1543">
        <f>I454</f>
        <v>4131.05</v>
      </c>
      <c r="J710" s="1542">
        <f>I710*D710</f>
        <v>599002.25</v>
      </c>
    </row>
    <row r="711" spans="1:10" ht="54">
      <c r="A711" s="1554" t="s">
        <v>3009</v>
      </c>
      <c r="B711" s="1550" t="s">
        <v>2872</v>
      </c>
      <c r="C711" s="1530" t="s">
        <v>367</v>
      </c>
      <c r="D711" s="1542">
        <f>'Powerhouse Adit Tunnel'!J30</f>
        <v>338</v>
      </c>
      <c r="E711" s="220"/>
      <c r="F711" s="220"/>
      <c r="G711" s="220"/>
      <c r="H711" s="1677"/>
      <c r="I711" s="1543">
        <f>I455</f>
        <v>4267.25</v>
      </c>
      <c r="J711" s="1542">
        <f>I711*D711</f>
        <v>1442330.5</v>
      </c>
    </row>
    <row r="712" spans="1:10">
      <c r="A712" s="1571" t="s">
        <v>2360</v>
      </c>
      <c r="B712" s="1557" t="s">
        <v>2104</v>
      </c>
      <c r="C712" s="1530"/>
      <c r="D712" s="1542"/>
      <c r="E712" s="220"/>
      <c r="F712" s="220"/>
      <c r="G712" s="220"/>
      <c r="H712" s="1677"/>
      <c r="I712" s="1543"/>
      <c r="J712" s="1542"/>
    </row>
    <row r="713" spans="1:10" ht="54">
      <c r="A713" s="1554" t="s">
        <v>3010</v>
      </c>
      <c r="B713" s="669" t="s">
        <v>2881</v>
      </c>
      <c r="C713" s="1530" t="s">
        <v>367</v>
      </c>
      <c r="D713" s="1542">
        <f>'Powerhouse Adit Tunnel'!J31</f>
        <v>63</v>
      </c>
      <c r="E713" s="220"/>
      <c r="F713" s="220"/>
      <c r="G713" s="220"/>
      <c r="H713" s="1677"/>
      <c r="I713" s="1543">
        <f>I457</f>
        <v>12161.5</v>
      </c>
      <c r="J713" s="1542">
        <f>I713*D713</f>
        <v>766174.5</v>
      </c>
    </row>
    <row r="714" spans="1:10" ht="36">
      <c r="A714" s="1571" t="s">
        <v>2361</v>
      </c>
      <c r="B714" s="1557" t="s">
        <v>2890</v>
      </c>
      <c r="C714" s="1530" t="s">
        <v>25</v>
      </c>
      <c r="D714" s="1542">
        <f>'Powerhouse Adit Tunnel'!J33</f>
        <v>142.46400000000003</v>
      </c>
      <c r="E714" s="220"/>
      <c r="F714" s="220"/>
      <c r="G714" s="220"/>
      <c r="H714" s="1677"/>
      <c r="I714" s="1543">
        <f>I474</f>
        <v>350</v>
      </c>
      <c r="J714" s="1542">
        <f>I714*D714</f>
        <v>49862.400000000009</v>
      </c>
    </row>
    <row r="715" spans="1:10" ht="54">
      <c r="A715" s="1571" t="s">
        <v>2362</v>
      </c>
      <c r="B715" s="1778" t="s">
        <v>2735</v>
      </c>
      <c r="C715" s="1530"/>
      <c r="D715" s="1542"/>
      <c r="E715" s="220"/>
      <c r="F715" s="220"/>
      <c r="G715" s="220"/>
      <c r="H715" s="1677"/>
      <c r="I715" s="1543"/>
      <c r="J715" s="1542"/>
    </row>
    <row r="716" spans="1:10">
      <c r="A716" s="1554" t="s">
        <v>3011</v>
      </c>
      <c r="B716" s="669" t="s">
        <v>2221</v>
      </c>
      <c r="C716" s="1572" t="s">
        <v>21</v>
      </c>
      <c r="D716" s="1542">
        <f>'Powerhouse Adit Tunnel'!J34</f>
        <v>28.492800000000006</v>
      </c>
      <c r="E716" s="220"/>
      <c r="F716" s="220"/>
      <c r="G716" s="220"/>
      <c r="H716" s="1677"/>
      <c r="I716" s="1543">
        <f>I172</f>
        <v>16339.5</v>
      </c>
      <c r="J716" s="1542">
        <f>I716*D716</f>
        <v>465558.10560000013</v>
      </c>
    </row>
    <row r="717" spans="1:10">
      <c r="A717" s="1571" t="s">
        <v>2363</v>
      </c>
      <c r="B717" s="313" t="s">
        <v>1649</v>
      </c>
      <c r="C717" s="1530"/>
      <c r="D717" s="1542"/>
      <c r="E717" s="220"/>
      <c r="F717" s="220"/>
      <c r="G717" s="220"/>
      <c r="H717" s="1677"/>
      <c r="I717" s="1543"/>
      <c r="J717" s="1542"/>
    </row>
    <row r="718" spans="1:10" ht="54">
      <c r="A718" s="1554" t="s">
        <v>3012</v>
      </c>
      <c r="B718" s="1550" t="s">
        <v>1248</v>
      </c>
      <c r="C718" s="1530" t="s">
        <v>25</v>
      </c>
      <c r="D718" s="1542">
        <f>'Powerhouse Adit Tunnel'!J35</f>
        <v>2.2366848000000004</v>
      </c>
      <c r="E718" s="220"/>
      <c r="F718" s="220"/>
      <c r="G718" s="220"/>
      <c r="H718" s="1677"/>
      <c r="I718" s="1543">
        <f>I176</f>
        <v>166436.36363636362</v>
      </c>
      <c r="J718" s="1542">
        <f>I718*D718</f>
        <v>372265.68471272726</v>
      </c>
    </row>
    <row r="719" spans="1:10">
      <c r="A719" s="1571" t="s">
        <v>2364</v>
      </c>
      <c r="B719" s="1557" t="s">
        <v>1344</v>
      </c>
      <c r="C719" s="1530"/>
      <c r="D719" s="1542"/>
      <c r="E719" s="220"/>
      <c r="F719" s="220"/>
      <c r="G719" s="220"/>
      <c r="H719" s="1677"/>
      <c r="I719" s="1543"/>
      <c r="J719" s="1542"/>
    </row>
    <row r="720" spans="1:10" ht="36">
      <c r="A720" s="1554" t="s">
        <v>3013</v>
      </c>
      <c r="B720" s="669" t="s">
        <v>2395</v>
      </c>
      <c r="C720" s="1530" t="s">
        <v>19</v>
      </c>
      <c r="D720" s="1542">
        <v>10</v>
      </c>
      <c r="E720" s="220"/>
      <c r="F720" s="220"/>
      <c r="G720" s="220"/>
      <c r="H720" s="1677"/>
      <c r="I720" s="1543">
        <f>I188</f>
        <v>524</v>
      </c>
      <c r="J720" s="1542">
        <f>D720*I720</f>
        <v>5240</v>
      </c>
    </row>
    <row r="721" spans="1:76" ht="36">
      <c r="A721" s="1554" t="s">
        <v>3014</v>
      </c>
      <c r="B721" s="669" t="s">
        <v>2394</v>
      </c>
      <c r="C721" s="1530" t="s">
        <v>19</v>
      </c>
      <c r="D721" s="1542">
        <f>'Powerhouse Adit Tunnel'!J36</f>
        <v>56.136846842929742</v>
      </c>
      <c r="E721" s="220"/>
      <c r="F721" s="220"/>
      <c r="G721" s="220"/>
      <c r="H721" s="1677"/>
      <c r="I721" s="1543">
        <f>I189</f>
        <v>655</v>
      </c>
      <c r="J721" s="1542">
        <f>I721*D721</f>
        <v>36769.63468211898</v>
      </c>
    </row>
    <row r="722" spans="1:76">
      <c r="A722" s="1571" t="s">
        <v>2365</v>
      </c>
      <c r="B722" s="1557" t="s">
        <v>318</v>
      </c>
      <c r="C722" s="1530"/>
      <c r="D722" s="1542"/>
      <c r="E722" s="220"/>
      <c r="F722" s="220"/>
      <c r="G722" s="220"/>
      <c r="H722" s="1677"/>
      <c r="I722" s="1543"/>
      <c r="J722" s="1542"/>
    </row>
    <row r="723" spans="1:76" ht="54">
      <c r="A723" s="1554" t="s">
        <v>3015</v>
      </c>
      <c r="B723" s="669" t="s">
        <v>2892</v>
      </c>
      <c r="C723" s="1530" t="s">
        <v>25</v>
      </c>
      <c r="D723" s="1542">
        <f>'Powerhouse Adit Tunnel'!J32</f>
        <v>1.7211769079200154</v>
      </c>
      <c r="E723" s="220"/>
      <c r="F723" s="220"/>
      <c r="G723" s="220"/>
      <c r="H723" s="1677"/>
      <c r="I723" s="1543">
        <f>I183</f>
        <v>338528.5</v>
      </c>
      <c r="J723" s="1542">
        <f>I723*D723</f>
        <v>582667.43687280093</v>
      </c>
    </row>
    <row r="724" spans="1:76" ht="17.25" customHeight="1">
      <c r="A724" s="1528"/>
      <c r="B724" s="1557"/>
      <c r="C724" s="1563"/>
      <c r="D724" s="1688"/>
      <c r="E724" s="220"/>
      <c r="F724" s="1666" t="s">
        <v>1483</v>
      </c>
      <c r="G724" s="1695"/>
      <c r="H724" s="1678"/>
      <c r="I724" s="220"/>
      <c r="J724" s="1717">
        <f>SUM(J702:J723)</f>
        <v>13773016.132537264</v>
      </c>
    </row>
    <row r="725" spans="1:76" ht="18" customHeight="1">
      <c r="A725" s="1554"/>
      <c r="B725" s="669"/>
      <c r="C725" s="1530"/>
      <c r="D725" s="1686"/>
      <c r="E725" s="220"/>
      <c r="F725" s="1666" t="s">
        <v>1558</v>
      </c>
      <c r="G725" s="1695"/>
      <c r="H725" s="1677"/>
      <c r="I725" s="220"/>
      <c r="J725" s="1717">
        <f>J422+J438+J477+J499+J535+J549+J565+J588+J612+J628+J656+J683+J699+J724</f>
        <v>2086960518.4137156</v>
      </c>
    </row>
    <row r="726" spans="1:76" s="1654" customFormat="1" ht="17.25" customHeight="1">
      <c r="A726" s="1625"/>
      <c r="B726" s="2334" t="s">
        <v>2912</v>
      </c>
      <c r="C726" s="2334"/>
      <c r="D726" s="2334"/>
      <c r="E726" s="2334"/>
      <c r="F726" s="2334"/>
      <c r="G726" s="2334"/>
      <c r="H726" s="2335"/>
      <c r="I726" s="220"/>
      <c r="J726" s="220"/>
      <c r="K726" s="315"/>
      <c r="L726" s="315"/>
      <c r="M726" s="315"/>
      <c r="N726" s="315"/>
      <c r="O726" s="315"/>
      <c r="P726" s="315"/>
      <c r="Q726" s="315"/>
      <c r="R726" s="315"/>
      <c r="S726" s="315"/>
      <c r="T726" s="315"/>
      <c r="U726" s="315"/>
      <c r="V726" s="315"/>
      <c r="W726" s="315"/>
      <c r="X726" s="315"/>
      <c r="Y726" s="315"/>
      <c r="Z726" s="315"/>
      <c r="AA726" s="315"/>
      <c r="AB726" s="315"/>
      <c r="AC726" s="315"/>
      <c r="AD726" s="315"/>
      <c r="AE726" s="315"/>
      <c r="AF726" s="315"/>
      <c r="AG726" s="315"/>
      <c r="AH726" s="315"/>
      <c r="AI726" s="315"/>
      <c r="AJ726" s="315"/>
      <c r="AK726" s="315"/>
      <c r="AL726" s="315"/>
      <c r="AM726" s="315"/>
      <c r="AN726" s="315"/>
      <c r="AO726" s="315"/>
      <c r="AP726" s="315"/>
      <c r="AQ726" s="315"/>
      <c r="AR726" s="315"/>
      <c r="AS726" s="315"/>
      <c r="AT726" s="315"/>
      <c r="AU726" s="315"/>
      <c r="AV726" s="315"/>
      <c r="AW726" s="315"/>
      <c r="AX726" s="315"/>
      <c r="AY726" s="315"/>
      <c r="AZ726" s="315"/>
      <c r="BA726" s="315"/>
      <c r="BB726" s="315"/>
      <c r="BC726" s="315"/>
      <c r="BD726" s="315"/>
      <c r="BE726" s="315"/>
      <c r="BF726" s="315"/>
      <c r="BG726" s="315"/>
      <c r="BH726" s="315"/>
      <c r="BI726" s="315"/>
      <c r="BJ726" s="315"/>
      <c r="BK726" s="315"/>
      <c r="BL726" s="315"/>
      <c r="BM726" s="315"/>
      <c r="BN726" s="315"/>
      <c r="BO726" s="315"/>
      <c r="BP726" s="315"/>
      <c r="BQ726" s="315"/>
      <c r="BR726" s="315"/>
      <c r="BS726" s="315"/>
      <c r="BT726" s="315"/>
      <c r="BU726" s="315"/>
      <c r="BV726" s="315"/>
      <c r="BW726" s="315"/>
      <c r="BX726" s="315"/>
    </row>
    <row r="727" spans="1:76" s="315" customFormat="1">
      <c r="A727" s="1532" t="s">
        <v>2252</v>
      </c>
      <c r="B727" s="1533" t="s">
        <v>423</v>
      </c>
      <c r="C727" s="1534"/>
      <c r="D727" s="1736"/>
      <c r="E727" s="1535"/>
      <c r="F727" s="1536"/>
      <c r="G727" s="1536"/>
      <c r="H727" s="1668"/>
      <c r="I727" s="220"/>
      <c r="J727" s="220"/>
    </row>
    <row r="728" spans="1:76">
      <c r="A728" s="1660" t="s">
        <v>2307</v>
      </c>
      <c r="B728" s="1661" t="s">
        <v>18</v>
      </c>
      <c r="C728" s="1662"/>
      <c r="D728" s="1744"/>
      <c r="E728" s="1663"/>
      <c r="F728" s="1664"/>
      <c r="G728" s="220"/>
      <c r="H728" s="1679"/>
      <c r="I728" s="220"/>
      <c r="J728" s="1543"/>
    </row>
    <row r="729" spans="1:76" ht="72">
      <c r="A729" s="1554" t="s">
        <v>2308</v>
      </c>
      <c r="B729" s="1555" t="s">
        <v>2847</v>
      </c>
      <c r="C729" s="1576" t="s">
        <v>19</v>
      </c>
      <c r="D729" s="1542">
        <f>Powerhouse!J13</f>
        <v>2800</v>
      </c>
      <c r="E729" s="220"/>
      <c r="F729" s="220"/>
      <c r="G729" s="220"/>
      <c r="H729" s="1609"/>
      <c r="I729" s="1543">
        <f>I140</f>
        <v>40.5</v>
      </c>
      <c r="J729" s="1543">
        <f>ROUND(I729*D729,2)</f>
        <v>113400</v>
      </c>
    </row>
    <row r="730" spans="1:76" ht="72">
      <c r="A730" s="1528" t="s">
        <v>2309</v>
      </c>
      <c r="B730" s="1544" t="s">
        <v>2849</v>
      </c>
      <c r="C730" s="1576"/>
      <c r="D730" s="1542"/>
      <c r="E730" s="220"/>
      <c r="F730" s="220"/>
      <c r="G730" s="220"/>
      <c r="H730" s="1609"/>
      <c r="I730" s="1543"/>
      <c r="J730" s="1543"/>
    </row>
    <row r="731" spans="1:76">
      <c r="A731" s="1554" t="s">
        <v>2319</v>
      </c>
      <c r="B731" s="220" t="s">
        <v>1632</v>
      </c>
      <c r="C731" s="1530" t="s">
        <v>21</v>
      </c>
      <c r="D731" s="1542">
        <f>Powerhouse!J19</f>
        <v>7897.3120000000017</v>
      </c>
      <c r="E731" s="220"/>
      <c r="F731" s="220"/>
      <c r="G731" s="220"/>
      <c r="H731" s="1609"/>
      <c r="I731" s="1543">
        <f>I142</f>
        <v>351.34500000000003</v>
      </c>
      <c r="J731" s="1577">
        <f>I731*D731</f>
        <v>2774681.0846400009</v>
      </c>
    </row>
    <row r="732" spans="1:76">
      <c r="A732" s="1554" t="s">
        <v>2320</v>
      </c>
      <c r="B732" s="220" t="s">
        <v>1634</v>
      </c>
      <c r="C732" s="1530" t="s">
        <v>21</v>
      </c>
      <c r="D732" s="1542">
        <f>Powerhouse!J18</f>
        <v>11845.968000000001</v>
      </c>
      <c r="E732" s="220"/>
      <c r="F732" s="220"/>
      <c r="G732" s="220"/>
      <c r="H732" s="1677"/>
      <c r="I732" s="1543">
        <f>I143</f>
        <v>1375.6949999999999</v>
      </c>
      <c r="J732" s="1543">
        <f>ROUND(I732*D732,2)</f>
        <v>16296438.949999999</v>
      </c>
    </row>
    <row r="733" spans="1:76">
      <c r="A733" s="1528" t="s">
        <v>2310</v>
      </c>
      <c r="B733" s="313" t="s">
        <v>31</v>
      </c>
      <c r="C733" s="1530"/>
      <c r="D733" s="1542"/>
      <c r="E733" s="220"/>
      <c r="F733" s="220"/>
      <c r="G733" s="220"/>
      <c r="H733" s="1677"/>
      <c r="I733" s="1543"/>
      <c r="J733" s="1543"/>
    </row>
    <row r="734" spans="1:76" ht="54">
      <c r="A734" s="1554" t="s">
        <v>2318</v>
      </c>
      <c r="B734" s="1545" t="s">
        <v>2862</v>
      </c>
      <c r="C734" s="1530" t="s">
        <v>21</v>
      </c>
      <c r="D734" s="1542">
        <f>Powerhouse!J23</f>
        <v>3948.6560000000009</v>
      </c>
      <c r="E734" s="220"/>
      <c r="F734" s="220"/>
      <c r="G734" s="220"/>
      <c r="H734" s="1677"/>
      <c r="I734" s="1543">
        <f>I145</f>
        <v>216.5</v>
      </c>
      <c r="J734" s="1543">
        <f>ROUND(I734*D734,2)</f>
        <v>854884.02</v>
      </c>
    </row>
    <row r="735" spans="1:76" ht="54">
      <c r="A735" s="1528" t="s">
        <v>2311</v>
      </c>
      <c r="B735" s="1545" t="s">
        <v>2735</v>
      </c>
      <c r="C735" s="1530"/>
      <c r="D735" s="1542"/>
      <c r="E735" s="220"/>
      <c r="F735" s="220"/>
      <c r="G735" s="220"/>
      <c r="H735" s="1673"/>
      <c r="I735" s="1593"/>
      <c r="J735" s="1543"/>
    </row>
    <row r="736" spans="1:76">
      <c r="A736" s="1554" t="s">
        <v>2316</v>
      </c>
      <c r="B736" s="669" t="str">
        <f>Powerhouse!B25</f>
        <v xml:space="preserve">Concrete Blocks for 9" walls </v>
      </c>
      <c r="C736" s="1530" t="s">
        <v>21</v>
      </c>
      <c r="D736" s="1542">
        <f>Powerhouse!J25</f>
        <v>1053.0899999999999</v>
      </c>
      <c r="E736" s="220"/>
      <c r="F736" s="220"/>
      <c r="G736" s="220"/>
      <c r="H736" s="1673"/>
      <c r="I736" s="1577">
        <v>18375</v>
      </c>
      <c r="J736" s="1543">
        <f>ROUND(I736*D736,2)</f>
        <v>19350528.75</v>
      </c>
    </row>
    <row r="737" spans="1:10">
      <c r="A737" s="1554" t="s">
        <v>2317</v>
      </c>
      <c r="B737" s="1546" t="s">
        <v>1647</v>
      </c>
      <c r="C737" s="1530" t="s">
        <v>21</v>
      </c>
      <c r="D737" s="1542">
        <f>Powerhouse!J26</f>
        <v>61</v>
      </c>
      <c r="E737" s="220"/>
      <c r="F737" s="220"/>
      <c r="G737" s="220"/>
      <c r="H737" s="1673"/>
      <c r="I737" s="1577">
        <f>[45]Summary!$K$140</f>
        <v>25291.875</v>
      </c>
      <c r="J737" s="1543">
        <f>ROUND(I737*D737,2)</f>
        <v>1542804.38</v>
      </c>
    </row>
    <row r="738" spans="1:10">
      <c r="A738" s="1554" t="s">
        <v>3016</v>
      </c>
      <c r="B738" s="1546" t="s">
        <v>1645</v>
      </c>
      <c r="C738" s="1530" t="s">
        <v>21</v>
      </c>
      <c r="D738" s="1542">
        <f>Powerhouse!J27</f>
        <v>3925</v>
      </c>
      <c r="E738" s="220"/>
      <c r="F738" s="220"/>
      <c r="G738" s="220"/>
      <c r="H738" s="1673"/>
      <c r="I738" s="1577">
        <f>[45]Summary!$K$134</f>
        <v>18138</v>
      </c>
      <c r="J738" s="1543">
        <f>ROUND(I738*D738,2)</f>
        <v>71191650</v>
      </c>
    </row>
    <row r="739" spans="1:10">
      <c r="A739" s="1554" t="s">
        <v>3017</v>
      </c>
      <c r="B739" s="669" t="str">
        <f>Powerhouse!B28</f>
        <v>C15 Blinding Concrete</v>
      </c>
      <c r="C739" s="1530" t="s">
        <v>21</v>
      </c>
      <c r="D739" s="1542">
        <f>Powerhouse!J28</f>
        <v>92</v>
      </c>
      <c r="E739" s="220"/>
      <c r="F739" s="220"/>
      <c r="G739" s="220"/>
      <c r="H739" s="1677"/>
      <c r="I739" s="1577">
        <f>[45]Summary!$K$128</f>
        <v>13018</v>
      </c>
      <c r="J739" s="1577">
        <f>I739*D739</f>
        <v>1197656</v>
      </c>
    </row>
    <row r="740" spans="1:10">
      <c r="A740" s="1554" t="s">
        <v>3018</v>
      </c>
      <c r="B740" s="669" t="str">
        <f>Powerhouse!B29</f>
        <v>C15 plum concrete with 30% plum</v>
      </c>
      <c r="C740" s="1530" t="s">
        <v>21</v>
      </c>
      <c r="D740" s="1542">
        <f>Powerhouse!J29</f>
        <v>885</v>
      </c>
      <c r="E740" s="220"/>
      <c r="F740" s="220"/>
      <c r="G740" s="220"/>
      <c r="H740" s="1677"/>
      <c r="I740" s="1577">
        <f>[45]Summary!$K$144</f>
        <v>11390.5</v>
      </c>
      <c r="J740" s="1543">
        <f>ROUND(I740*D740,2)</f>
        <v>10080592.5</v>
      </c>
    </row>
    <row r="741" spans="1:10">
      <c r="A741" s="1528" t="s">
        <v>2312</v>
      </c>
      <c r="B741" s="313" t="s">
        <v>1649</v>
      </c>
      <c r="C741" s="1530"/>
      <c r="D741" s="1542"/>
      <c r="E741" s="220"/>
      <c r="F741" s="220"/>
      <c r="G741" s="220"/>
      <c r="H741" s="1677"/>
      <c r="I741" s="1577"/>
      <c r="J741" s="1543"/>
    </row>
    <row r="742" spans="1:10" ht="54">
      <c r="A742" s="1554" t="s">
        <v>2315</v>
      </c>
      <c r="B742" s="1550" t="s">
        <v>1248</v>
      </c>
      <c r="C742" s="1530" t="s">
        <v>322</v>
      </c>
      <c r="D742" s="1542">
        <f>Powerhouse!J33</f>
        <v>389.59550000000002</v>
      </c>
      <c r="E742" s="220"/>
      <c r="F742" s="220"/>
      <c r="G742" s="220"/>
      <c r="H742" s="1677"/>
      <c r="I742" s="1577">
        <f>I103</f>
        <v>153246.08695652176</v>
      </c>
      <c r="J742" s="1543">
        <f>ROUND(I742*D742,2)</f>
        <v>59703985.869999997</v>
      </c>
    </row>
    <row r="743" spans="1:10">
      <c r="A743" s="1528" t="s">
        <v>2313</v>
      </c>
      <c r="B743" s="1548" t="s">
        <v>309</v>
      </c>
      <c r="C743" s="1530"/>
      <c r="D743" s="1542"/>
      <c r="E743" s="220"/>
      <c r="F743" s="220"/>
      <c r="G743" s="220"/>
      <c r="H743" s="1677"/>
      <c r="I743" s="1577"/>
      <c r="J743" s="1543"/>
    </row>
    <row r="744" spans="1:10" ht="54">
      <c r="A744" s="1554" t="s">
        <v>2314</v>
      </c>
      <c r="B744" s="1549" t="s">
        <v>1249</v>
      </c>
      <c r="C744" s="1576" t="s">
        <v>19</v>
      </c>
      <c r="D744" s="1542">
        <f>Powerhouse!J37</f>
        <v>5129</v>
      </c>
      <c r="E744" s="220"/>
      <c r="F744" s="220"/>
      <c r="G744" s="220"/>
      <c r="H744" s="1677"/>
      <c r="I744" s="1543">
        <f>I101</f>
        <v>1226.1157142857141</v>
      </c>
      <c r="J744" s="1543">
        <f t="shared" ref="J744:J749" si="18">ROUND(I744*D744,2)</f>
        <v>6288747.5</v>
      </c>
    </row>
    <row r="745" spans="1:10">
      <c r="A745" s="1528" t="s">
        <v>3019</v>
      </c>
      <c r="B745" s="1548" t="s">
        <v>1250</v>
      </c>
      <c r="C745" s="66"/>
      <c r="D745" s="1542"/>
      <c r="E745" s="220"/>
      <c r="F745" s="220"/>
      <c r="G745" s="220"/>
      <c r="H745" s="1677"/>
      <c r="I745" s="1543"/>
      <c r="J745" s="1543">
        <f t="shared" si="18"/>
        <v>0</v>
      </c>
    </row>
    <row r="746" spans="1:10" ht="36">
      <c r="A746" s="1554" t="s">
        <v>3020</v>
      </c>
      <c r="B746" s="669" t="s">
        <v>2381</v>
      </c>
      <c r="C746" s="1530" t="s">
        <v>322</v>
      </c>
      <c r="D746" s="1542">
        <f>Powerhouse!J39</f>
        <v>33</v>
      </c>
      <c r="E746" s="220"/>
      <c r="F746" s="220"/>
      <c r="G746" s="220"/>
      <c r="H746" s="1677"/>
      <c r="I746" s="1543">
        <v>132758</v>
      </c>
      <c r="J746" s="1543">
        <f t="shared" si="18"/>
        <v>4381014</v>
      </c>
    </row>
    <row r="747" spans="1:10">
      <c r="A747" s="1554" t="s">
        <v>3021</v>
      </c>
      <c r="B747" s="1550" t="s">
        <v>1975</v>
      </c>
      <c r="C747" s="1576" t="s">
        <v>19</v>
      </c>
      <c r="D747" s="1542">
        <f>Powerhouse!J40</f>
        <v>1263</v>
      </c>
      <c r="E747" s="220"/>
      <c r="F747" s="220"/>
      <c r="G747" s="220"/>
      <c r="H747" s="1677"/>
      <c r="I747" s="1543">
        <v>1887</v>
      </c>
      <c r="J747" s="1543">
        <f t="shared" si="18"/>
        <v>2383281</v>
      </c>
    </row>
    <row r="748" spans="1:10">
      <c r="A748" s="1554" t="s">
        <v>3022</v>
      </c>
      <c r="B748" s="669" t="str">
        <f>Powerhouse!B41</f>
        <v>CGI sheet for ridging</v>
      </c>
      <c r="C748" s="1576" t="s">
        <v>19</v>
      </c>
      <c r="D748" s="1542">
        <f>Powerhouse!J41</f>
        <v>60</v>
      </c>
      <c r="E748" s="220"/>
      <c r="F748" s="220"/>
      <c r="G748" s="220"/>
      <c r="H748" s="1677"/>
      <c r="I748" s="1543">
        <v>1887</v>
      </c>
      <c r="J748" s="1543">
        <f t="shared" si="18"/>
        <v>113220</v>
      </c>
    </row>
    <row r="749" spans="1:10">
      <c r="A749" s="1554" t="s">
        <v>3023</v>
      </c>
      <c r="B749" s="669" t="str">
        <f>Powerhouse!B42</f>
        <v>Gutter around roof</v>
      </c>
      <c r="C749" s="1576" t="s">
        <v>19</v>
      </c>
      <c r="D749" s="1542">
        <f>Powerhouse!J42</f>
        <v>152.27000000000001</v>
      </c>
      <c r="E749" s="220"/>
      <c r="F749" s="220"/>
      <c r="G749" s="220"/>
      <c r="H749" s="1677"/>
      <c r="I749" s="1543">
        <v>482</v>
      </c>
      <c r="J749" s="1543">
        <f t="shared" si="18"/>
        <v>73394.14</v>
      </c>
    </row>
    <row r="750" spans="1:10">
      <c r="A750" s="1528" t="s">
        <v>3024</v>
      </c>
      <c r="B750" s="1557" t="s">
        <v>2850</v>
      </c>
      <c r="C750" s="1576"/>
      <c r="D750" s="1542"/>
      <c r="E750" s="220"/>
      <c r="F750" s="220"/>
      <c r="G750" s="220"/>
      <c r="H750" s="1677"/>
      <c r="I750" s="1543"/>
      <c r="J750" s="1543"/>
    </row>
    <row r="751" spans="1:10" ht="36">
      <c r="A751" s="508"/>
      <c r="B751" s="1594" t="s">
        <v>2384</v>
      </c>
      <c r="C751" s="1576" t="s">
        <v>19</v>
      </c>
      <c r="D751" s="1542">
        <f>Powerhouse!J43</f>
        <v>1454</v>
      </c>
      <c r="E751" s="220"/>
      <c r="F751" s="220"/>
      <c r="G751" s="220"/>
      <c r="H751" s="1677"/>
      <c r="I751" s="1543">
        <v>482</v>
      </c>
      <c r="J751" s="1543">
        <f>ROUND(I751*D751,2)</f>
        <v>700828</v>
      </c>
    </row>
    <row r="752" spans="1:10">
      <c r="A752" s="1528" t="s">
        <v>3025</v>
      </c>
      <c r="B752" s="1557" t="s">
        <v>2385</v>
      </c>
      <c r="C752" s="1576" t="s">
        <v>19</v>
      </c>
      <c r="D752" s="1542">
        <f>Powerhouse!J44</f>
        <v>549</v>
      </c>
      <c r="E752" s="220"/>
      <c r="F752" s="220"/>
      <c r="G752" s="220"/>
      <c r="H752" s="1677"/>
      <c r="I752" s="1543">
        <v>482</v>
      </c>
      <c r="J752" s="1543">
        <f>ROUND(I752*D752,2)</f>
        <v>264618</v>
      </c>
    </row>
    <row r="753" spans="1:10" ht="54">
      <c r="A753" s="1528" t="s">
        <v>3026</v>
      </c>
      <c r="B753" s="1557" t="s">
        <v>2380</v>
      </c>
      <c r="C753" s="1530" t="s">
        <v>19</v>
      </c>
      <c r="D753" s="1542">
        <f>Powerhouse!J45</f>
        <v>124</v>
      </c>
      <c r="E753" s="220"/>
      <c r="F753" s="220"/>
      <c r="G753" s="220"/>
      <c r="H753" s="1677"/>
      <c r="I753" s="1543">
        <v>201083.5</v>
      </c>
      <c r="J753" s="1577">
        <f>I753*D753</f>
        <v>24934354</v>
      </c>
    </row>
    <row r="754" spans="1:10">
      <c r="A754" s="1528" t="s">
        <v>3027</v>
      </c>
      <c r="B754" s="1557" t="str">
        <f>Powerhouse!B46</f>
        <v>Fixed Glaze with 3mm thick Shutter</v>
      </c>
      <c r="C754" s="1576" t="s">
        <v>19</v>
      </c>
      <c r="D754" s="1542">
        <f>Powerhouse!J46</f>
        <v>540</v>
      </c>
      <c r="E754" s="220"/>
      <c r="F754" s="220"/>
      <c r="G754" s="220"/>
      <c r="H754" s="1677"/>
      <c r="I754" s="1543">
        <v>3166.5</v>
      </c>
      <c r="J754" s="1543">
        <f>ROUND(I754*D754,2)</f>
        <v>1709910</v>
      </c>
    </row>
    <row r="755" spans="1:10">
      <c r="A755" s="1528" t="s">
        <v>3028</v>
      </c>
      <c r="B755" s="1557" t="str">
        <f>Powerhouse!B47</f>
        <v>Painting</v>
      </c>
      <c r="C755" s="1576"/>
      <c r="D755" s="1542"/>
      <c r="E755" s="220"/>
      <c r="F755" s="220"/>
      <c r="G755" s="220"/>
      <c r="H755" s="1677"/>
      <c r="I755" s="220"/>
      <c r="J755" s="1543">
        <f>ROUND(I756*D755,2)</f>
        <v>0</v>
      </c>
    </row>
    <row r="756" spans="1:10" ht="61.5" customHeight="1">
      <c r="A756" s="1554" t="s">
        <v>3029</v>
      </c>
      <c r="B756" s="669" t="s">
        <v>2382</v>
      </c>
      <c r="C756" s="1576" t="s">
        <v>19</v>
      </c>
      <c r="D756" s="1542">
        <f>Powerhouse!J47</f>
        <v>1454</v>
      </c>
      <c r="E756" s="220"/>
      <c r="F756" s="220"/>
      <c r="G756" s="220"/>
      <c r="H756" s="1677"/>
      <c r="I756" s="1543">
        <v>611.5</v>
      </c>
      <c r="J756" s="1543">
        <f>D756*I756</f>
        <v>889121</v>
      </c>
    </row>
    <row r="757" spans="1:10" ht="54">
      <c r="A757" s="1554" t="s">
        <v>3030</v>
      </c>
      <c r="B757" s="669" t="s">
        <v>2383</v>
      </c>
      <c r="C757" s="1576" t="s">
        <v>19</v>
      </c>
      <c r="D757" s="1542">
        <f>Powerhouse!J47</f>
        <v>1454</v>
      </c>
      <c r="E757" s="220"/>
      <c r="F757" s="220"/>
      <c r="G757" s="220"/>
      <c r="H757" s="1677"/>
      <c r="I757" s="1543">
        <v>611.5</v>
      </c>
      <c r="J757" s="1543">
        <f>D757*I757</f>
        <v>889121</v>
      </c>
    </row>
    <row r="758" spans="1:10">
      <c r="A758" s="1528" t="s">
        <v>3031</v>
      </c>
      <c r="B758" s="1557" t="s">
        <v>2103</v>
      </c>
      <c r="C758" s="1530" t="s">
        <v>27</v>
      </c>
      <c r="D758" s="1542">
        <f>Powerhouse!J48</f>
        <v>203.6</v>
      </c>
      <c r="E758" s="220"/>
      <c r="F758" s="220"/>
      <c r="G758" s="220"/>
      <c r="H758" s="1677"/>
      <c r="I758" s="1543">
        <v>714</v>
      </c>
      <c r="J758" s="1543">
        <f>ROUND(I758*D758,2)</f>
        <v>145370.4</v>
      </c>
    </row>
    <row r="759" spans="1:10">
      <c r="A759" s="1528" t="s">
        <v>3032</v>
      </c>
      <c r="B759" s="313" t="s">
        <v>1929</v>
      </c>
      <c r="C759" s="1530"/>
      <c r="D759" s="1542"/>
      <c r="E759" s="220"/>
      <c r="F759" s="220"/>
      <c r="G759" s="220"/>
      <c r="H759" s="1677"/>
      <c r="I759" s="1543"/>
      <c r="J759" s="1543"/>
    </row>
    <row r="760" spans="1:10" ht="54">
      <c r="A760" s="1554" t="s">
        <v>3033</v>
      </c>
      <c r="B760" s="1550" t="s">
        <v>2874</v>
      </c>
      <c r="C760" s="1530" t="s">
        <v>311</v>
      </c>
      <c r="D760" s="1542">
        <f>Powerhouse!J51</f>
        <v>545</v>
      </c>
      <c r="E760" s="220"/>
      <c r="F760" s="220"/>
      <c r="G760" s="220"/>
      <c r="H760" s="1677"/>
      <c r="I760" s="1543">
        <f>[45]Summary!$K$243</f>
        <v>4779</v>
      </c>
      <c r="J760" s="1543">
        <f>ROUND(I760*D760,2)</f>
        <v>2604555</v>
      </c>
    </row>
    <row r="761" spans="1:10">
      <c r="A761" s="1528" t="s">
        <v>3034</v>
      </c>
      <c r="B761" s="313" t="s">
        <v>1872</v>
      </c>
      <c r="C761" s="1530"/>
      <c r="D761" s="1542"/>
      <c r="E761" s="220"/>
      <c r="F761" s="220"/>
      <c r="G761" s="220"/>
      <c r="H761" s="1677"/>
      <c r="I761" s="1543"/>
      <c r="J761" s="1543"/>
    </row>
    <row r="762" spans="1:10" ht="54">
      <c r="A762" s="1554" t="s">
        <v>3035</v>
      </c>
      <c r="B762" s="1550" t="s">
        <v>1862</v>
      </c>
      <c r="C762" s="1576" t="s">
        <v>19</v>
      </c>
      <c r="D762" s="1542">
        <f>Powerhouse!J54</f>
        <v>2275</v>
      </c>
      <c r="E762" s="220"/>
      <c r="F762" s="220"/>
      <c r="G762" s="220"/>
      <c r="H762" s="1677"/>
      <c r="I762" s="1543">
        <f>I447</f>
        <v>5767.1</v>
      </c>
      <c r="J762" s="1543">
        <f>ROUND(I762*D762,2)</f>
        <v>13120152.5</v>
      </c>
    </row>
    <row r="763" spans="1:10">
      <c r="A763" s="1528" t="s">
        <v>3036</v>
      </c>
      <c r="B763" s="1557" t="s">
        <v>1518</v>
      </c>
      <c r="C763" s="1576"/>
      <c r="D763" s="1542"/>
      <c r="E763" s="220"/>
      <c r="F763" s="220"/>
      <c r="G763" s="220"/>
      <c r="H763" s="1677"/>
      <c r="I763" s="1543"/>
      <c r="J763" s="1543"/>
    </row>
    <row r="764" spans="1:10" ht="36">
      <c r="A764" s="1554" t="s">
        <v>3037</v>
      </c>
      <c r="B764" s="669" t="s">
        <v>2744</v>
      </c>
      <c r="C764" s="1576" t="s">
        <v>19</v>
      </c>
      <c r="D764" s="1542">
        <f>Powerhouse!J55</f>
        <v>2275</v>
      </c>
      <c r="E764" s="220"/>
      <c r="F764" s="220"/>
      <c r="G764" s="220"/>
      <c r="H764" s="1677"/>
      <c r="I764" s="1543">
        <f>I436</f>
        <v>655</v>
      </c>
      <c r="J764" s="1543">
        <f>ROUND(I764*D764,2)</f>
        <v>1490125</v>
      </c>
    </row>
    <row r="765" spans="1:10" ht="36">
      <c r="A765" s="1554" t="s">
        <v>3038</v>
      </c>
      <c r="B765" s="669" t="s">
        <v>2743</v>
      </c>
      <c r="C765" s="1576" t="s">
        <v>19</v>
      </c>
      <c r="D765" s="1542">
        <v>10</v>
      </c>
      <c r="E765" s="220"/>
      <c r="F765" s="220"/>
      <c r="G765" s="220"/>
      <c r="H765" s="1677"/>
      <c r="I765" s="1543">
        <f>I435</f>
        <v>524</v>
      </c>
      <c r="J765" s="1543">
        <f>D765*I765</f>
        <v>5240</v>
      </c>
    </row>
    <row r="766" spans="1:10" ht="54">
      <c r="A766" s="1528" t="s">
        <v>3039</v>
      </c>
      <c r="B766" s="1578" t="s">
        <v>2742</v>
      </c>
      <c r="C766" s="1576"/>
      <c r="D766" s="1542"/>
      <c r="E766" s="220"/>
      <c r="F766" s="220"/>
      <c r="G766" s="220"/>
      <c r="H766" s="1677"/>
      <c r="I766" s="1543"/>
      <c r="J766" s="1543"/>
    </row>
    <row r="767" spans="1:10">
      <c r="A767" s="1554" t="s">
        <v>3040</v>
      </c>
      <c r="B767" s="1579" t="s">
        <v>2397</v>
      </c>
      <c r="C767" s="1530" t="s">
        <v>322</v>
      </c>
      <c r="D767" s="1542">
        <f>Powerhouse!J57</f>
        <v>10</v>
      </c>
      <c r="E767" s="220"/>
      <c r="F767" s="220"/>
      <c r="G767" s="220"/>
      <c r="H767" s="1677"/>
      <c r="I767" s="1543">
        <f>I319</f>
        <v>54500</v>
      </c>
      <c r="J767" s="1543">
        <f>ROUND(I767*D767,2)</f>
        <v>545000</v>
      </c>
    </row>
    <row r="768" spans="1:10">
      <c r="A768" s="1554" t="s">
        <v>3041</v>
      </c>
      <c r="B768" s="669" t="s">
        <v>2399</v>
      </c>
      <c r="C768" s="1530" t="s">
        <v>47</v>
      </c>
      <c r="D768" s="1542">
        <v>100</v>
      </c>
      <c r="E768" s="220"/>
      <c r="F768" s="220"/>
      <c r="G768" s="220"/>
      <c r="H768" s="1677"/>
      <c r="I768" s="1543">
        <f>I112</f>
        <v>272.5</v>
      </c>
      <c r="J768" s="1543">
        <f t="shared" ref="J768:J769" si="19">ROUND(I768*D768,2)</f>
        <v>27250</v>
      </c>
    </row>
    <row r="769" spans="1:10">
      <c r="A769" s="1554" t="s">
        <v>3042</v>
      </c>
      <c r="B769" s="669" t="s">
        <v>1902</v>
      </c>
      <c r="C769" s="1530" t="s">
        <v>27</v>
      </c>
      <c r="D769" s="1542">
        <v>50</v>
      </c>
      <c r="E769" s="220"/>
      <c r="F769" s="220"/>
      <c r="G769" s="220"/>
      <c r="H769" s="1677"/>
      <c r="I769" s="1543">
        <f>I322</f>
        <v>11600.82</v>
      </c>
      <c r="J769" s="1543">
        <f t="shared" si="19"/>
        <v>580041</v>
      </c>
    </row>
    <row r="770" spans="1:10" ht="17.25" customHeight="1">
      <c r="A770" s="1528"/>
      <c r="B770" s="1557"/>
      <c r="C770" s="1563"/>
      <c r="D770" s="1688"/>
      <c r="E770" s="220"/>
      <c r="F770" s="1666" t="s">
        <v>1483</v>
      </c>
      <c r="G770" s="1695"/>
      <c r="H770" s="1678"/>
      <c r="I770" s="220"/>
      <c r="J770" s="1717">
        <f>SUM(J729:J769)</f>
        <v>244251964.09463999</v>
      </c>
    </row>
    <row r="771" spans="1:10">
      <c r="A771" s="1532" t="s">
        <v>2253</v>
      </c>
      <c r="B771" s="1533" t="s">
        <v>841</v>
      </c>
      <c r="C771" s="1551"/>
      <c r="D771" s="1738"/>
      <c r="E771" s="1698"/>
      <c r="F771" s="1536"/>
      <c r="G771" s="1698"/>
      <c r="H771" s="1668"/>
      <c r="I771" s="1542"/>
      <c r="J771" s="1543"/>
    </row>
    <row r="772" spans="1:10">
      <c r="A772" s="1528" t="s">
        <v>2264</v>
      </c>
      <c r="B772" s="1548" t="s">
        <v>18</v>
      </c>
      <c r="C772" s="1530"/>
      <c r="D772" s="1686"/>
      <c r="E772" s="220"/>
      <c r="F772" s="1587"/>
      <c r="G772" s="220"/>
      <c r="H772" s="1796"/>
      <c r="I772" s="1542"/>
      <c r="J772" s="1543"/>
    </row>
    <row r="773" spans="1:10" ht="72">
      <c r="A773" s="1554" t="s">
        <v>2265</v>
      </c>
      <c r="B773" s="1555" t="s">
        <v>2847</v>
      </c>
      <c r="C773" s="1576" t="s">
        <v>19</v>
      </c>
      <c r="D773" s="1542">
        <f>'Switchyard '!J13</f>
        <v>1500</v>
      </c>
      <c r="E773" s="220"/>
      <c r="F773" s="220"/>
      <c r="G773" s="220"/>
      <c r="H773" s="1609"/>
      <c r="I773" s="1543">
        <f>I294</f>
        <v>40.5</v>
      </c>
      <c r="J773" s="1543">
        <f>ROUND(I773*D773,2)</f>
        <v>60750</v>
      </c>
    </row>
    <row r="774" spans="1:10" ht="72">
      <c r="A774" s="1528" t="s">
        <v>2266</v>
      </c>
      <c r="B774" s="1544" t="s">
        <v>2849</v>
      </c>
      <c r="C774" s="1576"/>
      <c r="D774" s="1542"/>
      <c r="E774" s="220"/>
      <c r="F774" s="220"/>
      <c r="G774" s="220"/>
      <c r="H774" s="1609"/>
      <c r="I774" s="1543"/>
      <c r="J774" s="1543"/>
    </row>
    <row r="775" spans="1:10">
      <c r="A775" s="1554" t="s">
        <v>2270</v>
      </c>
      <c r="B775" s="220" t="s">
        <v>1632</v>
      </c>
      <c r="C775" s="1530" t="s">
        <v>21</v>
      </c>
      <c r="D775" s="1542">
        <f>'Switchyard '!J18</f>
        <v>3729.6000000000004</v>
      </c>
      <c r="E775" s="220"/>
      <c r="F775" s="220"/>
      <c r="G775" s="220"/>
      <c r="H775" s="1609"/>
      <c r="I775" s="1543">
        <f>I296</f>
        <v>351.34500000000003</v>
      </c>
      <c r="J775" s="1543">
        <f>ROUND(I775*D775,2)</f>
        <v>1310376.31</v>
      </c>
    </row>
    <row r="776" spans="1:10">
      <c r="A776" s="1554" t="s">
        <v>3043</v>
      </c>
      <c r="B776" s="220" t="s">
        <v>1634</v>
      </c>
      <c r="C776" s="1530" t="s">
        <v>21</v>
      </c>
      <c r="D776" s="1542">
        <f>'Switchyard '!J17</f>
        <v>932.40000000000009</v>
      </c>
      <c r="E776" s="220"/>
      <c r="F776" s="220"/>
      <c r="G776" s="220"/>
      <c r="H776" s="1677"/>
      <c r="I776" s="1543">
        <f>I297</f>
        <v>1375.6949999999999</v>
      </c>
      <c r="J776" s="1577">
        <f>I776*D776</f>
        <v>1282698.0180000002</v>
      </c>
    </row>
    <row r="777" spans="1:10">
      <c r="A777" s="1528" t="s">
        <v>2267</v>
      </c>
      <c r="B777" s="313" t="s">
        <v>31</v>
      </c>
      <c r="C777" s="1530"/>
      <c r="D777" s="1542"/>
      <c r="E777" s="220"/>
      <c r="F777" s="220"/>
      <c r="G777" s="220"/>
      <c r="H777" s="1677"/>
      <c r="I777" s="1543"/>
      <c r="J777" s="1577"/>
    </row>
    <row r="778" spans="1:10" ht="54">
      <c r="A778" s="1554" t="s">
        <v>2271</v>
      </c>
      <c r="B778" s="1545" t="s">
        <v>2862</v>
      </c>
      <c r="C778" s="1530" t="s">
        <v>21</v>
      </c>
      <c r="D778" s="1542">
        <f>'Switchyard '!J21</f>
        <v>1398.6</v>
      </c>
      <c r="E778" s="220"/>
      <c r="F778" s="220"/>
      <c r="G778" s="220"/>
      <c r="H778" s="1677"/>
      <c r="I778" s="1543">
        <f>I299</f>
        <v>216.5</v>
      </c>
      <c r="J778" s="1543">
        <f>ROUND(I778*D778,2)</f>
        <v>302796.90000000002</v>
      </c>
    </row>
    <row r="779" spans="1:10" ht="54">
      <c r="A779" s="1528" t="s">
        <v>2268</v>
      </c>
      <c r="B779" s="1545" t="s">
        <v>2735</v>
      </c>
      <c r="C779" s="1530"/>
      <c r="D779" s="1542"/>
      <c r="E779" s="220"/>
      <c r="F779" s="220"/>
      <c r="G779" s="220"/>
      <c r="H779" s="1677"/>
      <c r="I779" s="1543"/>
      <c r="J779" s="1543"/>
    </row>
    <row r="780" spans="1:10">
      <c r="A780" s="1554" t="s">
        <v>2272</v>
      </c>
      <c r="B780" s="669" t="str">
        <f>'Switchyard '!B54</f>
        <v>75mm C15 Blinding Concrete</v>
      </c>
      <c r="C780" s="1530" t="s">
        <v>21</v>
      </c>
      <c r="D780" s="1542">
        <f>'Switchyard '!J56</f>
        <v>75</v>
      </c>
      <c r="E780" s="220"/>
      <c r="F780" s="220"/>
      <c r="G780" s="220"/>
      <c r="H780" s="1673"/>
      <c r="I780" s="1577">
        <f>I303</f>
        <v>13018</v>
      </c>
      <c r="J780" s="1543">
        <f>ROUND(I780*D780,2)</f>
        <v>976350</v>
      </c>
    </row>
    <row r="781" spans="1:10">
      <c r="A781" s="1554" t="s">
        <v>3044</v>
      </c>
      <c r="B781" s="1546" t="s">
        <v>1645</v>
      </c>
      <c r="C781" s="1530" t="s">
        <v>21</v>
      </c>
      <c r="D781" s="1542">
        <f>'Switchyard '!J49</f>
        <v>724.74733125</v>
      </c>
      <c r="E781" s="220"/>
      <c r="F781" s="220"/>
      <c r="G781" s="220"/>
      <c r="H781" s="1673"/>
      <c r="I781" s="1593">
        <f>I304</f>
        <v>18138</v>
      </c>
      <c r="J781" s="1543">
        <f>ROUND(I781*D781,2)</f>
        <v>13145467.09</v>
      </c>
    </row>
    <row r="782" spans="1:10">
      <c r="A782" s="1528" t="s">
        <v>2269</v>
      </c>
      <c r="B782" s="313" t="s">
        <v>1649</v>
      </c>
      <c r="C782" s="1530"/>
      <c r="D782" s="1542"/>
      <c r="E782" s="220"/>
      <c r="F782" s="220"/>
      <c r="G782" s="220"/>
      <c r="H782" s="1673"/>
      <c r="I782" s="1593"/>
      <c r="J782" s="1543"/>
    </row>
    <row r="783" spans="1:10" ht="54">
      <c r="A783" s="1554" t="s">
        <v>2273</v>
      </c>
      <c r="B783" s="1550" t="s">
        <v>1248</v>
      </c>
      <c r="C783" s="1530" t="s">
        <v>322</v>
      </c>
      <c r="D783" s="1542">
        <f>'Switchyard '!J53</f>
        <v>39.489999999999995</v>
      </c>
      <c r="E783" s="220"/>
      <c r="F783" s="220"/>
      <c r="G783" s="220"/>
      <c r="H783" s="1673"/>
      <c r="I783" s="1577">
        <f>I313</f>
        <v>153246.08695652176</v>
      </c>
      <c r="J783" s="1543">
        <f>ROUND(I783*D783,2)</f>
        <v>6051687.9699999997</v>
      </c>
    </row>
    <row r="784" spans="1:10">
      <c r="A784" s="1528" t="s">
        <v>3045</v>
      </c>
      <c r="B784" s="1548" t="s">
        <v>309</v>
      </c>
      <c r="C784" s="1530"/>
      <c r="D784" s="1542"/>
      <c r="E784" s="220"/>
      <c r="F784" s="220"/>
      <c r="G784" s="220"/>
      <c r="H784" s="1673"/>
      <c r="I784" s="1577"/>
      <c r="J784" s="1543"/>
    </row>
    <row r="785" spans="1:10" ht="54">
      <c r="A785" s="1554" t="s">
        <v>3046</v>
      </c>
      <c r="B785" s="1549" t="s">
        <v>2038</v>
      </c>
      <c r="C785" s="1576" t="s">
        <v>19</v>
      </c>
      <c r="D785" s="1542">
        <f>'Switchyard '!J110</f>
        <v>2527.6600775333336</v>
      </c>
      <c r="E785" s="220"/>
      <c r="F785" s="220"/>
      <c r="G785" s="220"/>
      <c r="H785" s="1673"/>
      <c r="I785" s="1577">
        <f>I301</f>
        <v>1226.1157142857141</v>
      </c>
      <c r="J785" s="1543">
        <f>ROUND(I785*D785,2)</f>
        <v>3099203.74</v>
      </c>
    </row>
    <row r="786" spans="1:10" ht="17.25" customHeight="1">
      <c r="A786" s="1528"/>
      <c r="B786" s="1557"/>
      <c r="C786" s="1581"/>
      <c r="D786" s="1741"/>
      <c r="E786" s="1612"/>
      <c r="F786" s="1666" t="s">
        <v>1483</v>
      </c>
      <c r="G786" s="1691"/>
      <c r="H786" s="1678"/>
      <c r="I786" s="1612"/>
      <c r="J786" s="1717">
        <f>SUM(J773:J785)</f>
        <v>26229330.027999997</v>
      </c>
    </row>
    <row r="787" spans="1:10">
      <c r="A787" s="1532" t="s">
        <v>2254</v>
      </c>
      <c r="B787" s="1533" t="s">
        <v>1319</v>
      </c>
      <c r="C787" s="1551"/>
      <c r="D787" s="1738"/>
      <c r="E787" s="1698"/>
      <c r="F787" s="1536"/>
      <c r="G787" s="1698"/>
      <c r="H787" s="1668"/>
      <c r="I787" s="1542"/>
      <c r="J787" s="1543"/>
    </row>
    <row r="788" spans="1:10">
      <c r="A788" s="1528" t="s">
        <v>2255</v>
      </c>
      <c r="B788" s="313" t="s">
        <v>31</v>
      </c>
      <c r="C788" s="1530" t="s">
        <v>21</v>
      </c>
      <c r="D788" s="1542"/>
      <c r="E788" s="220"/>
      <c r="F788" s="220"/>
      <c r="G788" s="220"/>
      <c r="H788" s="1677"/>
      <c r="I788" s="1543"/>
      <c r="J788" s="1543"/>
    </row>
    <row r="789" spans="1:10" ht="54">
      <c r="A789" s="1554" t="s">
        <v>2256</v>
      </c>
      <c r="B789" s="1545" t="s">
        <v>2862</v>
      </c>
      <c r="C789" s="1530" t="s">
        <v>21</v>
      </c>
      <c r="D789" s="1542">
        <f>'Tailrace Culvert'!J15</f>
        <v>624.75</v>
      </c>
      <c r="E789" s="220"/>
      <c r="F789" s="220"/>
      <c r="G789" s="220"/>
      <c r="H789" s="1677"/>
      <c r="I789" s="1543">
        <f>I299</f>
        <v>216.5</v>
      </c>
      <c r="J789" s="1543">
        <f>ROUND(I789*D789,2)</f>
        <v>135258.38</v>
      </c>
    </row>
    <row r="790" spans="1:10">
      <c r="A790" s="1528" t="s">
        <v>2257</v>
      </c>
      <c r="B790" s="1548" t="s">
        <v>309</v>
      </c>
      <c r="C790" s="1576" t="s">
        <v>19</v>
      </c>
      <c r="D790" s="1542"/>
      <c r="E790" s="220"/>
      <c r="F790" s="220"/>
      <c r="G790" s="220"/>
      <c r="H790" s="1673"/>
      <c r="I790" s="1593"/>
      <c r="J790" s="1543"/>
    </row>
    <row r="791" spans="1:10" ht="54">
      <c r="A791" s="1554" t="s">
        <v>2261</v>
      </c>
      <c r="B791" s="1549" t="s">
        <v>2038</v>
      </c>
      <c r="C791" s="1576" t="s">
        <v>19</v>
      </c>
      <c r="D791" s="1542">
        <f>'Tailrace Culvert'!J21</f>
        <v>1122</v>
      </c>
      <c r="E791" s="220"/>
      <c r="F791" s="220"/>
      <c r="G791" s="220"/>
      <c r="H791" s="1673"/>
      <c r="I791" s="1564">
        <f>I301</f>
        <v>1226.1157142857141</v>
      </c>
      <c r="J791" s="1543">
        <f>ROUND(I791*D791,2)</f>
        <v>1375701.83</v>
      </c>
    </row>
    <row r="792" spans="1:10" ht="54">
      <c r="A792" s="1528" t="s">
        <v>2258</v>
      </c>
      <c r="B792" s="1545" t="s">
        <v>2735</v>
      </c>
      <c r="C792" s="1576"/>
      <c r="D792" s="1542"/>
      <c r="E792" s="220"/>
      <c r="F792" s="220"/>
      <c r="G792" s="220"/>
      <c r="H792" s="1673"/>
      <c r="I792" s="1593"/>
      <c r="J792" s="1543"/>
    </row>
    <row r="793" spans="1:10">
      <c r="A793" s="1554" t="s">
        <v>3047</v>
      </c>
      <c r="B793" s="669" t="s">
        <v>2946</v>
      </c>
      <c r="C793" s="1530" t="s">
        <v>21</v>
      </c>
      <c r="D793" s="1542">
        <f>'Tailrace Culvert'!J25</f>
        <v>30</v>
      </c>
      <c r="E793" s="220"/>
      <c r="F793" s="220"/>
      <c r="G793" s="220"/>
      <c r="H793" s="1673"/>
      <c r="I793" s="1577">
        <f>I303</f>
        <v>13018</v>
      </c>
      <c r="J793" s="1577">
        <f>I793*D793</f>
        <v>390540</v>
      </c>
    </row>
    <row r="794" spans="1:10">
      <c r="A794" s="1554" t="s">
        <v>3048</v>
      </c>
      <c r="B794" s="1546" t="s">
        <v>1645</v>
      </c>
      <c r="C794" s="1530" t="s">
        <v>21</v>
      </c>
      <c r="D794" s="1542">
        <f>'Tailrace Culvert'!J31</f>
        <v>667.77600000000007</v>
      </c>
      <c r="E794" s="220"/>
      <c r="F794" s="220"/>
      <c r="G794" s="220"/>
      <c r="H794" s="1673"/>
      <c r="I794" s="1577">
        <f>I304</f>
        <v>18138</v>
      </c>
      <c r="J794" s="1543">
        <f>ROUND(I794*D794,2)</f>
        <v>12112121.09</v>
      </c>
    </row>
    <row r="795" spans="1:10">
      <c r="A795" s="1528" t="s">
        <v>2259</v>
      </c>
      <c r="B795" s="313" t="s">
        <v>1649</v>
      </c>
      <c r="C795" s="1530"/>
      <c r="D795" s="1542"/>
      <c r="E795" s="220"/>
      <c r="F795" s="220"/>
      <c r="G795" s="220"/>
      <c r="H795" s="1673"/>
      <c r="I795" s="1577"/>
      <c r="J795" s="1543"/>
    </row>
    <row r="796" spans="1:10" ht="54">
      <c r="A796" s="1554" t="s">
        <v>3049</v>
      </c>
      <c r="B796" s="1550" t="s">
        <v>1248</v>
      </c>
      <c r="C796" s="1576" t="s">
        <v>322</v>
      </c>
      <c r="D796" s="1542">
        <f>'Tailrace Culvert'!J34</f>
        <v>52.42</v>
      </c>
      <c r="E796" s="220"/>
      <c r="F796" s="220"/>
      <c r="G796" s="220"/>
      <c r="H796" s="1673"/>
      <c r="I796" s="1577">
        <f>I313</f>
        <v>153246.08695652176</v>
      </c>
      <c r="J796" s="1543">
        <f>ROUND(I796*D796,2)</f>
        <v>8033159.8799999999</v>
      </c>
    </row>
    <row r="797" spans="1:10" ht="54">
      <c r="A797" s="1528" t="s">
        <v>2260</v>
      </c>
      <c r="B797" s="1550" t="s">
        <v>2740</v>
      </c>
      <c r="C797" s="1576"/>
      <c r="D797" s="1542"/>
      <c r="E797" s="1612"/>
      <c r="F797" s="1613"/>
      <c r="G797" s="1613"/>
      <c r="H797" s="1677"/>
      <c r="I797" s="1543"/>
      <c r="J797" s="1543"/>
    </row>
    <row r="798" spans="1:10">
      <c r="A798" s="1554" t="s">
        <v>2262</v>
      </c>
      <c r="B798" s="669" t="str">
        <f>'Tailrace Culvert'!B36</f>
        <v>Water Bar</v>
      </c>
      <c r="C798" s="1576" t="s">
        <v>27</v>
      </c>
      <c r="D798" s="1542">
        <f>'Tailrace Culvert'!J37</f>
        <v>100</v>
      </c>
      <c r="E798" s="1612"/>
      <c r="F798" s="1613"/>
      <c r="G798" s="1613"/>
      <c r="H798" s="1673"/>
      <c r="I798" s="1577">
        <f>I315</f>
        <v>1693</v>
      </c>
      <c r="J798" s="1543">
        <f>ROUND(I798*D798,2)</f>
        <v>169300</v>
      </c>
    </row>
    <row r="799" spans="1:10">
      <c r="A799" s="1554" t="s">
        <v>2263</v>
      </c>
      <c r="B799" s="669" t="str">
        <f>'Tailrace Culvert'!B38</f>
        <v>Hydroseal</v>
      </c>
      <c r="C799" s="1576" t="s">
        <v>27</v>
      </c>
      <c r="D799" s="1542">
        <f>'Tailrace Culvert'!J40</f>
        <v>200</v>
      </c>
      <c r="E799" s="1612"/>
      <c r="F799" s="1613"/>
      <c r="G799" s="1613"/>
      <c r="H799" s="1673"/>
      <c r="I799" s="1577">
        <f t="shared" ref="I799:I800" si="20">I316</f>
        <v>1245</v>
      </c>
      <c r="J799" s="1543">
        <f>ROUND(I799*D799,2)</f>
        <v>249000</v>
      </c>
    </row>
    <row r="800" spans="1:10">
      <c r="A800" s="1554" t="s">
        <v>3050</v>
      </c>
      <c r="B800" s="669" t="str">
        <f>'Tailrace Culvert'!B41</f>
        <v>Sealants</v>
      </c>
      <c r="C800" s="1576" t="s">
        <v>27</v>
      </c>
      <c r="D800" s="1542">
        <f>'Tailrace Culvert'!J42</f>
        <v>100</v>
      </c>
      <c r="E800" s="1612"/>
      <c r="F800" s="1613"/>
      <c r="G800" s="1613"/>
      <c r="H800" s="1673"/>
      <c r="I800" s="1577">
        <f t="shared" si="20"/>
        <v>1208</v>
      </c>
      <c r="J800" s="1543">
        <f>ROUND(I800*D800,2)</f>
        <v>120800</v>
      </c>
    </row>
    <row r="801" spans="1:76" ht="17.25" customHeight="1">
      <c r="A801" s="1528"/>
      <c r="B801" s="1557"/>
      <c r="C801" s="1581"/>
      <c r="D801" s="1741"/>
      <c r="E801" s="1612"/>
      <c r="F801" s="1666" t="s">
        <v>1483</v>
      </c>
      <c r="G801" s="1691"/>
      <c r="H801" s="1674"/>
      <c r="I801" s="1612"/>
      <c r="J801" s="1717">
        <f>SUM(J788:J800)</f>
        <v>22585881.18</v>
      </c>
    </row>
    <row r="802" spans="1:76" s="315" customFormat="1">
      <c r="A802" s="1532" t="s">
        <v>2913</v>
      </c>
      <c r="B802" s="1533" t="s">
        <v>1491</v>
      </c>
      <c r="C802" s="1534"/>
      <c r="D802" s="1736"/>
      <c r="E802" s="1697"/>
      <c r="F802" s="1536"/>
      <c r="G802" s="1697"/>
      <c r="H802" s="1668"/>
      <c r="I802" s="1542"/>
      <c r="J802" s="1543"/>
    </row>
    <row r="803" spans="1:76">
      <c r="A803" s="1528" t="s">
        <v>3051</v>
      </c>
      <c r="B803" s="1548" t="s">
        <v>18</v>
      </c>
      <c r="C803" s="1530"/>
      <c r="D803" s="1686"/>
      <c r="E803" s="220"/>
      <c r="F803" s="1587"/>
      <c r="G803" s="220"/>
      <c r="H803" s="1796"/>
      <c r="I803" s="1542"/>
      <c r="J803" s="1543"/>
    </row>
    <row r="804" spans="1:76" ht="72">
      <c r="A804" s="1554" t="s">
        <v>3052</v>
      </c>
      <c r="B804" s="1555" t="s">
        <v>2847</v>
      </c>
      <c r="C804" s="1576" t="s">
        <v>19</v>
      </c>
      <c r="D804" s="1542">
        <f>'Rivertraining at Powerhouse'!J13</f>
        <v>2500</v>
      </c>
      <c r="E804" s="220"/>
      <c r="F804" s="220"/>
      <c r="G804" s="220"/>
      <c r="H804" s="1609"/>
      <c r="I804" s="1543">
        <f>I294</f>
        <v>40.5</v>
      </c>
      <c r="J804" s="1543">
        <f>ROUND(I804*D804,2)</f>
        <v>101250</v>
      </c>
    </row>
    <row r="805" spans="1:76" ht="72">
      <c r="A805" s="1528" t="s">
        <v>3053</v>
      </c>
      <c r="B805" s="1544" t="s">
        <v>2849</v>
      </c>
      <c r="C805" s="1576"/>
      <c r="D805" s="1542"/>
      <c r="E805" s="220"/>
      <c r="F805" s="220"/>
      <c r="G805" s="220"/>
      <c r="H805" s="1609"/>
      <c r="I805" s="1543"/>
      <c r="J805" s="1543"/>
    </row>
    <row r="806" spans="1:76">
      <c r="A806" s="1554" t="s">
        <v>3054</v>
      </c>
      <c r="B806" s="220" t="s">
        <v>1632</v>
      </c>
      <c r="C806" s="1530" t="s">
        <v>21</v>
      </c>
      <c r="D806" s="1542">
        <f>'Rivertraining at Powerhouse'!J18</f>
        <v>5320</v>
      </c>
      <c r="E806" s="220"/>
      <c r="F806" s="220"/>
      <c r="G806" s="220"/>
      <c r="H806" s="1609"/>
      <c r="I806" s="1543">
        <f>I296</f>
        <v>351.34500000000003</v>
      </c>
      <c r="J806" s="1543">
        <f>ROUND(I806*D806,2)</f>
        <v>1869155.4</v>
      </c>
    </row>
    <row r="807" spans="1:76">
      <c r="A807" s="1554" t="s">
        <v>3055</v>
      </c>
      <c r="B807" s="220" t="s">
        <v>1634</v>
      </c>
      <c r="C807" s="1530" t="s">
        <v>21</v>
      </c>
      <c r="D807" s="1542">
        <f>'Rivertraining at Powerhouse'!J17</f>
        <v>1330</v>
      </c>
      <c r="E807" s="220"/>
      <c r="F807" s="220"/>
      <c r="G807" s="220"/>
      <c r="H807" s="1677"/>
      <c r="I807" s="1543">
        <f>I297</f>
        <v>1375.6949999999999</v>
      </c>
      <c r="J807" s="1577">
        <f>I807*D807</f>
        <v>1829674.3499999999</v>
      </c>
    </row>
    <row r="808" spans="1:76">
      <c r="A808" s="1528" t="s">
        <v>3056</v>
      </c>
      <c r="B808" s="313" t="s">
        <v>31</v>
      </c>
      <c r="C808" s="1530"/>
      <c r="D808" s="1542"/>
      <c r="E808" s="220"/>
      <c r="F808" s="220"/>
      <c r="G808" s="220"/>
      <c r="H808" s="1677"/>
      <c r="I808" s="1543"/>
      <c r="J808" s="1577"/>
    </row>
    <row r="809" spans="1:76" ht="54">
      <c r="A809" s="1554" t="s">
        <v>3054</v>
      </c>
      <c r="B809" s="1545" t="s">
        <v>2862</v>
      </c>
      <c r="C809" s="1530" t="s">
        <v>21</v>
      </c>
      <c r="D809" s="1542">
        <f>'Rivertraining at Powerhouse'!J21</f>
        <v>4940</v>
      </c>
      <c r="E809" s="220"/>
      <c r="F809" s="220"/>
      <c r="G809" s="220"/>
      <c r="H809" s="1677"/>
      <c r="I809" s="1543">
        <f>I299</f>
        <v>216.5</v>
      </c>
      <c r="J809" s="1543">
        <f>ROUND(I809*D809,2)</f>
        <v>1069510</v>
      </c>
    </row>
    <row r="810" spans="1:76">
      <c r="A810" s="1528" t="s">
        <v>3057</v>
      </c>
      <c r="B810" s="1548" t="s">
        <v>309</v>
      </c>
      <c r="C810" s="1530"/>
      <c r="D810" s="1542"/>
      <c r="E810" s="220"/>
      <c r="F810" s="220"/>
      <c r="G810" s="220"/>
      <c r="H810" s="1677"/>
      <c r="I810" s="1543"/>
      <c r="J810" s="1543"/>
    </row>
    <row r="811" spans="1:76" s="1656" customFormat="1" ht="54">
      <c r="A811" s="1554" t="s">
        <v>3054</v>
      </c>
      <c r="B811" s="1549" t="s">
        <v>2038</v>
      </c>
      <c r="C811" s="1576" t="s">
        <v>19</v>
      </c>
      <c r="D811" s="1542">
        <f>'Rivertraining at Powerhouse'!J26</f>
        <v>3149</v>
      </c>
      <c r="E811" s="1655"/>
      <c r="F811" s="1655"/>
      <c r="G811" s="1655"/>
      <c r="H811" s="1673"/>
      <c r="I811" s="1543">
        <f>I301</f>
        <v>1226.1157142857141</v>
      </c>
      <c r="J811" s="1543">
        <f>ROUND(I811*D811,2)</f>
        <v>3861038.38</v>
      </c>
      <c r="K811" s="1595"/>
      <c r="L811" s="1595"/>
      <c r="M811" s="1595"/>
      <c r="N811" s="1595"/>
      <c r="O811" s="1595"/>
      <c r="P811" s="1595"/>
      <c r="Q811" s="1595"/>
      <c r="R811" s="1595"/>
      <c r="S811" s="1595"/>
      <c r="T811" s="1595"/>
      <c r="U811" s="1595"/>
      <c r="V811" s="1595"/>
      <c r="W811" s="1595"/>
      <c r="X811" s="1595"/>
      <c r="Y811" s="1595"/>
      <c r="Z811" s="1595"/>
      <c r="AA811" s="1595"/>
      <c r="AB811" s="1595"/>
      <c r="AC811" s="1595"/>
      <c r="AD811" s="1595"/>
      <c r="AE811" s="1595"/>
      <c r="AF811" s="1595"/>
      <c r="AG811" s="1595"/>
      <c r="AH811" s="1595"/>
      <c r="AI811" s="1595"/>
      <c r="AJ811" s="1595"/>
      <c r="AK811" s="1595"/>
      <c r="AL811" s="1595"/>
      <c r="AM811" s="1595"/>
      <c r="AN811" s="1595"/>
      <c r="AO811" s="1595"/>
      <c r="AP811" s="1595"/>
      <c r="AQ811" s="1595"/>
      <c r="AR811" s="1595"/>
      <c r="AS811" s="1595"/>
      <c r="AT811" s="1595"/>
      <c r="AU811" s="1595"/>
      <c r="AV811" s="1595"/>
      <c r="AW811" s="1595"/>
      <c r="AX811" s="1595"/>
      <c r="AY811" s="1595"/>
      <c r="AZ811" s="1595"/>
      <c r="BA811" s="1595"/>
      <c r="BB811" s="1595"/>
      <c r="BC811" s="1595"/>
      <c r="BD811" s="1595"/>
      <c r="BE811" s="1595"/>
      <c r="BF811" s="1595"/>
      <c r="BG811" s="1595"/>
      <c r="BH811" s="1595"/>
      <c r="BI811" s="1595"/>
      <c r="BJ811" s="1595"/>
      <c r="BK811" s="1595"/>
      <c r="BL811" s="1595"/>
      <c r="BM811" s="1595"/>
      <c r="BN811" s="1595"/>
      <c r="BO811" s="1595"/>
      <c r="BP811" s="1595"/>
      <c r="BQ811" s="1595"/>
      <c r="BR811" s="1595"/>
      <c r="BS811" s="1595"/>
      <c r="BT811" s="1595"/>
      <c r="BU811" s="1595"/>
      <c r="BV811" s="1595"/>
      <c r="BW811" s="1595"/>
      <c r="BX811" s="1595"/>
    </row>
    <row r="812" spans="1:76" s="1656" customFormat="1" ht="54">
      <c r="A812" s="1528" t="s">
        <v>3058</v>
      </c>
      <c r="B812" s="1545" t="s">
        <v>2735</v>
      </c>
      <c r="C812" s="1576"/>
      <c r="D812" s="1542"/>
      <c r="E812" s="1655"/>
      <c r="F812" s="1655"/>
      <c r="G812" s="1655"/>
      <c r="H812" s="1673"/>
      <c r="I812" s="1577"/>
      <c r="J812" s="1543"/>
      <c r="K812" s="1595"/>
      <c r="L812" s="1595"/>
      <c r="M812" s="1595"/>
      <c r="N812" s="1595"/>
      <c r="O812" s="1595"/>
      <c r="P812" s="1595"/>
      <c r="Q812" s="1595"/>
      <c r="R812" s="1595"/>
      <c r="S812" s="1595"/>
      <c r="T812" s="1595"/>
      <c r="U812" s="1595"/>
      <c r="V812" s="1595"/>
      <c r="W812" s="1595"/>
      <c r="X812" s="1595"/>
      <c r="Y812" s="1595"/>
      <c r="Z812" s="1595"/>
      <c r="AA812" s="1595"/>
      <c r="AB812" s="1595"/>
      <c r="AC812" s="1595"/>
      <c r="AD812" s="1595"/>
      <c r="AE812" s="1595"/>
      <c r="AF812" s="1595"/>
      <c r="AG812" s="1595"/>
      <c r="AH812" s="1595"/>
      <c r="AI812" s="1595"/>
      <c r="AJ812" s="1595"/>
      <c r="AK812" s="1595"/>
      <c r="AL812" s="1595"/>
      <c r="AM812" s="1595"/>
      <c r="AN812" s="1595"/>
      <c r="AO812" s="1595"/>
      <c r="AP812" s="1595"/>
      <c r="AQ812" s="1595"/>
      <c r="AR812" s="1595"/>
      <c r="AS812" s="1595"/>
      <c r="AT812" s="1595"/>
      <c r="AU812" s="1595"/>
      <c r="AV812" s="1595"/>
      <c r="AW812" s="1595"/>
      <c r="AX812" s="1595"/>
      <c r="AY812" s="1595"/>
      <c r="AZ812" s="1595"/>
      <c r="BA812" s="1595"/>
      <c r="BB812" s="1595"/>
      <c r="BC812" s="1595"/>
      <c r="BD812" s="1595"/>
      <c r="BE812" s="1595"/>
      <c r="BF812" s="1595"/>
      <c r="BG812" s="1595"/>
      <c r="BH812" s="1595"/>
      <c r="BI812" s="1595"/>
      <c r="BJ812" s="1595"/>
      <c r="BK812" s="1595"/>
      <c r="BL812" s="1595"/>
      <c r="BM812" s="1595"/>
      <c r="BN812" s="1595"/>
      <c r="BO812" s="1595"/>
      <c r="BP812" s="1595"/>
      <c r="BQ812" s="1595"/>
      <c r="BR812" s="1595"/>
      <c r="BS812" s="1595"/>
      <c r="BT812" s="1595"/>
      <c r="BU812" s="1595"/>
      <c r="BV812" s="1595"/>
      <c r="BW812" s="1595"/>
      <c r="BX812" s="1595"/>
    </row>
    <row r="813" spans="1:76" s="1656" customFormat="1">
      <c r="A813" s="1554" t="s">
        <v>3059</v>
      </c>
      <c r="B813" s="1546" t="s">
        <v>1641</v>
      </c>
      <c r="C813" s="1530" t="s">
        <v>21</v>
      </c>
      <c r="D813" s="1542">
        <f>'Rivertraining at Powerhouse'!J30</f>
        <v>85.5</v>
      </c>
      <c r="E813" s="1655"/>
      <c r="F813" s="1655"/>
      <c r="G813" s="1655"/>
      <c r="H813" s="1677"/>
      <c r="I813" s="1543">
        <f>I303</f>
        <v>13018</v>
      </c>
      <c r="J813" s="1543">
        <f>ROUND(I813*D813,2)</f>
        <v>1113039</v>
      </c>
      <c r="K813" s="1595"/>
      <c r="L813" s="1595"/>
      <c r="M813" s="1595"/>
      <c r="N813" s="1595"/>
      <c r="O813" s="1595"/>
      <c r="P813" s="1595"/>
      <c r="Q813" s="1595"/>
      <c r="R813" s="1595"/>
      <c r="S813" s="1595"/>
      <c r="T813" s="1595"/>
      <c r="U813" s="1595"/>
      <c r="V813" s="1595"/>
      <c r="W813" s="1595"/>
      <c r="X813" s="1595"/>
      <c r="Y813" s="1595"/>
      <c r="Z813" s="1595"/>
      <c r="AA813" s="1595"/>
      <c r="AB813" s="1595"/>
      <c r="AC813" s="1595"/>
      <c r="AD813" s="1595"/>
      <c r="AE813" s="1595"/>
      <c r="AF813" s="1595"/>
      <c r="AG813" s="1595"/>
      <c r="AH813" s="1595"/>
      <c r="AI813" s="1595"/>
      <c r="AJ813" s="1595"/>
      <c r="AK813" s="1595"/>
      <c r="AL813" s="1595"/>
      <c r="AM813" s="1595"/>
      <c r="AN813" s="1595"/>
      <c r="AO813" s="1595"/>
      <c r="AP813" s="1595"/>
      <c r="AQ813" s="1595"/>
      <c r="AR813" s="1595"/>
      <c r="AS813" s="1595"/>
      <c r="AT813" s="1595"/>
      <c r="AU813" s="1595"/>
      <c r="AV813" s="1595"/>
      <c r="AW813" s="1595"/>
      <c r="AX813" s="1595"/>
      <c r="AY813" s="1595"/>
      <c r="AZ813" s="1595"/>
      <c r="BA813" s="1595"/>
      <c r="BB813" s="1595"/>
      <c r="BC813" s="1595"/>
      <c r="BD813" s="1595"/>
      <c r="BE813" s="1595"/>
      <c r="BF813" s="1595"/>
      <c r="BG813" s="1595"/>
      <c r="BH813" s="1595"/>
      <c r="BI813" s="1595"/>
      <c r="BJ813" s="1595"/>
      <c r="BK813" s="1595"/>
      <c r="BL813" s="1595"/>
      <c r="BM813" s="1595"/>
      <c r="BN813" s="1595"/>
      <c r="BO813" s="1595"/>
      <c r="BP813" s="1595"/>
      <c r="BQ813" s="1595"/>
      <c r="BR813" s="1595"/>
      <c r="BS813" s="1595"/>
      <c r="BT813" s="1595"/>
      <c r="BU813" s="1595"/>
      <c r="BV813" s="1595"/>
      <c r="BW813" s="1595"/>
      <c r="BX813" s="1595"/>
    </row>
    <row r="814" spans="1:76" s="1656" customFormat="1">
      <c r="A814" s="1554" t="s">
        <v>3060</v>
      </c>
      <c r="B814" s="669" t="str">
        <f>'Rivertraining at Powerhouse'!B32</f>
        <v>Structural Concrete (C25)</v>
      </c>
      <c r="C814" s="1576" t="s">
        <v>21</v>
      </c>
      <c r="D814" s="1542">
        <f>'Rivertraining at Powerhouse'!J34</f>
        <v>2071</v>
      </c>
      <c r="E814" s="1655"/>
      <c r="F814" s="1655"/>
      <c r="G814" s="1655"/>
      <c r="H814" s="1673"/>
      <c r="I814" s="1577">
        <f>I304</f>
        <v>18138</v>
      </c>
      <c r="J814" s="1543">
        <f>ROUND(I814*D814,2)</f>
        <v>37563798</v>
      </c>
      <c r="K814" s="1595"/>
      <c r="L814" s="1595"/>
      <c r="M814" s="1595"/>
      <c r="N814" s="1595"/>
      <c r="O814" s="1595"/>
      <c r="P814" s="1595"/>
      <c r="Q814" s="1595"/>
      <c r="R814" s="1595"/>
      <c r="S814" s="1595"/>
      <c r="T814" s="1595"/>
      <c r="U814" s="1595"/>
      <c r="V814" s="1595"/>
      <c r="W814" s="1595"/>
      <c r="X814" s="1595"/>
      <c r="Y814" s="1595"/>
      <c r="Z814" s="1595"/>
      <c r="AA814" s="1595"/>
      <c r="AB814" s="1595"/>
      <c r="AC814" s="1595"/>
      <c r="AD814" s="1595"/>
      <c r="AE814" s="1595"/>
      <c r="AF814" s="1595"/>
      <c r="AG814" s="1595"/>
      <c r="AH814" s="1595"/>
      <c r="AI814" s="1595"/>
      <c r="AJ814" s="1595"/>
      <c r="AK814" s="1595"/>
      <c r="AL814" s="1595"/>
      <c r="AM814" s="1595"/>
      <c r="AN814" s="1595"/>
      <c r="AO814" s="1595"/>
      <c r="AP814" s="1595"/>
      <c r="AQ814" s="1595"/>
      <c r="AR814" s="1595"/>
      <c r="AS814" s="1595"/>
      <c r="AT814" s="1595"/>
      <c r="AU814" s="1595"/>
      <c r="AV814" s="1595"/>
      <c r="AW814" s="1595"/>
      <c r="AX814" s="1595"/>
      <c r="AY814" s="1595"/>
      <c r="AZ814" s="1595"/>
      <c r="BA814" s="1595"/>
      <c r="BB814" s="1595"/>
      <c r="BC814" s="1595"/>
      <c r="BD814" s="1595"/>
      <c r="BE814" s="1595"/>
      <c r="BF814" s="1595"/>
      <c r="BG814" s="1595"/>
      <c r="BH814" s="1595"/>
      <c r="BI814" s="1595"/>
      <c r="BJ814" s="1595"/>
      <c r="BK814" s="1595"/>
      <c r="BL814" s="1595"/>
      <c r="BM814" s="1595"/>
      <c r="BN814" s="1595"/>
      <c r="BO814" s="1595"/>
      <c r="BP814" s="1595"/>
      <c r="BQ814" s="1595"/>
      <c r="BR814" s="1595"/>
      <c r="BS814" s="1595"/>
      <c r="BT814" s="1595"/>
      <c r="BU814" s="1595"/>
      <c r="BV814" s="1595"/>
      <c r="BW814" s="1595"/>
      <c r="BX814" s="1595"/>
    </row>
    <row r="815" spans="1:76" s="1656" customFormat="1">
      <c r="A815" s="1528" t="s">
        <v>3061</v>
      </c>
      <c r="B815" s="313" t="s">
        <v>1649</v>
      </c>
      <c r="C815" s="1576"/>
      <c r="D815" s="1542"/>
      <c r="E815" s="1655"/>
      <c r="F815" s="1655"/>
      <c r="G815" s="1655"/>
      <c r="H815" s="1673"/>
      <c r="I815" s="1577"/>
      <c r="J815" s="1543"/>
      <c r="K815" s="1595"/>
      <c r="L815" s="1595"/>
      <c r="M815" s="1595"/>
      <c r="N815" s="1595"/>
      <c r="O815" s="1595"/>
      <c r="P815" s="1595"/>
      <c r="Q815" s="1595"/>
      <c r="R815" s="1595"/>
      <c r="S815" s="1595"/>
      <c r="T815" s="1595"/>
      <c r="U815" s="1595"/>
      <c r="V815" s="1595"/>
      <c r="W815" s="1595"/>
      <c r="X815" s="1595"/>
      <c r="Y815" s="1595"/>
      <c r="Z815" s="1595"/>
      <c r="AA815" s="1595"/>
      <c r="AB815" s="1595"/>
      <c r="AC815" s="1595"/>
      <c r="AD815" s="1595"/>
      <c r="AE815" s="1595"/>
      <c r="AF815" s="1595"/>
      <c r="AG815" s="1595"/>
      <c r="AH815" s="1595"/>
      <c r="AI815" s="1595"/>
      <c r="AJ815" s="1595"/>
      <c r="AK815" s="1595"/>
      <c r="AL815" s="1595"/>
      <c r="AM815" s="1595"/>
      <c r="AN815" s="1595"/>
      <c r="AO815" s="1595"/>
      <c r="AP815" s="1595"/>
      <c r="AQ815" s="1595"/>
      <c r="AR815" s="1595"/>
      <c r="AS815" s="1595"/>
      <c r="AT815" s="1595"/>
      <c r="AU815" s="1595"/>
      <c r="AV815" s="1595"/>
      <c r="AW815" s="1595"/>
      <c r="AX815" s="1595"/>
      <c r="AY815" s="1595"/>
      <c r="AZ815" s="1595"/>
      <c r="BA815" s="1595"/>
      <c r="BB815" s="1595"/>
      <c r="BC815" s="1595"/>
      <c r="BD815" s="1595"/>
      <c r="BE815" s="1595"/>
      <c r="BF815" s="1595"/>
      <c r="BG815" s="1595"/>
      <c r="BH815" s="1595"/>
      <c r="BI815" s="1595"/>
      <c r="BJ815" s="1595"/>
      <c r="BK815" s="1595"/>
      <c r="BL815" s="1595"/>
      <c r="BM815" s="1595"/>
      <c r="BN815" s="1595"/>
      <c r="BO815" s="1595"/>
      <c r="BP815" s="1595"/>
      <c r="BQ815" s="1595"/>
      <c r="BR815" s="1595"/>
      <c r="BS815" s="1595"/>
      <c r="BT815" s="1595"/>
      <c r="BU815" s="1595"/>
      <c r="BV815" s="1595"/>
      <c r="BW815" s="1595"/>
      <c r="BX815" s="1595"/>
    </row>
    <row r="816" spans="1:76" s="65" customFormat="1" ht="54">
      <c r="A816" s="1554" t="s">
        <v>3054</v>
      </c>
      <c r="B816" s="1550" t="s">
        <v>1248</v>
      </c>
      <c r="C816" s="1576" t="s">
        <v>322</v>
      </c>
      <c r="D816" s="1542">
        <f>'Rivertraining at Powerhouse'!J37</f>
        <v>162.57</v>
      </c>
      <c r="E816" s="1565"/>
      <c r="F816" s="1565"/>
      <c r="G816" s="1565"/>
      <c r="H816" s="1673"/>
      <c r="I816" s="1577">
        <f>I313</f>
        <v>153246.08695652176</v>
      </c>
      <c r="J816" s="1577">
        <f>I816*D816</f>
        <v>24913216.356521741</v>
      </c>
    </row>
    <row r="817" spans="1:12" s="65" customFormat="1" ht="54">
      <c r="A817" s="1528" t="s">
        <v>3062</v>
      </c>
      <c r="B817" s="1545" t="s">
        <v>2875</v>
      </c>
      <c r="C817" s="1576"/>
      <c r="D817" s="1542"/>
      <c r="E817" s="1565"/>
      <c r="F817" s="1565"/>
      <c r="G817" s="1565"/>
      <c r="H817" s="1673"/>
      <c r="I817" s="1577"/>
      <c r="J817" s="1577"/>
    </row>
    <row r="818" spans="1:12" s="65" customFormat="1">
      <c r="A818" s="1554" t="s">
        <v>3063</v>
      </c>
      <c r="B818" s="1546" t="s">
        <v>1654</v>
      </c>
      <c r="C818" s="1576" t="s">
        <v>19</v>
      </c>
      <c r="D818" s="1542">
        <f>'Rivertraining at Powerhouse'!J40</f>
        <v>285</v>
      </c>
      <c r="E818" s="1565"/>
      <c r="F818" s="1565"/>
      <c r="G818" s="1565"/>
      <c r="H818" s="1673"/>
      <c r="I818" s="1577">
        <f>I307</f>
        <v>4934.05</v>
      </c>
      <c r="J818" s="1543">
        <f>ROUND(I818*D818,2)</f>
        <v>1406204.25</v>
      </c>
    </row>
    <row r="819" spans="1:12" s="65" customFormat="1">
      <c r="A819" s="1528" t="s">
        <v>3064</v>
      </c>
      <c r="B819" s="1557" t="str">
        <f>'Rivertraining at Powerhouse'!B42</f>
        <v>0.3m Stone pitching for access road &amp; Floodwall</v>
      </c>
      <c r="C819" s="1576" t="s">
        <v>19</v>
      </c>
      <c r="D819" s="1542">
        <f>'Rivertraining at Powerhouse'!J43</f>
        <v>500</v>
      </c>
      <c r="E819" s="1565"/>
      <c r="F819" s="1565"/>
      <c r="G819" s="1565"/>
      <c r="H819" s="1673"/>
      <c r="I819" s="1577">
        <f>'[45]Dry stone soling'!$H$14</f>
        <v>4965</v>
      </c>
      <c r="J819" s="1543">
        <f>ROUND(I819*D819,2)</f>
        <v>2482500</v>
      </c>
    </row>
    <row r="820" spans="1:12" s="65" customFormat="1" ht="54">
      <c r="A820" s="1528" t="s">
        <v>3065</v>
      </c>
      <c r="B820" s="1550" t="s">
        <v>2740</v>
      </c>
      <c r="C820" s="1576"/>
      <c r="D820" s="1542"/>
      <c r="E820" s="1565"/>
      <c r="F820" s="1565"/>
      <c r="G820" s="1565"/>
      <c r="H820" s="1680"/>
      <c r="I820" s="1596"/>
      <c r="J820" s="1543"/>
    </row>
    <row r="821" spans="1:12" s="65" customFormat="1">
      <c r="A821" s="1554" t="s">
        <v>3066</v>
      </c>
      <c r="B821" s="669" t="str">
        <f>'Rivertraining at Powerhouse'!B45</f>
        <v>Water Bar</v>
      </c>
      <c r="C821" s="1576" t="s">
        <v>27</v>
      </c>
      <c r="D821" s="1542">
        <f>'Rivertraining at Powerhouse'!J46</f>
        <v>150</v>
      </c>
      <c r="E821" s="1565"/>
      <c r="F821" s="1565"/>
      <c r="G821" s="1565"/>
      <c r="H821" s="1680"/>
      <c r="I821" s="1596">
        <f>I342</f>
        <v>1693</v>
      </c>
      <c r="J821" s="1543">
        <f>ROUND(I821*D821,2)</f>
        <v>253950</v>
      </c>
    </row>
    <row r="822" spans="1:12" s="65" customFormat="1">
      <c r="A822" s="1554" t="s">
        <v>3067</v>
      </c>
      <c r="B822" s="669" t="str">
        <f>'Rivertraining at Powerhouse'!B47</f>
        <v>Hydroseal</v>
      </c>
      <c r="C822" s="1576" t="s">
        <v>85</v>
      </c>
      <c r="D822" s="1542">
        <f>'Rivertraining at Powerhouse'!J49</f>
        <v>150</v>
      </c>
      <c r="E822" s="1565"/>
      <c r="F822" s="1565"/>
      <c r="G822" s="1565"/>
      <c r="H822" s="1680"/>
      <c r="I822" s="1596">
        <f t="shared" ref="I822:I823" si="21">I343</f>
        <v>1245</v>
      </c>
      <c r="J822" s="1577">
        <f>I822*D822</f>
        <v>186750</v>
      </c>
    </row>
    <row r="823" spans="1:12" s="65" customFormat="1">
      <c r="A823" s="1554" t="s">
        <v>3068</v>
      </c>
      <c r="B823" s="669" t="str">
        <f>'Rivertraining at Powerhouse'!B50</f>
        <v>Sealants</v>
      </c>
      <c r="C823" s="1576" t="s">
        <v>27</v>
      </c>
      <c r="D823" s="1542">
        <f>'Rivertraining at Powerhouse'!J51</f>
        <v>150</v>
      </c>
      <c r="E823" s="1565"/>
      <c r="F823" s="1565"/>
      <c r="G823" s="1565"/>
      <c r="H823" s="1680"/>
      <c r="I823" s="1596">
        <f t="shared" si="21"/>
        <v>1208</v>
      </c>
      <c r="J823" s="1543">
        <f>ROUND(I823*D823,2)</f>
        <v>181200</v>
      </c>
    </row>
    <row r="824" spans="1:12" s="65" customFormat="1" ht="17.25" customHeight="1">
      <c r="A824" s="1528"/>
      <c r="B824" s="1557"/>
      <c r="C824" s="1581"/>
      <c r="D824" s="1741"/>
      <c r="E824" s="1565"/>
      <c r="F824" s="1666" t="s">
        <v>1483</v>
      </c>
      <c r="G824" s="1693"/>
      <c r="H824" s="1714"/>
      <c r="I824" s="1565"/>
      <c r="J824" s="1717">
        <f>SUM(J804:J823)</f>
        <v>76831285.736521736</v>
      </c>
    </row>
    <row r="825" spans="1:12" s="65" customFormat="1" ht="18" customHeight="1">
      <c r="A825" s="1554"/>
      <c r="B825" s="669" t="s">
        <v>3313</v>
      </c>
      <c r="C825" s="1576"/>
      <c r="D825" s="1745"/>
      <c r="E825" s="1565"/>
      <c r="F825" s="1666" t="s">
        <v>1558</v>
      </c>
      <c r="G825" s="1693"/>
      <c r="H825" s="1680"/>
      <c r="I825" s="1565"/>
      <c r="J825" s="1717">
        <f>J770+J786+J801+J824</f>
        <v>369898461.03916174</v>
      </c>
    </row>
    <row r="826" spans="1:12" s="65" customFormat="1">
      <c r="A826" s="1692"/>
      <c r="B826" s="1709" t="s">
        <v>1555</v>
      </c>
      <c r="C826" s="1710"/>
      <c r="D826" s="1746"/>
      <c r="E826" s="1711"/>
      <c r="F826" s="1712"/>
      <c r="G826" s="1693"/>
      <c r="H826" s="1715"/>
      <c r="I826" s="1565"/>
      <c r="J826" s="1717">
        <f>J46+J258+J400+J825</f>
        <v>1784947265.5974226</v>
      </c>
    </row>
    <row r="827" spans="1:12" s="65" customFormat="1">
      <c r="A827" s="1692"/>
      <c r="B827" s="1709" t="s">
        <v>1556</v>
      </c>
      <c r="C827" s="1710"/>
      <c r="D827" s="1746"/>
      <c r="E827" s="1711"/>
      <c r="F827" s="1712"/>
      <c r="G827" s="1693"/>
      <c r="H827" s="1715"/>
      <c r="I827" s="1564"/>
      <c r="J827" s="1717">
        <f>J725</f>
        <v>2086960518.4137156</v>
      </c>
    </row>
    <row r="828" spans="1:12" s="1595" customFormat="1" ht="18.600000000000001" thickBot="1">
      <c r="A828" s="1707"/>
      <c r="B828" s="1597" t="s">
        <v>1559</v>
      </c>
      <c r="C828" s="1598"/>
      <c r="D828" s="1747"/>
      <c r="E828" s="1599"/>
      <c r="F828" s="1600"/>
      <c r="G828" s="1597"/>
      <c r="H828" s="1681"/>
      <c r="I828" s="1593"/>
      <c r="J828" s="1717">
        <f>J826+J827</f>
        <v>3871907784.011138</v>
      </c>
      <c r="K828" s="1885">
        <v>4046005031.3186555</v>
      </c>
      <c r="L828" s="1585"/>
    </row>
    <row r="829" spans="1:12" hidden="1">
      <c r="B829" s="1602" t="s">
        <v>1490</v>
      </c>
      <c r="C829" s="1603"/>
      <c r="D829" s="1748"/>
      <c r="E829" s="1604"/>
      <c r="F829" s="1605"/>
      <c r="G829" s="1606" t="e">
        <f>J46+J52+J84+J114+J137+J160+J189+J275+#REF!+J291+J323+J345+J368+#REF!+#REF!+J438+J477+J499+J535+J549+J565+J588+J612+J683+J770+J786+J801+J824</f>
        <v>#REF!</v>
      </c>
      <c r="H829" s="1716"/>
      <c r="I829" s="220"/>
      <c r="J829" s="220"/>
    </row>
    <row r="830" spans="1:12">
      <c r="I830" s="220"/>
      <c r="J830" s="220"/>
    </row>
    <row r="832" spans="1:12">
      <c r="G832" s="1657"/>
    </row>
    <row r="834" spans="5:7">
      <c r="G834" s="1658"/>
    </row>
    <row r="835" spans="5:7">
      <c r="E835" s="1636">
        <f>B834-J824-J801-J786</f>
        <v>-125646496.94452173</v>
      </c>
    </row>
  </sheetData>
  <mergeCells count="10">
    <mergeCell ref="I8:I9"/>
    <mergeCell ref="J8:J9"/>
    <mergeCell ref="B401:H401"/>
    <mergeCell ref="B726:H726"/>
    <mergeCell ref="A8:A9"/>
    <mergeCell ref="B8:B9"/>
    <mergeCell ref="C8:C9"/>
    <mergeCell ref="D8:D9"/>
    <mergeCell ref="E8:F8"/>
    <mergeCell ref="H8:H9"/>
  </mergeCells>
  <printOptions horizontalCentered="1"/>
  <pageMargins left="0.7" right="0.7" top="0.75" bottom="0.75" header="0.3" footer="0.3"/>
  <pageSetup paperSize="9" scale="84" fitToWidth="0"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1">
    <tabColor theme="6" tint="-0.499984740745262"/>
  </sheetPr>
  <dimension ref="A2:M41"/>
  <sheetViews>
    <sheetView workbookViewId="0"/>
  </sheetViews>
  <sheetFormatPr defaultColWidth="9.109375" defaultRowHeight="16.8"/>
  <cols>
    <col min="1" max="1" width="11.88671875" style="1" customWidth="1"/>
    <col min="2" max="2" width="42.44140625" style="694" hidden="1" customWidth="1"/>
    <col min="3" max="3" width="17.6640625" style="1" customWidth="1"/>
    <col min="4" max="4" width="58.88671875" style="1" customWidth="1"/>
    <col min="5" max="5" width="7.88671875" style="1" bestFit="1" customWidth="1"/>
    <col min="6" max="6" width="17.44140625" style="1" customWidth="1"/>
    <col min="7" max="7" width="12.33203125" style="1" bestFit="1" customWidth="1"/>
    <col min="8" max="8" width="15.109375" style="1" bestFit="1" customWidth="1"/>
    <col min="9" max="9" width="13.109375" style="1" bestFit="1" customWidth="1"/>
    <col min="10" max="10" width="16.6640625" style="1" customWidth="1"/>
    <col min="11" max="11" width="9.109375" style="1"/>
    <col min="12" max="12" width="22.44140625" style="1" customWidth="1"/>
    <col min="13" max="16384" width="9.109375" style="1"/>
  </cols>
  <sheetData>
    <row r="2" spans="2:13">
      <c r="C2" s="227" t="s">
        <v>1122</v>
      </c>
    </row>
    <row r="3" spans="2:13" ht="17.399999999999999" thickBot="1">
      <c r="C3" s="1520" t="s">
        <v>1123</v>
      </c>
      <c r="D3" s="1520"/>
    </row>
    <row r="4" spans="2:13" ht="20.399999999999999" thickBot="1">
      <c r="B4" s="1521"/>
      <c r="C4" s="2344" t="s">
        <v>1165</v>
      </c>
      <c r="D4" s="2345"/>
      <c r="E4" s="2345"/>
      <c r="F4" s="2345"/>
      <c r="G4" s="2345"/>
      <c r="H4" s="529"/>
      <c r="I4" s="529"/>
      <c r="J4" s="530"/>
    </row>
    <row r="5" spans="2:13" ht="20.399999999999999" thickBot="1">
      <c r="B5" s="1521"/>
      <c r="C5" s="2346" t="s">
        <v>859</v>
      </c>
      <c r="D5" s="2347"/>
      <c r="E5" s="2347"/>
      <c r="F5" s="2347"/>
      <c r="G5" s="2347"/>
      <c r="H5" s="529"/>
      <c r="I5" s="529"/>
      <c r="J5" s="530"/>
    </row>
    <row r="6" spans="2:13" ht="19.8">
      <c r="B6" s="2342" t="s">
        <v>1117</v>
      </c>
      <c r="C6" s="2348" t="s">
        <v>1606</v>
      </c>
      <c r="D6" s="2350" t="s">
        <v>8</v>
      </c>
      <c r="E6" s="2350" t="s">
        <v>9</v>
      </c>
      <c r="F6" s="2350" t="s">
        <v>861</v>
      </c>
      <c r="G6" s="2350" t="s">
        <v>1181</v>
      </c>
      <c r="H6" s="2350"/>
      <c r="I6" s="779" t="s">
        <v>857</v>
      </c>
      <c r="J6" s="700" t="s">
        <v>17</v>
      </c>
    </row>
    <row r="7" spans="2:13" ht="19.95" customHeight="1">
      <c r="B7" s="2343"/>
      <c r="C7" s="2349"/>
      <c r="D7" s="2351"/>
      <c r="E7" s="2351"/>
      <c r="F7" s="2351"/>
      <c r="G7" s="780" t="s">
        <v>862</v>
      </c>
      <c r="H7" s="780" t="s">
        <v>863</v>
      </c>
      <c r="I7" s="780" t="s">
        <v>287</v>
      </c>
      <c r="J7" s="717"/>
    </row>
    <row r="8" spans="2:13" ht="19.2">
      <c r="B8" s="854"/>
      <c r="C8" s="1427" t="s">
        <v>2710</v>
      </c>
      <c r="D8" s="538" t="s">
        <v>289</v>
      </c>
      <c r="E8" s="526"/>
      <c r="F8" s="526"/>
      <c r="G8" s="526"/>
      <c r="H8" s="528"/>
      <c r="I8" s="528"/>
      <c r="J8" s="524"/>
    </row>
    <row r="9" spans="2:13" ht="19.2">
      <c r="B9" s="854"/>
      <c r="C9" s="1427" t="s">
        <v>2711</v>
      </c>
      <c r="D9" s="617" t="s">
        <v>960</v>
      </c>
      <c r="E9" s="528" t="s">
        <v>864</v>
      </c>
      <c r="F9" s="528">
        <v>1</v>
      </c>
      <c r="G9" s="528"/>
      <c r="H9" s="528"/>
      <c r="I9" s="528"/>
      <c r="J9" s="524"/>
    </row>
    <row r="10" spans="2:13" ht="39.6" customHeight="1">
      <c r="B10" s="854"/>
      <c r="C10" s="1526" t="s">
        <v>2712</v>
      </c>
      <c r="D10" s="525" t="s">
        <v>961</v>
      </c>
      <c r="E10" s="528" t="s">
        <v>864</v>
      </c>
      <c r="F10" s="528">
        <v>1</v>
      </c>
      <c r="G10" s="528"/>
      <c r="H10" s="528"/>
      <c r="I10" s="528"/>
      <c r="J10" s="524"/>
    </row>
    <row r="11" spans="2:13" ht="38.4">
      <c r="B11" s="1522"/>
      <c r="C11" s="1526" t="s">
        <v>2713</v>
      </c>
      <c r="D11" s="525" t="s">
        <v>962</v>
      </c>
      <c r="E11" s="526"/>
      <c r="F11" s="526"/>
      <c r="G11" s="526"/>
      <c r="H11" s="515"/>
      <c r="I11" s="515"/>
      <c r="J11" s="527"/>
    </row>
    <row r="12" spans="2:13" ht="19.2">
      <c r="B12" s="1522"/>
      <c r="C12" s="1526" t="s">
        <v>2714</v>
      </c>
      <c r="D12" s="525" t="s">
        <v>963</v>
      </c>
      <c r="E12" s="528" t="s">
        <v>864</v>
      </c>
      <c r="F12" s="528">
        <v>1</v>
      </c>
      <c r="G12" s="528"/>
      <c r="H12" s="528"/>
      <c r="I12" s="528"/>
      <c r="J12" s="524"/>
    </row>
    <row r="13" spans="2:13" ht="57.6">
      <c r="B13" s="1522"/>
      <c r="C13" s="1526" t="s">
        <v>2715</v>
      </c>
      <c r="D13" s="525" t="s">
        <v>964</v>
      </c>
      <c r="E13" s="526" t="s">
        <v>1099</v>
      </c>
      <c r="F13" s="528">
        <v>1</v>
      </c>
      <c r="G13" s="528"/>
      <c r="H13" s="528"/>
      <c r="I13" s="528"/>
      <c r="J13" s="524"/>
    </row>
    <row r="14" spans="2:13" ht="19.2">
      <c r="B14" s="1522" t="s">
        <v>1119</v>
      </c>
      <c r="C14" s="1427" t="s">
        <v>2716</v>
      </c>
      <c r="D14" s="617" t="s">
        <v>1098</v>
      </c>
      <c r="E14" s="526"/>
      <c r="F14" s="528"/>
      <c r="G14" s="528"/>
      <c r="H14" s="528"/>
      <c r="I14" s="528"/>
      <c r="J14" s="524"/>
    </row>
    <row r="15" spans="2:13" ht="192">
      <c r="B15" s="1522"/>
      <c r="C15" s="1526" t="s">
        <v>2717</v>
      </c>
      <c r="D15" s="525" t="s">
        <v>1177</v>
      </c>
      <c r="E15" s="526" t="s">
        <v>1099</v>
      </c>
      <c r="F15" s="528"/>
      <c r="G15" s="528"/>
      <c r="H15" s="528"/>
      <c r="I15" s="528"/>
      <c r="J15" s="524"/>
    </row>
    <row r="16" spans="2:13" ht="57.6">
      <c r="B16" s="1522"/>
      <c r="C16" s="1526" t="s">
        <v>2721</v>
      </c>
      <c r="D16" s="617" t="s">
        <v>1178</v>
      </c>
      <c r="E16" s="526" t="s">
        <v>1099</v>
      </c>
      <c r="F16" s="528"/>
      <c r="G16" s="528"/>
      <c r="H16" s="528"/>
      <c r="I16" s="528"/>
      <c r="J16" s="524"/>
      <c r="K16" s="697"/>
      <c r="L16" s="697"/>
      <c r="M16" s="697"/>
    </row>
    <row r="17" spans="1:13" ht="19.2">
      <c r="B17" s="1522">
        <v>4</v>
      </c>
      <c r="C17" s="1427" t="s">
        <v>2718</v>
      </c>
      <c r="D17" s="617" t="s">
        <v>1115</v>
      </c>
      <c r="E17" s="526"/>
      <c r="F17" s="528"/>
      <c r="G17" s="528"/>
      <c r="H17" s="528"/>
      <c r="I17" s="528"/>
      <c r="J17" s="524"/>
      <c r="K17" s="697"/>
      <c r="L17" s="699"/>
      <c r="M17" s="697"/>
    </row>
    <row r="18" spans="1:13" ht="76.8">
      <c r="B18" s="1522"/>
      <c r="C18" s="1526" t="s">
        <v>2722</v>
      </c>
      <c r="D18" s="525" t="s">
        <v>1179</v>
      </c>
      <c r="E18" s="526" t="s">
        <v>1099</v>
      </c>
      <c r="F18" s="528"/>
      <c r="G18" s="528"/>
      <c r="H18" s="528"/>
      <c r="I18" s="528"/>
      <c r="J18" s="524"/>
      <c r="K18" s="697"/>
      <c r="L18" s="697"/>
      <c r="M18" s="697"/>
    </row>
    <row r="19" spans="1:13" ht="19.2">
      <c r="B19" s="1522">
        <v>31</v>
      </c>
      <c r="C19" s="1427" t="s">
        <v>2719</v>
      </c>
      <c r="D19" s="617" t="s">
        <v>1106</v>
      </c>
      <c r="E19" s="526"/>
      <c r="F19" s="528"/>
      <c r="G19" s="528"/>
      <c r="H19" s="528"/>
      <c r="I19" s="528"/>
      <c r="J19" s="524"/>
      <c r="L19" s="698"/>
    </row>
    <row r="20" spans="1:13" ht="76.8">
      <c r="B20" s="1522"/>
      <c r="C20" s="1526" t="s">
        <v>2723</v>
      </c>
      <c r="D20" s="525" t="s">
        <v>1180</v>
      </c>
      <c r="E20" s="526" t="s">
        <v>1099</v>
      </c>
      <c r="F20" s="528"/>
      <c r="G20" s="528"/>
      <c r="H20" s="528"/>
      <c r="I20" s="528"/>
      <c r="J20" s="524"/>
      <c r="L20" s="698">
        <f>L18-L17</f>
        <v>0</v>
      </c>
    </row>
    <row r="21" spans="1:13" ht="96">
      <c r="B21" s="1522"/>
      <c r="C21" s="1526" t="s">
        <v>2724</v>
      </c>
      <c r="D21" s="525" t="s">
        <v>1118</v>
      </c>
      <c r="E21" s="526" t="s">
        <v>1099</v>
      </c>
      <c r="F21" s="528"/>
      <c r="G21" s="528"/>
      <c r="H21" s="528"/>
      <c r="I21" s="528"/>
      <c r="J21" s="524"/>
      <c r="L21" s="1">
        <f>L20/30</f>
        <v>0</v>
      </c>
    </row>
    <row r="22" spans="1:13" ht="57.6">
      <c r="B22" s="1522"/>
      <c r="C22" s="1526" t="s">
        <v>2725</v>
      </c>
      <c r="D22" s="525" t="s">
        <v>1107</v>
      </c>
      <c r="E22" s="526" t="s">
        <v>1099</v>
      </c>
      <c r="F22" s="528"/>
      <c r="G22" s="528"/>
      <c r="H22" s="528"/>
      <c r="I22" s="528"/>
      <c r="J22" s="524"/>
    </row>
    <row r="23" spans="1:13" ht="19.2">
      <c r="B23" s="1522">
        <v>32</v>
      </c>
      <c r="C23" s="1427" t="s">
        <v>2720</v>
      </c>
      <c r="D23" s="617" t="s">
        <v>1108</v>
      </c>
      <c r="E23" s="526"/>
      <c r="F23" s="528"/>
      <c r="G23" s="528"/>
      <c r="H23" s="528"/>
      <c r="I23" s="528"/>
      <c r="J23" s="524"/>
    </row>
    <row r="24" spans="1:13" ht="57.6">
      <c r="B24" s="1522"/>
      <c r="C24" s="1526" t="s">
        <v>2726</v>
      </c>
      <c r="D24" s="525" t="s">
        <v>1109</v>
      </c>
      <c r="E24" s="526" t="s">
        <v>1099</v>
      </c>
      <c r="F24" s="528"/>
      <c r="G24" s="528"/>
      <c r="H24" s="528"/>
      <c r="I24" s="528"/>
      <c r="J24" s="524"/>
    </row>
    <row r="25" spans="1:13" ht="76.8">
      <c r="B25" s="1522"/>
      <c r="C25" s="1526" t="s">
        <v>2727</v>
      </c>
      <c r="D25" s="525" t="s">
        <v>1110</v>
      </c>
      <c r="E25" s="526" t="s">
        <v>1099</v>
      </c>
      <c r="F25" s="528"/>
      <c r="G25" s="528"/>
      <c r="H25" s="528"/>
      <c r="I25" s="528"/>
      <c r="J25" s="524"/>
    </row>
    <row r="26" spans="1:13" ht="57.6">
      <c r="B26" s="1522"/>
      <c r="C26" s="1526" t="s">
        <v>2728</v>
      </c>
      <c r="D26" s="525" t="s">
        <v>1111</v>
      </c>
      <c r="E26" s="526" t="s">
        <v>1099</v>
      </c>
      <c r="F26" s="528"/>
      <c r="G26" s="528"/>
      <c r="H26" s="528"/>
      <c r="I26" s="528"/>
      <c r="J26" s="524"/>
    </row>
    <row r="27" spans="1:13" ht="19.2">
      <c r="B27" s="1522">
        <v>9</v>
      </c>
      <c r="C27" s="1427" t="s">
        <v>2729</v>
      </c>
      <c r="D27" s="538" t="s">
        <v>975</v>
      </c>
      <c r="E27" s="526"/>
      <c r="F27" s="528"/>
      <c r="G27" s="528"/>
      <c r="H27" s="528"/>
      <c r="I27" s="528"/>
      <c r="J27" s="524"/>
    </row>
    <row r="28" spans="1:13" ht="96">
      <c r="B28" s="1522"/>
      <c r="C28" s="1526" t="s">
        <v>2734</v>
      </c>
      <c r="D28" s="525" t="s">
        <v>974</v>
      </c>
      <c r="E28" s="526" t="s">
        <v>864</v>
      </c>
      <c r="F28" s="528">
        <v>1</v>
      </c>
      <c r="G28" s="528"/>
      <c r="H28" s="528"/>
      <c r="I28" s="528"/>
      <c r="J28" s="524"/>
    </row>
    <row r="29" spans="1:13" ht="57.6">
      <c r="A29" s="521" t="s">
        <v>1185</v>
      </c>
      <c r="B29" s="1523"/>
      <c r="C29" s="1432" t="s">
        <v>2730</v>
      </c>
      <c r="D29" s="769" t="s">
        <v>1176</v>
      </c>
      <c r="E29" s="770"/>
      <c r="F29" s="771"/>
      <c r="G29" s="771"/>
      <c r="H29" s="771"/>
      <c r="I29" s="771"/>
      <c r="J29" s="772"/>
    </row>
    <row r="30" spans="1:13" ht="19.2">
      <c r="A30" s="236"/>
      <c r="B30" s="1523"/>
      <c r="C30" s="1527" t="s">
        <v>2732</v>
      </c>
      <c r="D30" s="769" t="s">
        <v>1166</v>
      </c>
      <c r="E30" s="770" t="s">
        <v>1167</v>
      </c>
      <c r="F30" s="771">
        <v>1</v>
      </c>
      <c r="G30" s="771"/>
      <c r="H30" s="771"/>
      <c r="I30" s="771"/>
      <c r="J30" s="772"/>
    </row>
    <row r="31" spans="1:13" ht="19.2">
      <c r="A31" s="236"/>
      <c r="B31" s="1523"/>
      <c r="C31" s="1527" t="s">
        <v>2733</v>
      </c>
      <c r="D31" s="769" t="s">
        <v>1168</v>
      </c>
      <c r="E31" s="770" t="s">
        <v>1167</v>
      </c>
      <c r="F31" s="771">
        <v>1</v>
      </c>
      <c r="G31" s="771"/>
      <c r="H31" s="771"/>
      <c r="I31" s="771"/>
      <c r="J31" s="772"/>
    </row>
    <row r="32" spans="1:13" ht="77.400000000000006" thickBot="1">
      <c r="A32" s="521" t="s">
        <v>1185</v>
      </c>
      <c r="B32" s="1524"/>
      <c r="C32" s="1432" t="s">
        <v>2731</v>
      </c>
      <c r="D32" s="1525" t="s">
        <v>1175</v>
      </c>
      <c r="E32" s="773" t="s">
        <v>1169</v>
      </c>
      <c r="F32" s="773">
        <v>1</v>
      </c>
      <c r="G32" s="774"/>
      <c r="H32" s="774"/>
      <c r="I32" s="774"/>
      <c r="J32" s="775"/>
    </row>
    <row r="41" spans="5:5">
      <c r="E41" s="1" t="s">
        <v>787</v>
      </c>
    </row>
  </sheetData>
  <mergeCells count="8">
    <mergeCell ref="B6:B7"/>
    <mergeCell ref="C4:G4"/>
    <mergeCell ref="C5:G5"/>
    <mergeCell ref="C6:C7"/>
    <mergeCell ref="D6:D7"/>
    <mergeCell ref="E6:E7"/>
    <mergeCell ref="F6:F7"/>
    <mergeCell ref="G6:H6"/>
  </mergeCells>
  <printOptions horizontalCentered="1"/>
  <pageMargins left="0.7" right="0.7" top="0.75" bottom="0.75" header="0.3" footer="0.3"/>
  <pageSetup paperSize="9" scale="45" orientation="landscape" r:id="rId1"/>
  <headerFooter>
    <oddHeader xml:space="preserve">&amp;L&amp;"Gill Sans MT,Italic"Rahughat Mangale Hydroelectric Project
Tundi Power Company Pvt. Ltd.&amp;R&amp;"Gill Sans MT,Italic"Bidding Documents for Construction of Civil Works
Volume IV: Bill of Quantities
&amp;"Arial,Regular"
</oddHeader>
    <oddFooter xml:space="preserve">&amp;L&amp;"Gill Sans MT,Italic"
Company:
Seal:&amp;C&amp;"Gill Sans MT,Italic"Signature:
Name of Signatory:
Designation:
</oddFooter>
  </headerFooter>
  <rowBreaks count="1" manualBreakCount="1">
    <brk id="22" min="1" max="9" man="1"/>
  </row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499984740745262"/>
  </sheetPr>
  <dimension ref="A1:BZ854"/>
  <sheetViews>
    <sheetView tabSelected="1" topLeftCell="A45" workbookViewId="0">
      <selection activeCell="D69" sqref="D69"/>
    </sheetView>
  </sheetViews>
  <sheetFormatPr defaultColWidth="8.88671875" defaultRowHeight="18"/>
  <cols>
    <col min="1" max="1" width="14.5546875" style="1601" customWidth="1"/>
    <col min="2" max="2" width="54.5546875" style="217" customWidth="1"/>
    <col min="3" max="3" width="8" style="1588" bestFit="1" customWidth="1"/>
    <col min="4" max="4" width="14.44140625" style="1731" customWidth="1"/>
    <col min="5" max="5" width="15.88671875" style="1636" customWidth="1"/>
    <col min="6" max="6" width="23.109375" style="1589" customWidth="1"/>
    <col min="7" max="7" width="16.88671875" style="2019" customWidth="1"/>
    <col min="8" max="8" width="16.109375" style="1588" customWidth="1"/>
    <col min="9" max="9" width="10.5546875" style="217" customWidth="1"/>
    <col min="10" max="10" width="10.109375" style="217" customWidth="1"/>
    <col min="11" max="11" width="19.5546875" style="217" customWidth="1"/>
    <col min="12" max="12" width="29.33203125" style="217" customWidth="1"/>
    <col min="13" max="13" width="28.5546875" style="217" customWidth="1"/>
    <col min="14" max="14" width="22.88671875" style="217" bestFit="1" customWidth="1"/>
    <col min="15" max="15" width="8.88671875" style="217"/>
    <col min="16" max="16" width="15" style="217" bestFit="1" customWidth="1"/>
    <col min="17" max="19" width="8.88671875" style="217"/>
    <col min="20" max="20" width="15.5546875" style="217" bestFit="1" customWidth="1"/>
    <col min="21" max="22" width="8.88671875" style="217"/>
    <col min="23" max="23" width="18.6640625" style="217" bestFit="1" customWidth="1"/>
    <col min="24" max="16384" width="8.88671875" style="217"/>
  </cols>
  <sheetData>
    <row r="1" spans="1:11">
      <c r="I1" s="220"/>
      <c r="J1" s="220"/>
    </row>
    <row r="2" spans="1:11" ht="35.25" customHeight="1">
      <c r="I2" s="220"/>
      <c r="J2" s="220"/>
    </row>
    <row r="3" spans="1:11">
      <c r="A3" s="320" t="s">
        <v>0</v>
      </c>
      <c r="B3" s="1637" t="s">
        <v>1564</v>
      </c>
      <c r="G3" s="2020" t="s">
        <v>1561</v>
      </c>
      <c r="H3" s="1588" t="s">
        <v>2793</v>
      </c>
      <c r="I3" s="220"/>
      <c r="J3" s="220"/>
    </row>
    <row r="4" spans="1:11">
      <c r="A4" s="321" t="s">
        <v>1</v>
      </c>
      <c r="B4" s="1637">
        <v>930100</v>
      </c>
      <c r="G4" s="2020" t="s">
        <v>171</v>
      </c>
      <c r="H4" s="1588" t="s">
        <v>2388</v>
      </c>
      <c r="I4" s="220"/>
      <c r="J4" s="220"/>
    </row>
    <row r="5" spans="1:11">
      <c r="A5" s="321" t="s">
        <v>2</v>
      </c>
      <c r="B5" s="1381" t="s">
        <v>331</v>
      </c>
      <c r="G5" s="2020" t="s">
        <v>113</v>
      </c>
      <c r="H5" s="1588" t="s">
        <v>2387</v>
      </c>
      <c r="I5" s="220"/>
      <c r="J5" s="220"/>
    </row>
    <row r="6" spans="1:11">
      <c r="A6" s="321" t="s">
        <v>3</v>
      </c>
      <c r="B6" s="1381" t="s">
        <v>2905</v>
      </c>
      <c r="G6" s="2020" t="s">
        <v>106</v>
      </c>
      <c r="H6" s="1639">
        <f ca="1">TODAY()</f>
        <v>44942</v>
      </c>
      <c r="I6" s="220"/>
      <c r="J6" s="220"/>
    </row>
    <row r="7" spans="1:11">
      <c r="A7" s="217"/>
      <c r="G7" s="2021"/>
      <c r="H7" s="217"/>
      <c r="I7" s="220"/>
      <c r="J7" s="220"/>
    </row>
    <row r="8" spans="1:11" ht="17.25" customHeight="1">
      <c r="A8" s="2339" t="s">
        <v>237</v>
      </c>
      <c r="B8" s="1797" t="s">
        <v>8</v>
      </c>
      <c r="C8" s="1797" t="s">
        <v>9</v>
      </c>
      <c r="D8" s="1797" t="s">
        <v>861</v>
      </c>
      <c r="E8" s="1797" t="s">
        <v>2799</v>
      </c>
      <c r="F8" s="1797"/>
      <c r="G8" s="2022" t="s">
        <v>2766</v>
      </c>
      <c r="H8" s="1563" t="s">
        <v>17</v>
      </c>
      <c r="I8" s="2352" t="s">
        <v>1589</v>
      </c>
      <c r="J8" s="2354" t="s">
        <v>857</v>
      </c>
    </row>
    <row r="9" spans="1:11">
      <c r="A9" s="2339"/>
      <c r="B9" s="1797"/>
      <c r="C9" s="1797"/>
      <c r="D9" s="1797"/>
      <c r="E9" s="1797" t="s">
        <v>862</v>
      </c>
      <c r="F9" s="1797" t="s">
        <v>863</v>
      </c>
      <c r="G9" s="2022" t="s">
        <v>287</v>
      </c>
      <c r="H9" s="1563"/>
      <c r="I9" s="2353"/>
      <c r="J9" s="2355"/>
    </row>
    <row r="10" spans="1:11" ht="36">
      <c r="A10" s="1797"/>
      <c r="B10" s="1568" t="s">
        <v>3104</v>
      </c>
      <c r="C10" s="1797"/>
      <c r="D10" s="1797"/>
      <c r="E10" s="1797"/>
      <c r="F10" s="1797"/>
      <c r="G10" s="2022"/>
      <c r="H10" s="1563"/>
      <c r="I10" s="1849"/>
      <c r="J10" s="1798"/>
    </row>
    <row r="11" spans="1:11">
      <c r="A11" s="1797" t="s">
        <v>1607</v>
      </c>
      <c r="B11" s="1568" t="s">
        <v>3089</v>
      </c>
      <c r="C11" s="1797"/>
      <c r="D11" s="1797"/>
      <c r="E11" s="1797"/>
      <c r="F11" s="1797"/>
      <c r="G11" s="2022"/>
      <c r="H11" s="1563"/>
      <c r="I11" s="1849"/>
      <c r="J11" s="1798"/>
    </row>
    <row r="12" spans="1:11">
      <c r="A12" s="1722" t="s">
        <v>1611</v>
      </c>
      <c r="B12" s="1723" t="s">
        <v>2803</v>
      </c>
      <c r="C12" s="66"/>
      <c r="D12" s="1733"/>
      <c r="E12" s="1797"/>
      <c r="F12" s="1797"/>
      <c r="G12" s="2022"/>
      <c r="H12" s="1563"/>
      <c r="I12" s="1850"/>
      <c r="J12" s="220"/>
    </row>
    <row r="13" spans="1:11" ht="216">
      <c r="A13" s="75" t="s">
        <v>2800</v>
      </c>
      <c r="B13" s="1725" t="s">
        <v>3091</v>
      </c>
      <c r="C13" s="66" t="s">
        <v>1099</v>
      </c>
      <c r="D13" s="1733">
        <v>1</v>
      </c>
      <c r="E13" s="2008">
        <v>65000000</v>
      </c>
      <c r="F13" s="1797"/>
      <c r="G13" s="2022">
        <f>E13*D13</f>
        <v>65000000</v>
      </c>
      <c r="H13" s="1563"/>
      <c r="I13" s="1851"/>
      <c r="J13" s="1564"/>
    </row>
    <row r="14" spans="1:11" s="2286" customFormat="1" ht="36">
      <c r="A14" s="2279" t="s">
        <v>2801</v>
      </c>
      <c r="B14" s="1800" t="s">
        <v>3097</v>
      </c>
      <c r="C14" s="1801" t="s">
        <v>2804</v>
      </c>
      <c r="D14" s="1802">
        <v>36</v>
      </c>
      <c r="E14" s="2280">
        <v>300000</v>
      </c>
      <c r="F14" s="2281"/>
      <c r="G14" s="2282">
        <f>E14*D14</f>
        <v>10800000</v>
      </c>
      <c r="H14" s="2283"/>
      <c r="I14" s="2284"/>
      <c r="J14" s="2285"/>
      <c r="K14" s="2286">
        <v>150000</v>
      </c>
    </row>
    <row r="15" spans="1:11" ht="54">
      <c r="A15" s="75" t="s">
        <v>2802</v>
      </c>
      <c r="B15" s="1723" t="s">
        <v>2853</v>
      </c>
      <c r="C15" s="66" t="s">
        <v>1099</v>
      </c>
      <c r="D15" s="1733">
        <v>1</v>
      </c>
      <c r="E15" s="1564">
        <v>6500000</v>
      </c>
      <c r="F15" s="1797"/>
      <c r="G15" s="2022">
        <f>E15*D15</f>
        <v>6500000</v>
      </c>
      <c r="H15" s="1563"/>
      <c r="I15" s="1853"/>
      <c r="J15" s="1593"/>
    </row>
    <row r="16" spans="1:11">
      <c r="A16" s="1722" t="s">
        <v>2814</v>
      </c>
      <c r="B16" s="1723" t="s">
        <v>960</v>
      </c>
      <c r="C16" s="1724" t="s">
        <v>864</v>
      </c>
      <c r="D16" s="1733">
        <v>1</v>
      </c>
      <c r="E16" s="1550"/>
      <c r="F16" s="1797"/>
      <c r="G16" s="2022"/>
      <c r="H16" s="1563"/>
      <c r="I16" s="1850"/>
      <c r="J16" s="220"/>
    </row>
    <row r="17" spans="1:11" ht="36">
      <c r="A17" s="75" t="s">
        <v>2806</v>
      </c>
      <c r="B17" s="1725" t="s">
        <v>3099</v>
      </c>
      <c r="C17" s="1724" t="s">
        <v>864</v>
      </c>
      <c r="D17" s="1733">
        <v>1</v>
      </c>
      <c r="E17" s="1810">
        <v>5940000</v>
      </c>
      <c r="F17" s="1797"/>
      <c r="G17" s="2022">
        <f>E17*D17</f>
        <v>5940000</v>
      </c>
      <c r="H17" s="1563"/>
      <c r="I17" s="1852"/>
      <c r="J17" s="1593"/>
    </row>
    <row r="18" spans="1:11">
      <c r="A18" s="75" t="s">
        <v>2807</v>
      </c>
      <c r="B18" s="1725" t="s">
        <v>963</v>
      </c>
      <c r="C18" s="1724" t="s">
        <v>864</v>
      </c>
      <c r="D18" s="1733">
        <v>1</v>
      </c>
      <c r="E18" s="1810">
        <v>990000</v>
      </c>
      <c r="F18" s="1797"/>
      <c r="G18" s="2022">
        <f>E18*D18</f>
        <v>990000</v>
      </c>
      <c r="H18" s="1563"/>
      <c r="I18" s="1852"/>
      <c r="J18" s="1593"/>
    </row>
    <row r="19" spans="1:11" ht="54">
      <c r="A19" s="75" t="s">
        <v>2808</v>
      </c>
      <c r="B19" s="1725" t="s">
        <v>964</v>
      </c>
      <c r="C19" s="66" t="s">
        <v>1099</v>
      </c>
      <c r="D19" s="1733">
        <v>1</v>
      </c>
      <c r="E19" s="1810">
        <v>990000</v>
      </c>
      <c r="F19" s="1797"/>
      <c r="G19" s="2022">
        <f>E19*D19</f>
        <v>990000</v>
      </c>
      <c r="H19" s="1563"/>
      <c r="I19" s="1852"/>
      <c r="J19" s="1593"/>
    </row>
    <row r="20" spans="1:11" ht="36">
      <c r="A20" s="75" t="s">
        <v>3088</v>
      </c>
      <c r="B20" s="1725" t="s">
        <v>3100</v>
      </c>
      <c r="C20" s="66" t="s">
        <v>1099</v>
      </c>
      <c r="D20" s="1733">
        <v>1</v>
      </c>
      <c r="E20" s="1550"/>
      <c r="F20" s="1797"/>
      <c r="G20" s="2022"/>
      <c r="H20" s="1563"/>
      <c r="I20" s="1852"/>
      <c r="J20" s="1593"/>
    </row>
    <row r="21" spans="1:11">
      <c r="A21" s="1722" t="s">
        <v>2813</v>
      </c>
      <c r="B21" s="1723" t="s">
        <v>3096</v>
      </c>
      <c r="C21" s="66"/>
      <c r="D21" s="1733"/>
      <c r="E21" s="1550"/>
      <c r="F21" s="1797"/>
      <c r="G21" s="2022"/>
      <c r="H21" s="1563"/>
      <c r="I21" s="1850"/>
      <c r="J21" s="220"/>
    </row>
    <row r="22" spans="1:11" s="2286" customFormat="1" ht="72">
      <c r="A22" s="2279" t="s">
        <v>2812</v>
      </c>
      <c r="B22" s="1800" t="s">
        <v>3092</v>
      </c>
      <c r="C22" s="1801" t="s">
        <v>2804</v>
      </c>
      <c r="D22" s="1802">
        <v>36</v>
      </c>
      <c r="E22" s="2280">
        <v>400000</v>
      </c>
      <c r="F22" s="2281"/>
      <c r="G22" s="2282">
        <f>E22*D22</f>
        <v>14400000</v>
      </c>
      <c r="H22" s="2283"/>
      <c r="I22" s="2284"/>
      <c r="J22" s="2285"/>
      <c r="K22" s="2286">
        <v>300000</v>
      </c>
    </row>
    <row r="23" spans="1:11">
      <c r="A23" s="1722" t="s">
        <v>2816</v>
      </c>
      <c r="B23" s="1723" t="s">
        <v>2818</v>
      </c>
      <c r="C23" s="66"/>
      <c r="D23" s="1733"/>
      <c r="E23" s="1550"/>
      <c r="F23" s="1797"/>
      <c r="G23" s="2022"/>
      <c r="H23" s="1563"/>
      <c r="I23" s="1850"/>
      <c r="J23" s="220"/>
    </row>
    <row r="24" spans="1:11" ht="54">
      <c r="A24" s="75" t="s">
        <v>2817</v>
      </c>
      <c r="B24" s="1725" t="s">
        <v>2819</v>
      </c>
      <c r="C24" s="66" t="s">
        <v>1099</v>
      </c>
      <c r="D24" s="1733">
        <v>1</v>
      </c>
      <c r="E24" s="1810">
        <v>1500000</v>
      </c>
      <c r="F24" s="1797"/>
      <c r="G24" s="2022">
        <f>E24*D24</f>
        <v>1500000</v>
      </c>
      <c r="H24" s="1563"/>
      <c r="I24" s="1852"/>
      <c r="J24" s="1593"/>
    </row>
    <row r="25" spans="1:11">
      <c r="A25" s="1722" t="s">
        <v>2821</v>
      </c>
      <c r="B25" s="1723" t="s">
        <v>1106</v>
      </c>
      <c r="C25" s="66"/>
      <c r="D25" s="1733"/>
      <c r="E25" s="1550"/>
      <c r="F25" s="1797"/>
      <c r="G25" s="2022"/>
      <c r="H25" s="1563"/>
      <c r="I25" s="1850"/>
      <c r="J25" s="220"/>
    </row>
    <row r="26" spans="1:11" ht="54">
      <c r="A26" s="75" t="s">
        <v>2822</v>
      </c>
      <c r="B26" s="1725" t="s">
        <v>1180</v>
      </c>
      <c r="C26" s="66" t="s">
        <v>1099</v>
      </c>
      <c r="D26" s="1733">
        <v>1</v>
      </c>
      <c r="E26" s="1810">
        <v>4450000</v>
      </c>
      <c r="F26" s="1797"/>
      <c r="G26" s="2022">
        <f t="shared" ref="G26:G31" si="0">E26*D26</f>
        <v>4450000</v>
      </c>
      <c r="H26" s="1563"/>
      <c r="I26" s="1852"/>
      <c r="J26" s="1593"/>
    </row>
    <row r="27" spans="1:11" ht="72">
      <c r="A27" s="75" t="s">
        <v>2823</v>
      </c>
      <c r="B27" s="1725" t="s">
        <v>2815</v>
      </c>
      <c r="C27" s="66" t="s">
        <v>2804</v>
      </c>
      <c r="D27" s="1733">
        <v>36</v>
      </c>
      <c r="E27" s="1810">
        <v>385000</v>
      </c>
      <c r="F27" s="1797"/>
      <c r="G27" s="2022">
        <f t="shared" si="0"/>
        <v>13860000</v>
      </c>
      <c r="H27" s="1563"/>
      <c r="I27" s="1852"/>
      <c r="J27" s="1593"/>
    </row>
    <row r="28" spans="1:11" ht="36">
      <c r="A28" s="75" t="s">
        <v>2824</v>
      </c>
      <c r="B28" s="1725" t="s">
        <v>2828</v>
      </c>
      <c r="C28" s="66" t="s">
        <v>305</v>
      </c>
      <c r="D28" s="1733">
        <v>1</v>
      </c>
      <c r="E28" s="1810">
        <v>2000000</v>
      </c>
      <c r="F28" s="1797"/>
      <c r="G28" s="2022">
        <f t="shared" si="0"/>
        <v>2000000</v>
      </c>
      <c r="H28" s="1563"/>
      <c r="I28" s="1852"/>
      <c r="J28" s="1593"/>
    </row>
    <row r="29" spans="1:11" ht="72">
      <c r="A29" s="75" t="s">
        <v>2825</v>
      </c>
      <c r="B29" s="1725" t="s">
        <v>2829</v>
      </c>
      <c r="C29" s="66" t="s">
        <v>2804</v>
      </c>
      <c r="D29" s="1733">
        <v>36</v>
      </c>
      <c r="E29" s="1810">
        <v>80000</v>
      </c>
      <c r="F29" s="1797"/>
      <c r="G29" s="2022">
        <f t="shared" si="0"/>
        <v>2880000</v>
      </c>
      <c r="H29" s="1563"/>
      <c r="I29" s="1852"/>
      <c r="J29" s="1593"/>
    </row>
    <row r="30" spans="1:11" ht="72">
      <c r="A30" s="75" t="s">
        <v>2826</v>
      </c>
      <c r="B30" s="1725" t="s">
        <v>2854</v>
      </c>
      <c r="C30" s="66" t="s">
        <v>2804</v>
      </c>
      <c r="D30" s="1733">
        <v>36</v>
      </c>
      <c r="E30" s="1810">
        <v>700000</v>
      </c>
      <c r="F30" s="1797"/>
      <c r="G30" s="2022">
        <f t="shared" si="0"/>
        <v>25200000</v>
      </c>
      <c r="H30" s="1563"/>
      <c r="I30" s="1852"/>
      <c r="J30" s="1593"/>
    </row>
    <row r="31" spans="1:11" ht="36">
      <c r="A31" s="75" t="s">
        <v>2827</v>
      </c>
      <c r="B31" s="1725" t="s">
        <v>2820</v>
      </c>
      <c r="C31" s="66" t="s">
        <v>305</v>
      </c>
      <c r="D31" s="1733">
        <v>1</v>
      </c>
      <c r="E31" s="1810">
        <v>1500000</v>
      </c>
      <c r="F31" s="1797"/>
      <c r="G31" s="2022">
        <f t="shared" si="0"/>
        <v>1500000</v>
      </c>
      <c r="H31" s="1563"/>
      <c r="I31" s="1852"/>
      <c r="J31" s="1593"/>
    </row>
    <row r="32" spans="1:11">
      <c r="A32" s="1722" t="s">
        <v>2830</v>
      </c>
      <c r="B32" s="1723" t="s">
        <v>1108</v>
      </c>
      <c r="C32" s="66"/>
      <c r="D32" s="1733"/>
      <c r="E32" s="1550"/>
      <c r="F32" s="1797"/>
      <c r="G32" s="2022"/>
      <c r="H32" s="1563"/>
      <c r="I32" s="1852"/>
      <c r="J32" s="220"/>
    </row>
    <row r="33" spans="1:10" ht="36">
      <c r="A33" s="75" t="s">
        <v>2831</v>
      </c>
      <c r="B33" s="1725" t="s">
        <v>2832</v>
      </c>
      <c r="C33" s="66" t="s">
        <v>1099</v>
      </c>
      <c r="D33" s="1733">
        <v>1</v>
      </c>
      <c r="E33" s="1810">
        <v>7500000</v>
      </c>
      <c r="F33" s="1797"/>
      <c r="G33" s="2022">
        <f>E33*D33</f>
        <v>7500000</v>
      </c>
      <c r="H33" s="1563"/>
      <c r="I33" s="1852"/>
      <c r="J33" s="1593"/>
    </row>
    <row r="34" spans="1:10" ht="72">
      <c r="A34" s="75" t="s">
        <v>2837</v>
      </c>
      <c r="B34" s="1725" t="s">
        <v>1110</v>
      </c>
      <c r="C34" s="66" t="s">
        <v>1099</v>
      </c>
      <c r="D34" s="1733">
        <v>1</v>
      </c>
      <c r="E34" s="1810">
        <v>16500000</v>
      </c>
      <c r="F34" s="1797"/>
      <c r="G34" s="2022">
        <f>E34*D34</f>
        <v>16500000</v>
      </c>
      <c r="H34" s="1563"/>
      <c r="I34" s="1852"/>
      <c r="J34" s="1593"/>
    </row>
    <row r="35" spans="1:10" ht="54">
      <c r="A35" s="75" t="s">
        <v>2838</v>
      </c>
      <c r="B35" s="1725" t="s">
        <v>1111</v>
      </c>
      <c r="C35" s="66" t="s">
        <v>1099</v>
      </c>
      <c r="D35" s="1733">
        <v>1</v>
      </c>
      <c r="E35" s="1810">
        <v>7000000</v>
      </c>
      <c r="F35" s="1797"/>
      <c r="G35" s="2022">
        <f>E35*D35</f>
        <v>7000000</v>
      </c>
      <c r="H35" s="1563"/>
      <c r="I35" s="1852"/>
      <c r="J35" s="1593"/>
    </row>
    <row r="36" spans="1:10" ht="54">
      <c r="A36" s="1722" t="s">
        <v>2833</v>
      </c>
      <c r="B36" s="1723" t="s">
        <v>3093</v>
      </c>
      <c r="C36" s="66"/>
      <c r="D36" s="1733"/>
      <c r="E36" s="1550"/>
      <c r="F36" s="1797"/>
      <c r="G36" s="2022"/>
      <c r="H36" s="1563"/>
      <c r="I36" s="1852"/>
      <c r="J36" s="220"/>
    </row>
    <row r="37" spans="1:10">
      <c r="A37" s="75" t="s">
        <v>2836</v>
      </c>
      <c r="B37" s="1725" t="s">
        <v>1166</v>
      </c>
      <c r="C37" s="66" t="s">
        <v>1167</v>
      </c>
      <c r="D37" s="1733">
        <v>1</v>
      </c>
      <c r="E37" s="1810">
        <v>15</v>
      </c>
      <c r="F37" s="1797"/>
      <c r="G37" s="2022"/>
      <c r="H37" s="1563"/>
      <c r="I37" s="1852"/>
      <c r="J37" s="1593"/>
    </row>
    <row r="38" spans="1:10">
      <c r="A38" s="75" t="s">
        <v>3098</v>
      </c>
      <c r="B38" s="1725" t="s">
        <v>1168</v>
      </c>
      <c r="C38" s="66" t="s">
        <v>1167</v>
      </c>
      <c r="D38" s="1733">
        <v>1</v>
      </c>
      <c r="E38" s="1810">
        <v>45</v>
      </c>
      <c r="F38" s="1797"/>
      <c r="G38" s="2022"/>
      <c r="H38" s="1563"/>
      <c r="I38" s="1852"/>
      <c r="J38" s="1593"/>
    </row>
    <row r="39" spans="1:10">
      <c r="A39" s="75"/>
      <c r="B39" s="1725"/>
      <c r="C39" s="66"/>
      <c r="D39" s="1733"/>
      <c r="E39" s="1550"/>
      <c r="F39" s="1666" t="s">
        <v>3095</v>
      </c>
      <c r="G39" s="2023">
        <f>SUM(G13:G35)</f>
        <v>187010000</v>
      </c>
      <c r="I39" s="1852"/>
      <c r="J39" s="1828"/>
    </row>
    <row r="40" spans="1:10" ht="54">
      <c r="A40" s="1811" t="s">
        <v>1624</v>
      </c>
      <c r="B40" s="1568" t="s">
        <v>3090</v>
      </c>
      <c r="C40" s="66"/>
      <c r="D40" s="1733"/>
      <c r="E40" s="1550"/>
      <c r="F40" s="1805"/>
      <c r="G40" s="2024"/>
      <c r="H40" s="1563"/>
      <c r="I40" s="1854"/>
      <c r="J40" s="1542"/>
    </row>
    <row r="41" spans="1:10" ht="151.80000000000001">
      <c r="A41" s="1812" t="s">
        <v>3107</v>
      </c>
      <c r="B41" s="343" t="s">
        <v>3108</v>
      </c>
      <c r="C41" s="66" t="s">
        <v>305</v>
      </c>
      <c r="D41" s="1733">
        <v>1</v>
      </c>
      <c r="E41" s="2169">
        <v>20772244.230009377</v>
      </c>
      <c r="F41" s="1805"/>
      <c r="G41" s="2031">
        <f>E41*D41</f>
        <v>20772244.230009377</v>
      </c>
      <c r="H41" s="1563"/>
      <c r="I41" s="1855"/>
      <c r="J41" s="1542"/>
    </row>
    <row r="42" spans="1:10" ht="151.80000000000001">
      <c r="A42" s="1812" t="s">
        <v>3109</v>
      </c>
      <c r="B42" s="2438" t="s">
        <v>3253</v>
      </c>
      <c r="C42" s="66" t="s">
        <v>305</v>
      </c>
      <c r="D42" s="1733">
        <v>1</v>
      </c>
      <c r="E42" s="2169">
        <v>21692306.298937999</v>
      </c>
      <c r="F42" s="1805"/>
      <c r="G42" s="2031">
        <f t="shared" ref="G42:G43" si="1">E42*D42</f>
        <v>21692306.298937999</v>
      </c>
      <c r="H42" s="1563"/>
      <c r="I42" s="1855"/>
      <c r="J42" s="1542"/>
    </row>
    <row r="43" spans="1:10" s="1531" customFormat="1" ht="108">
      <c r="A43" s="1812" t="s">
        <v>3110</v>
      </c>
      <c r="B43" s="1725" t="s">
        <v>3111</v>
      </c>
      <c r="C43" s="66" t="s">
        <v>864</v>
      </c>
      <c r="D43" s="1733">
        <v>1</v>
      </c>
      <c r="E43" s="2169">
        <v>15000000</v>
      </c>
      <c r="F43" s="1797"/>
      <c r="G43" s="2031">
        <f t="shared" si="1"/>
        <v>15000000</v>
      </c>
      <c r="H43" s="1563"/>
      <c r="I43" s="1851"/>
      <c r="J43" s="1542"/>
    </row>
    <row r="44" spans="1:10">
      <c r="A44" s="220"/>
      <c r="B44" s="220"/>
      <c r="C44" s="220"/>
      <c r="D44" s="220"/>
      <c r="E44" s="1565"/>
      <c r="F44" s="1666" t="s">
        <v>3094</v>
      </c>
      <c r="G44" s="1666">
        <f>SUM(G41:G43)</f>
        <v>57464550.528947376</v>
      </c>
      <c r="H44" s="220"/>
      <c r="I44" s="1850"/>
      <c r="J44" s="1806"/>
    </row>
    <row r="45" spans="1:10" s="1531" customFormat="1">
      <c r="A45" s="1813"/>
      <c r="B45" s="1700" t="s">
        <v>2909</v>
      </c>
      <c r="C45" s="1701"/>
      <c r="D45" s="1735"/>
      <c r="E45" s="2009"/>
      <c r="F45" s="1703"/>
      <c r="G45" s="2025"/>
      <c r="H45" s="1701"/>
      <c r="I45" s="1856"/>
      <c r="J45" s="1718"/>
    </row>
    <row r="46" spans="1:10" s="1531" customFormat="1">
      <c r="A46" s="1814" t="s">
        <v>1672</v>
      </c>
      <c r="B46" s="1761" t="s">
        <v>3077</v>
      </c>
      <c r="C46" s="1762"/>
      <c r="D46" s="1738"/>
      <c r="E46" s="2001"/>
      <c r="F46" s="1536"/>
      <c r="G46" s="2026"/>
      <c r="H46" s="1534"/>
      <c r="I46" s="1857"/>
      <c r="J46" s="1543"/>
    </row>
    <row r="47" spans="1:10" s="1567" customFormat="1">
      <c r="A47" s="1815" t="s">
        <v>2632</v>
      </c>
      <c r="B47" s="1548" t="s">
        <v>18</v>
      </c>
      <c r="C47" s="1572"/>
      <c r="D47" s="1547"/>
      <c r="E47" s="2005"/>
      <c r="F47" s="1573"/>
      <c r="G47" s="2027"/>
      <c r="H47" s="1816"/>
      <c r="I47" s="1858"/>
      <c r="J47" s="1543"/>
    </row>
    <row r="48" spans="1:10" s="1567" customFormat="1" ht="72">
      <c r="A48" s="75" t="s">
        <v>2633</v>
      </c>
      <c r="B48" s="1555" t="s">
        <v>2847</v>
      </c>
      <c r="C48" s="1530" t="s">
        <v>19</v>
      </c>
      <c r="D48" s="1547">
        <v>1028.5</v>
      </c>
      <c r="E48" s="2010">
        <v>40.5</v>
      </c>
      <c r="F48" s="1642"/>
      <c r="G48" s="2028">
        <f>E48*D48</f>
        <v>41654.25</v>
      </c>
      <c r="H48" s="1816"/>
      <c r="I48" s="1859"/>
      <c r="J48" s="1543"/>
    </row>
    <row r="49" spans="1:11" s="1567" customFormat="1" ht="72">
      <c r="A49" s="1817" t="s">
        <v>1677</v>
      </c>
      <c r="B49" s="1544" t="s">
        <v>2849</v>
      </c>
      <c r="C49" s="1530"/>
      <c r="D49" s="1547"/>
      <c r="E49" s="2005"/>
      <c r="F49" s="1642"/>
      <c r="G49" s="2028"/>
      <c r="H49" s="1816"/>
      <c r="I49" s="1859"/>
      <c r="J49" s="1543"/>
    </row>
    <row r="50" spans="1:11" s="1567" customFormat="1">
      <c r="A50" s="1818" t="s">
        <v>1613</v>
      </c>
      <c r="B50" s="220" t="s">
        <v>1632</v>
      </c>
      <c r="C50" s="1530" t="s">
        <v>21</v>
      </c>
      <c r="D50" s="1547">
        <v>1020.8000000000001</v>
      </c>
      <c r="E50" s="2010">
        <v>358.66</v>
      </c>
      <c r="F50" s="1642"/>
      <c r="G50" s="2028">
        <f t="shared" ref="G50:G63" si="2">E50*D50</f>
        <v>366120.12800000003</v>
      </c>
      <c r="H50" s="1816"/>
      <c r="I50" s="1857"/>
      <c r="J50" s="1543"/>
    </row>
    <row r="51" spans="1:11" s="1567" customFormat="1">
      <c r="A51" s="1818" t="s">
        <v>2112</v>
      </c>
      <c r="B51" s="220" t="s">
        <v>1634</v>
      </c>
      <c r="C51" s="1530" t="s">
        <v>21</v>
      </c>
      <c r="D51" s="1547">
        <v>1531.2</v>
      </c>
      <c r="E51" s="2010">
        <v>1385.23</v>
      </c>
      <c r="F51" s="1642"/>
      <c r="G51" s="2028">
        <f t="shared" si="2"/>
        <v>2121064.176</v>
      </c>
      <c r="H51" s="1816"/>
      <c r="I51" s="1857"/>
      <c r="J51" s="1543"/>
    </row>
    <row r="52" spans="1:11" s="1567" customFormat="1">
      <c r="A52" s="1817" t="s">
        <v>1679</v>
      </c>
      <c r="B52" s="313" t="s">
        <v>31</v>
      </c>
      <c r="C52" s="1530"/>
      <c r="D52" s="1547"/>
      <c r="E52" s="2005"/>
      <c r="F52" s="1642"/>
      <c r="G52" s="2028"/>
      <c r="H52" s="1816"/>
      <c r="I52" s="1859"/>
      <c r="J52" s="1543"/>
    </row>
    <row r="53" spans="1:11" s="1567" customFormat="1" ht="54">
      <c r="A53" s="1818" t="s">
        <v>1680</v>
      </c>
      <c r="B53" s="1545" t="s">
        <v>2862</v>
      </c>
      <c r="C53" s="1530" t="s">
        <v>21</v>
      </c>
      <c r="D53" s="1547">
        <v>255.2</v>
      </c>
      <c r="E53" s="2010">
        <v>217.5</v>
      </c>
      <c r="F53" s="1642"/>
      <c r="G53" s="2028">
        <f t="shared" si="2"/>
        <v>55506</v>
      </c>
      <c r="H53" s="1816"/>
      <c r="I53" s="1859"/>
      <c r="J53" s="1543"/>
    </row>
    <row r="54" spans="1:11" s="1531" customFormat="1">
      <c r="A54" s="1817" t="s">
        <v>1677</v>
      </c>
      <c r="B54" s="313" t="s">
        <v>1929</v>
      </c>
      <c r="C54" s="1530"/>
      <c r="D54" s="1542"/>
      <c r="E54" s="1565"/>
      <c r="F54" s="332"/>
      <c r="G54" s="2028"/>
      <c r="H54" s="1563"/>
      <c r="I54" s="1859"/>
      <c r="J54" s="1543"/>
    </row>
    <row r="55" spans="1:11" s="1531" customFormat="1" ht="54">
      <c r="A55" s="1818" t="s">
        <v>1613</v>
      </c>
      <c r="B55" s="1550" t="s">
        <v>2896</v>
      </c>
      <c r="C55" s="1530" t="s">
        <v>311</v>
      </c>
      <c r="D55" s="1542">
        <v>330</v>
      </c>
      <c r="E55" s="1564">
        <v>6134</v>
      </c>
      <c r="F55" s="332"/>
      <c r="G55" s="2028">
        <f t="shared" si="2"/>
        <v>2024220</v>
      </c>
      <c r="H55" s="1563"/>
      <c r="I55" s="1859"/>
      <c r="J55" s="1543"/>
    </row>
    <row r="56" spans="1:11" s="1531" customFormat="1">
      <c r="A56" s="1815" t="s">
        <v>1679</v>
      </c>
      <c r="B56" s="313" t="s">
        <v>1872</v>
      </c>
      <c r="C56" s="1530"/>
      <c r="D56" s="1542"/>
      <c r="E56" s="1565"/>
      <c r="F56" s="332"/>
      <c r="G56" s="2028"/>
      <c r="H56" s="1563"/>
      <c r="I56" s="1859"/>
      <c r="J56" s="1543"/>
    </row>
    <row r="57" spans="1:11" s="1531" customFormat="1" ht="54">
      <c r="A57" s="1818" t="s">
        <v>1680</v>
      </c>
      <c r="B57" s="1550" t="s">
        <v>2897</v>
      </c>
      <c r="C57" s="1530" t="s">
        <v>19</v>
      </c>
      <c r="D57" s="1542">
        <v>550</v>
      </c>
      <c r="E57" s="1564">
        <v>5831.9000000000005</v>
      </c>
      <c r="F57" s="332"/>
      <c r="G57" s="2028">
        <f t="shared" si="2"/>
        <v>3207545.0000000005</v>
      </c>
      <c r="H57" s="1563"/>
      <c r="I57" s="1859"/>
      <c r="J57" s="1543"/>
    </row>
    <row r="58" spans="1:11" s="1531" customFormat="1" ht="54">
      <c r="A58" s="1815" t="s">
        <v>1682</v>
      </c>
      <c r="B58" s="1550" t="s">
        <v>2735</v>
      </c>
      <c r="C58" s="1530"/>
      <c r="D58" s="1542"/>
      <c r="E58" s="1565"/>
      <c r="F58" s="332"/>
      <c r="G58" s="2028"/>
      <c r="H58" s="1563"/>
      <c r="I58" s="1859"/>
      <c r="J58" s="1543"/>
    </row>
    <row r="59" spans="1:11" s="1531" customFormat="1">
      <c r="A59" s="1818" t="s">
        <v>1683</v>
      </c>
      <c r="B59" s="1529" t="s">
        <v>2922</v>
      </c>
      <c r="C59" s="1530" t="s">
        <v>21</v>
      </c>
      <c r="D59" s="1542">
        <v>70.125</v>
      </c>
      <c r="E59" s="1564">
        <v>13187.5</v>
      </c>
      <c r="F59" s="332"/>
      <c r="G59" s="2028">
        <f t="shared" si="2"/>
        <v>924773.4375</v>
      </c>
      <c r="H59" s="1563"/>
      <c r="I59" s="1854"/>
      <c r="J59" s="1543"/>
    </row>
    <row r="60" spans="1:11">
      <c r="A60" s="1818" t="s">
        <v>3101</v>
      </c>
      <c r="B60" s="220" t="s">
        <v>3102</v>
      </c>
      <c r="C60" s="1530" t="s">
        <v>21</v>
      </c>
      <c r="D60" s="1742">
        <v>450</v>
      </c>
      <c r="E60" s="2108">
        <v>18375.5</v>
      </c>
      <c r="F60" s="1613"/>
      <c r="G60" s="2028">
        <f t="shared" si="2"/>
        <v>8268975</v>
      </c>
      <c r="H60" s="66"/>
      <c r="I60" s="1853"/>
      <c r="J60" s="1543"/>
    </row>
    <row r="61" spans="1:11" s="1644" customFormat="1" ht="54">
      <c r="A61" s="1722" t="s">
        <v>1684</v>
      </c>
      <c r="B61" s="1538" t="s">
        <v>2899</v>
      </c>
      <c r="C61" s="1530" t="s">
        <v>311</v>
      </c>
      <c r="D61" s="1542">
        <v>325</v>
      </c>
      <c r="E61" s="2439">
        <v>618</v>
      </c>
      <c r="F61" s="332"/>
      <c r="G61" s="2028">
        <f t="shared" si="2"/>
        <v>200850</v>
      </c>
      <c r="H61" s="1819"/>
      <c r="I61" s="1860"/>
      <c r="J61" s="1543"/>
    </row>
    <row r="62" spans="1:11" s="1531" customFormat="1" ht="54">
      <c r="A62" s="1815" t="s">
        <v>1690</v>
      </c>
      <c r="B62" s="1545" t="s">
        <v>2737</v>
      </c>
      <c r="C62" s="1530"/>
      <c r="D62" s="1542"/>
      <c r="E62" s="2440"/>
      <c r="F62" s="332"/>
      <c r="G62" s="2028"/>
      <c r="H62" s="1563"/>
      <c r="I62" s="1859"/>
      <c r="J62" s="1543"/>
    </row>
    <row r="63" spans="1:11" s="1531" customFormat="1">
      <c r="A63" s="75" t="s">
        <v>1691</v>
      </c>
      <c r="B63" s="1546" t="s">
        <v>2102</v>
      </c>
      <c r="C63" s="1530" t="s">
        <v>21</v>
      </c>
      <c r="D63" s="1542">
        <v>935</v>
      </c>
      <c r="E63" s="2439">
        <v>4550</v>
      </c>
      <c r="F63" s="332"/>
      <c r="G63" s="2028">
        <f t="shared" si="2"/>
        <v>4254250</v>
      </c>
      <c r="H63" s="1563"/>
      <c r="I63" s="1859"/>
      <c r="J63" s="1543"/>
    </row>
    <row r="64" spans="1:11" s="1531" customFormat="1" ht="17.25" customHeight="1">
      <c r="A64" s="1722"/>
      <c r="B64" s="1529"/>
      <c r="C64" s="1530"/>
      <c r="D64" s="1686"/>
      <c r="E64" s="1565"/>
      <c r="F64" s="1666" t="s">
        <v>1483</v>
      </c>
      <c r="G64" s="2029">
        <f>SUM(G48:G63)</f>
        <v>21464957.991499998</v>
      </c>
      <c r="H64" s="1563"/>
      <c r="I64" s="1858"/>
      <c r="J64" s="1717"/>
      <c r="K64" s="1764"/>
    </row>
    <row r="65" spans="1:10" s="1531" customFormat="1">
      <c r="A65" s="1814" t="s">
        <v>1727</v>
      </c>
      <c r="B65" s="1533" t="s">
        <v>3078</v>
      </c>
      <c r="C65" s="1551"/>
      <c r="D65" s="1738"/>
      <c r="E65" s="2001"/>
      <c r="F65" s="1536"/>
      <c r="G65" s="2026"/>
      <c r="H65" s="1534"/>
      <c r="I65" s="1857"/>
      <c r="J65" s="1543"/>
    </row>
    <row r="66" spans="1:10" s="1531" customFormat="1">
      <c r="A66" s="1817" t="s">
        <v>1729</v>
      </c>
      <c r="B66" s="1538" t="s">
        <v>18</v>
      </c>
      <c r="C66" s="1539"/>
      <c r="D66" s="1739"/>
      <c r="E66" s="1565"/>
      <c r="F66" s="1540"/>
      <c r="G66" s="2030"/>
      <c r="H66" s="1820"/>
      <c r="I66" s="1857"/>
      <c r="J66" s="1543"/>
    </row>
    <row r="67" spans="1:10" s="1531" customFormat="1" ht="72">
      <c r="A67" s="1818" t="s">
        <v>1730</v>
      </c>
      <c r="B67" s="1555" t="s">
        <v>2855</v>
      </c>
      <c r="C67" s="1530" t="s">
        <v>19</v>
      </c>
      <c r="D67" s="1542">
        <v>1012</v>
      </c>
      <c r="E67" s="2010">
        <v>40.5</v>
      </c>
      <c r="F67" s="332"/>
      <c r="G67" s="2030">
        <f>D67*E67</f>
        <v>40986</v>
      </c>
      <c r="H67" s="1563"/>
      <c r="I67" s="1859"/>
      <c r="J67" s="1543"/>
    </row>
    <row r="68" spans="1:10" s="1531" customFormat="1" ht="72">
      <c r="A68" s="1817" t="s">
        <v>1731</v>
      </c>
      <c r="B68" s="1544" t="s">
        <v>2849</v>
      </c>
      <c r="C68" s="1530"/>
      <c r="D68" s="1542"/>
      <c r="E68" s="1565"/>
      <c r="F68" s="332"/>
      <c r="G68" s="2030"/>
      <c r="H68" s="1563"/>
      <c r="I68" s="1859"/>
      <c r="J68" s="1543"/>
    </row>
    <row r="69" spans="1:10">
      <c r="A69" s="1818" t="s">
        <v>1732</v>
      </c>
      <c r="B69" s="220" t="s">
        <v>1632</v>
      </c>
      <c r="C69" s="1530" t="s">
        <v>21</v>
      </c>
      <c r="D69" s="1542">
        <v>1921.2427777777777</v>
      </c>
      <c r="E69" s="1564">
        <v>358.66</v>
      </c>
      <c r="F69" s="220"/>
      <c r="G69" s="2030">
        <f t="shared" ref="G69:G95" si="3">D69*E69</f>
        <v>689072.93467777781</v>
      </c>
      <c r="H69" s="1683"/>
      <c r="I69" s="1857"/>
      <c r="J69" s="1543"/>
    </row>
    <row r="70" spans="1:10">
      <c r="A70" s="1818" t="s">
        <v>2848</v>
      </c>
      <c r="B70" s="220" t="s">
        <v>1634</v>
      </c>
      <c r="C70" s="1530" t="s">
        <v>21</v>
      </c>
      <c r="D70" s="1542">
        <v>1921.2427777777777</v>
      </c>
      <c r="E70" s="1564">
        <v>1385.23</v>
      </c>
      <c r="F70" s="220"/>
      <c r="G70" s="2030">
        <f t="shared" si="3"/>
        <v>2661363.133061111</v>
      </c>
      <c r="H70" s="1683"/>
      <c r="I70" s="1857"/>
      <c r="J70" s="1543"/>
    </row>
    <row r="71" spans="1:10">
      <c r="A71" s="1817" t="s">
        <v>1733</v>
      </c>
      <c r="B71" s="313" t="s">
        <v>31</v>
      </c>
      <c r="C71" s="1530"/>
      <c r="D71" s="1542"/>
      <c r="E71" s="1565"/>
      <c r="F71" s="220"/>
      <c r="G71" s="2030"/>
      <c r="H71" s="1683"/>
      <c r="I71" s="1857"/>
      <c r="J71" s="1543"/>
    </row>
    <row r="72" spans="1:10" ht="54">
      <c r="A72" s="1818" t="s">
        <v>1734</v>
      </c>
      <c r="B72" s="1545" t="s">
        <v>2862</v>
      </c>
      <c r="C72" s="1530" t="s">
        <v>21</v>
      </c>
      <c r="D72" s="1542">
        <v>426.75</v>
      </c>
      <c r="E72" s="1564">
        <v>217.5</v>
      </c>
      <c r="F72" s="220"/>
      <c r="G72" s="2030">
        <f t="shared" si="3"/>
        <v>92818.125</v>
      </c>
      <c r="H72" s="1683"/>
      <c r="I72" s="1857"/>
      <c r="J72" s="1543"/>
    </row>
    <row r="73" spans="1:10" s="1531" customFormat="1" ht="54">
      <c r="A73" s="1817" t="s">
        <v>1735</v>
      </c>
      <c r="B73" s="1545" t="s">
        <v>2735</v>
      </c>
      <c r="C73" s="1753" t="s">
        <v>21</v>
      </c>
      <c r="D73" s="1740"/>
      <c r="E73" s="1565"/>
      <c r="F73" s="332"/>
      <c r="G73" s="2030"/>
      <c r="H73" s="215"/>
      <c r="I73" s="1859"/>
      <c r="J73" s="1543"/>
    </row>
    <row r="74" spans="1:10" s="1531" customFormat="1">
      <c r="A74" s="1818" t="s">
        <v>1736</v>
      </c>
      <c r="B74" s="1545" t="s">
        <v>2921</v>
      </c>
      <c r="C74" s="1530" t="s">
        <v>21</v>
      </c>
      <c r="D74" s="1542">
        <v>7.8836624999999998</v>
      </c>
      <c r="E74" s="2011">
        <v>13187.5</v>
      </c>
      <c r="F74" s="332"/>
      <c r="G74" s="2030">
        <f t="shared" si="3"/>
        <v>103965.79921874999</v>
      </c>
      <c r="H74" s="1563"/>
      <c r="I74" s="1861"/>
      <c r="J74" s="1543"/>
    </row>
    <row r="75" spans="1:10" s="1531" customFormat="1">
      <c r="A75" s="1818" t="s">
        <v>2108</v>
      </c>
      <c r="B75" s="1546" t="s">
        <v>2907</v>
      </c>
      <c r="C75" s="1530" t="s">
        <v>21</v>
      </c>
      <c r="D75" s="1542">
        <v>1784.6139999999998</v>
      </c>
      <c r="E75" s="1564">
        <v>11539.5</v>
      </c>
      <c r="F75" s="332"/>
      <c r="G75" s="2030">
        <f t="shared" si="3"/>
        <v>20593553.252999999</v>
      </c>
      <c r="H75" s="1563"/>
      <c r="I75" s="1859"/>
      <c r="J75" s="1543"/>
    </row>
    <row r="76" spans="1:10" s="1531" customFormat="1">
      <c r="A76" s="1818" t="s">
        <v>2109</v>
      </c>
      <c r="B76" s="1546" t="s">
        <v>1645</v>
      </c>
      <c r="C76" s="1530" t="s">
        <v>21</v>
      </c>
      <c r="D76" s="1542">
        <v>2236.2165500000001</v>
      </c>
      <c r="E76" s="2011">
        <v>18375.5</v>
      </c>
      <c r="F76" s="332"/>
      <c r="G76" s="2030">
        <f t="shared" si="3"/>
        <v>41091597.214524999</v>
      </c>
      <c r="H76" s="1563"/>
      <c r="I76" s="1859"/>
      <c r="J76" s="1543"/>
    </row>
    <row r="77" spans="1:10" s="1531" customFormat="1" ht="36">
      <c r="A77" s="1818" t="s">
        <v>2751</v>
      </c>
      <c r="B77" s="1546" t="s">
        <v>2404</v>
      </c>
      <c r="C77" s="1530" t="s">
        <v>21</v>
      </c>
      <c r="D77" s="1542">
        <v>88.199999999999989</v>
      </c>
      <c r="E77" s="1564">
        <v>30675.449999999997</v>
      </c>
      <c r="F77" s="332"/>
      <c r="G77" s="2030">
        <f t="shared" si="3"/>
        <v>2705574.6899999995</v>
      </c>
      <c r="H77" s="1563"/>
      <c r="I77" s="1859"/>
      <c r="J77" s="1543"/>
    </row>
    <row r="78" spans="1:10" s="1531" customFormat="1">
      <c r="A78" s="1817" t="s">
        <v>1737</v>
      </c>
      <c r="B78" s="313" t="s">
        <v>1693</v>
      </c>
      <c r="C78" s="1530"/>
      <c r="D78" s="1542"/>
      <c r="E78" s="1565"/>
      <c r="F78" s="332"/>
      <c r="G78" s="2030"/>
      <c r="H78" s="1563"/>
      <c r="I78" s="1859"/>
      <c r="J78" s="1543"/>
    </row>
    <row r="79" spans="1:10" s="1531" customFormat="1" ht="51.75" customHeight="1">
      <c r="A79" s="1818" t="s">
        <v>1738</v>
      </c>
      <c r="B79" s="1550" t="s">
        <v>1695</v>
      </c>
      <c r="C79" s="1530" t="s">
        <v>19</v>
      </c>
      <c r="D79" s="1542">
        <v>207.5</v>
      </c>
      <c r="E79" s="2109">
        <v>9236.98</v>
      </c>
      <c r="F79" s="332"/>
      <c r="G79" s="2030">
        <f t="shared" si="3"/>
        <v>1916673.3499999999</v>
      </c>
      <c r="H79" s="1563"/>
      <c r="I79" s="1859"/>
      <c r="J79" s="1543"/>
    </row>
    <row r="80" spans="1:10" s="1531" customFormat="1">
      <c r="A80" s="1817" t="s">
        <v>1742</v>
      </c>
      <c r="B80" s="1548" t="s">
        <v>309</v>
      </c>
      <c r="C80" s="1530"/>
      <c r="D80" s="1542"/>
      <c r="E80" s="1565"/>
      <c r="F80" s="332"/>
      <c r="G80" s="2030"/>
      <c r="H80" s="1563"/>
      <c r="I80" s="1859"/>
      <c r="J80" s="1543"/>
    </row>
    <row r="81" spans="1:11" s="1531" customFormat="1" ht="54">
      <c r="A81" s="1818" t="s">
        <v>1743</v>
      </c>
      <c r="B81" s="1549" t="s">
        <v>1637</v>
      </c>
      <c r="C81" s="1530" t="s">
        <v>19</v>
      </c>
      <c r="D81" s="1542">
        <v>523.42099999999994</v>
      </c>
      <c r="E81" s="1564">
        <v>1228.5614285714287</v>
      </c>
      <c r="F81" s="332"/>
      <c r="G81" s="2030">
        <f t="shared" si="3"/>
        <v>643054.8515042857</v>
      </c>
      <c r="H81" s="1563"/>
      <c r="I81" s="1859"/>
      <c r="J81" s="1543"/>
    </row>
    <row r="82" spans="1:11" s="1531" customFormat="1">
      <c r="A82" s="1817" t="s">
        <v>1744</v>
      </c>
      <c r="B82" s="313" t="s">
        <v>1649</v>
      </c>
      <c r="C82" s="1530"/>
      <c r="D82" s="1542"/>
      <c r="E82" s="1565"/>
      <c r="F82" s="332"/>
      <c r="G82" s="2030"/>
      <c r="H82" s="1563"/>
      <c r="I82" s="1859"/>
      <c r="J82" s="1543"/>
    </row>
    <row r="83" spans="1:11" s="1531" customFormat="1" ht="54">
      <c r="A83" s="1818" t="s">
        <v>1745</v>
      </c>
      <c r="B83" s="1550" t="s">
        <v>1248</v>
      </c>
      <c r="C83" s="1530" t="s">
        <v>25</v>
      </c>
      <c r="D83" s="1740">
        <v>136.85</v>
      </c>
      <c r="E83" s="1564">
        <v>164277.67441860467</v>
      </c>
      <c r="F83" s="332"/>
      <c r="G83" s="2030">
        <f t="shared" si="3"/>
        <v>22481399.744186047</v>
      </c>
      <c r="H83" s="1563"/>
      <c r="I83" s="1859"/>
      <c r="J83" s="1543"/>
    </row>
    <row r="84" spans="1:11" s="1531" customFormat="1" ht="54">
      <c r="A84" s="1817" t="s">
        <v>1746</v>
      </c>
      <c r="B84" s="1538" t="s">
        <v>2736</v>
      </c>
      <c r="C84" s="1530"/>
      <c r="D84" s="1542"/>
      <c r="E84" s="1565"/>
      <c r="F84" s="332"/>
      <c r="G84" s="2030"/>
      <c r="H84" s="1563"/>
      <c r="I84" s="1859"/>
      <c r="J84" s="1543"/>
    </row>
    <row r="85" spans="1:11" s="1531" customFormat="1">
      <c r="A85" s="1818" t="s">
        <v>2110</v>
      </c>
      <c r="B85" s="669" t="s">
        <v>155</v>
      </c>
      <c r="C85" s="1530" t="s">
        <v>27</v>
      </c>
      <c r="D85" s="1542">
        <v>42</v>
      </c>
      <c r="E85" s="2109">
        <v>1693</v>
      </c>
      <c r="F85" s="332"/>
      <c r="G85" s="2030">
        <f t="shared" si="3"/>
        <v>71106</v>
      </c>
      <c r="H85" s="1563"/>
      <c r="I85" s="1859"/>
      <c r="J85" s="1543"/>
    </row>
    <row r="86" spans="1:11" s="1531" customFormat="1">
      <c r="A86" s="1818" t="s">
        <v>2635</v>
      </c>
      <c r="B86" s="669" t="s">
        <v>174</v>
      </c>
      <c r="C86" s="1530" t="s">
        <v>27</v>
      </c>
      <c r="D86" s="1542">
        <v>42</v>
      </c>
      <c r="E86" s="2109">
        <v>1245</v>
      </c>
      <c r="F86" s="332"/>
      <c r="G86" s="2030">
        <f t="shared" si="3"/>
        <v>52290</v>
      </c>
      <c r="H86" s="1563"/>
      <c r="I86" s="1859"/>
      <c r="J86" s="1543"/>
    </row>
    <row r="87" spans="1:11" s="1531" customFormat="1" ht="19.8">
      <c r="A87" s="1818" t="s">
        <v>2636</v>
      </c>
      <c r="B87" s="669" t="s">
        <v>2390</v>
      </c>
      <c r="C87" s="1530" t="s">
        <v>122</v>
      </c>
      <c r="D87" s="1542">
        <v>378</v>
      </c>
      <c r="E87" s="2109">
        <v>1208</v>
      </c>
      <c r="F87" s="332"/>
      <c r="G87" s="2030">
        <f t="shared" si="3"/>
        <v>456624</v>
      </c>
      <c r="H87" s="1563"/>
      <c r="I87" s="1859"/>
      <c r="J87" s="1543"/>
    </row>
    <row r="88" spans="1:11" s="1531" customFormat="1" ht="36">
      <c r="A88" s="1722" t="s">
        <v>1748</v>
      </c>
      <c r="B88" s="1568" t="s">
        <v>1723</v>
      </c>
      <c r="C88" s="1530" t="s">
        <v>19</v>
      </c>
      <c r="D88" s="1542">
        <v>1122</v>
      </c>
      <c r="E88" s="1564">
        <v>233</v>
      </c>
      <c r="F88" s="332"/>
      <c r="G88" s="2030">
        <f t="shared" si="3"/>
        <v>261426</v>
      </c>
      <c r="H88" s="1563"/>
      <c r="I88" s="1859"/>
      <c r="J88" s="1543"/>
    </row>
    <row r="89" spans="1:11" s="1531" customFormat="1" ht="54">
      <c r="A89" s="1722" t="s">
        <v>2402</v>
      </c>
      <c r="B89" s="1578" t="s">
        <v>2856</v>
      </c>
      <c r="C89" s="1530"/>
      <c r="D89" s="1542"/>
      <c r="E89" s="1565"/>
      <c r="F89" s="332"/>
      <c r="G89" s="2030"/>
      <c r="H89" s="1563"/>
      <c r="I89" s="1860"/>
      <c r="J89" s="1543"/>
    </row>
    <row r="90" spans="1:11" s="1531" customFormat="1">
      <c r="A90" s="75" t="s">
        <v>1752</v>
      </c>
      <c r="B90" s="669" t="s">
        <v>2397</v>
      </c>
      <c r="C90" s="1530" t="s">
        <v>25</v>
      </c>
      <c r="D90" s="1542">
        <v>8</v>
      </c>
      <c r="E90" s="1564">
        <v>56500</v>
      </c>
      <c r="F90" s="332"/>
      <c r="G90" s="2030">
        <f t="shared" si="3"/>
        <v>452000</v>
      </c>
      <c r="H90" s="1563"/>
      <c r="I90" s="1859"/>
      <c r="J90" s="1543"/>
    </row>
    <row r="91" spans="1:11" s="1531" customFormat="1">
      <c r="A91" s="75" t="s">
        <v>1753</v>
      </c>
      <c r="B91" s="669" t="s">
        <v>2398</v>
      </c>
      <c r="C91" s="1530" t="s">
        <v>25</v>
      </c>
      <c r="D91" s="1542">
        <v>2</v>
      </c>
      <c r="E91" s="1564">
        <v>56500</v>
      </c>
      <c r="F91" s="332"/>
      <c r="G91" s="2030">
        <f t="shared" si="3"/>
        <v>113000</v>
      </c>
      <c r="H91" s="1563"/>
      <c r="I91" s="1859"/>
      <c r="J91" s="1543"/>
    </row>
    <row r="92" spans="1:11" s="1531" customFormat="1">
      <c r="A92" s="75" t="s">
        <v>1754</v>
      </c>
      <c r="B92" s="669" t="s">
        <v>2399</v>
      </c>
      <c r="C92" s="1530" t="s">
        <v>47</v>
      </c>
      <c r="D92" s="1542">
        <v>100</v>
      </c>
      <c r="E92" s="1564">
        <v>282.5</v>
      </c>
      <c r="F92" s="332"/>
      <c r="G92" s="2030">
        <f t="shared" si="3"/>
        <v>28250</v>
      </c>
      <c r="H92" s="1563"/>
      <c r="I92" s="1859"/>
      <c r="J92" s="1543"/>
    </row>
    <row r="93" spans="1:11" s="1531" customFormat="1">
      <c r="A93" s="75" t="s">
        <v>2415</v>
      </c>
      <c r="B93" s="669" t="s">
        <v>2403</v>
      </c>
      <c r="C93" s="1530" t="s">
        <v>27</v>
      </c>
      <c r="D93" s="1542">
        <v>200</v>
      </c>
      <c r="E93" s="1564">
        <v>11600.82</v>
      </c>
      <c r="F93" s="332"/>
      <c r="G93" s="2030">
        <f t="shared" si="3"/>
        <v>2320164</v>
      </c>
      <c r="H93" s="1563"/>
      <c r="I93" s="1859"/>
      <c r="J93" s="1543"/>
    </row>
    <row r="94" spans="1:11" s="1531" customFormat="1">
      <c r="A94" s="2114" t="s">
        <v>1755</v>
      </c>
      <c r="B94" s="2119" t="s">
        <v>3228</v>
      </c>
      <c r="C94" s="2120"/>
      <c r="D94" s="2112"/>
      <c r="E94" s="2113"/>
      <c r="F94" s="2118"/>
      <c r="G94" s="2030">
        <f t="shared" si="3"/>
        <v>0</v>
      </c>
      <c r="H94" s="1950"/>
      <c r="I94" s="1859"/>
      <c r="J94" s="1922"/>
    </row>
    <row r="95" spans="1:11" s="1531" customFormat="1" ht="72">
      <c r="A95" s="2116" t="s">
        <v>3342</v>
      </c>
      <c r="B95" s="2121" t="s">
        <v>3356</v>
      </c>
      <c r="C95" s="2120" t="s">
        <v>46</v>
      </c>
      <c r="D95" s="2112">
        <v>90</v>
      </c>
      <c r="E95" s="2113">
        <v>1500</v>
      </c>
      <c r="F95" s="2118"/>
      <c r="G95" s="2030">
        <f t="shared" si="3"/>
        <v>135000</v>
      </c>
      <c r="H95" s="1950"/>
      <c r="I95" s="1859"/>
      <c r="J95" s="1922"/>
    </row>
    <row r="96" spans="1:11" s="1531" customFormat="1" ht="17.25" customHeight="1">
      <c r="A96" s="1722"/>
      <c r="B96" s="1529"/>
      <c r="C96" s="1530"/>
      <c r="D96" s="1686"/>
      <c r="E96" s="1565"/>
      <c r="F96" s="1666" t="s">
        <v>1483</v>
      </c>
      <c r="G96" s="2029">
        <f>SUM(G67:G95)</f>
        <v>96909919.095172957</v>
      </c>
      <c r="H96" s="1563"/>
      <c r="I96" s="1858"/>
      <c r="J96" s="1717"/>
      <c r="K96" s="1764"/>
    </row>
    <row r="97" spans="1:10" s="1531" customFormat="1">
      <c r="A97" s="1814" t="s">
        <v>1759</v>
      </c>
      <c r="B97" s="1533" t="s">
        <v>3079</v>
      </c>
      <c r="C97" s="1534"/>
      <c r="D97" s="1736"/>
      <c r="E97" s="2001"/>
      <c r="F97" s="1536"/>
      <c r="G97" s="2026"/>
      <c r="H97" s="1534"/>
      <c r="I97" s="1857"/>
      <c r="J97" s="1543"/>
    </row>
    <row r="98" spans="1:10" s="1531" customFormat="1">
      <c r="A98" s="1817" t="s">
        <v>1760</v>
      </c>
      <c r="B98" s="1538" t="s">
        <v>18</v>
      </c>
      <c r="C98" s="1539"/>
      <c r="D98" s="1739"/>
      <c r="E98" s="1565"/>
      <c r="F98" s="1540"/>
      <c r="G98" s="2030"/>
      <c r="H98" s="1820"/>
      <c r="I98" s="1857"/>
      <c r="J98" s="1543"/>
    </row>
    <row r="99" spans="1:10" s="1531" customFormat="1" ht="72">
      <c r="A99" s="1818" t="s">
        <v>1761</v>
      </c>
      <c r="B99" s="1555" t="s">
        <v>2847</v>
      </c>
      <c r="C99" s="1530" t="s">
        <v>19</v>
      </c>
      <c r="D99" s="1542">
        <v>621.5</v>
      </c>
      <c r="E99" s="1564">
        <v>40.5</v>
      </c>
      <c r="F99" s="332"/>
      <c r="G99" s="2031">
        <f>D99*E99</f>
        <v>25170.75</v>
      </c>
      <c r="H99" s="1563"/>
      <c r="I99" s="1859"/>
      <c r="J99" s="1543"/>
    </row>
    <row r="100" spans="1:10" s="1531" customFormat="1" ht="72">
      <c r="A100" s="1817" t="s">
        <v>1762</v>
      </c>
      <c r="B100" s="1544" t="s">
        <v>2849</v>
      </c>
      <c r="C100" s="1530"/>
      <c r="D100" s="1542"/>
      <c r="E100" s="1565"/>
      <c r="F100" s="332"/>
      <c r="G100" s="2031"/>
      <c r="H100" s="1563"/>
      <c r="I100" s="1859"/>
      <c r="J100" s="1543"/>
    </row>
    <row r="101" spans="1:10">
      <c r="A101" s="1818" t="s">
        <v>1763</v>
      </c>
      <c r="B101" s="220" t="s">
        <v>1632</v>
      </c>
      <c r="C101" s="1530" t="s">
        <v>21</v>
      </c>
      <c r="D101" s="1542">
        <v>735.25400000000013</v>
      </c>
      <c r="E101" s="1564">
        <v>358.66</v>
      </c>
      <c r="F101" s="220"/>
      <c r="G101" s="2031">
        <f t="shared" ref="G101:G120" si="4">D101*E101</f>
        <v>263706.19964000006</v>
      </c>
      <c r="H101" s="1683"/>
      <c r="I101" s="1857"/>
      <c r="J101" s="1543"/>
    </row>
    <row r="102" spans="1:10">
      <c r="A102" s="1818" t="s">
        <v>1764</v>
      </c>
      <c r="B102" s="220" t="s">
        <v>1634</v>
      </c>
      <c r="C102" s="1530" t="s">
        <v>21</v>
      </c>
      <c r="D102" s="1542">
        <v>2941.0160000000005</v>
      </c>
      <c r="E102" s="1564">
        <v>1385.23</v>
      </c>
      <c r="F102" s="220"/>
      <c r="G102" s="2031">
        <f t="shared" si="4"/>
        <v>4073983.5936800009</v>
      </c>
      <c r="H102" s="1683"/>
      <c r="I102" s="1857"/>
      <c r="J102" s="1543"/>
    </row>
    <row r="103" spans="1:10">
      <c r="A103" s="1817" t="s">
        <v>1765</v>
      </c>
      <c r="B103" s="313" t="s">
        <v>31</v>
      </c>
      <c r="C103" s="1530"/>
      <c r="D103" s="1542"/>
      <c r="E103" s="1565"/>
      <c r="F103" s="220"/>
      <c r="G103" s="2031"/>
      <c r="H103" s="1683"/>
      <c r="I103" s="1857"/>
      <c r="J103" s="1543"/>
    </row>
    <row r="104" spans="1:10" ht="54">
      <c r="A104" s="1818" t="s">
        <v>1766</v>
      </c>
      <c r="B104" s="1545" t="s">
        <v>2862</v>
      </c>
      <c r="C104" s="1530" t="s">
        <v>21</v>
      </c>
      <c r="D104" s="1542">
        <v>258.18400000000003</v>
      </c>
      <c r="E104" s="1564">
        <v>217.5</v>
      </c>
      <c r="F104" s="220"/>
      <c r="G104" s="2031">
        <f t="shared" si="4"/>
        <v>56155.020000000004</v>
      </c>
      <c r="H104" s="1683"/>
      <c r="I104" s="1857"/>
      <c r="J104" s="1543"/>
    </row>
    <row r="105" spans="1:10" s="1531" customFormat="1" ht="54">
      <c r="A105" s="1817" t="s">
        <v>1767</v>
      </c>
      <c r="B105" s="1550" t="s">
        <v>2735</v>
      </c>
      <c r="C105" s="1530" t="s">
        <v>21</v>
      </c>
      <c r="D105" s="1542"/>
      <c r="E105" s="1565"/>
      <c r="F105" s="332"/>
      <c r="G105" s="2031"/>
      <c r="H105" s="1563"/>
      <c r="I105" s="1859"/>
      <c r="J105" s="1543"/>
    </row>
    <row r="106" spans="1:10" s="1531" customFormat="1">
      <c r="A106" s="1818" t="s">
        <v>1768</v>
      </c>
      <c r="B106" s="1546" t="s">
        <v>1641</v>
      </c>
      <c r="C106" s="1530" t="s">
        <v>21</v>
      </c>
      <c r="D106" s="1542">
        <v>42.45</v>
      </c>
      <c r="E106" s="1564">
        <v>13187.5</v>
      </c>
      <c r="F106" s="332"/>
      <c r="G106" s="2031">
        <f t="shared" si="4"/>
        <v>559809.375</v>
      </c>
      <c r="H106" s="1563"/>
      <c r="I106" s="1859"/>
      <c r="J106" s="1543"/>
    </row>
    <row r="107" spans="1:10" s="1531" customFormat="1">
      <c r="A107" s="1818" t="s">
        <v>2111</v>
      </c>
      <c r="B107" s="1546" t="s">
        <v>1645</v>
      </c>
      <c r="C107" s="1530" t="s">
        <v>21</v>
      </c>
      <c r="D107" s="1542">
        <v>2575.8152</v>
      </c>
      <c r="E107" s="85">
        <v>18375.5</v>
      </c>
      <c r="F107" s="332"/>
      <c r="G107" s="2031">
        <f t="shared" si="4"/>
        <v>47331892.207599998</v>
      </c>
      <c r="H107" s="1563"/>
      <c r="I107" s="1859"/>
      <c r="J107" s="1543"/>
    </row>
    <row r="108" spans="1:10" s="1531" customFormat="1" ht="36">
      <c r="A108" s="1818" t="s">
        <v>2396</v>
      </c>
      <c r="B108" s="1546" t="s">
        <v>2404</v>
      </c>
      <c r="C108" s="1530" t="s">
        <v>21</v>
      </c>
      <c r="D108" s="1547">
        <v>38.194000000000003</v>
      </c>
      <c r="E108" s="1564">
        <v>30675.449999999997</v>
      </c>
      <c r="F108" s="332"/>
      <c r="G108" s="2031">
        <f t="shared" si="4"/>
        <v>1171618.1373000001</v>
      </c>
      <c r="H108" s="1563"/>
      <c r="I108" s="1859"/>
      <c r="J108" s="1543"/>
    </row>
    <row r="109" spans="1:10" s="1531" customFormat="1">
      <c r="A109" s="1817" t="s">
        <v>1769</v>
      </c>
      <c r="B109" s="1548" t="s">
        <v>309</v>
      </c>
      <c r="C109" s="1530"/>
      <c r="D109" s="1547"/>
      <c r="E109" s="1565"/>
      <c r="F109" s="332"/>
      <c r="G109" s="2031"/>
      <c r="H109" s="1563"/>
      <c r="I109" s="1859"/>
      <c r="J109" s="1543"/>
    </row>
    <row r="110" spans="1:10" s="1531" customFormat="1" ht="54">
      <c r="A110" s="1818" t="s">
        <v>1770</v>
      </c>
      <c r="B110" s="1549" t="s">
        <v>1637</v>
      </c>
      <c r="C110" s="1530" t="s">
        <v>19</v>
      </c>
      <c r="D110" s="1542">
        <v>2792</v>
      </c>
      <c r="E110" s="1564">
        <v>1228.5614285714287</v>
      </c>
      <c r="F110" s="332"/>
      <c r="G110" s="2031">
        <f t="shared" si="4"/>
        <v>3430143.5085714287</v>
      </c>
      <c r="H110" s="1563"/>
      <c r="I110" s="1859"/>
      <c r="J110" s="1543"/>
    </row>
    <row r="111" spans="1:10" s="1531" customFormat="1">
      <c r="A111" s="1817" t="s">
        <v>1772</v>
      </c>
      <c r="B111" s="313" t="s">
        <v>1649</v>
      </c>
      <c r="C111" s="1530"/>
      <c r="D111" s="1542"/>
      <c r="E111" s="1565"/>
      <c r="F111" s="332"/>
      <c r="G111" s="2031"/>
      <c r="H111" s="1563"/>
      <c r="I111" s="1859"/>
      <c r="J111" s="1543"/>
    </row>
    <row r="112" spans="1:10" s="1531" customFormat="1" ht="54">
      <c r="A112" s="1818" t="s">
        <v>1773</v>
      </c>
      <c r="B112" s="1550" t="s">
        <v>1248</v>
      </c>
      <c r="C112" s="1530" t="s">
        <v>25</v>
      </c>
      <c r="D112" s="1740">
        <v>202.2</v>
      </c>
      <c r="E112" s="1564">
        <v>164277.67441860467</v>
      </c>
      <c r="F112" s="332"/>
      <c r="G112" s="2031">
        <f t="shared" si="4"/>
        <v>33216945.767441861</v>
      </c>
      <c r="H112" s="1563"/>
      <c r="I112" s="1859"/>
      <c r="J112" s="1543"/>
    </row>
    <row r="113" spans="1:11" s="1531" customFormat="1">
      <c r="A113" s="1817" t="s">
        <v>1774</v>
      </c>
      <c r="B113" s="313" t="s">
        <v>1693</v>
      </c>
      <c r="C113" s="1530"/>
      <c r="D113" s="1740"/>
      <c r="E113" s="1565"/>
      <c r="F113" s="332"/>
      <c r="G113" s="2031"/>
      <c r="H113" s="1563"/>
      <c r="I113" s="1859"/>
      <c r="J113" s="1543"/>
    </row>
    <row r="114" spans="1:11" s="1531" customFormat="1" ht="51.75" customHeight="1">
      <c r="A114" s="1818" t="s">
        <v>1775</v>
      </c>
      <c r="B114" s="1550" t="s">
        <v>1695</v>
      </c>
      <c r="C114" s="1530" t="s">
        <v>19</v>
      </c>
      <c r="D114" s="1542">
        <v>324.89999999999998</v>
      </c>
      <c r="E114" s="1564">
        <v>9236.98</v>
      </c>
      <c r="F114" s="332"/>
      <c r="G114" s="2031">
        <f t="shared" si="4"/>
        <v>3001094.8019999997</v>
      </c>
      <c r="H114" s="1563"/>
      <c r="I114" s="1859"/>
      <c r="J114" s="1543"/>
    </row>
    <row r="115" spans="1:11" s="1531" customFormat="1" ht="54">
      <c r="A115" s="1817" t="s">
        <v>1776</v>
      </c>
      <c r="B115" s="1538" t="s">
        <v>2857</v>
      </c>
      <c r="C115" s="1530"/>
      <c r="D115" s="1542"/>
      <c r="E115" s="1565"/>
      <c r="F115" s="332"/>
      <c r="G115" s="2031"/>
      <c r="H115" s="1563"/>
      <c r="I115" s="1859"/>
      <c r="J115" s="1543"/>
    </row>
    <row r="116" spans="1:11" s="1531" customFormat="1">
      <c r="A116" s="1818" t="s">
        <v>1777</v>
      </c>
      <c r="B116" s="669" t="s">
        <v>155</v>
      </c>
      <c r="C116" s="1530" t="s">
        <v>27</v>
      </c>
      <c r="D116" s="1542">
        <v>11</v>
      </c>
      <c r="E116" s="1564">
        <v>1693</v>
      </c>
      <c r="F116" s="332"/>
      <c r="G116" s="2031">
        <f t="shared" si="4"/>
        <v>18623</v>
      </c>
      <c r="H116" s="1563"/>
      <c r="I116" s="1859"/>
      <c r="J116" s="1543"/>
    </row>
    <row r="117" spans="1:11" s="1531" customFormat="1">
      <c r="A117" s="1818" t="s">
        <v>1778</v>
      </c>
      <c r="B117" s="669" t="s">
        <v>174</v>
      </c>
      <c r="C117" s="1530" t="s">
        <v>27</v>
      </c>
      <c r="D117" s="1542">
        <v>11</v>
      </c>
      <c r="E117" s="1564">
        <v>1245</v>
      </c>
      <c r="F117" s="332"/>
      <c r="G117" s="2031">
        <f t="shared" si="4"/>
        <v>13695</v>
      </c>
      <c r="H117" s="1563"/>
      <c r="I117" s="1859"/>
      <c r="J117" s="1543"/>
    </row>
    <row r="118" spans="1:11" s="1531" customFormat="1" ht="19.8">
      <c r="A118" s="1818" t="s">
        <v>1779</v>
      </c>
      <c r="B118" s="669" t="s">
        <v>2390</v>
      </c>
      <c r="C118" s="1530" t="s">
        <v>122</v>
      </c>
      <c r="D118" s="1542">
        <v>66</v>
      </c>
      <c r="E118" s="1564">
        <v>1208</v>
      </c>
      <c r="F118" s="332"/>
      <c r="G118" s="2031">
        <f t="shared" si="4"/>
        <v>79728</v>
      </c>
      <c r="H118" s="1563"/>
      <c r="I118" s="1859"/>
      <c r="J118" s="1543"/>
    </row>
    <row r="119" spans="1:11" s="1531" customFormat="1">
      <c r="A119" s="2114" t="s">
        <v>3354</v>
      </c>
      <c r="B119" s="2119" t="s">
        <v>3228</v>
      </c>
      <c r="C119" s="2120"/>
      <c r="D119" s="2112"/>
      <c r="E119" s="2113"/>
      <c r="F119" s="2118"/>
      <c r="G119" s="2031">
        <f t="shared" si="4"/>
        <v>0</v>
      </c>
      <c r="H119" s="1950"/>
      <c r="I119" s="1859"/>
      <c r="J119" s="1922"/>
    </row>
    <row r="120" spans="1:11" s="1531" customFormat="1" ht="72">
      <c r="A120" s="2116" t="s">
        <v>3355</v>
      </c>
      <c r="B120" s="2121" t="s">
        <v>3356</v>
      </c>
      <c r="C120" s="2120" t="s">
        <v>46</v>
      </c>
      <c r="D120" s="2112">
        <v>168</v>
      </c>
      <c r="E120" s="2157">
        <v>1500</v>
      </c>
      <c r="F120" s="2118"/>
      <c r="G120" s="2031">
        <f t="shared" si="4"/>
        <v>252000</v>
      </c>
      <c r="H120" s="1950"/>
      <c r="I120" s="1859"/>
      <c r="J120" s="1922"/>
    </row>
    <row r="121" spans="1:11" s="1531" customFormat="1" ht="17.25" customHeight="1">
      <c r="A121" s="1722"/>
      <c r="B121" s="1529"/>
      <c r="C121" s="1530"/>
      <c r="D121" s="1686"/>
      <c r="E121" s="1565"/>
      <c r="F121" s="1666" t="s">
        <v>1483</v>
      </c>
      <c r="G121" s="2029">
        <f>SUM(G99:G120)</f>
        <v>93494565.361233294</v>
      </c>
      <c r="H121" s="1563"/>
      <c r="I121" s="1858"/>
      <c r="J121" s="1717"/>
      <c r="K121" s="1764"/>
    </row>
    <row r="122" spans="1:11" s="1531" customFormat="1">
      <c r="A122" s="1814" t="s">
        <v>1781</v>
      </c>
      <c r="B122" s="1533" t="s">
        <v>3080</v>
      </c>
      <c r="C122" s="1551"/>
      <c r="D122" s="1738"/>
      <c r="E122" s="2001"/>
      <c r="F122" s="1536"/>
      <c r="G122" s="2026"/>
      <c r="H122" s="1534"/>
      <c r="I122" s="1857"/>
      <c r="J122" s="1543"/>
    </row>
    <row r="123" spans="1:11" s="1553" customFormat="1">
      <c r="A123" s="1817" t="s">
        <v>1783</v>
      </c>
      <c r="B123" s="1548" t="s">
        <v>18</v>
      </c>
      <c r="C123" s="1539"/>
      <c r="D123" s="1739"/>
      <c r="E123" s="2006"/>
      <c r="F123" s="1540"/>
      <c r="G123" s="2032"/>
      <c r="H123" s="1820"/>
      <c r="I123" s="1857"/>
      <c r="J123" s="1543"/>
    </row>
    <row r="124" spans="1:11" s="1531" customFormat="1" ht="72">
      <c r="A124" s="75" t="s">
        <v>1784</v>
      </c>
      <c r="B124" s="1555" t="s">
        <v>2847</v>
      </c>
      <c r="C124" s="1530" t="s">
        <v>19</v>
      </c>
      <c r="D124" s="1542">
        <v>246</v>
      </c>
      <c r="E124" s="1564">
        <v>40.5</v>
      </c>
      <c r="F124" s="332"/>
      <c r="G124" s="2031">
        <f>E124*D124</f>
        <v>9963</v>
      </c>
      <c r="H124" s="1563"/>
      <c r="I124" s="1859"/>
      <c r="J124" s="1543"/>
    </row>
    <row r="125" spans="1:11" s="1531" customFormat="1" ht="72">
      <c r="A125" s="1817" t="s">
        <v>1785</v>
      </c>
      <c r="B125" s="1544" t="s">
        <v>2849</v>
      </c>
      <c r="C125" s="1530"/>
      <c r="D125" s="1542"/>
      <c r="E125" s="1565"/>
      <c r="F125" s="332"/>
      <c r="G125" s="2031"/>
      <c r="H125" s="1563"/>
      <c r="I125" s="1859"/>
      <c r="J125" s="1543"/>
    </row>
    <row r="126" spans="1:11">
      <c r="A126" s="75" t="s">
        <v>1786</v>
      </c>
      <c r="B126" s="220" t="s">
        <v>1632</v>
      </c>
      <c r="C126" s="1530" t="s">
        <v>21</v>
      </c>
      <c r="D126" s="1542">
        <v>999.46</v>
      </c>
      <c r="E126" s="1565">
        <v>358.66</v>
      </c>
      <c r="F126" s="220"/>
      <c r="G126" s="2031">
        <f t="shared" ref="G126:G145" si="5">E126*D126</f>
        <v>358466.32360000006</v>
      </c>
      <c r="H126" s="1683"/>
      <c r="I126" s="1857"/>
      <c r="J126" s="1543"/>
    </row>
    <row r="127" spans="1:11">
      <c r="A127" s="75" t="s">
        <v>1787</v>
      </c>
      <c r="B127" s="220" t="s">
        <v>1634</v>
      </c>
      <c r="C127" s="1530" t="s">
        <v>21</v>
      </c>
      <c r="D127" s="1542">
        <v>3997.84</v>
      </c>
      <c r="E127" s="1565">
        <v>1385.23</v>
      </c>
      <c r="F127" s="220"/>
      <c r="G127" s="2031">
        <f t="shared" si="5"/>
        <v>5537927.9032000005</v>
      </c>
      <c r="H127" s="1683"/>
      <c r="I127" s="1857"/>
      <c r="J127" s="1543"/>
    </row>
    <row r="128" spans="1:11">
      <c r="A128" s="1817" t="s">
        <v>1788</v>
      </c>
      <c r="B128" s="313" t="s">
        <v>31</v>
      </c>
      <c r="C128" s="1530"/>
      <c r="D128" s="1542"/>
      <c r="E128" s="1565"/>
      <c r="F128" s="220"/>
      <c r="G128" s="2031"/>
      <c r="H128" s="1683"/>
      <c r="I128" s="1857"/>
      <c r="J128" s="1543"/>
    </row>
    <row r="129" spans="1:10" ht="54">
      <c r="A129" s="75" t="s">
        <v>1789</v>
      </c>
      <c r="B129" s="1545" t="s">
        <v>2862</v>
      </c>
      <c r="C129" s="1530" t="s">
        <v>21</v>
      </c>
      <c r="D129" s="1542">
        <v>549.23</v>
      </c>
      <c r="E129" s="85">
        <v>217.5</v>
      </c>
      <c r="F129" s="220"/>
      <c r="G129" s="2031">
        <f t="shared" si="5"/>
        <v>119457.52500000001</v>
      </c>
      <c r="H129" s="1683"/>
      <c r="I129" s="1857"/>
      <c r="J129" s="1543"/>
    </row>
    <row r="130" spans="1:10" s="1531" customFormat="1" ht="54">
      <c r="A130" s="1817" t="s">
        <v>1790</v>
      </c>
      <c r="B130" s="1545" t="s">
        <v>2735</v>
      </c>
      <c r="C130" s="1530"/>
      <c r="D130" s="1542"/>
      <c r="E130" s="85"/>
      <c r="F130" s="332"/>
      <c r="G130" s="2031"/>
      <c r="H130" s="1563"/>
      <c r="I130" s="1859"/>
      <c r="J130" s="1543"/>
    </row>
    <row r="131" spans="1:10" s="1531" customFormat="1">
      <c r="A131" s="75" t="s">
        <v>1791</v>
      </c>
      <c r="B131" s="1546" t="s">
        <v>1641</v>
      </c>
      <c r="C131" s="1530" t="s">
        <v>21</v>
      </c>
      <c r="D131" s="1542">
        <v>15.375</v>
      </c>
      <c r="E131" s="85">
        <v>13187.5</v>
      </c>
      <c r="F131" s="332"/>
      <c r="G131" s="2031">
        <f t="shared" si="5"/>
        <v>202757.8125</v>
      </c>
      <c r="H131" s="1563"/>
      <c r="I131" s="1859"/>
      <c r="J131" s="1543"/>
    </row>
    <row r="132" spans="1:10" s="1531" customFormat="1">
      <c r="A132" s="75" t="s">
        <v>2106</v>
      </c>
      <c r="B132" s="1546" t="s">
        <v>1645</v>
      </c>
      <c r="C132" s="1530" t="s">
        <v>21</v>
      </c>
      <c r="D132" s="1542">
        <v>849.61959999999999</v>
      </c>
      <c r="E132" s="85">
        <v>18375.5</v>
      </c>
      <c r="F132" s="332"/>
      <c r="G132" s="2031">
        <f t="shared" si="5"/>
        <v>15612184.959799999</v>
      </c>
      <c r="H132" s="1563"/>
      <c r="I132" s="1859"/>
      <c r="J132" s="1543"/>
    </row>
    <row r="133" spans="1:10" s="1531" customFormat="1">
      <c r="A133" s="75" t="s">
        <v>2107</v>
      </c>
      <c r="B133" s="1546" t="s">
        <v>2876</v>
      </c>
      <c r="C133" s="1530" t="s">
        <v>21</v>
      </c>
      <c r="D133" s="1542">
        <v>1</v>
      </c>
      <c r="E133" s="2012">
        <v>11539.5</v>
      </c>
      <c r="F133" s="332"/>
      <c r="G133" s="2031">
        <f t="shared" si="5"/>
        <v>11539.5</v>
      </c>
      <c r="H133" s="1563"/>
      <c r="I133" s="1859"/>
      <c r="J133" s="1543"/>
    </row>
    <row r="134" spans="1:10" s="1531" customFormat="1">
      <c r="A134" s="1817" t="s">
        <v>1792</v>
      </c>
      <c r="B134" s="1548" t="s">
        <v>309</v>
      </c>
      <c r="C134" s="1530"/>
      <c r="D134" s="1542"/>
      <c r="E134" s="85"/>
      <c r="F134" s="332"/>
      <c r="G134" s="2031"/>
      <c r="H134" s="1563"/>
      <c r="I134" s="1859"/>
      <c r="J134" s="1543"/>
    </row>
    <row r="135" spans="1:10" s="1531" customFormat="1" ht="54">
      <c r="A135" s="75" t="s">
        <v>1793</v>
      </c>
      <c r="B135" s="1549" t="s">
        <v>1637</v>
      </c>
      <c r="C135" s="1530" t="s">
        <v>19</v>
      </c>
      <c r="D135" s="1542">
        <v>1168.45</v>
      </c>
      <c r="E135" s="85">
        <v>1228.5614285714287</v>
      </c>
      <c r="F135" s="332"/>
      <c r="G135" s="2031">
        <f t="shared" si="5"/>
        <v>1435512.6012142859</v>
      </c>
      <c r="H135" s="1563"/>
      <c r="I135" s="1859"/>
      <c r="J135" s="1543"/>
    </row>
    <row r="136" spans="1:10" s="1531" customFormat="1">
      <c r="A136" s="1817" t="s">
        <v>1796</v>
      </c>
      <c r="B136" s="313" t="s">
        <v>1649</v>
      </c>
      <c r="C136" s="1530"/>
      <c r="D136" s="1542"/>
      <c r="E136" s="85"/>
      <c r="F136" s="332"/>
      <c r="G136" s="2031"/>
      <c r="H136" s="1563"/>
      <c r="I136" s="1859"/>
      <c r="J136" s="1543"/>
    </row>
    <row r="137" spans="1:10" s="1531" customFormat="1" ht="54">
      <c r="A137" s="75" t="s">
        <v>1797</v>
      </c>
      <c r="B137" s="1550" t="s">
        <v>1248</v>
      </c>
      <c r="C137" s="1530" t="s">
        <v>25</v>
      </c>
      <c r="D137" s="1740">
        <v>66.695138599999993</v>
      </c>
      <c r="E137" s="85">
        <v>164277.67441860467</v>
      </c>
      <c r="F137" s="332"/>
      <c r="G137" s="2031">
        <f t="shared" si="5"/>
        <v>10956522.264234511</v>
      </c>
      <c r="H137" s="1563"/>
      <c r="I137" s="1859"/>
      <c r="J137" s="1543"/>
    </row>
    <row r="138" spans="1:10" s="1531" customFormat="1">
      <c r="A138" s="1817" t="s">
        <v>1798</v>
      </c>
      <c r="B138" s="313" t="s">
        <v>1693</v>
      </c>
      <c r="C138" s="1530"/>
      <c r="D138" s="1740"/>
      <c r="E138" s="85"/>
      <c r="F138" s="332"/>
      <c r="G138" s="2031"/>
      <c r="H138" s="1563"/>
      <c r="I138" s="1859"/>
      <c r="J138" s="1543"/>
    </row>
    <row r="139" spans="1:10" s="1531" customFormat="1" ht="51.75" customHeight="1">
      <c r="A139" s="75" t="s">
        <v>1799</v>
      </c>
      <c r="B139" s="1550" t="s">
        <v>2601</v>
      </c>
      <c r="C139" s="1530" t="s">
        <v>19</v>
      </c>
      <c r="D139" s="1542">
        <v>91.16</v>
      </c>
      <c r="E139" s="85">
        <v>9236.98</v>
      </c>
      <c r="F139" s="332"/>
      <c r="G139" s="2031">
        <f t="shared" si="5"/>
        <v>842043.09679999994</v>
      </c>
      <c r="H139" s="1563"/>
      <c r="I139" s="1859"/>
      <c r="J139" s="1543"/>
    </row>
    <row r="140" spans="1:10" s="1531" customFormat="1" ht="54">
      <c r="A140" s="1817" t="s">
        <v>1805</v>
      </c>
      <c r="B140" s="1538" t="s">
        <v>2736</v>
      </c>
      <c r="C140" s="1530"/>
      <c r="D140" s="1542"/>
      <c r="E140" s="85"/>
      <c r="F140" s="332"/>
      <c r="G140" s="2031"/>
      <c r="H140" s="1563"/>
      <c r="I140" s="1859"/>
      <c r="J140" s="1543"/>
    </row>
    <row r="141" spans="1:10" s="1531" customFormat="1">
      <c r="A141" s="1818" t="s">
        <v>1806</v>
      </c>
      <c r="B141" s="669" t="s">
        <v>155</v>
      </c>
      <c r="C141" s="1530" t="s">
        <v>27</v>
      </c>
      <c r="D141" s="1542">
        <v>19.600000000000001</v>
      </c>
      <c r="E141" s="85">
        <v>1693</v>
      </c>
      <c r="F141" s="332"/>
      <c r="G141" s="2031">
        <f t="shared" si="5"/>
        <v>33182.800000000003</v>
      </c>
      <c r="H141" s="1563"/>
      <c r="I141" s="1859"/>
      <c r="J141" s="1543"/>
    </row>
    <row r="142" spans="1:10" s="1531" customFormat="1">
      <c r="A142" s="1818" t="s">
        <v>2915</v>
      </c>
      <c r="B142" s="669" t="s">
        <v>174</v>
      </c>
      <c r="C142" s="1530" t="s">
        <v>27</v>
      </c>
      <c r="D142" s="1542">
        <v>19.600000000000001</v>
      </c>
      <c r="E142" s="85">
        <v>1245</v>
      </c>
      <c r="F142" s="332"/>
      <c r="G142" s="2031">
        <f t="shared" si="5"/>
        <v>24402</v>
      </c>
      <c r="H142" s="1563"/>
      <c r="I142" s="1859"/>
      <c r="J142" s="1543"/>
    </row>
    <row r="143" spans="1:10" s="1531" customFormat="1" ht="19.8">
      <c r="A143" s="1818" t="s">
        <v>2916</v>
      </c>
      <c r="B143" s="669" t="s">
        <v>2390</v>
      </c>
      <c r="C143" s="1530" t="s">
        <v>122</v>
      </c>
      <c r="D143" s="1542">
        <v>39.200000000000003</v>
      </c>
      <c r="E143" s="85">
        <v>1208</v>
      </c>
      <c r="F143" s="332"/>
      <c r="G143" s="2031">
        <f t="shared" si="5"/>
        <v>47353.600000000006</v>
      </c>
      <c r="H143" s="1563"/>
      <c r="I143" s="1859"/>
      <c r="J143" s="1543"/>
    </row>
    <row r="144" spans="1:10" s="1531" customFormat="1">
      <c r="A144" s="2114" t="s">
        <v>1808</v>
      </c>
      <c r="B144" s="2119" t="s">
        <v>3228</v>
      </c>
      <c r="C144" s="2120"/>
      <c r="D144" s="2112"/>
      <c r="E144" s="2164"/>
      <c r="F144" s="2118"/>
      <c r="G144" s="2031">
        <f t="shared" si="5"/>
        <v>0</v>
      </c>
      <c r="H144" s="1950"/>
      <c r="I144" s="1859"/>
      <c r="J144" s="1922"/>
    </row>
    <row r="145" spans="1:10" s="1531" customFormat="1" ht="72">
      <c r="A145" s="2116" t="s">
        <v>1809</v>
      </c>
      <c r="B145" s="2121" t="s">
        <v>3356</v>
      </c>
      <c r="C145" s="2120" t="s">
        <v>46</v>
      </c>
      <c r="D145" s="2112">
        <v>126</v>
      </c>
      <c r="E145" s="2303">
        <v>1500</v>
      </c>
      <c r="F145" s="2118"/>
      <c r="G145" s="2031">
        <f t="shared" si="5"/>
        <v>189000</v>
      </c>
      <c r="H145" s="1950"/>
      <c r="I145" s="1859"/>
      <c r="J145" s="1922"/>
    </row>
    <row r="146" spans="1:10" s="1531" customFormat="1" ht="17.25" customHeight="1">
      <c r="A146" s="1722"/>
      <c r="B146" s="1529"/>
      <c r="C146" s="1530"/>
      <c r="D146" s="1686"/>
      <c r="E146" s="1565"/>
      <c r="F146" s="1666" t="s">
        <v>1483</v>
      </c>
      <c r="G146" s="2029">
        <f>SUM(G124:G145)</f>
        <v>35380313.386348791</v>
      </c>
      <c r="H146" s="1563"/>
      <c r="I146" s="1858"/>
      <c r="J146" s="1717"/>
    </row>
    <row r="147" spans="1:10" s="1531" customFormat="1">
      <c r="A147" s="1814" t="s">
        <v>1825</v>
      </c>
      <c r="B147" s="1533" t="s">
        <v>1601</v>
      </c>
      <c r="C147" s="1551"/>
      <c r="D147" s="1738"/>
      <c r="E147" s="2001"/>
      <c r="F147" s="1536"/>
      <c r="G147" s="2026"/>
      <c r="H147" s="1534"/>
      <c r="I147" s="1857"/>
      <c r="J147" s="1543"/>
    </row>
    <row r="148" spans="1:10" s="1531" customFormat="1" ht="108">
      <c r="A148" s="1817" t="s">
        <v>1827</v>
      </c>
      <c r="B148" s="1556" t="s">
        <v>2860</v>
      </c>
      <c r="C148" s="1757" t="s">
        <v>21</v>
      </c>
      <c r="D148" s="1542">
        <v>4725.1848791151424</v>
      </c>
      <c r="E148" s="1564">
        <v>6784.25</v>
      </c>
      <c r="F148" s="332"/>
      <c r="G148" s="2031">
        <f>E148*D148</f>
        <v>32056835.516136903</v>
      </c>
      <c r="H148" s="1563"/>
      <c r="I148" s="1859"/>
      <c r="J148" s="1543"/>
    </row>
    <row r="149" spans="1:10">
      <c r="A149" s="1817" t="s">
        <v>1829</v>
      </c>
      <c r="B149" s="1557" t="s">
        <v>1872</v>
      </c>
      <c r="C149" s="1757"/>
      <c r="D149" s="1542"/>
      <c r="E149" s="1564"/>
      <c r="F149" s="220"/>
      <c r="G149" s="2031"/>
      <c r="H149" s="1683"/>
      <c r="I149" s="1850"/>
      <c r="J149" s="1543"/>
    </row>
    <row r="150" spans="1:10" ht="54">
      <c r="A150" s="75" t="s">
        <v>1830</v>
      </c>
      <c r="B150" s="1550" t="s">
        <v>2637</v>
      </c>
      <c r="C150" s="1757" t="s">
        <v>19</v>
      </c>
      <c r="D150" s="1542">
        <v>12</v>
      </c>
      <c r="E150" s="1564">
        <v>2789.4750000000004</v>
      </c>
      <c r="F150" s="220"/>
      <c r="G150" s="2031">
        <f t="shared" ref="G150:G175" si="6">E150*D150</f>
        <v>33473.700000000004</v>
      </c>
      <c r="H150" s="1683"/>
      <c r="I150" s="1859"/>
      <c r="J150" s="1543"/>
    </row>
    <row r="151" spans="1:10" ht="54">
      <c r="A151" s="75" t="s">
        <v>2113</v>
      </c>
      <c r="B151" s="1550" t="s">
        <v>1876</v>
      </c>
      <c r="C151" s="1757" t="s">
        <v>19</v>
      </c>
      <c r="D151" s="1542">
        <v>10</v>
      </c>
      <c r="E151" s="1564">
        <v>4184.2125000000005</v>
      </c>
      <c r="F151" s="220"/>
      <c r="G151" s="2031">
        <f t="shared" si="6"/>
        <v>41842.125000000007</v>
      </c>
      <c r="H151" s="1683"/>
      <c r="I151" s="1859"/>
      <c r="J151" s="1543"/>
    </row>
    <row r="152" spans="1:10" ht="54">
      <c r="A152" s="75" t="s">
        <v>2114</v>
      </c>
      <c r="B152" s="1550" t="s">
        <v>2638</v>
      </c>
      <c r="C152" s="1757" t="s">
        <v>19</v>
      </c>
      <c r="D152" s="1542">
        <v>10</v>
      </c>
      <c r="E152" s="1564">
        <v>5578.9500000000007</v>
      </c>
      <c r="F152" s="220"/>
      <c r="G152" s="2031">
        <f t="shared" si="6"/>
        <v>55789.500000000007</v>
      </c>
      <c r="H152" s="1683"/>
      <c r="I152" s="1857"/>
      <c r="J152" s="1543"/>
    </row>
    <row r="153" spans="1:10" ht="54">
      <c r="A153" s="75" t="s">
        <v>2115</v>
      </c>
      <c r="B153" s="1550" t="s">
        <v>2407</v>
      </c>
      <c r="C153" s="1757" t="s">
        <v>19</v>
      </c>
      <c r="D153" s="1542">
        <v>2039.474763421387</v>
      </c>
      <c r="E153" s="1564">
        <v>5831.9000000000005</v>
      </c>
      <c r="F153" s="220"/>
      <c r="G153" s="2031">
        <f t="shared" si="6"/>
        <v>11894012.872797187</v>
      </c>
      <c r="H153" s="1683"/>
      <c r="I153" s="1859"/>
      <c r="J153" s="1543"/>
    </row>
    <row r="154" spans="1:10" ht="54">
      <c r="A154" s="75" t="s">
        <v>2405</v>
      </c>
      <c r="B154" s="1550" t="s">
        <v>1881</v>
      </c>
      <c r="C154" s="1757" t="s">
        <v>19</v>
      </c>
      <c r="D154" s="1542">
        <v>1019.7373817106936</v>
      </c>
      <c r="E154" s="1564">
        <v>7289.875</v>
      </c>
      <c r="F154" s="220"/>
      <c r="G154" s="2031">
        <f t="shared" si="6"/>
        <v>7433758.0454982426</v>
      </c>
      <c r="H154" s="1683"/>
      <c r="I154" s="1859"/>
      <c r="J154" s="1543"/>
    </row>
    <row r="155" spans="1:10" ht="54">
      <c r="A155" s="75" t="s">
        <v>2406</v>
      </c>
      <c r="B155" s="1550" t="s">
        <v>1883</v>
      </c>
      <c r="C155" s="1757" t="s">
        <v>19</v>
      </c>
      <c r="D155" s="1542">
        <v>339.91246057023119</v>
      </c>
      <c r="E155" s="1564">
        <v>8747.85</v>
      </c>
      <c r="F155" s="220"/>
      <c r="G155" s="2031">
        <f t="shared" si="6"/>
        <v>2973503.2181992969</v>
      </c>
      <c r="H155" s="1683"/>
      <c r="I155" s="1859"/>
      <c r="J155" s="1543"/>
    </row>
    <row r="156" spans="1:10" ht="54">
      <c r="A156" s="1817" t="s">
        <v>1831</v>
      </c>
      <c r="B156" s="1545" t="s">
        <v>2735</v>
      </c>
      <c r="C156" s="1757"/>
      <c r="D156" s="1542"/>
      <c r="E156" s="1564"/>
      <c r="F156" s="220"/>
      <c r="G156" s="2031"/>
      <c r="H156" s="1683"/>
      <c r="I156" s="1857"/>
      <c r="J156" s="1543"/>
    </row>
    <row r="157" spans="1:10">
      <c r="A157" s="75" t="s">
        <v>1832</v>
      </c>
      <c r="B157" s="1546" t="s">
        <v>2116</v>
      </c>
      <c r="C157" s="1757" t="s">
        <v>21</v>
      </c>
      <c r="D157" s="1542">
        <v>287.31685035639447</v>
      </c>
      <c r="E157" s="1564">
        <v>19638</v>
      </c>
      <c r="F157" s="220"/>
      <c r="G157" s="2031">
        <f t="shared" si="6"/>
        <v>5642328.3072988745</v>
      </c>
      <c r="H157" s="1683"/>
      <c r="I157" s="1857"/>
      <c r="J157" s="1543"/>
    </row>
    <row r="158" spans="1:10">
      <c r="A158" s="75" t="s">
        <v>2122</v>
      </c>
      <c r="B158" s="1558" t="s">
        <v>2117</v>
      </c>
      <c r="C158" s="1757" t="s">
        <v>21</v>
      </c>
      <c r="D158" s="1542">
        <v>245.57872500000002</v>
      </c>
      <c r="E158" s="1564">
        <v>16560</v>
      </c>
      <c r="F158" s="220"/>
      <c r="G158" s="2031">
        <f t="shared" si="6"/>
        <v>4066783.6860000002</v>
      </c>
      <c r="H158" s="1683"/>
      <c r="I158" s="1859"/>
      <c r="J158" s="1543"/>
    </row>
    <row r="159" spans="1:10">
      <c r="A159" s="1817" t="s">
        <v>1833</v>
      </c>
      <c r="B159" s="1548" t="s">
        <v>309</v>
      </c>
      <c r="C159" s="1757"/>
      <c r="D159" s="1542"/>
      <c r="E159" s="1564"/>
      <c r="F159" s="220"/>
      <c r="G159" s="2031"/>
      <c r="H159" s="1683"/>
      <c r="I159" s="1857"/>
      <c r="J159" s="1543"/>
    </row>
    <row r="160" spans="1:10" ht="54">
      <c r="A160" s="75" t="s">
        <v>1834</v>
      </c>
      <c r="B160" s="1549" t="s">
        <v>1637</v>
      </c>
      <c r="C160" s="1757" t="s">
        <v>19</v>
      </c>
      <c r="D160" s="1542">
        <v>302.277908456185</v>
      </c>
      <c r="E160" s="1564">
        <v>1234.9729633333334</v>
      </c>
      <c r="F160" s="220"/>
      <c r="G160" s="2031">
        <f t="shared" si="6"/>
        <v>373305.04435633688</v>
      </c>
      <c r="H160" s="1683"/>
      <c r="I160" s="1857"/>
      <c r="J160" s="1543"/>
    </row>
    <row r="161" spans="1:10">
      <c r="A161" s="1817" t="s">
        <v>1835</v>
      </c>
      <c r="B161" s="313" t="s">
        <v>1649</v>
      </c>
      <c r="C161" s="1757"/>
      <c r="D161" s="1542"/>
      <c r="E161" s="1564"/>
      <c r="F161" s="220"/>
      <c r="G161" s="2031"/>
      <c r="H161" s="1683"/>
      <c r="I161" s="1857"/>
      <c r="J161" s="1543"/>
    </row>
    <row r="162" spans="1:10" s="1531" customFormat="1" ht="54">
      <c r="A162" s="75" t="s">
        <v>1836</v>
      </c>
      <c r="B162" s="1550" t="s">
        <v>1248</v>
      </c>
      <c r="C162" s="1757" t="str">
        <f>'Connecting Tunnel'!C33</f>
        <v>ton</v>
      </c>
      <c r="D162" s="1542">
        <v>16.915779564732723</v>
      </c>
      <c r="E162" s="1564">
        <v>174710.47619047618</v>
      </c>
      <c r="F162" s="332"/>
      <c r="G162" s="2031">
        <f t="shared" si="6"/>
        <v>2955363.90288758</v>
      </c>
      <c r="H162" s="1563"/>
      <c r="I162" s="1859"/>
      <c r="J162" s="1543"/>
    </row>
    <row r="163" spans="1:10" s="1531" customFormat="1">
      <c r="A163" s="1817" t="s">
        <v>1838</v>
      </c>
      <c r="B163" s="313" t="s">
        <v>1929</v>
      </c>
      <c r="C163" s="1757"/>
      <c r="D163" s="1542"/>
      <c r="E163" s="1564"/>
      <c r="F163" s="332"/>
      <c r="G163" s="2031"/>
      <c r="H163" s="1563"/>
      <c r="I163" s="1859"/>
      <c r="J163" s="1543"/>
    </row>
    <row r="164" spans="1:10" s="1531" customFormat="1" ht="72">
      <c r="A164" s="75" t="s">
        <v>1839</v>
      </c>
      <c r="B164" s="1550" t="s">
        <v>2858</v>
      </c>
      <c r="C164" s="1757" t="s">
        <v>311</v>
      </c>
      <c r="D164" s="1542">
        <v>1465</v>
      </c>
      <c r="E164" s="1564">
        <v>4209.7000000000007</v>
      </c>
      <c r="F164" s="332"/>
      <c r="G164" s="2031">
        <f t="shared" si="6"/>
        <v>6167210.5000000009</v>
      </c>
      <c r="H164" s="1563"/>
      <c r="I164" s="1862"/>
      <c r="J164" s="1543"/>
    </row>
    <row r="165" spans="1:10" s="1531" customFormat="1" ht="72">
      <c r="A165" s="75" t="s">
        <v>2752</v>
      </c>
      <c r="B165" s="1550" t="s">
        <v>2859</v>
      </c>
      <c r="C165" s="1757" t="str">
        <f>'Connecting Tunnel'!C34</f>
        <v>Nos.</v>
      </c>
      <c r="D165" s="1542">
        <v>577</v>
      </c>
      <c r="E165" s="1564">
        <v>4795.1750000000002</v>
      </c>
      <c r="F165" s="332"/>
      <c r="G165" s="2031">
        <f t="shared" si="6"/>
        <v>2766815.9750000001</v>
      </c>
      <c r="H165" s="1563"/>
      <c r="I165" s="1859"/>
      <c r="J165" s="1543"/>
    </row>
    <row r="166" spans="1:10" s="1531" customFormat="1">
      <c r="A166" s="1817" t="s">
        <v>2118</v>
      </c>
      <c r="B166" s="1557" t="s">
        <v>2104</v>
      </c>
      <c r="C166" s="1757"/>
      <c r="D166" s="1542"/>
      <c r="E166" s="1564"/>
      <c r="F166" s="332"/>
      <c r="G166" s="2031"/>
      <c r="H166" s="1563"/>
      <c r="I166" s="1859"/>
      <c r="J166" s="1543"/>
    </row>
    <row r="167" spans="1:10" s="1531" customFormat="1" ht="54">
      <c r="A167" s="75" t="s">
        <v>2123</v>
      </c>
      <c r="B167" s="669" t="s">
        <v>2881</v>
      </c>
      <c r="C167" s="1757" t="s">
        <v>311</v>
      </c>
      <c r="D167" s="1542">
        <v>118</v>
      </c>
      <c r="E167" s="2109">
        <v>12161.5</v>
      </c>
      <c r="F167" s="332"/>
      <c r="G167" s="2031">
        <f t="shared" si="6"/>
        <v>1435057</v>
      </c>
      <c r="H167" s="1563"/>
      <c r="I167" s="1859"/>
      <c r="J167" s="1543"/>
    </row>
    <row r="168" spans="1:10" s="1531" customFormat="1">
      <c r="A168" s="1817" t="s">
        <v>2119</v>
      </c>
      <c r="B168" s="1557" t="s">
        <v>318</v>
      </c>
      <c r="C168" s="1757"/>
      <c r="D168" s="1542"/>
      <c r="E168" s="1564"/>
      <c r="F168" s="332"/>
      <c r="G168" s="2031"/>
      <c r="H168" s="1563"/>
      <c r="I168" s="1859"/>
      <c r="J168" s="1543"/>
    </row>
    <row r="169" spans="1:10" s="1531" customFormat="1" ht="54">
      <c r="A169" s="75" t="s">
        <v>2124</v>
      </c>
      <c r="B169" s="669" t="s">
        <v>2892</v>
      </c>
      <c r="C169" s="1757" t="str">
        <f>'Connecting Tunnel'!C37</f>
        <v>ton</v>
      </c>
      <c r="D169" s="1542">
        <v>8.4978115142557797</v>
      </c>
      <c r="E169" s="1564">
        <v>339058.5</v>
      </c>
      <c r="F169" s="332"/>
      <c r="G169" s="2031">
        <f t="shared" si="6"/>
        <v>2881255.2253062935</v>
      </c>
      <c r="H169" s="1563"/>
      <c r="I169" s="1859"/>
      <c r="J169" s="1543"/>
    </row>
    <row r="170" spans="1:10" s="1531" customFormat="1" ht="36">
      <c r="A170" s="1817" t="s">
        <v>2120</v>
      </c>
      <c r="B170" s="1557" t="s">
        <v>2890</v>
      </c>
      <c r="C170" s="1758" t="str">
        <f>'Connecting Tunnel'!C38</f>
        <v>sqm</v>
      </c>
      <c r="D170" s="1542">
        <v>1197.9450000000002</v>
      </c>
      <c r="E170" s="2109">
        <v>350</v>
      </c>
      <c r="F170" s="332"/>
      <c r="G170" s="2031">
        <f t="shared" si="6"/>
        <v>419280.75000000006</v>
      </c>
      <c r="H170" s="1563"/>
      <c r="I170" s="1859"/>
      <c r="J170" s="1543"/>
    </row>
    <row r="171" spans="1:10" s="1531" customFormat="1">
      <c r="A171" s="1817" t="s">
        <v>2121</v>
      </c>
      <c r="B171" s="313" t="s">
        <v>1649</v>
      </c>
      <c r="C171" s="1758"/>
      <c r="D171" s="1542"/>
      <c r="E171" s="1564"/>
      <c r="F171" s="332"/>
      <c r="G171" s="2031"/>
      <c r="H171" s="1563"/>
      <c r="I171" s="1859"/>
      <c r="J171" s="1543"/>
    </row>
    <row r="172" spans="1:10" s="2168" customFormat="1" ht="54">
      <c r="A172" s="2129" t="s">
        <v>2125</v>
      </c>
      <c r="B172" s="2130" t="s">
        <v>1248</v>
      </c>
      <c r="C172" s="2165" t="str">
        <f>'Connecting Tunnel'!C40</f>
        <v>ton</v>
      </c>
      <c r="D172" s="2132">
        <v>14.458447434375</v>
      </c>
      <c r="E172" s="2127">
        <v>174710.47619047618</v>
      </c>
      <c r="F172" s="2166"/>
      <c r="G172" s="2167">
        <f t="shared" si="6"/>
        <v>2526042.2362346249</v>
      </c>
      <c r="H172" s="2151"/>
      <c r="I172" s="2140"/>
      <c r="J172" s="2146"/>
    </row>
    <row r="173" spans="1:10" s="1531" customFormat="1">
      <c r="A173" s="1817" t="s">
        <v>1840</v>
      </c>
      <c r="B173" s="1557" t="s">
        <v>1486</v>
      </c>
      <c r="C173" s="1757"/>
      <c r="D173" s="1542"/>
      <c r="E173" s="1564"/>
      <c r="F173" s="332"/>
      <c r="G173" s="2031"/>
      <c r="H173" s="1563"/>
      <c r="I173" s="1859"/>
      <c r="J173" s="1543"/>
    </row>
    <row r="174" spans="1:10" s="1531" customFormat="1" ht="36">
      <c r="A174" s="75" t="s">
        <v>1841</v>
      </c>
      <c r="B174" s="669" t="s">
        <v>2393</v>
      </c>
      <c r="C174" s="1530" t="s">
        <v>19</v>
      </c>
      <c r="D174" s="1542">
        <v>50</v>
      </c>
      <c r="E174" s="1564">
        <v>534.79999999999995</v>
      </c>
      <c r="F174" s="332"/>
      <c r="G174" s="2031">
        <f t="shared" si="6"/>
        <v>26739.999999999996</v>
      </c>
      <c r="H174" s="1563"/>
      <c r="I174" s="1859"/>
      <c r="J174" s="1543"/>
    </row>
    <row r="175" spans="1:10" s="1531" customFormat="1" ht="36">
      <c r="A175" s="75" t="s">
        <v>1842</v>
      </c>
      <c r="B175" s="669" t="s">
        <v>2408</v>
      </c>
      <c r="C175" s="1757" t="s">
        <v>19</v>
      </c>
      <c r="D175" s="1640">
        <v>339.91246057023113</v>
      </c>
      <c r="E175" s="2052">
        <v>668.5</v>
      </c>
      <c r="F175" s="332"/>
      <c r="G175" s="2031">
        <f t="shared" si="6"/>
        <v>227231.4798911995</v>
      </c>
      <c r="H175" s="1563"/>
      <c r="I175" s="1859"/>
      <c r="J175" s="1543"/>
    </row>
    <row r="176" spans="1:10" s="1531" customFormat="1" ht="17.25" customHeight="1">
      <c r="A176" s="1722"/>
      <c r="B176" s="1538"/>
      <c r="C176" s="1563"/>
      <c r="D176" s="1688"/>
      <c r="E176" s="1564"/>
      <c r="F176" s="1666" t="s">
        <v>1483</v>
      </c>
      <c r="G176" s="2029">
        <f>SUM(G148:G175)</f>
        <v>83976629.084606528</v>
      </c>
      <c r="H176" s="1563"/>
      <c r="I176" s="1858"/>
      <c r="J176" s="1717"/>
    </row>
    <row r="177" spans="1:10" s="1531" customFormat="1">
      <c r="A177" s="1814" t="s">
        <v>1845</v>
      </c>
      <c r="B177" s="1533" t="s">
        <v>1602</v>
      </c>
      <c r="C177" s="1551"/>
      <c r="D177" s="1738"/>
      <c r="E177" s="2000"/>
      <c r="F177" s="1560"/>
      <c r="G177" s="2026"/>
      <c r="H177" s="1534"/>
      <c r="I177" s="1863"/>
      <c r="J177" s="1542"/>
    </row>
    <row r="178" spans="1:10" s="1553" customFormat="1">
      <c r="A178" s="1817" t="s">
        <v>1846</v>
      </c>
      <c r="B178" s="1548" t="s">
        <v>18</v>
      </c>
      <c r="C178" s="1539"/>
      <c r="D178" s="1739"/>
      <c r="E178" s="1564"/>
      <c r="F178" s="1561"/>
      <c r="G178" s="2032"/>
      <c r="H178" s="1820"/>
      <c r="I178" s="1863"/>
      <c r="J178" s="1542"/>
    </row>
    <row r="179" spans="1:10" s="1531" customFormat="1" ht="72">
      <c r="A179" s="75" t="s">
        <v>1847</v>
      </c>
      <c r="B179" s="1555" t="s">
        <v>2847</v>
      </c>
      <c r="C179" s="1530" t="s">
        <v>19</v>
      </c>
      <c r="D179" s="1547">
        <v>178</v>
      </c>
      <c r="E179" s="1564">
        <v>40.5</v>
      </c>
      <c r="F179" s="332"/>
      <c r="G179" s="2031">
        <f>D179*E179</f>
        <v>7209</v>
      </c>
      <c r="H179" s="1563"/>
      <c r="I179" s="1864"/>
      <c r="J179" s="1542"/>
    </row>
    <row r="180" spans="1:10" s="1531" customFormat="1" ht="72">
      <c r="A180" s="1817" t="s">
        <v>1848</v>
      </c>
      <c r="B180" s="1544" t="s">
        <v>2849</v>
      </c>
      <c r="C180" s="1530"/>
      <c r="D180" s="1547"/>
      <c r="E180" s="1564"/>
      <c r="F180" s="332"/>
      <c r="G180" s="2031"/>
      <c r="H180" s="1563"/>
      <c r="I180" s="1864"/>
      <c r="J180" s="1542"/>
    </row>
    <row r="181" spans="1:10" s="1531" customFormat="1">
      <c r="A181" s="75" t="s">
        <v>1849</v>
      </c>
      <c r="B181" s="220" t="s">
        <v>1632</v>
      </c>
      <c r="C181" s="1530" t="s">
        <v>21</v>
      </c>
      <c r="D181" s="1547">
        <v>3779.9999999999995</v>
      </c>
      <c r="E181" s="1564">
        <v>358.66</v>
      </c>
      <c r="F181" s="332"/>
      <c r="G181" s="2031">
        <f t="shared" ref="G181:G192" si="7">D181*E181</f>
        <v>1355734.8</v>
      </c>
      <c r="H181" s="1563"/>
      <c r="I181" s="1864"/>
      <c r="J181" s="1542"/>
    </row>
    <row r="182" spans="1:10" s="1531" customFormat="1">
      <c r="A182" s="75" t="s">
        <v>1850</v>
      </c>
      <c r="B182" s="220" t="s">
        <v>1634</v>
      </c>
      <c r="C182" s="1530" t="s">
        <v>21</v>
      </c>
      <c r="D182" s="1547">
        <v>1620</v>
      </c>
      <c r="E182" s="1564">
        <v>1385.23</v>
      </c>
      <c r="F182" s="332"/>
      <c r="G182" s="2031">
        <f t="shared" si="7"/>
        <v>2244072.6</v>
      </c>
      <c r="H182" s="1563"/>
      <c r="I182" s="1864"/>
      <c r="J182" s="1542"/>
    </row>
    <row r="183" spans="1:10" s="1531" customFormat="1">
      <c r="A183" s="1817" t="s">
        <v>1852</v>
      </c>
      <c r="B183" s="313" t="s">
        <v>1929</v>
      </c>
      <c r="C183" s="1530"/>
      <c r="D183" s="1547"/>
      <c r="E183" s="1564"/>
      <c r="F183" s="332"/>
      <c r="G183" s="2031"/>
      <c r="H183" s="1563"/>
      <c r="I183" s="1864"/>
      <c r="J183" s="1542"/>
    </row>
    <row r="184" spans="1:10" s="1531" customFormat="1" ht="54">
      <c r="A184" s="75" t="s">
        <v>1853</v>
      </c>
      <c r="B184" s="1550" t="s">
        <v>2863</v>
      </c>
      <c r="C184" s="1530" t="s">
        <v>311</v>
      </c>
      <c r="D184" s="1547">
        <v>239</v>
      </c>
      <c r="E184" s="2170">
        <v>5512.75</v>
      </c>
      <c r="F184" s="332"/>
      <c r="G184" s="2031">
        <f t="shared" si="7"/>
        <v>1317547.25</v>
      </c>
      <c r="H184" s="1563"/>
      <c r="I184" s="1864"/>
      <c r="J184" s="1542"/>
    </row>
    <row r="185" spans="1:10" s="1531" customFormat="1">
      <c r="A185" s="1817" t="s">
        <v>1854</v>
      </c>
      <c r="B185" s="1685" t="s">
        <v>2409</v>
      </c>
      <c r="C185" s="1530"/>
      <c r="D185" s="1547"/>
      <c r="E185" s="1564"/>
      <c r="F185" s="332"/>
      <c r="G185" s="2031"/>
      <c r="H185" s="1563"/>
      <c r="I185" s="1864"/>
      <c r="J185" s="1542"/>
    </row>
    <row r="186" spans="1:10" s="1531" customFormat="1" ht="54">
      <c r="A186" s="75" t="s">
        <v>2126</v>
      </c>
      <c r="B186" s="1550" t="s">
        <v>2615</v>
      </c>
      <c r="C186" s="1530" t="s">
        <v>19</v>
      </c>
      <c r="D186" s="1547">
        <v>10</v>
      </c>
      <c r="E186" s="1564">
        <v>2789.4750000000004</v>
      </c>
      <c r="F186" s="332"/>
      <c r="G186" s="2031">
        <f t="shared" si="7"/>
        <v>27894.750000000004</v>
      </c>
      <c r="H186" s="1563"/>
      <c r="I186" s="1860"/>
      <c r="J186" s="1627"/>
    </row>
    <row r="187" spans="1:10" s="1531" customFormat="1" ht="54">
      <c r="A187" s="75" t="s">
        <v>2410</v>
      </c>
      <c r="B187" s="1550" t="s">
        <v>2640</v>
      </c>
      <c r="C187" s="1530" t="s">
        <v>19</v>
      </c>
      <c r="D187" s="1542">
        <v>12</v>
      </c>
      <c r="E187" s="1564">
        <v>4184.2125000000005</v>
      </c>
      <c r="F187" s="332"/>
      <c r="G187" s="2031">
        <f t="shared" si="7"/>
        <v>50210.55</v>
      </c>
      <c r="H187" s="1563"/>
      <c r="I187" s="1864"/>
      <c r="J187" s="1627"/>
    </row>
    <row r="188" spans="1:10" s="315" customFormat="1" ht="54">
      <c r="A188" s="75" t="s">
        <v>2411</v>
      </c>
      <c r="B188" s="1550" t="s">
        <v>2412</v>
      </c>
      <c r="C188" s="1530" t="s">
        <v>19</v>
      </c>
      <c r="D188" s="1542">
        <v>537.6</v>
      </c>
      <c r="E188" s="1564">
        <v>5578.9500000000007</v>
      </c>
      <c r="F188" s="313"/>
      <c r="G188" s="2031">
        <f t="shared" si="7"/>
        <v>2999243.5200000005</v>
      </c>
      <c r="H188" s="1821"/>
      <c r="I188" s="1865"/>
      <c r="J188" s="1565"/>
    </row>
    <row r="189" spans="1:10" s="1531" customFormat="1">
      <c r="A189" s="1817" t="s">
        <v>1856</v>
      </c>
      <c r="B189" s="1557" t="s">
        <v>1486</v>
      </c>
      <c r="C189" s="1530"/>
      <c r="D189" s="1547"/>
      <c r="E189" s="1564"/>
      <c r="F189" s="332"/>
      <c r="G189" s="2031"/>
      <c r="H189" s="1563"/>
      <c r="I189" s="1864"/>
      <c r="J189" s="1542"/>
    </row>
    <row r="190" spans="1:10" s="1531" customFormat="1" ht="36">
      <c r="A190" s="75" t="s">
        <v>2127</v>
      </c>
      <c r="B190" s="669" t="s">
        <v>2391</v>
      </c>
      <c r="C190" s="1530" t="s">
        <v>19</v>
      </c>
      <c r="D190" s="1547">
        <v>537.6</v>
      </c>
      <c r="E190" s="1564">
        <v>668.5</v>
      </c>
      <c r="F190" s="332"/>
      <c r="G190" s="2031">
        <f t="shared" si="7"/>
        <v>359385.60000000003</v>
      </c>
      <c r="H190" s="1563"/>
      <c r="I190" s="1864"/>
      <c r="J190" s="1542"/>
    </row>
    <row r="191" spans="1:10" s="1531" customFormat="1" ht="36">
      <c r="A191" s="75" t="s">
        <v>2392</v>
      </c>
      <c r="B191" s="669" t="s">
        <v>2393</v>
      </c>
      <c r="C191" s="1530" t="s">
        <v>19</v>
      </c>
      <c r="D191" s="1547">
        <v>50</v>
      </c>
      <c r="E191" s="1564">
        <v>534.79999999999995</v>
      </c>
      <c r="F191" s="332"/>
      <c r="G191" s="2031">
        <f t="shared" si="7"/>
        <v>26739.999999999996</v>
      </c>
      <c r="H191" s="1563"/>
      <c r="I191" s="1864"/>
      <c r="J191" s="1542"/>
    </row>
    <row r="192" spans="1:10" s="1531" customFormat="1">
      <c r="A192" s="1817" t="s">
        <v>1859</v>
      </c>
      <c r="B192" s="1538" t="s">
        <v>1484</v>
      </c>
      <c r="C192" s="1530" t="s">
        <v>311</v>
      </c>
      <c r="D192" s="1547">
        <v>180</v>
      </c>
      <c r="E192" s="1564">
        <v>618</v>
      </c>
      <c r="F192" s="332"/>
      <c r="G192" s="2031">
        <f t="shared" si="7"/>
        <v>111240</v>
      </c>
      <c r="H192" s="1563"/>
      <c r="I192" s="1864"/>
      <c r="J192" s="1542"/>
    </row>
    <row r="193" spans="1:10" s="1531" customFormat="1" ht="17.25" customHeight="1">
      <c r="A193" s="1722"/>
      <c r="B193" s="1538"/>
      <c r="C193" s="1563"/>
      <c r="D193" s="1688"/>
      <c r="E193" s="1565"/>
      <c r="F193" s="1666" t="s">
        <v>1483</v>
      </c>
      <c r="G193" s="2029">
        <f>SUM(G179:G192)</f>
        <v>8499278.0700000003</v>
      </c>
      <c r="H193" s="1563"/>
      <c r="I193" s="1858"/>
      <c r="J193" s="1717"/>
    </row>
    <row r="194" spans="1:10" s="1531" customFormat="1">
      <c r="A194" s="1814" t="s">
        <v>1864</v>
      </c>
      <c r="B194" s="1533" t="s">
        <v>1603</v>
      </c>
      <c r="C194" s="1551"/>
      <c r="D194" s="1738"/>
      <c r="E194" s="2001"/>
      <c r="F194" s="1560"/>
      <c r="G194" s="2026"/>
      <c r="H194" s="1534"/>
      <c r="I194" s="1863"/>
      <c r="J194" s="1542"/>
    </row>
    <row r="195" spans="1:10" s="1553" customFormat="1">
      <c r="A195" s="1817" t="s">
        <v>1865</v>
      </c>
      <c r="B195" s="1548" t="s">
        <v>18</v>
      </c>
      <c r="C195" s="1539"/>
      <c r="D195" s="1739"/>
      <c r="E195" s="2006"/>
      <c r="F195" s="1561"/>
      <c r="G195" s="2032"/>
      <c r="H195" s="1820"/>
      <c r="I195" s="1863"/>
      <c r="J195" s="1542"/>
    </row>
    <row r="196" spans="1:10" s="1531" customFormat="1" ht="72">
      <c r="A196" s="75" t="s">
        <v>1867</v>
      </c>
      <c r="B196" s="1555" t="s">
        <v>2847</v>
      </c>
      <c r="C196" s="1530" t="s">
        <v>19</v>
      </c>
      <c r="D196" s="1547">
        <v>125</v>
      </c>
      <c r="E196" s="1564">
        <v>40.5</v>
      </c>
      <c r="F196" s="332"/>
      <c r="G196" s="2031">
        <f>D196*E196</f>
        <v>5062.5</v>
      </c>
      <c r="H196" s="1563"/>
      <c r="I196" s="1864"/>
      <c r="J196" s="1542"/>
    </row>
    <row r="197" spans="1:10" s="1531" customFormat="1" ht="72">
      <c r="A197" s="1817" t="s">
        <v>1871</v>
      </c>
      <c r="B197" s="1544" t="s">
        <v>2849</v>
      </c>
      <c r="C197" s="1530"/>
      <c r="D197" s="1547"/>
      <c r="E197" s="1564"/>
      <c r="F197" s="332"/>
      <c r="G197" s="2031"/>
      <c r="H197" s="1563"/>
      <c r="I197" s="1864"/>
      <c r="J197" s="1542"/>
    </row>
    <row r="198" spans="1:10" s="1531" customFormat="1">
      <c r="A198" s="75" t="s">
        <v>1873</v>
      </c>
      <c r="B198" s="220" t="s">
        <v>1632</v>
      </c>
      <c r="C198" s="1530" t="s">
        <v>21</v>
      </c>
      <c r="D198" s="1547">
        <v>700</v>
      </c>
      <c r="E198" s="1564">
        <v>358.66</v>
      </c>
      <c r="F198" s="332"/>
      <c r="G198" s="2031">
        <f t="shared" ref="G198:G208" si="8">D198*E198</f>
        <v>251062.00000000003</v>
      </c>
      <c r="H198" s="1563"/>
      <c r="I198" s="1864"/>
      <c r="J198" s="1542"/>
    </row>
    <row r="199" spans="1:10" s="1531" customFormat="1">
      <c r="A199" s="75" t="s">
        <v>1875</v>
      </c>
      <c r="B199" s="220" t="s">
        <v>1634</v>
      </c>
      <c r="C199" s="1530" t="s">
        <v>21</v>
      </c>
      <c r="D199" s="1547">
        <v>300</v>
      </c>
      <c r="E199" s="1564">
        <v>1385.23</v>
      </c>
      <c r="F199" s="332"/>
      <c r="G199" s="2031">
        <f t="shared" si="8"/>
        <v>415569</v>
      </c>
      <c r="H199" s="1563"/>
      <c r="I199" s="1864"/>
      <c r="J199" s="1542"/>
    </row>
    <row r="200" spans="1:10" s="1531" customFormat="1">
      <c r="A200" s="1817" t="s">
        <v>1884</v>
      </c>
      <c r="B200" s="313" t="s">
        <v>1929</v>
      </c>
      <c r="C200" s="1530"/>
      <c r="D200" s="1547"/>
      <c r="E200" s="1564"/>
      <c r="F200" s="332"/>
      <c r="G200" s="2031"/>
      <c r="H200" s="1563"/>
      <c r="I200" s="1864"/>
      <c r="J200" s="1542"/>
    </row>
    <row r="201" spans="1:10" s="1531" customFormat="1" ht="54">
      <c r="A201" s="75" t="s">
        <v>1885</v>
      </c>
      <c r="B201" s="1550" t="s">
        <v>2861</v>
      </c>
      <c r="C201" s="1530" t="s">
        <v>307</v>
      </c>
      <c r="D201" s="1547">
        <v>76</v>
      </c>
      <c r="E201" s="1564">
        <v>5512.75</v>
      </c>
      <c r="F201" s="332"/>
      <c r="G201" s="2031">
        <f t="shared" si="8"/>
        <v>418969</v>
      </c>
      <c r="H201" s="1563"/>
      <c r="I201" s="1864"/>
      <c r="J201" s="1542"/>
    </row>
    <row r="202" spans="1:10" s="1531" customFormat="1">
      <c r="A202" s="1817" t="s">
        <v>1886</v>
      </c>
      <c r="B202" s="1538" t="s">
        <v>2409</v>
      </c>
      <c r="C202" s="1530"/>
      <c r="D202" s="1547"/>
      <c r="E202" s="1564"/>
      <c r="F202" s="332"/>
      <c r="G202" s="2031"/>
      <c r="H202" s="1563"/>
      <c r="I202" s="1864"/>
      <c r="J202" s="1542"/>
    </row>
    <row r="203" spans="1:10" s="1531" customFormat="1" ht="54">
      <c r="A203" s="75" t="s">
        <v>1887</v>
      </c>
      <c r="B203" s="1550" t="s">
        <v>1876</v>
      </c>
      <c r="C203" s="1530" t="s">
        <v>19</v>
      </c>
      <c r="D203" s="1542">
        <v>10</v>
      </c>
      <c r="E203" s="1564">
        <v>4184.2125000000005</v>
      </c>
      <c r="F203" s="332"/>
      <c r="G203" s="2031">
        <f t="shared" si="8"/>
        <v>41842.125000000007</v>
      </c>
      <c r="H203" s="1563"/>
      <c r="I203" s="1865"/>
      <c r="J203" s="1542"/>
    </row>
    <row r="204" spans="1:10" s="1531" customFormat="1" ht="54">
      <c r="A204" s="75" t="s">
        <v>2413</v>
      </c>
      <c r="B204" s="1550" t="s">
        <v>2412</v>
      </c>
      <c r="C204" s="1530" t="s">
        <v>19</v>
      </c>
      <c r="D204" s="1547">
        <v>169.2</v>
      </c>
      <c r="E204" s="1564">
        <v>5578.9500000000007</v>
      </c>
      <c r="F204" s="332"/>
      <c r="G204" s="2031">
        <f t="shared" si="8"/>
        <v>943958.34000000008</v>
      </c>
      <c r="H204" s="1563"/>
      <c r="I204" s="1864"/>
      <c r="J204" s="1542"/>
    </row>
    <row r="205" spans="1:10" s="1531" customFormat="1">
      <c r="A205" s="1817" t="s">
        <v>1888</v>
      </c>
      <c r="B205" s="1557" t="s">
        <v>2414</v>
      </c>
      <c r="C205" s="1530"/>
      <c r="D205" s="1547"/>
      <c r="E205" s="1564"/>
      <c r="F205" s="332"/>
      <c r="G205" s="2031"/>
      <c r="H205" s="1563"/>
      <c r="I205" s="1864"/>
      <c r="J205" s="1542"/>
    </row>
    <row r="206" spans="1:10" s="1531" customFormat="1" ht="36">
      <c r="A206" s="75" t="s">
        <v>1889</v>
      </c>
      <c r="B206" s="669" t="s">
        <v>2878</v>
      </c>
      <c r="C206" s="1530" t="s">
        <v>19</v>
      </c>
      <c r="D206" s="1547">
        <v>169.2</v>
      </c>
      <c r="E206" s="1564">
        <v>668.5</v>
      </c>
      <c r="F206" s="332"/>
      <c r="G206" s="2031">
        <f t="shared" si="8"/>
        <v>113110.2</v>
      </c>
      <c r="H206" s="1563"/>
      <c r="I206" s="1864"/>
      <c r="J206" s="1542"/>
    </row>
    <row r="207" spans="1:10" s="1531" customFormat="1" ht="36">
      <c r="A207" s="75" t="s">
        <v>2753</v>
      </c>
      <c r="B207" s="669" t="s">
        <v>2877</v>
      </c>
      <c r="C207" s="1530" t="s">
        <v>19</v>
      </c>
      <c r="D207" s="1547">
        <v>20</v>
      </c>
      <c r="E207" s="1564">
        <v>534.79999999999995</v>
      </c>
      <c r="F207" s="332"/>
      <c r="G207" s="2031">
        <f t="shared" si="8"/>
        <v>10696</v>
      </c>
      <c r="H207" s="1563"/>
      <c r="I207" s="1864"/>
      <c r="J207" s="1542"/>
    </row>
    <row r="208" spans="1:10" s="1531" customFormat="1" ht="54">
      <c r="A208" s="1722" t="s">
        <v>1890</v>
      </c>
      <c r="B208" s="1538" t="s">
        <v>2899</v>
      </c>
      <c r="C208" s="1530" t="s">
        <v>311</v>
      </c>
      <c r="D208" s="1542">
        <v>57</v>
      </c>
      <c r="E208" s="1564">
        <v>618</v>
      </c>
      <c r="F208" s="332"/>
      <c r="G208" s="2031">
        <f t="shared" si="8"/>
        <v>35226</v>
      </c>
      <c r="H208" s="1563"/>
      <c r="I208" s="1864"/>
      <c r="J208" s="1542"/>
    </row>
    <row r="209" spans="1:10" s="1531" customFormat="1">
      <c r="A209" s="1722"/>
      <c r="B209" s="1538"/>
      <c r="C209" s="1563"/>
      <c r="D209" s="1688"/>
      <c r="E209" s="1564"/>
      <c r="F209" s="1666" t="s">
        <v>1483</v>
      </c>
      <c r="G209" s="2029">
        <f>SUM(G196:G208)</f>
        <v>2235495.165</v>
      </c>
      <c r="H209" s="1563"/>
      <c r="I209" s="1858"/>
      <c r="J209" s="1717"/>
    </row>
    <row r="210" spans="1:10" s="1531" customFormat="1">
      <c r="A210" s="1814" t="s">
        <v>1904</v>
      </c>
      <c r="B210" s="1533" t="s">
        <v>2925</v>
      </c>
      <c r="C210" s="1534"/>
      <c r="D210" s="1736"/>
      <c r="E210" s="2000"/>
      <c r="F210" s="1566"/>
      <c r="G210" s="2026"/>
      <c r="H210" s="1534"/>
      <c r="I210" s="1863"/>
      <c r="J210" s="1542"/>
    </row>
    <row r="211" spans="1:10" s="1567" customFormat="1">
      <c r="A211" s="1817" t="s">
        <v>1906</v>
      </c>
      <c r="B211" s="1548" t="s">
        <v>18</v>
      </c>
      <c r="C211" s="1572"/>
      <c r="D211" s="1640"/>
      <c r="E211" s="1564"/>
      <c r="F211" s="1642"/>
      <c r="G211" s="2027"/>
      <c r="H211" s="1816"/>
      <c r="I211" s="1863"/>
      <c r="J211" s="1542"/>
    </row>
    <row r="212" spans="1:10" s="1531" customFormat="1" ht="72">
      <c r="A212" s="75" t="s">
        <v>1907</v>
      </c>
      <c r="B212" s="1555" t="s">
        <v>2847</v>
      </c>
      <c r="C212" s="1530" t="s">
        <v>19</v>
      </c>
      <c r="D212" s="1547">
        <v>550</v>
      </c>
      <c r="E212" s="1564">
        <v>40.5</v>
      </c>
      <c r="F212" s="332"/>
      <c r="G212" s="2031">
        <f>D212*E212</f>
        <v>22275</v>
      </c>
      <c r="H212" s="1563"/>
      <c r="I212" s="1864"/>
      <c r="J212" s="1542"/>
    </row>
    <row r="213" spans="1:10" s="1531" customFormat="1" ht="72">
      <c r="A213" s="1817" t="s">
        <v>1908</v>
      </c>
      <c r="B213" s="1544" t="s">
        <v>2849</v>
      </c>
      <c r="C213" s="1530"/>
      <c r="D213" s="1547"/>
      <c r="E213" s="1564"/>
      <c r="F213" s="332"/>
      <c r="G213" s="2031"/>
      <c r="H213" s="1563"/>
      <c r="I213" s="1864"/>
      <c r="J213" s="1542"/>
    </row>
    <row r="214" spans="1:10" s="1531" customFormat="1">
      <c r="A214" s="75" t="s">
        <v>1909</v>
      </c>
      <c r="B214" s="220" t="s">
        <v>1632</v>
      </c>
      <c r="C214" s="1530" t="s">
        <v>21</v>
      </c>
      <c r="D214" s="1547">
        <v>2748.2327568000001</v>
      </c>
      <c r="E214" s="1564">
        <v>358.66</v>
      </c>
      <c r="F214" s="332"/>
      <c r="G214" s="2031">
        <f t="shared" ref="G214:G230" si="9">D214*E214</f>
        <v>985681.16055388807</v>
      </c>
      <c r="H214" s="1563"/>
      <c r="I214" s="1864"/>
      <c r="J214" s="1542"/>
    </row>
    <row r="215" spans="1:10" s="1531" customFormat="1">
      <c r="A215" s="75" t="s">
        <v>1911</v>
      </c>
      <c r="B215" s="220" t="s">
        <v>1634</v>
      </c>
      <c r="C215" s="1530" t="s">
        <v>21</v>
      </c>
      <c r="D215" s="1547">
        <v>687.05818920000002</v>
      </c>
      <c r="E215" s="1564">
        <v>1385.23</v>
      </c>
      <c r="F215" s="332"/>
      <c r="G215" s="2031">
        <f t="shared" si="9"/>
        <v>951733.61542551604</v>
      </c>
      <c r="H215" s="1563"/>
      <c r="I215" s="1864"/>
      <c r="J215" s="1542"/>
    </row>
    <row r="216" spans="1:10" s="1531" customFormat="1">
      <c r="A216" s="1817" t="s">
        <v>1917</v>
      </c>
      <c r="B216" s="313" t="s">
        <v>31</v>
      </c>
      <c r="C216" s="1530" t="s">
        <v>21</v>
      </c>
      <c r="D216" s="1547"/>
      <c r="E216" s="1564"/>
      <c r="F216" s="332"/>
      <c r="G216" s="2031"/>
      <c r="H216" s="1563"/>
      <c r="I216" s="1864"/>
      <c r="J216" s="1542"/>
    </row>
    <row r="217" spans="1:10" s="1531" customFormat="1" ht="54">
      <c r="A217" s="75" t="s">
        <v>1918</v>
      </c>
      <c r="B217" s="1545" t="s">
        <v>2862</v>
      </c>
      <c r="C217" s="1530" t="s">
        <v>21</v>
      </c>
      <c r="D217" s="1547">
        <v>324.79790299999996</v>
      </c>
      <c r="E217" s="1564">
        <v>217.5</v>
      </c>
      <c r="F217" s="332"/>
      <c r="G217" s="2031">
        <f t="shared" si="9"/>
        <v>70643.543902499994</v>
      </c>
      <c r="H217" s="1563"/>
      <c r="I217" s="1864"/>
      <c r="J217" s="1542"/>
    </row>
    <row r="218" spans="1:10" s="1531" customFormat="1" ht="54">
      <c r="A218" s="1817" t="s">
        <v>1919</v>
      </c>
      <c r="B218" s="1545" t="s">
        <v>2735</v>
      </c>
      <c r="C218" s="1530"/>
      <c r="D218" s="1547"/>
      <c r="E218" s="1564"/>
      <c r="F218" s="332"/>
      <c r="G218" s="2031"/>
      <c r="H218" s="1563"/>
      <c r="I218" s="1864"/>
      <c r="J218" s="1542"/>
    </row>
    <row r="219" spans="1:10" s="1531" customFormat="1">
      <c r="A219" s="75" t="s">
        <v>1920</v>
      </c>
      <c r="B219" s="1546" t="s">
        <v>1641</v>
      </c>
      <c r="C219" s="1530" t="s">
        <v>21</v>
      </c>
      <c r="D219" s="1547">
        <v>24.151049999999994</v>
      </c>
      <c r="E219" s="1564">
        <v>13187.5</v>
      </c>
      <c r="F219" s="332"/>
      <c r="G219" s="2031">
        <f t="shared" si="9"/>
        <v>318491.97187499993</v>
      </c>
      <c r="H219" s="1563"/>
      <c r="I219" s="1864"/>
      <c r="J219" s="1542"/>
    </row>
    <row r="220" spans="1:10" s="1531" customFormat="1">
      <c r="A220" s="75" t="s">
        <v>2129</v>
      </c>
      <c r="B220" s="1546" t="s">
        <v>1645</v>
      </c>
      <c r="C220" s="1530" t="s">
        <v>21</v>
      </c>
      <c r="D220" s="1547">
        <v>511.43399999999991</v>
      </c>
      <c r="E220" s="1564">
        <v>18375.5</v>
      </c>
      <c r="F220" s="332"/>
      <c r="G220" s="2031">
        <f t="shared" si="9"/>
        <v>9397855.4669999983</v>
      </c>
      <c r="H220" s="1563"/>
      <c r="I220" s="1864"/>
      <c r="J220" s="1542"/>
    </row>
    <row r="221" spans="1:10" s="1531" customFormat="1" ht="36">
      <c r="A221" s="1722" t="s">
        <v>1921</v>
      </c>
      <c r="B221" s="1568" t="s">
        <v>1723</v>
      </c>
      <c r="C221" s="1530" t="s">
        <v>21</v>
      </c>
      <c r="D221" s="1542">
        <v>74.738</v>
      </c>
      <c r="E221" s="1564">
        <v>233</v>
      </c>
      <c r="F221" s="332"/>
      <c r="G221" s="2031">
        <f t="shared" si="9"/>
        <v>17413.954000000002</v>
      </c>
      <c r="H221" s="1563"/>
      <c r="I221" s="1864"/>
      <c r="J221" s="1542"/>
    </row>
    <row r="222" spans="1:10" s="1531" customFormat="1" ht="54">
      <c r="A222" s="1722" t="s">
        <v>1924</v>
      </c>
      <c r="B222" s="1538" t="s">
        <v>2902</v>
      </c>
      <c r="C222" s="1530" t="str">
        <f>'Culvert (Connecting Tunnel Alt)'!C31</f>
        <v>rm</v>
      </c>
      <c r="D222" s="1542">
        <v>59.958999999999996</v>
      </c>
      <c r="E222" s="1564">
        <v>3073.98</v>
      </c>
      <c r="F222" s="332"/>
      <c r="G222" s="2031">
        <f t="shared" si="9"/>
        <v>184312.76681999999</v>
      </c>
      <c r="H222" s="1563"/>
      <c r="I222" s="1864"/>
      <c r="J222" s="1542"/>
    </row>
    <row r="223" spans="1:10" s="1531" customFormat="1">
      <c r="A223" s="1817" t="s">
        <v>1928</v>
      </c>
      <c r="B223" s="1548" t="s">
        <v>309</v>
      </c>
      <c r="C223" s="1530"/>
      <c r="D223" s="1547"/>
      <c r="E223" s="1564"/>
      <c r="F223" s="332"/>
      <c r="G223" s="2031"/>
      <c r="H223" s="1563"/>
      <c r="I223" s="1864"/>
      <c r="J223" s="1542"/>
    </row>
    <row r="224" spans="1:10" s="1531" customFormat="1" ht="54">
      <c r="A224" s="75" t="s">
        <v>1930</v>
      </c>
      <c r="B224" s="1549" t="s">
        <v>1637</v>
      </c>
      <c r="C224" s="1530" t="s">
        <v>19</v>
      </c>
      <c r="D224" s="1547">
        <v>1325.94</v>
      </c>
      <c r="E224" s="1564">
        <v>1228.5614285714287</v>
      </c>
      <c r="F224" s="332"/>
      <c r="G224" s="2031">
        <f t="shared" si="9"/>
        <v>1628998.7406000001</v>
      </c>
      <c r="H224" s="1563"/>
      <c r="I224" s="1864"/>
      <c r="J224" s="1542"/>
    </row>
    <row r="225" spans="1:10" s="1531" customFormat="1">
      <c r="A225" s="1817" t="s">
        <v>1934</v>
      </c>
      <c r="B225" s="313" t="s">
        <v>1649</v>
      </c>
      <c r="C225" s="1530"/>
      <c r="D225" s="1547"/>
      <c r="E225" s="1564"/>
      <c r="F225" s="332"/>
      <c r="G225" s="2031"/>
      <c r="H225" s="1563"/>
      <c r="I225" s="1864"/>
      <c r="J225" s="1542"/>
    </row>
    <row r="226" spans="1:10" s="1531" customFormat="1" ht="54">
      <c r="A226" s="75" t="s">
        <v>1935</v>
      </c>
      <c r="B226" s="1550" t="s">
        <v>1248</v>
      </c>
      <c r="C226" s="1530" t="str">
        <f>'Culvert (Connecting Tunnel Alt)'!C43</f>
        <v>ton</v>
      </c>
      <c r="D226" s="1547">
        <v>40.147568999999997</v>
      </c>
      <c r="E226" s="1564">
        <v>164277.67441860467</v>
      </c>
      <c r="F226" s="332"/>
      <c r="G226" s="2031">
        <f t="shared" si="9"/>
        <v>6595349.2688804651</v>
      </c>
      <c r="H226" s="1563"/>
      <c r="I226" s="1864"/>
      <c r="J226" s="1542"/>
    </row>
    <row r="227" spans="1:10" s="1531" customFormat="1" ht="51.75" customHeight="1">
      <c r="A227" s="1817" t="s">
        <v>2128</v>
      </c>
      <c r="B227" s="1626" t="s">
        <v>2900</v>
      </c>
      <c r="C227" s="1530"/>
      <c r="D227" s="1547"/>
      <c r="E227" s="1564"/>
      <c r="F227" s="332"/>
      <c r="G227" s="2031"/>
      <c r="H227" s="1563"/>
      <c r="I227" s="1864"/>
      <c r="J227" s="1542"/>
    </row>
    <row r="228" spans="1:10" s="1531" customFormat="1">
      <c r="A228" s="75" t="s">
        <v>2754</v>
      </c>
      <c r="B228" s="1569" t="s">
        <v>155</v>
      </c>
      <c r="C228" s="1530" t="s">
        <v>27</v>
      </c>
      <c r="D228" s="1547">
        <v>40</v>
      </c>
      <c r="E228" s="1564">
        <v>1693</v>
      </c>
      <c r="F228" s="332"/>
      <c r="G228" s="2031">
        <f t="shared" si="9"/>
        <v>67720</v>
      </c>
      <c r="H228" s="1563"/>
      <c r="I228" s="1864"/>
      <c r="J228" s="1542"/>
    </row>
    <row r="229" spans="1:10" s="1531" customFormat="1">
      <c r="A229" s="75" t="s">
        <v>2755</v>
      </c>
      <c r="B229" s="1569" t="s">
        <v>174</v>
      </c>
      <c r="C229" s="1530" t="s">
        <v>502</v>
      </c>
      <c r="D229" s="1547">
        <v>40</v>
      </c>
      <c r="E229" s="1564">
        <v>1245</v>
      </c>
      <c r="F229" s="332"/>
      <c r="G229" s="2031">
        <f t="shared" si="9"/>
        <v>49800</v>
      </c>
      <c r="H229" s="1563"/>
      <c r="I229" s="1864"/>
      <c r="J229" s="1542"/>
    </row>
    <row r="230" spans="1:10" s="1531" customFormat="1">
      <c r="A230" s="75" t="s">
        <v>2756</v>
      </c>
      <c r="B230" s="1570" t="s">
        <v>741</v>
      </c>
      <c r="C230" s="1530" t="s">
        <v>85</v>
      </c>
      <c r="D230" s="1547">
        <v>80</v>
      </c>
      <c r="E230" s="1564">
        <v>1208</v>
      </c>
      <c r="F230" s="332"/>
      <c r="G230" s="2031">
        <f t="shared" si="9"/>
        <v>96640</v>
      </c>
      <c r="H230" s="1563"/>
      <c r="I230" s="1864"/>
      <c r="J230" s="1542"/>
    </row>
    <row r="231" spans="1:10" s="1531" customFormat="1" ht="17.25" customHeight="1">
      <c r="A231" s="1722"/>
      <c r="B231" s="1538"/>
      <c r="C231" s="1563"/>
      <c r="D231" s="1688"/>
      <c r="E231" s="1565"/>
      <c r="F231" s="1666" t="s">
        <v>1483</v>
      </c>
      <c r="G231" s="2029">
        <f>SUM(G212:G230)</f>
        <v>20386915.489057366</v>
      </c>
      <c r="H231" s="1563"/>
      <c r="I231" s="1858"/>
      <c r="J231" s="1717"/>
    </row>
    <row r="232" spans="1:10" s="1531" customFormat="1">
      <c r="A232" s="1814" t="s">
        <v>1938</v>
      </c>
      <c r="B232" s="1533" t="s">
        <v>3081</v>
      </c>
      <c r="C232" s="1534"/>
      <c r="D232" s="1736"/>
      <c r="E232" s="2001"/>
      <c r="F232" s="1566"/>
      <c r="G232" s="2026"/>
      <c r="H232" s="1534"/>
      <c r="I232" s="1863"/>
      <c r="J232" s="1542"/>
    </row>
    <row r="233" spans="1:10" s="1567" customFormat="1">
      <c r="A233" s="1817" t="s">
        <v>1940</v>
      </c>
      <c r="B233" s="1548" t="s">
        <v>18</v>
      </c>
      <c r="C233" s="1572"/>
      <c r="D233" s="1737"/>
      <c r="E233" s="2005"/>
      <c r="F233" s="1559"/>
      <c r="G233" s="2027"/>
      <c r="H233" s="1816"/>
      <c r="I233" s="1863"/>
      <c r="J233" s="1542"/>
    </row>
    <row r="234" spans="1:10" s="1531" customFormat="1" ht="72">
      <c r="A234" s="75" t="s">
        <v>1942</v>
      </c>
      <c r="B234" s="1555" t="s">
        <v>2847</v>
      </c>
      <c r="C234" s="1530" t="s">
        <v>19</v>
      </c>
      <c r="D234" s="1640">
        <v>3627.2</v>
      </c>
      <c r="E234" s="1564">
        <v>40.5</v>
      </c>
      <c r="F234" s="332"/>
      <c r="G234" s="2031">
        <f>D234*E234</f>
        <v>146901.6</v>
      </c>
      <c r="H234" s="1563"/>
      <c r="I234" s="1866"/>
      <c r="J234" s="1542"/>
    </row>
    <row r="235" spans="1:10" s="1531" customFormat="1" ht="72">
      <c r="A235" s="1817" t="s">
        <v>1946</v>
      </c>
      <c r="B235" s="1544" t="s">
        <v>2849</v>
      </c>
      <c r="C235" s="1530"/>
      <c r="D235" s="1640"/>
      <c r="E235" s="1564"/>
      <c r="F235" s="332"/>
      <c r="G235" s="2031"/>
      <c r="H235" s="1563"/>
      <c r="I235" s="1866"/>
      <c r="J235" s="1542"/>
    </row>
    <row r="236" spans="1:10" s="1567" customFormat="1">
      <c r="A236" s="75" t="s">
        <v>1947</v>
      </c>
      <c r="B236" s="220" t="s">
        <v>1632</v>
      </c>
      <c r="C236" s="1572" t="s">
        <v>21</v>
      </c>
      <c r="D236" s="1640">
        <v>981.16000000000008</v>
      </c>
      <c r="E236" s="1564">
        <v>358.66</v>
      </c>
      <c r="F236" s="1642"/>
      <c r="G236" s="2031">
        <f t="shared" ref="G236:G241" si="10">D236*E236</f>
        <v>351902.84560000006</v>
      </c>
      <c r="H236" s="1816"/>
      <c r="I236" s="1866"/>
      <c r="J236" s="1542"/>
    </row>
    <row r="237" spans="1:10" s="1531" customFormat="1">
      <c r="A237" s="75" t="s">
        <v>2130</v>
      </c>
      <c r="B237" s="220" t="s">
        <v>1634</v>
      </c>
      <c r="C237" s="1530" t="s">
        <v>21</v>
      </c>
      <c r="D237" s="1640">
        <v>981.16000000000008</v>
      </c>
      <c r="E237" s="1564">
        <v>1385.23</v>
      </c>
      <c r="F237" s="332"/>
      <c r="G237" s="2031">
        <f t="shared" si="10"/>
        <v>1359132.2668000001</v>
      </c>
      <c r="H237" s="1563"/>
      <c r="I237" s="1866"/>
      <c r="J237" s="1542"/>
    </row>
    <row r="238" spans="1:10" s="1531" customFormat="1" ht="36">
      <c r="A238" s="1722" t="s">
        <v>1948</v>
      </c>
      <c r="B238" s="1568" t="s">
        <v>1723</v>
      </c>
      <c r="C238" s="1530" t="s">
        <v>21</v>
      </c>
      <c r="D238" s="1683">
        <v>1813.6</v>
      </c>
      <c r="E238" s="1564">
        <v>233</v>
      </c>
      <c r="F238" s="332"/>
      <c r="G238" s="2031">
        <f t="shared" si="10"/>
        <v>422568.8</v>
      </c>
      <c r="H238" s="1563"/>
      <c r="I238" s="1866"/>
      <c r="J238" s="1542"/>
    </row>
    <row r="239" spans="1:10" s="1531" customFormat="1" ht="54">
      <c r="A239" s="1817" t="s">
        <v>1950</v>
      </c>
      <c r="B239" s="1538" t="s">
        <v>2902</v>
      </c>
      <c r="C239" s="1530" t="s">
        <v>46</v>
      </c>
      <c r="D239" s="1640">
        <v>453.4</v>
      </c>
      <c r="E239" s="1564">
        <v>3073.98</v>
      </c>
      <c r="F239" s="332"/>
      <c r="G239" s="2031">
        <f t="shared" si="10"/>
        <v>1393742.5319999999</v>
      </c>
      <c r="H239" s="1563"/>
      <c r="I239" s="1866"/>
      <c r="J239" s="1542"/>
    </row>
    <row r="240" spans="1:10" s="1531" customFormat="1">
      <c r="A240" s="1817" t="s">
        <v>1952</v>
      </c>
      <c r="B240" s="313" t="s">
        <v>1929</v>
      </c>
      <c r="C240" s="1530"/>
      <c r="D240" s="1640"/>
      <c r="E240" s="1564"/>
      <c r="F240" s="332"/>
      <c r="G240" s="2031"/>
      <c r="H240" s="1563"/>
      <c r="I240" s="1866"/>
      <c r="J240" s="1542"/>
    </row>
    <row r="241" spans="1:11" s="1531" customFormat="1" ht="54">
      <c r="A241" s="75" t="s">
        <v>2131</v>
      </c>
      <c r="B241" s="1550" t="s">
        <v>2864</v>
      </c>
      <c r="C241" s="1530" t="s">
        <v>311</v>
      </c>
      <c r="D241" s="1640">
        <v>200</v>
      </c>
      <c r="E241" s="1564">
        <v>4209.7000000000007</v>
      </c>
      <c r="F241" s="332"/>
      <c r="G241" s="2031">
        <f t="shared" si="10"/>
        <v>841940.00000000012</v>
      </c>
      <c r="H241" s="1563"/>
      <c r="I241" s="1866"/>
      <c r="J241" s="1542"/>
    </row>
    <row r="242" spans="1:11" s="1531" customFormat="1" ht="17.25" customHeight="1">
      <c r="A242" s="1722"/>
      <c r="B242" s="1538"/>
      <c r="C242" s="1563"/>
      <c r="D242" s="1688"/>
      <c r="E242" s="1564"/>
      <c r="F242" s="1666" t="s">
        <v>1483</v>
      </c>
      <c r="G242" s="2029">
        <f>SUM(G234:G241)</f>
        <v>4516188.0444</v>
      </c>
      <c r="H242" s="1563"/>
      <c r="I242" s="1858"/>
      <c r="J242" s="1542"/>
    </row>
    <row r="243" spans="1:11" s="1531" customFormat="1" ht="17.25" customHeight="1">
      <c r="A243" s="1722"/>
      <c r="B243" s="1538"/>
      <c r="C243" s="1563"/>
      <c r="D243" s="1688"/>
      <c r="E243" s="1564"/>
      <c r="F243" s="1666" t="s">
        <v>1557</v>
      </c>
      <c r="G243" s="2029">
        <f>G242+G231+G209+G193+G176+G146+G121+G96+G64</f>
        <v>366864261.68731898</v>
      </c>
      <c r="H243" s="1563"/>
      <c r="I243" s="1858"/>
      <c r="J243" s="1542"/>
    </row>
    <row r="244" spans="1:11" s="1531" customFormat="1" ht="18" customHeight="1">
      <c r="A244" s="1722"/>
      <c r="B244" s="1529"/>
      <c r="C244" s="1530"/>
      <c r="D244" s="1686"/>
      <c r="E244" s="1564"/>
      <c r="G244" s="2030"/>
      <c r="H244" s="1563"/>
      <c r="I244" s="1858"/>
      <c r="J244" s="1717"/>
      <c r="K244" s="1764"/>
    </row>
    <row r="245" spans="1:11" s="315" customFormat="1">
      <c r="A245" s="1813"/>
      <c r="B245" s="1704" t="s">
        <v>2910</v>
      </c>
      <c r="C245" s="1701"/>
      <c r="D245" s="1735"/>
      <c r="E245" s="2013"/>
      <c r="F245" s="1706"/>
      <c r="G245" s="2033"/>
      <c r="H245" s="1701"/>
      <c r="I245" s="1857"/>
      <c r="J245" s="1543"/>
    </row>
    <row r="246" spans="1:11" s="1531" customFormat="1">
      <c r="A246" s="1814" t="s">
        <v>2004</v>
      </c>
      <c r="B246" s="1761" t="s">
        <v>3082</v>
      </c>
      <c r="C246" s="1551"/>
      <c r="D246" s="1738"/>
      <c r="E246" s="2000"/>
      <c r="F246" s="1536"/>
      <c r="G246" s="2026"/>
      <c r="H246" s="1534"/>
      <c r="I246" s="1857"/>
      <c r="J246" s="1543"/>
    </row>
    <row r="247" spans="1:11" s="1567" customFormat="1">
      <c r="A247" s="1815" t="s">
        <v>2006</v>
      </c>
      <c r="B247" s="1548" t="s">
        <v>18</v>
      </c>
      <c r="C247" s="1572"/>
      <c r="D247" s="1547"/>
      <c r="E247" s="1564"/>
      <c r="F247" s="1642"/>
      <c r="G247" s="2027"/>
      <c r="H247" s="1816"/>
      <c r="I247" s="1859"/>
      <c r="J247" s="1543"/>
    </row>
    <row r="248" spans="1:11" ht="72">
      <c r="A248" s="75" t="s">
        <v>2007</v>
      </c>
      <c r="B248" s="1555" t="s">
        <v>2847</v>
      </c>
      <c r="C248" s="1530" t="s">
        <v>19</v>
      </c>
      <c r="D248" s="1542">
        <v>935</v>
      </c>
      <c r="E248" s="1564">
        <v>40.5</v>
      </c>
      <c r="F248" s="220"/>
      <c r="G248" s="2047">
        <f>D248*E248</f>
        <v>37867.5</v>
      </c>
      <c r="H248" s="1683"/>
      <c r="I248" s="1857"/>
      <c r="J248" s="1543"/>
    </row>
    <row r="249" spans="1:11" ht="72">
      <c r="A249" s="1815" t="s">
        <v>2009</v>
      </c>
      <c r="B249" s="1544" t="s">
        <v>2849</v>
      </c>
      <c r="C249" s="1530"/>
      <c r="D249" s="1542"/>
      <c r="E249" s="1564"/>
      <c r="F249" s="220"/>
      <c r="G249" s="2047"/>
      <c r="H249" s="1683"/>
      <c r="I249" s="1857"/>
      <c r="J249" s="1543"/>
    </row>
    <row r="250" spans="1:11">
      <c r="A250" s="75" t="s">
        <v>2010</v>
      </c>
      <c r="B250" s="220" t="s">
        <v>1632</v>
      </c>
      <c r="C250" s="1530" t="s">
        <v>21</v>
      </c>
      <c r="D250" s="1542">
        <v>5701.8</v>
      </c>
      <c r="E250" s="1564">
        <v>358.66</v>
      </c>
      <c r="F250" s="220"/>
      <c r="G250" s="2047">
        <f t="shared" ref="G250:G260" si="11">D250*E250</f>
        <v>2045007.5880000002</v>
      </c>
      <c r="H250" s="1683"/>
      <c r="I250" s="1857"/>
      <c r="J250" s="1543"/>
    </row>
    <row r="251" spans="1:11">
      <c r="A251" s="75" t="s">
        <v>2012</v>
      </c>
      <c r="B251" s="220" t="s">
        <v>1634</v>
      </c>
      <c r="C251" s="1530" t="s">
        <v>21</v>
      </c>
      <c r="D251" s="1542">
        <v>1425.45</v>
      </c>
      <c r="E251" s="1564">
        <v>1385.23</v>
      </c>
      <c r="F251" s="220"/>
      <c r="G251" s="2047">
        <f t="shared" si="11"/>
        <v>1974576.1035000002</v>
      </c>
      <c r="H251" s="1683"/>
      <c r="I251" s="1857"/>
      <c r="J251" s="1543"/>
    </row>
    <row r="252" spans="1:11">
      <c r="A252" s="1815" t="s">
        <v>2014</v>
      </c>
      <c r="B252" s="313" t="s">
        <v>31</v>
      </c>
      <c r="C252" s="1530"/>
      <c r="D252" s="1542"/>
      <c r="E252" s="1564"/>
      <c r="F252" s="220"/>
      <c r="G252" s="2047"/>
      <c r="H252" s="1683"/>
      <c r="I252" s="1857"/>
      <c r="J252" s="1543"/>
    </row>
    <row r="253" spans="1:11" ht="54">
      <c r="A253" s="75" t="s">
        <v>2015</v>
      </c>
      <c r="B253" s="1545" t="s">
        <v>2862</v>
      </c>
      <c r="C253" s="1530" t="s">
        <v>19</v>
      </c>
      <c r="D253" s="1542">
        <v>7261.41</v>
      </c>
      <c r="E253" s="1564">
        <v>217.5</v>
      </c>
      <c r="F253" s="220"/>
      <c r="G253" s="2047">
        <f t="shared" si="11"/>
        <v>1579356.675</v>
      </c>
      <c r="H253" s="1683"/>
      <c r="I253" s="1857"/>
      <c r="J253" s="1543"/>
    </row>
    <row r="254" spans="1:11" ht="54">
      <c r="A254" s="1815" t="s">
        <v>2016</v>
      </c>
      <c r="B254" s="1545" t="s">
        <v>2735</v>
      </c>
      <c r="C254" s="1530"/>
      <c r="D254" s="1542"/>
      <c r="E254" s="1564"/>
      <c r="F254" s="220"/>
      <c r="G254" s="2047"/>
      <c r="H254" s="1683"/>
      <c r="I254" s="1857"/>
      <c r="J254" s="1543"/>
    </row>
    <row r="255" spans="1:11">
      <c r="A255" s="75" t="s">
        <v>2017</v>
      </c>
      <c r="B255" s="669" t="s">
        <v>2922</v>
      </c>
      <c r="C255" s="1530" t="s">
        <v>21</v>
      </c>
      <c r="D255" s="1542">
        <v>58.05</v>
      </c>
      <c r="E255" s="1564">
        <v>13187.5</v>
      </c>
      <c r="F255" s="220"/>
      <c r="G255" s="2047">
        <f t="shared" si="11"/>
        <v>765534.375</v>
      </c>
      <c r="H255" s="1687"/>
      <c r="I255" s="1867"/>
      <c r="J255" s="1543"/>
    </row>
    <row r="256" spans="1:11">
      <c r="A256" s="75" t="s">
        <v>2660</v>
      </c>
      <c r="B256" s="1546" t="s">
        <v>1645</v>
      </c>
      <c r="C256" s="1530" t="s">
        <v>21</v>
      </c>
      <c r="D256" s="1542">
        <v>1451.25</v>
      </c>
      <c r="E256" s="1564">
        <v>18375.5</v>
      </c>
      <c r="F256" s="220"/>
      <c r="G256" s="2047">
        <f t="shared" si="11"/>
        <v>26667444.375</v>
      </c>
      <c r="H256" s="1687"/>
      <c r="I256" s="1867"/>
      <c r="J256" s="1543"/>
    </row>
    <row r="257" spans="1:10">
      <c r="A257" s="1815" t="s">
        <v>2018</v>
      </c>
      <c r="B257" s="313" t="s">
        <v>1649</v>
      </c>
      <c r="C257" s="1530"/>
      <c r="D257" s="1542"/>
      <c r="E257" s="1564"/>
      <c r="F257" s="220"/>
      <c r="G257" s="2047"/>
      <c r="H257" s="1687"/>
      <c r="I257" s="1867"/>
      <c r="J257" s="1543"/>
    </row>
    <row r="258" spans="1:10" ht="54">
      <c r="A258" s="75" t="s">
        <v>2661</v>
      </c>
      <c r="B258" s="1550" t="s">
        <v>1248</v>
      </c>
      <c r="C258" s="1530" t="s">
        <v>25</v>
      </c>
      <c r="D258" s="1542">
        <v>113.923125</v>
      </c>
      <c r="E258" s="1564">
        <v>164277.67441860467</v>
      </c>
      <c r="F258" s="1613"/>
      <c r="G258" s="2047">
        <f t="shared" si="11"/>
        <v>18715026.037500001</v>
      </c>
      <c r="H258" s="1608"/>
      <c r="I258" s="1857"/>
      <c r="J258" s="1543"/>
    </row>
    <row r="259" spans="1:10" ht="54">
      <c r="A259" s="1815" t="s">
        <v>2019</v>
      </c>
      <c r="B259" s="1545" t="s">
        <v>2737</v>
      </c>
      <c r="C259" s="1530"/>
      <c r="D259" s="1542"/>
      <c r="E259" s="1564"/>
      <c r="F259" s="1613"/>
      <c r="G259" s="2047"/>
      <c r="H259" s="1608"/>
      <c r="I259" s="1857"/>
      <c r="J259" s="1543"/>
    </row>
    <row r="260" spans="1:10">
      <c r="A260" s="75" t="s">
        <v>2662</v>
      </c>
      <c r="B260" s="1546" t="s">
        <v>1654</v>
      </c>
      <c r="C260" s="1530" t="s">
        <v>21</v>
      </c>
      <c r="D260" s="1542">
        <v>1750</v>
      </c>
      <c r="E260" s="1564">
        <v>4550</v>
      </c>
      <c r="F260" s="1613"/>
      <c r="G260" s="2047">
        <f t="shared" si="11"/>
        <v>7962500</v>
      </c>
      <c r="H260" s="1608"/>
      <c r="I260" s="1857"/>
      <c r="J260" s="1543"/>
    </row>
    <row r="261" spans="1:10" ht="17.25" customHeight="1">
      <c r="A261" s="1722"/>
      <c r="B261" s="1557"/>
      <c r="C261" s="1563"/>
      <c r="D261" s="1688"/>
      <c r="E261" s="1564"/>
      <c r="F261" s="1666" t="s">
        <v>1483</v>
      </c>
      <c r="G261" s="2035">
        <f>SUM(G248:G260)</f>
        <v>59747312.653999999</v>
      </c>
      <c r="H261" s="1822"/>
      <c r="I261" s="1868"/>
      <c r="J261" s="1717"/>
    </row>
    <row r="262" spans="1:10" s="1531" customFormat="1">
      <c r="A262" s="1814" t="s">
        <v>2025</v>
      </c>
      <c r="B262" s="1533" t="s">
        <v>3083</v>
      </c>
      <c r="C262" s="1551"/>
      <c r="D262" s="1738"/>
      <c r="E262" s="2000"/>
      <c r="F262" s="1575"/>
      <c r="G262" s="2026"/>
      <c r="H262" s="1551"/>
      <c r="I262" s="1857"/>
      <c r="J262" s="1543"/>
    </row>
    <row r="263" spans="1:10" s="1567" customFormat="1">
      <c r="A263" s="1815" t="s">
        <v>2026</v>
      </c>
      <c r="B263" s="1548" t="s">
        <v>18</v>
      </c>
      <c r="C263" s="1572"/>
      <c r="D263" s="1547"/>
      <c r="E263" s="1564"/>
      <c r="F263" s="1642"/>
      <c r="G263" s="2027"/>
      <c r="H263" s="1816"/>
      <c r="I263" s="1859"/>
      <c r="J263" s="1543"/>
    </row>
    <row r="264" spans="1:10" s="315" customFormat="1" ht="72">
      <c r="A264" s="75" t="s">
        <v>2027</v>
      </c>
      <c r="B264" s="1555" t="s">
        <v>2847</v>
      </c>
      <c r="C264" s="1576" t="s">
        <v>19</v>
      </c>
      <c r="D264" s="1542">
        <v>2416.37</v>
      </c>
      <c r="E264" s="1564">
        <v>40.5</v>
      </c>
      <c r="F264" s="313"/>
      <c r="G264" s="1805">
        <f>D264*E264</f>
        <v>97862.985000000001</v>
      </c>
      <c r="H264" s="1686"/>
      <c r="I264" s="1867"/>
      <c r="J264" s="1543"/>
    </row>
    <row r="265" spans="1:10" s="315" customFormat="1" ht="72">
      <c r="A265" s="1722" t="s">
        <v>2029</v>
      </c>
      <c r="B265" s="1544" t="s">
        <v>2849</v>
      </c>
      <c r="C265" s="1576"/>
      <c r="D265" s="1542"/>
      <c r="E265" s="1564"/>
      <c r="F265" s="313"/>
      <c r="G265" s="1805"/>
      <c r="H265" s="1686"/>
      <c r="I265" s="1867"/>
      <c r="J265" s="1543"/>
    </row>
    <row r="266" spans="1:10" s="315" customFormat="1">
      <c r="A266" s="75" t="s">
        <v>2030</v>
      </c>
      <c r="B266" s="220" t="s">
        <v>1632</v>
      </c>
      <c r="C266" s="1530" t="s">
        <v>21</v>
      </c>
      <c r="D266" s="1542">
        <v>4001.4</v>
      </c>
      <c r="E266" s="1564">
        <v>358.66</v>
      </c>
      <c r="F266" s="313"/>
      <c r="G266" s="1805">
        <f t="shared" ref="G266:G292" si="12">D266*E266</f>
        <v>1435142.1240000001</v>
      </c>
      <c r="H266" s="1686"/>
      <c r="I266" s="1867"/>
      <c r="J266" s="1543"/>
    </row>
    <row r="267" spans="1:10" s="315" customFormat="1">
      <c r="A267" s="75" t="s">
        <v>2134</v>
      </c>
      <c r="B267" s="220" t="s">
        <v>1634</v>
      </c>
      <c r="C267" s="1530" t="s">
        <v>21</v>
      </c>
      <c r="D267" s="1542">
        <v>1000.35</v>
      </c>
      <c r="E267" s="1564">
        <v>1385.23</v>
      </c>
      <c r="F267" s="313"/>
      <c r="G267" s="1805">
        <f t="shared" si="12"/>
        <v>1385714.8305000002</v>
      </c>
      <c r="H267" s="1687"/>
      <c r="I267" s="1867"/>
      <c r="J267" s="1543"/>
    </row>
    <row r="268" spans="1:10" s="315" customFormat="1">
      <c r="A268" s="1722" t="s">
        <v>2032</v>
      </c>
      <c r="B268" s="313" t="s">
        <v>31</v>
      </c>
      <c r="C268" s="1530"/>
      <c r="D268" s="1542"/>
      <c r="E268" s="1564"/>
      <c r="F268" s="313"/>
      <c r="G268" s="1805"/>
      <c r="H268" s="1687"/>
      <c r="I268" s="1867"/>
      <c r="J268" s="1543"/>
    </row>
    <row r="269" spans="1:10" s="315" customFormat="1" ht="54">
      <c r="A269" s="75" t="s">
        <v>2033</v>
      </c>
      <c r="B269" s="1545" t="s">
        <v>2862</v>
      </c>
      <c r="C269" s="1530" t="s">
        <v>21</v>
      </c>
      <c r="D269" s="1542">
        <v>4157.9250000000002</v>
      </c>
      <c r="E269" s="1564">
        <v>217.5</v>
      </c>
      <c r="F269" s="313"/>
      <c r="G269" s="1805">
        <f t="shared" si="12"/>
        <v>904348.6875</v>
      </c>
      <c r="H269" s="1687"/>
      <c r="I269" s="1867"/>
      <c r="J269" s="1543"/>
    </row>
    <row r="270" spans="1:10" s="315" customFormat="1">
      <c r="A270" s="1722" t="s">
        <v>2034</v>
      </c>
      <c r="B270" s="1548" t="s">
        <v>309</v>
      </c>
      <c r="C270" s="1530"/>
      <c r="D270" s="1542"/>
      <c r="E270" s="1564"/>
      <c r="F270" s="313"/>
      <c r="G270" s="1805"/>
      <c r="H270" s="1687"/>
      <c r="I270" s="1867"/>
      <c r="J270" s="1543"/>
    </row>
    <row r="271" spans="1:10" ht="54">
      <c r="A271" s="75" t="s">
        <v>2035</v>
      </c>
      <c r="B271" s="1549" t="s">
        <v>1637</v>
      </c>
      <c r="C271" s="1530" t="s">
        <v>21</v>
      </c>
      <c r="D271" s="1542">
        <v>1282.8124</v>
      </c>
      <c r="E271" s="1564">
        <v>1228.5614285714287</v>
      </c>
      <c r="F271" s="1613"/>
      <c r="G271" s="1805">
        <f t="shared" si="12"/>
        <v>1576013.834733143</v>
      </c>
      <c r="H271" s="1608"/>
      <c r="I271" s="1860"/>
      <c r="J271" s="1543"/>
    </row>
    <row r="272" spans="1:10" ht="54">
      <c r="A272" s="1815" t="s">
        <v>2036</v>
      </c>
      <c r="B272" s="1545" t="s">
        <v>2735</v>
      </c>
      <c r="C272" s="1530"/>
      <c r="D272" s="1542"/>
      <c r="E272" s="1564"/>
      <c r="F272" s="1613"/>
      <c r="G272" s="1805"/>
      <c r="H272" s="1608"/>
      <c r="I272" s="1860"/>
      <c r="J272" s="1543"/>
    </row>
    <row r="273" spans="1:10">
      <c r="A273" s="75" t="s">
        <v>2037</v>
      </c>
      <c r="B273" s="1546" t="s">
        <v>1641</v>
      </c>
      <c r="C273" s="1530" t="s">
        <v>21</v>
      </c>
      <c r="D273" s="1542">
        <v>30.572804999999999</v>
      </c>
      <c r="E273" s="1564">
        <v>13187.5</v>
      </c>
      <c r="F273" s="1613"/>
      <c r="G273" s="1805">
        <f t="shared" si="12"/>
        <v>403178.86593749997</v>
      </c>
      <c r="H273" s="1608"/>
      <c r="I273" s="1860"/>
      <c r="J273" s="1543"/>
    </row>
    <row r="274" spans="1:10">
      <c r="A274" s="75" t="s">
        <v>2757</v>
      </c>
      <c r="B274" s="1546" t="s">
        <v>1645</v>
      </c>
      <c r="C274" s="1530" t="s">
        <v>21</v>
      </c>
      <c r="D274" s="1542">
        <v>822.54071599999997</v>
      </c>
      <c r="E274" s="1564">
        <v>18375.5</v>
      </c>
      <c r="F274" s="1613"/>
      <c r="G274" s="1805">
        <f t="shared" si="12"/>
        <v>15114596.926858</v>
      </c>
      <c r="H274" s="1608"/>
      <c r="I274" s="1860"/>
      <c r="J274" s="1543"/>
    </row>
    <row r="275" spans="1:10" ht="54">
      <c r="A275" s="1815" t="s">
        <v>2039</v>
      </c>
      <c r="B275" s="1545" t="s">
        <v>2875</v>
      </c>
      <c r="C275" s="1530"/>
      <c r="D275" s="1542"/>
      <c r="E275" s="1564"/>
      <c r="F275" s="1613"/>
      <c r="G275" s="1805"/>
      <c r="H275" s="1608"/>
      <c r="I275" s="1860"/>
      <c r="J275" s="1543"/>
    </row>
    <row r="276" spans="1:10">
      <c r="A276" s="75" t="s">
        <v>2135</v>
      </c>
      <c r="B276" s="1545" t="s">
        <v>2625</v>
      </c>
      <c r="C276" s="1530" t="s">
        <v>21</v>
      </c>
      <c r="D276" s="1542">
        <v>1081.6385</v>
      </c>
      <c r="E276" s="1564">
        <v>4550</v>
      </c>
      <c r="F276" s="1613"/>
      <c r="G276" s="1805">
        <f t="shared" si="12"/>
        <v>4921455.1749999998</v>
      </c>
      <c r="H276" s="1608"/>
      <c r="I276" s="1861"/>
      <c r="J276" s="1543"/>
    </row>
    <row r="277" spans="1:10">
      <c r="A277" s="75" t="s">
        <v>2663</v>
      </c>
      <c r="B277" s="1545" t="s">
        <v>3103</v>
      </c>
      <c r="C277" s="1530" t="s">
        <v>21</v>
      </c>
      <c r="D277" s="1542">
        <v>2362.0115000000001</v>
      </c>
      <c r="E277" s="1564">
        <v>5005</v>
      </c>
      <c r="F277" s="1613"/>
      <c r="G277" s="1805">
        <f t="shared" si="12"/>
        <v>11821867.557500001</v>
      </c>
      <c r="H277" s="1608"/>
      <c r="I277" s="1861"/>
      <c r="J277" s="1543"/>
    </row>
    <row r="278" spans="1:10" ht="36">
      <c r="A278" s="1815" t="s">
        <v>2041</v>
      </c>
      <c r="B278" s="1545" t="s">
        <v>2738</v>
      </c>
      <c r="C278" s="1530"/>
      <c r="D278" s="1542"/>
      <c r="E278" s="1564"/>
      <c r="F278" s="1613"/>
      <c r="G278" s="1805"/>
      <c r="H278" s="1608"/>
      <c r="I278" s="1861"/>
      <c r="J278" s="1543"/>
    </row>
    <row r="279" spans="1:10" s="2137" customFormat="1">
      <c r="A279" s="2129" t="s">
        <v>2664</v>
      </c>
      <c r="B279" s="2174" t="s">
        <v>2627</v>
      </c>
      <c r="C279" s="2131" t="s">
        <v>19</v>
      </c>
      <c r="D279" s="2132">
        <v>1974.28745</v>
      </c>
      <c r="E279" s="2127">
        <v>3127</v>
      </c>
      <c r="F279" s="2143"/>
      <c r="G279" s="2176">
        <f t="shared" si="12"/>
        <v>6173596.8561500004</v>
      </c>
      <c r="H279" s="2145"/>
      <c r="I279" s="2175"/>
      <c r="J279" s="2146"/>
    </row>
    <row r="280" spans="1:10" ht="36">
      <c r="A280" s="1815" t="s">
        <v>2665</v>
      </c>
      <c r="B280" s="1545" t="s">
        <v>2739</v>
      </c>
      <c r="C280" s="1530"/>
      <c r="D280" s="1542"/>
      <c r="E280" s="1564"/>
      <c r="F280" s="1613"/>
      <c r="G280" s="1805"/>
      <c r="H280" s="1608"/>
      <c r="I280" s="1861"/>
      <c r="J280" s="1543"/>
    </row>
    <row r="281" spans="1:10">
      <c r="A281" s="1894" t="s">
        <v>2666</v>
      </c>
      <c r="B281" s="1895" t="s">
        <v>2628</v>
      </c>
      <c r="C281" s="1896" t="s">
        <v>21</v>
      </c>
      <c r="D281" s="1897">
        <v>250.17955000000001</v>
      </c>
      <c r="E281" s="2109">
        <v>1400</v>
      </c>
      <c r="F281" s="2076"/>
      <c r="G281" s="2077">
        <f t="shared" si="12"/>
        <v>350251.37</v>
      </c>
      <c r="H281" s="1608"/>
      <c r="I281" s="1861"/>
      <c r="J281" s="1543"/>
    </row>
    <row r="282" spans="1:10">
      <c r="A282" s="1815" t="s">
        <v>2667</v>
      </c>
      <c r="B282" s="313" t="s">
        <v>1649</v>
      </c>
      <c r="C282" s="1576"/>
      <c r="D282" s="1542"/>
      <c r="E282" s="1564"/>
      <c r="F282" s="1613"/>
      <c r="G282" s="1805"/>
      <c r="H282" s="1608"/>
      <c r="I282" s="1860"/>
      <c r="J282" s="1543"/>
    </row>
    <row r="283" spans="1:10" ht="54">
      <c r="A283" s="75" t="s">
        <v>2670</v>
      </c>
      <c r="B283" s="1550" t="s">
        <v>1248</v>
      </c>
      <c r="C283" s="1530" t="s">
        <v>25</v>
      </c>
      <c r="D283" s="1542">
        <v>48.43</v>
      </c>
      <c r="E283" s="1564">
        <v>164277.67441860467</v>
      </c>
      <c r="F283" s="1613"/>
      <c r="G283" s="1805">
        <f t="shared" si="12"/>
        <v>7955967.7720930241</v>
      </c>
      <c r="H283" s="1608"/>
      <c r="I283" s="1860"/>
      <c r="J283" s="1543"/>
    </row>
    <row r="284" spans="1:10" ht="54">
      <c r="A284" s="1815" t="s">
        <v>2668</v>
      </c>
      <c r="B284" s="1550" t="s">
        <v>2740</v>
      </c>
      <c r="C284" s="1530"/>
      <c r="D284" s="1542"/>
      <c r="E284" s="1564"/>
      <c r="F284" s="1613"/>
      <c r="G284" s="1805"/>
      <c r="H284" s="1608"/>
      <c r="I284" s="1860"/>
      <c r="J284" s="1543"/>
    </row>
    <row r="285" spans="1:10">
      <c r="A285" s="75" t="s">
        <v>2786</v>
      </c>
      <c r="B285" s="669" t="s">
        <v>155</v>
      </c>
      <c r="C285" s="1530" t="s">
        <v>27</v>
      </c>
      <c r="D285" s="1542">
        <v>92</v>
      </c>
      <c r="E285" s="1564">
        <v>1693</v>
      </c>
      <c r="F285" s="1613"/>
      <c r="G285" s="1805">
        <f t="shared" si="12"/>
        <v>155756</v>
      </c>
      <c r="H285" s="1608"/>
      <c r="I285" s="1860"/>
      <c r="J285" s="1543"/>
    </row>
    <row r="286" spans="1:10">
      <c r="A286" s="75" t="s">
        <v>2787</v>
      </c>
      <c r="B286" s="669" t="s">
        <v>174</v>
      </c>
      <c r="C286" s="1530" t="s">
        <v>27</v>
      </c>
      <c r="D286" s="1542">
        <v>92</v>
      </c>
      <c r="E286" s="1564">
        <v>1245</v>
      </c>
      <c r="F286" s="1613"/>
      <c r="G286" s="1805">
        <f t="shared" si="12"/>
        <v>114540</v>
      </c>
      <c r="H286" s="1608"/>
      <c r="I286" s="1860"/>
      <c r="J286" s="1543"/>
    </row>
    <row r="287" spans="1:10" ht="19.8">
      <c r="A287" s="75" t="s">
        <v>2788</v>
      </c>
      <c r="B287" s="669" t="str">
        <f>B87</f>
        <v>Hydroseal/joint filler</v>
      </c>
      <c r="C287" s="1530" t="s">
        <v>122</v>
      </c>
      <c r="D287" s="1542">
        <v>40</v>
      </c>
      <c r="E287" s="1564">
        <v>1208</v>
      </c>
      <c r="F287" s="1613"/>
      <c r="G287" s="1805">
        <f t="shared" si="12"/>
        <v>48320</v>
      </c>
      <c r="H287" s="1608"/>
      <c r="I287" s="1860"/>
      <c r="J287" s="1543"/>
    </row>
    <row r="288" spans="1:10" ht="54">
      <c r="A288" s="1815" t="s">
        <v>2669</v>
      </c>
      <c r="B288" s="1579" t="s">
        <v>2785</v>
      </c>
      <c r="C288" s="1530"/>
      <c r="D288" s="1542"/>
      <c r="E288" s="1564"/>
      <c r="F288" s="1613"/>
      <c r="G288" s="1805"/>
      <c r="H288" s="1608"/>
      <c r="I288" s="1860"/>
      <c r="J288" s="1543"/>
    </row>
    <row r="289" spans="1:10" s="1531" customFormat="1">
      <c r="A289" s="75" t="s">
        <v>2789</v>
      </c>
      <c r="B289" s="669" t="s">
        <v>2397</v>
      </c>
      <c r="C289" s="1530" t="s">
        <v>25</v>
      </c>
      <c r="D289" s="1542">
        <v>10</v>
      </c>
      <c r="E289" s="1564">
        <v>56500</v>
      </c>
      <c r="F289" s="332"/>
      <c r="G289" s="1805">
        <f t="shared" si="12"/>
        <v>565000</v>
      </c>
      <c r="H289" s="1563"/>
      <c r="I289" s="1859"/>
      <c r="J289" s="1543"/>
    </row>
    <row r="290" spans="1:10" s="1531" customFormat="1">
      <c r="A290" s="75" t="s">
        <v>2790</v>
      </c>
      <c r="B290" s="669" t="s">
        <v>2398</v>
      </c>
      <c r="C290" s="1530" t="s">
        <v>25</v>
      </c>
      <c r="D290" s="1542">
        <v>2</v>
      </c>
      <c r="E290" s="1564">
        <v>56500</v>
      </c>
      <c r="F290" s="332"/>
      <c r="G290" s="1805">
        <f t="shared" si="12"/>
        <v>113000</v>
      </c>
      <c r="H290" s="1563"/>
      <c r="I290" s="1859"/>
      <c r="J290" s="1543"/>
    </row>
    <row r="291" spans="1:10" s="1531" customFormat="1">
      <c r="A291" s="75" t="s">
        <v>2791</v>
      </c>
      <c r="B291" s="669" t="s">
        <v>2399</v>
      </c>
      <c r="C291" s="1530" t="s">
        <v>47</v>
      </c>
      <c r="D291" s="1542">
        <v>150</v>
      </c>
      <c r="E291" s="1564">
        <v>282.5</v>
      </c>
      <c r="F291" s="332"/>
      <c r="G291" s="1805">
        <f t="shared" si="12"/>
        <v>42375</v>
      </c>
      <c r="H291" s="1563"/>
      <c r="I291" s="1859"/>
      <c r="J291" s="1543"/>
    </row>
    <row r="292" spans="1:10" s="1531" customFormat="1">
      <c r="A292" s="75" t="s">
        <v>2792</v>
      </c>
      <c r="B292" s="669" t="s">
        <v>1902</v>
      </c>
      <c r="C292" s="1530" t="s">
        <v>27</v>
      </c>
      <c r="D292" s="1542">
        <v>100</v>
      </c>
      <c r="E292" s="1564">
        <v>11600.82</v>
      </c>
      <c r="F292" s="332"/>
      <c r="G292" s="1805">
        <f t="shared" si="12"/>
        <v>1160082</v>
      </c>
      <c r="H292" s="1563"/>
      <c r="I292" s="1859"/>
      <c r="J292" s="1543"/>
    </row>
    <row r="293" spans="1:10" ht="17.25" customHeight="1">
      <c r="A293" s="1722"/>
      <c r="B293" s="220"/>
      <c r="C293" s="1563"/>
      <c r="D293" s="1688"/>
      <c r="E293" s="1564"/>
      <c r="F293" s="1666" t="s">
        <v>1483</v>
      </c>
      <c r="G293" s="2053">
        <f>SUM(G264:G292)</f>
        <v>54339069.985271662</v>
      </c>
      <c r="H293" s="1822"/>
      <c r="I293" s="1868"/>
      <c r="J293" s="1717"/>
    </row>
    <row r="294" spans="1:10" s="1531" customFormat="1">
      <c r="A294" s="1814" t="s">
        <v>2044</v>
      </c>
      <c r="B294" s="1761" t="s">
        <v>3084</v>
      </c>
      <c r="C294" s="1551"/>
      <c r="D294" s="1738"/>
      <c r="E294" s="2000"/>
      <c r="F294" s="1536"/>
      <c r="G294" s="2026"/>
      <c r="H294" s="1534"/>
      <c r="I294" s="1857"/>
      <c r="J294" s="1543"/>
    </row>
    <row r="295" spans="1:10" s="1567" customFormat="1">
      <c r="A295" s="1815" t="s">
        <v>2045</v>
      </c>
      <c r="B295" s="1548" t="s">
        <v>18</v>
      </c>
      <c r="C295" s="1572"/>
      <c r="D295" s="1737"/>
      <c r="E295" s="1564"/>
      <c r="F295" s="1573"/>
      <c r="G295" s="2027"/>
      <c r="H295" s="1816"/>
      <c r="I295" s="1857"/>
      <c r="J295" s="1543"/>
    </row>
    <row r="296" spans="1:10" ht="72">
      <c r="A296" s="75" t="s">
        <v>2046</v>
      </c>
      <c r="B296" s="1555" t="s">
        <v>2847</v>
      </c>
      <c r="C296" s="1576" t="s">
        <v>19</v>
      </c>
      <c r="D296" s="1542">
        <v>976.45570000000009</v>
      </c>
      <c r="E296" s="1564">
        <v>40.5</v>
      </c>
      <c r="F296" s="220"/>
      <c r="G296" s="2024">
        <f>D296*E296</f>
        <v>39546.455850000006</v>
      </c>
      <c r="H296" s="1608"/>
      <c r="I296" s="1860"/>
      <c r="J296" s="1543"/>
    </row>
    <row r="297" spans="1:10" ht="72">
      <c r="A297" s="1815" t="s">
        <v>2047</v>
      </c>
      <c r="B297" s="1544" t="s">
        <v>2849</v>
      </c>
      <c r="C297" s="1576"/>
      <c r="D297" s="1542"/>
      <c r="E297" s="1564"/>
      <c r="F297" s="220"/>
      <c r="G297" s="2024"/>
      <c r="H297" s="1608"/>
      <c r="I297" s="1860"/>
      <c r="J297" s="1543"/>
    </row>
    <row r="298" spans="1:10">
      <c r="A298" s="75" t="s">
        <v>2048</v>
      </c>
      <c r="B298" s="220" t="s">
        <v>1632</v>
      </c>
      <c r="C298" s="1530" t="s">
        <v>21</v>
      </c>
      <c r="D298" s="1542">
        <v>3477.6579199999996</v>
      </c>
      <c r="E298" s="1564">
        <v>358.66</v>
      </c>
      <c r="F298" s="1613"/>
      <c r="G298" s="2024">
        <f t="shared" ref="G298:G314" si="13">D298*E298</f>
        <v>1247296.7895871999</v>
      </c>
      <c r="H298" s="1608"/>
      <c r="I298" s="1860"/>
      <c r="J298" s="1543"/>
    </row>
    <row r="299" spans="1:10">
      <c r="A299" s="75" t="s">
        <v>2049</v>
      </c>
      <c r="B299" s="220" t="s">
        <v>63</v>
      </c>
      <c r="C299" s="1530" t="s">
        <v>21</v>
      </c>
      <c r="D299" s="1542">
        <v>869.41447999999991</v>
      </c>
      <c r="E299" s="1564">
        <v>1385.23</v>
      </c>
      <c r="F299" s="1613"/>
      <c r="G299" s="2024">
        <f t="shared" si="13"/>
        <v>1204339.0201303998</v>
      </c>
      <c r="H299" s="1608"/>
      <c r="I299" s="1860"/>
      <c r="J299" s="1543"/>
    </row>
    <row r="300" spans="1:10">
      <c r="A300" s="1815" t="s">
        <v>2050</v>
      </c>
      <c r="B300" s="313" t="s">
        <v>31</v>
      </c>
      <c r="C300" s="1530"/>
      <c r="D300" s="1542"/>
      <c r="E300" s="1564"/>
      <c r="F300" s="1613"/>
      <c r="G300" s="2024"/>
      <c r="H300" s="1608"/>
      <c r="I300" s="1860"/>
      <c r="J300" s="1543"/>
    </row>
    <row r="301" spans="1:10" ht="54">
      <c r="A301" s="75" t="s">
        <v>2051</v>
      </c>
      <c r="B301" s="1545" t="s">
        <v>2862</v>
      </c>
      <c r="C301" s="1530" t="s">
        <v>21</v>
      </c>
      <c r="D301" s="1542">
        <v>326.89659999999992</v>
      </c>
      <c r="E301" s="1564">
        <v>217.5</v>
      </c>
      <c r="F301" s="1613"/>
      <c r="G301" s="2024">
        <f t="shared" si="13"/>
        <v>71100.010499999989</v>
      </c>
      <c r="H301" s="1823"/>
      <c r="I301" s="1860"/>
      <c r="J301" s="1543"/>
    </row>
    <row r="302" spans="1:10">
      <c r="A302" s="1815" t="s">
        <v>2052</v>
      </c>
      <c r="B302" s="1548" t="s">
        <v>309</v>
      </c>
      <c r="C302" s="1530"/>
      <c r="D302" s="1542"/>
      <c r="E302" s="1564"/>
      <c r="F302" s="1613"/>
      <c r="G302" s="2024"/>
      <c r="H302" s="1823"/>
      <c r="I302" s="1859"/>
      <c r="J302" s="1543"/>
    </row>
    <row r="303" spans="1:10" ht="54">
      <c r="A303" s="75" t="s">
        <v>2053</v>
      </c>
      <c r="B303" s="1580" t="s">
        <v>1637</v>
      </c>
      <c r="C303" s="1576" t="s">
        <v>19</v>
      </c>
      <c r="D303" s="1542">
        <v>4842.1691000000001</v>
      </c>
      <c r="E303" s="1564">
        <v>1228.5614285714287</v>
      </c>
      <c r="F303" s="1613"/>
      <c r="G303" s="2024">
        <f t="shared" si="13"/>
        <v>5948902.1868804293</v>
      </c>
      <c r="H303" s="1823"/>
      <c r="I303" s="1859"/>
      <c r="J303" s="1543"/>
    </row>
    <row r="304" spans="1:10" ht="54">
      <c r="A304" s="1815" t="s">
        <v>2054</v>
      </c>
      <c r="B304" s="1529" t="s">
        <v>2735</v>
      </c>
      <c r="C304" s="1576"/>
      <c r="D304" s="1542"/>
      <c r="E304" s="1564"/>
      <c r="F304" s="1613"/>
      <c r="G304" s="2024"/>
      <c r="H304" s="1823"/>
      <c r="I304" s="1859"/>
      <c r="J304" s="1543"/>
    </row>
    <row r="305" spans="1:10">
      <c r="A305" s="75" t="s">
        <v>2055</v>
      </c>
      <c r="B305" s="1546" t="s">
        <v>2105</v>
      </c>
      <c r="C305" s="1530" t="s">
        <v>21</v>
      </c>
      <c r="D305" s="1542">
        <v>61.204739999999994</v>
      </c>
      <c r="E305" s="1564">
        <v>13187.5</v>
      </c>
      <c r="F305" s="1613"/>
      <c r="G305" s="2024">
        <f t="shared" si="13"/>
        <v>807137.50874999992</v>
      </c>
      <c r="H305" s="1608"/>
      <c r="I305" s="1860"/>
      <c r="J305" s="1543"/>
    </row>
    <row r="306" spans="1:10">
      <c r="A306" s="75" t="s">
        <v>2671</v>
      </c>
      <c r="B306" s="1546" t="s">
        <v>1645</v>
      </c>
      <c r="C306" s="1530" t="s">
        <v>21</v>
      </c>
      <c r="D306" s="1542">
        <v>3455.1588499999998</v>
      </c>
      <c r="E306" s="1564">
        <v>18375.5</v>
      </c>
      <c r="F306" s="1613"/>
      <c r="G306" s="2024">
        <f t="shared" si="13"/>
        <v>63490271.448174998</v>
      </c>
      <c r="H306" s="1608"/>
      <c r="I306" s="1860"/>
      <c r="J306" s="1543"/>
    </row>
    <row r="307" spans="1:10">
      <c r="A307" s="1815" t="s">
        <v>2056</v>
      </c>
      <c r="B307" s="313" t="s">
        <v>1649</v>
      </c>
      <c r="C307" s="1530"/>
      <c r="D307" s="1542"/>
      <c r="E307" s="1564"/>
      <c r="F307" s="1613"/>
      <c r="G307" s="2024"/>
      <c r="H307" s="1608"/>
      <c r="I307" s="1860"/>
      <c r="J307" s="1543"/>
    </row>
    <row r="308" spans="1:10" ht="54">
      <c r="A308" s="75" t="s">
        <v>2137</v>
      </c>
      <c r="B308" s="1550" t="s">
        <v>1248</v>
      </c>
      <c r="C308" s="1530" t="s">
        <v>25</v>
      </c>
      <c r="D308" s="1542">
        <v>271.22996972499999</v>
      </c>
      <c r="E308" s="1564">
        <v>164277.67441860467</v>
      </c>
      <c r="F308" s="1613"/>
      <c r="G308" s="2024">
        <f t="shared" si="13"/>
        <v>44557028.659051552</v>
      </c>
      <c r="H308" s="1608"/>
      <c r="I308" s="1860"/>
      <c r="J308" s="1543"/>
    </row>
    <row r="309" spans="1:10">
      <c r="A309" s="1815" t="s">
        <v>2057</v>
      </c>
      <c r="B309" s="313" t="s">
        <v>1693</v>
      </c>
      <c r="C309" s="1530"/>
      <c r="D309" s="1542"/>
      <c r="E309" s="1564"/>
      <c r="F309" s="1613"/>
      <c r="G309" s="2024"/>
      <c r="H309" s="1608"/>
      <c r="I309" s="1860"/>
      <c r="J309" s="1543"/>
    </row>
    <row r="310" spans="1:10" ht="51.75" customHeight="1">
      <c r="A310" s="75" t="s">
        <v>2058</v>
      </c>
      <c r="B310" s="1550" t="s">
        <v>1695</v>
      </c>
      <c r="C310" s="1530" t="s">
        <v>21</v>
      </c>
      <c r="D310" s="1542">
        <v>119.925</v>
      </c>
      <c r="E310" s="2109">
        <v>9236.98</v>
      </c>
      <c r="F310" s="1613"/>
      <c r="G310" s="2024">
        <f t="shared" si="13"/>
        <v>1107744.8265</v>
      </c>
      <c r="H310" s="1608"/>
      <c r="I310" s="1860"/>
      <c r="J310" s="1543"/>
    </row>
    <row r="311" spans="1:10" ht="54">
      <c r="A311" s="1815" t="s">
        <v>2136</v>
      </c>
      <c r="B311" s="1550" t="s">
        <v>2740</v>
      </c>
      <c r="C311" s="1530"/>
      <c r="D311" s="1542"/>
      <c r="E311" s="1564"/>
      <c r="F311" s="1613"/>
      <c r="G311" s="2024"/>
      <c r="H311" s="1608"/>
      <c r="I311" s="1860"/>
      <c r="J311" s="1543"/>
    </row>
    <row r="312" spans="1:10">
      <c r="A312" s="75" t="s">
        <v>2366</v>
      </c>
      <c r="B312" s="669" t="s">
        <v>155</v>
      </c>
      <c r="C312" s="1530" t="s">
        <v>27</v>
      </c>
      <c r="D312" s="1542">
        <v>60</v>
      </c>
      <c r="E312" s="1564">
        <v>1693</v>
      </c>
      <c r="F312" s="1613"/>
      <c r="G312" s="2024">
        <f t="shared" si="13"/>
        <v>101580</v>
      </c>
      <c r="H312" s="1608"/>
      <c r="I312" s="1860"/>
      <c r="J312" s="1543"/>
    </row>
    <row r="313" spans="1:10">
      <c r="A313" s="75" t="s">
        <v>2400</v>
      </c>
      <c r="B313" s="669" t="s">
        <v>174</v>
      </c>
      <c r="C313" s="1530" t="s">
        <v>27</v>
      </c>
      <c r="D313" s="1542">
        <v>60</v>
      </c>
      <c r="E313" s="1564">
        <v>1245</v>
      </c>
      <c r="F313" s="1613"/>
      <c r="G313" s="2024">
        <f t="shared" si="13"/>
        <v>74700</v>
      </c>
      <c r="H313" s="1608"/>
      <c r="I313" s="1860"/>
      <c r="J313" s="1543"/>
    </row>
    <row r="314" spans="1:10" ht="19.8">
      <c r="A314" s="75" t="s">
        <v>2401</v>
      </c>
      <c r="B314" s="669" t="s">
        <v>2390</v>
      </c>
      <c r="C314" s="1530" t="s">
        <v>122</v>
      </c>
      <c r="D314" s="1542">
        <v>120</v>
      </c>
      <c r="E314" s="1564">
        <v>1208</v>
      </c>
      <c r="F314" s="1613"/>
      <c r="G314" s="2024">
        <f t="shared" si="13"/>
        <v>144960</v>
      </c>
      <c r="H314" s="1608"/>
      <c r="I314" s="1860"/>
      <c r="J314" s="1543"/>
    </row>
    <row r="315" spans="1:10">
      <c r="A315" s="2141" t="s">
        <v>3352</v>
      </c>
      <c r="B315" s="2154" t="s">
        <v>1706</v>
      </c>
      <c r="C315" s="2120"/>
      <c r="D315" s="2126"/>
      <c r="E315" s="2157"/>
      <c r="F315" s="2123"/>
      <c r="G315" s="2124"/>
      <c r="H315" s="2128"/>
      <c r="I315" s="1860"/>
      <c r="J315" s="1922"/>
    </row>
    <row r="316" spans="1:10" ht="36">
      <c r="A316" s="2129" t="s">
        <v>3353</v>
      </c>
      <c r="B316" s="2163" t="s">
        <v>1710</v>
      </c>
      <c r="C316" s="2120" t="s">
        <v>306</v>
      </c>
      <c r="D316" s="2126">
        <v>141.80000000000001</v>
      </c>
      <c r="E316" s="2157">
        <v>9852.5</v>
      </c>
      <c r="F316" s="2123"/>
      <c r="G316" s="2124">
        <f>D316*E316</f>
        <v>1397084.5</v>
      </c>
      <c r="H316" s="2128"/>
      <c r="I316" s="1860"/>
      <c r="J316" s="1922"/>
    </row>
    <row r="317" spans="1:10" ht="17.25" customHeight="1">
      <c r="A317" s="1722"/>
      <c r="B317" s="1557"/>
      <c r="C317" s="1563"/>
      <c r="D317" s="1688"/>
      <c r="E317" s="1564"/>
      <c r="F317" s="1666" t="s">
        <v>1483</v>
      </c>
      <c r="G317" s="2035">
        <f>SUM(G296:G316)</f>
        <v>120191691.40542458</v>
      </c>
      <c r="H317" s="1822"/>
      <c r="I317" s="1868"/>
      <c r="J317" s="1717"/>
    </row>
    <row r="318" spans="1:10" s="1531" customFormat="1">
      <c r="A318" s="1814" t="s">
        <v>2060</v>
      </c>
      <c r="B318" s="1533" t="s">
        <v>3085</v>
      </c>
      <c r="C318" s="1551"/>
      <c r="D318" s="1738"/>
      <c r="E318" s="2000"/>
      <c r="F318" s="1536"/>
      <c r="G318" s="2026"/>
      <c r="H318" s="1534"/>
      <c r="I318" s="1857"/>
      <c r="J318" s="1543"/>
    </row>
    <row r="319" spans="1:10" s="1567" customFormat="1">
      <c r="A319" s="1815" t="s">
        <v>2138</v>
      </c>
      <c r="B319" s="1548" t="s">
        <v>18</v>
      </c>
      <c r="C319" s="1572"/>
      <c r="D319" s="1737"/>
      <c r="E319" s="1564"/>
      <c r="F319" s="1573"/>
      <c r="G319" s="2027"/>
      <c r="H319" s="1816"/>
      <c r="I319" s="1857"/>
      <c r="J319" s="1543"/>
    </row>
    <row r="320" spans="1:10" s="315" customFormat="1" ht="72">
      <c r="A320" s="75" t="s">
        <v>2062</v>
      </c>
      <c r="B320" s="1555" t="s">
        <v>2847</v>
      </c>
      <c r="C320" s="1576" t="s">
        <v>19</v>
      </c>
      <c r="D320" s="1542">
        <v>830.85200000000009</v>
      </c>
      <c r="E320" s="1564">
        <v>40.5</v>
      </c>
      <c r="F320" s="313"/>
      <c r="G320" s="2054">
        <f>D320*E320</f>
        <v>33649.506000000001</v>
      </c>
      <c r="H320" s="1530"/>
      <c r="I320" s="1859"/>
      <c r="J320" s="1543"/>
    </row>
    <row r="321" spans="1:10" s="315" customFormat="1" ht="72">
      <c r="A321" s="1815" t="s">
        <v>2139</v>
      </c>
      <c r="B321" s="1544" t="s">
        <v>2849</v>
      </c>
      <c r="C321" s="1576"/>
      <c r="D321" s="1542"/>
      <c r="E321" s="1564"/>
      <c r="F321" s="313"/>
      <c r="G321" s="2054"/>
      <c r="H321" s="1530"/>
      <c r="I321" s="1859"/>
      <c r="J321" s="1543"/>
    </row>
    <row r="322" spans="1:10" s="315" customFormat="1">
      <c r="A322" s="75" t="s">
        <v>2146</v>
      </c>
      <c r="B322" s="220" t="s">
        <v>1632</v>
      </c>
      <c r="C322" s="1530" t="s">
        <v>21</v>
      </c>
      <c r="D322" s="1542">
        <v>4214.0337600000003</v>
      </c>
      <c r="E322" s="1564">
        <v>358.66</v>
      </c>
      <c r="F322" s="313"/>
      <c r="G322" s="2054">
        <f t="shared" ref="G322:G339" si="14">D322*E322</f>
        <v>1511405.3483616002</v>
      </c>
      <c r="H322" s="1530"/>
      <c r="I322" s="1859"/>
      <c r="J322" s="1543"/>
    </row>
    <row r="323" spans="1:10">
      <c r="A323" s="75" t="s">
        <v>2147</v>
      </c>
      <c r="B323" s="220" t="s">
        <v>63</v>
      </c>
      <c r="C323" s="1530" t="s">
        <v>21</v>
      </c>
      <c r="D323" s="1542">
        <v>1053.5084400000001</v>
      </c>
      <c r="E323" s="1564">
        <v>1385.23</v>
      </c>
      <c r="F323" s="1613"/>
      <c r="G323" s="2054">
        <f t="shared" si="14"/>
        <v>1459351.4963412001</v>
      </c>
      <c r="H323" s="1823"/>
      <c r="I323" s="1859"/>
      <c r="J323" s="1543"/>
    </row>
    <row r="324" spans="1:10">
      <c r="A324" s="1815" t="s">
        <v>2140</v>
      </c>
      <c r="B324" s="313" t="s">
        <v>31</v>
      </c>
      <c r="C324" s="1530"/>
      <c r="D324" s="1542"/>
      <c r="E324" s="1564"/>
      <c r="F324" s="1613"/>
      <c r="G324" s="2054"/>
      <c r="H324" s="1823"/>
      <c r="I324" s="1859"/>
      <c r="J324" s="1543"/>
    </row>
    <row r="325" spans="1:10" ht="54">
      <c r="A325" s="75" t="s">
        <v>2148</v>
      </c>
      <c r="B325" s="1545" t="s">
        <v>2862</v>
      </c>
      <c r="C325" s="1530" t="s">
        <v>21</v>
      </c>
      <c r="D325" s="1542">
        <v>48.658799999999999</v>
      </c>
      <c r="E325" s="1564">
        <v>217.5</v>
      </c>
      <c r="F325" s="1613"/>
      <c r="G325" s="2054">
        <f t="shared" si="14"/>
        <v>10583.289000000001</v>
      </c>
      <c r="H325" s="1823"/>
      <c r="I325" s="1859"/>
      <c r="J325" s="1543"/>
    </row>
    <row r="326" spans="1:10" ht="54">
      <c r="A326" s="1815" t="s">
        <v>2141</v>
      </c>
      <c r="B326" s="1545" t="s">
        <v>2735</v>
      </c>
      <c r="C326" s="1530"/>
      <c r="D326" s="1542"/>
      <c r="E326" s="1564"/>
      <c r="F326" s="1613"/>
      <c r="G326" s="2054"/>
      <c r="H326" s="1823"/>
      <c r="I326" s="1859"/>
      <c r="J326" s="1543"/>
    </row>
    <row r="327" spans="1:10">
      <c r="A327" s="75" t="s">
        <v>2149</v>
      </c>
      <c r="B327" s="1546" t="s">
        <v>1641</v>
      </c>
      <c r="C327" s="1530" t="s">
        <v>21</v>
      </c>
      <c r="D327" s="1542">
        <v>35.285429999999998</v>
      </c>
      <c r="E327" s="1564">
        <v>13187.5</v>
      </c>
      <c r="F327" s="1613"/>
      <c r="G327" s="2054">
        <f t="shared" si="14"/>
        <v>465326.60812499997</v>
      </c>
      <c r="H327" s="1823"/>
      <c r="I327" s="1859"/>
      <c r="J327" s="1543"/>
    </row>
    <row r="328" spans="1:10">
      <c r="A328" s="75" t="s">
        <v>2672</v>
      </c>
      <c r="B328" s="1546" t="s">
        <v>1645</v>
      </c>
      <c r="C328" s="1530" t="s">
        <v>21</v>
      </c>
      <c r="D328" s="1542">
        <v>854.06943000000001</v>
      </c>
      <c r="E328" s="1564">
        <v>18375.5</v>
      </c>
      <c r="F328" s="1613"/>
      <c r="G328" s="2054">
        <f t="shared" si="14"/>
        <v>15693952.810965</v>
      </c>
      <c r="H328" s="1823"/>
      <c r="I328" s="1859"/>
      <c r="J328" s="1543"/>
    </row>
    <row r="329" spans="1:10">
      <c r="A329" s="75" t="s">
        <v>2673</v>
      </c>
      <c r="B329" s="1546" t="s">
        <v>2876</v>
      </c>
      <c r="C329" s="1530" t="s">
        <v>21</v>
      </c>
      <c r="D329" s="1542">
        <v>116.91</v>
      </c>
      <c r="E329" s="1564">
        <v>11539.5</v>
      </c>
      <c r="F329" s="1613"/>
      <c r="G329" s="2054">
        <f t="shared" si="14"/>
        <v>1349082.9450000001</v>
      </c>
      <c r="H329" s="1823"/>
      <c r="I329" s="1859"/>
      <c r="J329" s="1543"/>
    </row>
    <row r="330" spans="1:10">
      <c r="A330" s="1815" t="s">
        <v>2142</v>
      </c>
      <c r="B330" s="1548" t="s">
        <v>309</v>
      </c>
      <c r="C330" s="1530"/>
      <c r="D330" s="1542"/>
      <c r="E330" s="1564"/>
      <c r="F330" s="1613"/>
      <c r="G330" s="2054"/>
      <c r="H330" s="1823"/>
      <c r="I330" s="1859"/>
      <c r="J330" s="1543"/>
    </row>
    <row r="331" spans="1:10" ht="54">
      <c r="A331" s="75" t="s">
        <v>2150</v>
      </c>
      <c r="B331" s="1549" t="s">
        <v>1637</v>
      </c>
      <c r="C331" s="1530" t="s">
        <v>311</v>
      </c>
      <c r="D331" s="1542">
        <v>658.34460000000001</v>
      </c>
      <c r="E331" s="1564">
        <v>1228.5614285714287</v>
      </c>
      <c r="F331" s="220"/>
      <c r="G331" s="2054">
        <f t="shared" si="14"/>
        <v>808816.78226828575</v>
      </c>
      <c r="H331" s="1823"/>
      <c r="I331" s="1859"/>
      <c r="J331" s="1543"/>
    </row>
    <row r="332" spans="1:10">
      <c r="A332" s="1815" t="s">
        <v>2143</v>
      </c>
      <c r="B332" s="313" t="s">
        <v>1649</v>
      </c>
      <c r="C332" s="1530"/>
      <c r="D332" s="1542"/>
      <c r="E332" s="1564"/>
      <c r="F332" s="220"/>
      <c r="G332" s="2054"/>
      <c r="H332" s="1823"/>
      <c r="I332" s="1859"/>
      <c r="J332" s="1543"/>
    </row>
    <row r="333" spans="1:10" ht="54">
      <c r="A333" s="75" t="s">
        <v>2151</v>
      </c>
      <c r="B333" s="1550" t="s">
        <v>1248</v>
      </c>
      <c r="C333" s="1530" t="s">
        <v>25</v>
      </c>
      <c r="D333" s="1542">
        <v>67.044450255000001</v>
      </c>
      <c r="E333" s="1564">
        <v>164277.67441860467</v>
      </c>
      <c r="F333" s="220"/>
      <c r="G333" s="2054">
        <f t="shared" si="14"/>
        <v>11013906.370565226</v>
      </c>
      <c r="H333" s="1823"/>
      <c r="I333" s="1859"/>
      <c r="J333" s="1543"/>
    </row>
    <row r="334" spans="1:10">
      <c r="A334" s="1722" t="s">
        <v>2144</v>
      </c>
      <c r="B334" s="313" t="s">
        <v>1693</v>
      </c>
      <c r="C334" s="1530"/>
      <c r="D334" s="1542"/>
      <c r="E334" s="1564"/>
      <c r="F334" s="220"/>
      <c r="G334" s="2054"/>
      <c r="H334" s="1823"/>
      <c r="I334" s="1859"/>
      <c r="J334" s="1543"/>
    </row>
    <row r="335" spans="1:10" ht="51.75" customHeight="1">
      <c r="A335" s="75" t="s">
        <v>2152</v>
      </c>
      <c r="B335" s="1550" t="s">
        <v>2601</v>
      </c>
      <c r="C335" s="1576" t="s">
        <v>19</v>
      </c>
      <c r="D335" s="1542">
        <v>180.83159999999998</v>
      </c>
      <c r="E335" s="2170">
        <v>9236.98</v>
      </c>
      <c r="F335" s="220"/>
      <c r="G335" s="2054">
        <f t="shared" si="14"/>
        <v>1670337.8725679996</v>
      </c>
      <c r="H335" s="1823"/>
      <c r="I335" s="1859"/>
      <c r="J335" s="1543"/>
    </row>
    <row r="336" spans="1:10" ht="54">
      <c r="A336" s="1815" t="s">
        <v>2145</v>
      </c>
      <c r="B336" s="1550" t="s">
        <v>2740</v>
      </c>
      <c r="C336" s="1576"/>
      <c r="D336" s="1542"/>
      <c r="E336" s="1564"/>
      <c r="F336" s="220"/>
      <c r="G336" s="2054"/>
      <c r="H336" s="1823"/>
      <c r="I336" s="1859"/>
      <c r="J336" s="1543"/>
    </row>
    <row r="337" spans="1:10">
      <c r="A337" s="75" t="s">
        <v>2153</v>
      </c>
      <c r="B337" s="669" t="s">
        <v>155</v>
      </c>
      <c r="C337" s="1530" t="s">
        <v>27</v>
      </c>
      <c r="D337" s="1542">
        <v>40</v>
      </c>
      <c r="E337" s="1564">
        <v>1693</v>
      </c>
      <c r="F337" s="220"/>
      <c r="G337" s="2054">
        <f t="shared" si="14"/>
        <v>67720</v>
      </c>
      <c r="H337" s="1823"/>
      <c r="I337" s="1859"/>
      <c r="J337" s="1543"/>
    </row>
    <row r="338" spans="1:10">
      <c r="A338" s="75" t="s">
        <v>2674</v>
      </c>
      <c r="B338" s="669" t="s">
        <v>174</v>
      </c>
      <c r="C338" s="1530" t="s">
        <v>27</v>
      </c>
      <c r="D338" s="1542">
        <v>40</v>
      </c>
      <c r="E338" s="1564">
        <v>1245</v>
      </c>
      <c r="F338" s="220"/>
      <c r="G338" s="2054">
        <f t="shared" si="14"/>
        <v>49800</v>
      </c>
      <c r="H338" s="1823"/>
      <c r="I338" s="1859"/>
      <c r="J338" s="1543"/>
    </row>
    <row r="339" spans="1:10" ht="19.8">
      <c r="A339" s="75" t="s">
        <v>2675</v>
      </c>
      <c r="B339" s="669" t="s">
        <v>2390</v>
      </c>
      <c r="C339" s="1576" t="s">
        <v>122</v>
      </c>
      <c r="D339" s="1542">
        <v>80</v>
      </c>
      <c r="E339" s="1564">
        <v>1208</v>
      </c>
      <c r="F339" s="220"/>
      <c r="G339" s="2054">
        <f t="shared" si="14"/>
        <v>96640</v>
      </c>
      <c r="H339" s="1823"/>
      <c r="I339" s="1859"/>
      <c r="J339" s="1543"/>
    </row>
    <row r="340" spans="1:10" ht="17.25" customHeight="1">
      <c r="A340" s="1722"/>
      <c r="B340" s="1557"/>
      <c r="C340" s="1581"/>
      <c r="D340" s="1741"/>
      <c r="E340" s="1564"/>
      <c r="F340" s="1666" t="s">
        <v>1483</v>
      </c>
      <c r="G340" s="2036">
        <f>SUM(G320:G339)</f>
        <v>34230573.02919431</v>
      </c>
      <c r="H340" s="1824"/>
      <c r="I340" s="1850"/>
      <c r="J340" s="1717"/>
    </row>
    <row r="341" spans="1:10" s="315" customFormat="1">
      <c r="A341" s="1814" t="s">
        <v>2065</v>
      </c>
      <c r="B341" s="1533" t="s">
        <v>2602</v>
      </c>
      <c r="C341" s="1534"/>
      <c r="D341" s="1736"/>
      <c r="E341" s="2000"/>
      <c r="F341" s="1536"/>
      <c r="G341" s="2037"/>
      <c r="H341" s="1534"/>
      <c r="I341" s="1857"/>
      <c r="J341" s="1543"/>
    </row>
    <row r="342" spans="1:10" s="1582" customFormat="1">
      <c r="A342" s="1815" t="s">
        <v>2067</v>
      </c>
      <c r="B342" s="1548" t="s">
        <v>18</v>
      </c>
      <c r="C342" s="1572"/>
      <c r="D342" s="1547"/>
      <c r="E342" s="1564"/>
      <c r="F342" s="1506"/>
      <c r="G342" s="2038"/>
      <c r="H342" s="1816"/>
      <c r="I342" s="1859"/>
      <c r="J342" s="1543"/>
    </row>
    <row r="343" spans="1:10" ht="72">
      <c r="A343" s="75" t="s">
        <v>2069</v>
      </c>
      <c r="B343" s="1555" t="s">
        <v>2847</v>
      </c>
      <c r="C343" s="1576" t="s">
        <v>19</v>
      </c>
      <c r="D343" s="1542">
        <v>5280.55</v>
      </c>
      <c r="E343" s="1564">
        <v>40.5</v>
      </c>
      <c r="F343" s="220"/>
      <c r="G343" s="2047">
        <f>D343*E343</f>
        <v>213862.27499999999</v>
      </c>
      <c r="H343" s="1530"/>
      <c r="I343" s="1859"/>
      <c r="J343" s="1543"/>
    </row>
    <row r="344" spans="1:10" ht="72">
      <c r="A344" s="1815" t="s">
        <v>2079</v>
      </c>
      <c r="B344" s="1544" t="s">
        <v>2849</v>
      </c>
      <c r="C344" s="1576"/>
      <c r="D344" s="1542"/>
      <c r="E344" s="1564"/>
      <c r="F344" s="220"/>
      <c r="G344" s="2047"/>
      <c r="H344" s="1530"/>
      <c r="I344" s="1859"/>
      <c r="J344" s="1543"/>
    </row>
    <row r="345" spans="1:10">
      <c r="A345" s="75" t="s">
        <v>2081</v>
      </c>
      <c r="B345" s="220" t="s">
        <v>1632</v>
      </c>
      <c r="C345" s="1530" t="s">
        <v>21</v>
      </c>
      <c r="D345" s="1542">
        <v>23056.314999999999</v>
      </c>
      <c r="E345" s="1564">
        <v>358.66</v>
      </c>
      <c r="F345" s="220"/>
      <c r="G345" s="2047">
        <f t="shared" ref="G345:G369" si="15">D345*E345</f>
        <v>8269377.9379000003</v>
      </c>
      <c r="H345" s="1530"/>
      <c r="I345" s="1859"/>
      <c r="J345" s="1543"/>
    </row>
    <row r="346" spans="1:10">
      <c r="A346" s="75" t="s">
        <v>2083</v>
      </c>
      <c r="B346" s="220" t="s">
        <v>1634</v>
      </c>
      <c r="C346" s="1530" t="s">
        <v>21</v>
      </c>
      <c r="D346" s="1542">
        <v>23056.314999999999</v>
      </c>
      <c r="E346" s="1564">
        <v>1385.23</v>
      </c>
      <c r="F346" s="220"/>
      <c r="G346" s="2047">
        <f t="shared" si="15"/>
        <v>31938299.227449998</v>
      </c>
      <c r="H346" s="1823"/>
      <c r="I346" s="1859"/>
      <c r="J346" s="1543"/>
    </row>
    <row r="347" spans="1:10">
      <c r="A347" s="1815" t="s">
        <v>2086</v>
      </c>
      <c r="B347" s="313" t="s">
        <v>31</v>
      </c>
      <c r="C347" s="1530"/>
      <c r="D347" s="1542"/>
      <c r="E347" s="1564"/>
      <c r="F347" s="220"/>
      <c r="G347" s="2047"/>
      <c r="H347" s="1823"/>
      <c r="I347" s="1859"/>
      <c r="J347" s="1543"/>
    </row>
    <row r="348" spans="1:10" ht="54">
      <c r="A348" s="75" t="s">
        <v>2088</v>
      </c>
      <c r="B348" s="1545" t="s">
        <v>2862</v>
      </c>
      <c r="C348" s="1530" t="s">
        <v>21</v>
      </c>
      <c r="D348" s="1542">
        <v>16906.806</v>
      </c>
      <c r="E348" s="1564">
        <v>217.5</v>
      </c>
      <c r="F348" s="220"/>
      <c r="G348" s="2047">
        <f t="shared" si="15"/>
        <v>3677230.3050000002</v>
      </c>
      <c r="H348" s="1823"/>
      <c r="I348" s="1859"/>
      <c r="J348" s="1543"/>
    </row>
    <row r="349" spans="1:10" ht="54">
      <c r="A349" s="1815" t="s">
        <v>2094</v>
      </c>
      <c r="B349" s="1545" t="s">
        <v>2735</v>
      </c>
      <c r="C349" s="1530"/>
      <c r="D349" s="1542"/>
      <c r="E349" s="1564"/>
      <c r="F349" s="220"/>
      <c r="G349" s="2047"/>
      <c r="H349" s="1823"/>
      <c r="I349" s="1859"/>
      <c r="J349" s="1543"/>
    </row>
    <row r="350" spans="1:10">
      <c r="A350" s="75" t="s">
        <v>2096</v>
      </c>
      <c r="B350" s="1546" t="s">
        <v>1641</v>
      </c>
      <c r="C350" s="1530" t="s">
        <v>21</v>
      </c>
      <c r="D350" s="1542">
        <v>299.1225</v>
      </c>
      <c r="E350" s="1564">
        <v>13187.5</v>
      </c>
      <c r="F350" s="220"/>
      <c r="G350" s="2047">
        <f t="shared" si="15"/>
        <v>3944677.96875</v>
      </c>
      <c r="H350" s="1823"/>
      <c r="I350" s="1859"/>
      <c r="J350" s="1543"/>
    </row>
    <row r="351" spans="1:10">
      <c r="A351" s="75" t="s">
        <v>2098</v>
      </c>
      <c r="B351" s="1546" t="s">
        <v>1645</v>
      </c>
      <c r="C351" s="1530" t="s">
        <v>21</v>
      </c>
      <c r="D351" s="1542">
        <v>8000.4820299999983</v>
      </c>
      <c r="E351" s="1564">
        <v>18375.5</v>
      </c>
      <c r="F351" s="220"/>
      <c r="G351" s="2047">
        <f t="shared" si="15"/>
        <v>147012857.54226497</v>
      </c>
      <c r="H351" s="1823"/>
      <c r="I351" s="1859"/>
      <c r="J351" s="1543"/>
    </row>
    <row r="352" spans="1:10">
      <c r="A352" s="1815" t="s">
        <v>2154</v>
      </c>
      <c r="B352" s="1548" t="s">
        <v>309</v>
      </c>
      <c r="C352" s="1530"/>
      <c r="D352" s="1542"/>
      <c r="E352" s="1564"/>
      <c r="F352" s="220"/>
      <c r="G352" s="2047"/>
      <c r="H352" s="1823"/>
      <c r="I352" s="1859"/>
      <c r="J352" s="1543"/>
    </row>
    <row r="353" spans="1:16" ht="54">
      <c r="A353" s="75" t="s">
        <v>2161</v>
      </c>
      <c r="B353" s="1549" t="s">
        <v>1637</v>
      </c>
      <c r="C353" s="1576" t="s">
        <v>19</v>
      </c>
      <c r="D353" s="1542">
        <v>9713.8601999999992</v>
      </c>
      <c r="E353" s="1564">
        <v>1228.5614285714287</v>
      </c>
      <c r="F353" s="220"/>
      <c r="G353" s="2047">
        <f t="shared" si="15"/>
        <v>11934073.964255143</v>
      </c>
      <c r="H353" s="1823"/>
      <c r="I353" s="1859"/>
      <c r="J353" s="1543"/>
    </row>
    <row r="354" spans="1:16">
      <c r="A354" s="1815" t="s">
        <v>2155</v>
      </c>
      <c r="B354" s="313" t="s">
        <v>1649</v>
      </c>
      <c r="C354" s="1576"/>
      <c r="D354" s="1542"/>
      <c r="E354" s="1564"/>
      <c r="F354" s="220"/>
      <c r="G354" s="2047"/>
      <c r="H354" s="1823"/>
      <c r="I354" s="1859"/>
      <c r="J354" s="1543"/>
    </row>
    <row r="355" spans="1:16" ht="54">
      <c r="A355" s="75" t="s">
        <v>2160</v>
      </c>
      <c r="B355" s="1550" t="s">
        <v>1248</v>
      </c>
      <c r="C355" s="1530" t="s">
        <v>25</v>
      </c>
      <c r="D355" s="1542">
        <v>628.03783935499996</v>
      </c>
      <c r="E355" s="1564">
        <v>164277.67441860467</v>
      </c>
      <c r="F355" s="220"/>
      <c r="G355" s="2047">
        <f t="shared" si="15"/>
        <v>103172595.69612463</v>
      </c>
      <c r="H355" s="1823"/>
      <c r="I355" s="1859"/>
      <c r="J355" s="1543"/>
      <c r="N355" s="1592"/>
    </row>
    <row r="356" spans="1:16">
      <c r="A356" s="1815" t="s">
        <v>2156</v>
      </c>
      <c r="B356" s="313" t="s">
        <v>1702</v>
      </c>
      <c r="C356" s="1530"/>
      <c r="D356" s="1542"/>
      <c r="E356" s="1564"/>
      <c r="F356" s="220"/>
      <c r="G356" s="2047"/>
      <c r="H356" s="1823"/>
      <c r="I356" s="1859"/>
      <c r="J356" s="1543"/>
      <c r="N356" s="1592"/>
    </row>
    <row r="357" spans="1:16" ht="36">
      <c r="A357" s="75" t="s">
        <v>2159</v>
      </c>
      <c r="B357" s="1529" t="s">
        <v>1704</v>
      </c>
      <c r="C357" s="1530" t="s">
        <v>21</v>
      </c>
      <c r="D357" s="1542">
        <v>1320.2941999999998</v>
      </c>
      <c r="E357" s="1564">
        <v>5206</v>
      </c>
      <c r="F357" s="220"/>
      <c r="G357" s="2047">
        <f t="shared" si="15"/>
        <v>6873451.6051999992</v>
      </c>
      <c r="H357" s="1823"/>
      <c r="I357" s="1859"/>
      <c r="J357" s="1543"/>
      <c r="N357" s="1592"/>
      <c r="P357" s="1592"/>
    </row>
    <row r="358" spans="1:16">
      <c r="A358" s="1722" t="s">
        <v>2157</v>
      </c>
      <c r="B358" s="313" t="s">
        <v>1706</v>
      </c>
      <c r="C358" s="1530"/>
      <c r="D358" s="1542"/>
      <c r="E358" s="1564"/>
      <c r="F358" s="220"/>
      <c r="G358" s="2047"/>
      <c r="H358" s="1823"/>
      <c r="I358" s="1859"/>
      <c r="J358" s="1543"/>
      <c r="N358" s="1592"/>
      <c r="P358" s="1592"/>
    </row>
    <row r="359" spans="1:16" ht="36">
      <c r="A359" s="75" t="s">
        <v>2158</v>
      </c>
      <c r="B359" s="1529" t="s">
        <v>1710</v>
      </c>
      <c r="C359" s="1530" t="s">
        <v>21</v>
      </c>
      <c r="D359" s="1542">
        <v>6363.1643599999998</v>
      </c>
      <c r="E359" s="1564">
        <v>9852.5</v>
      </c>
      <c r="F359" s="220"/>
      <c r="G359" s="2047">
        <f t="shared" si="15"/>
        <v>62693076.856899999</v>
      </c>
      <c r="H359" s="1823"/>
      <c r="I359" s="1859"/>
      <c r="J359" s="1543"/>
    </row>
    <row r="360" spans="1:16">
      <c r="A360" s="1815" t="s">
        <v>2676</v>
      </c>
      <c r="B360" s="1557" t="s">
        <v>2654</v>
      </c>
      <c r="C360" s="1565"/>
      <c r="D360" s="1542"/>
      <c r="E360" s="1564"/>
      <c r="F360" s="220"/>
      <c r="G360" s="2047"/>
      <c r="H360" s="1823"/>
      <c r="I360" s="1859"/>
      <c r="J360" s="1543"/>
    </row>
    <row r="361" spans="1:16" ht="36">
      <c r="A361" s="75" t="s">
        <v>2677</v>
      </c>
      <c r="B361" s="669" t="s">
        <v>2926</v>
      </c>
      <c r="C361" s="1576" t="s">
        <v>367</v>
      </c>
      <c r="D361" s="1542">
        <v>199</v>
      </c>
      <c r="E361" s="1564">
        <v>15335</v>
      </c>
      <c r="F361" s="220"/>
      <c r="G361" s="2047">
        <f t="shared" si="15"/>
        <v>3051665</v>
      </c>
      <c r="H361" s="1823"/>
      <c r="I361" s="1859"/>
      <c r="J361" s="1543"/>
    </row>
    <row r="362" spans="1:16">
      <c r="A362" s="1815" t="s">
        <v>2678</v>
      </c>
      <c r="B362" s="1557" t="s">
        <v>2653</v>
      </c>
      <c r="C362" s="1530"/>
      <c r="D362" s="1542"/>
      <c r="E362" s="1564"/>
      <c r="F362" s="220"/>
      <c r="G362" s="2047"/>
      <c r="H362" s="1823"/>
      <c r="I362" s="1859"/>
      <c r="J362" s="1543"/>
    </row>
    <row r="363" spans="1:16" ht="54">
      <c r="A363" s="75" t="s">
        <v>2679</v>
      </c>
      <c r="B363" s="1538" t="s">
        <v>2902</v>
      </c>
      <c r="C363" s="1530" t="s">
        <v>46</v>
      </c>
      <c r="D363" s="1542">
        <v>161.479906</v>
      </c>
      <c r="E363" s="1564">
        <v>3073.98</v>
      </c>
      <c r="F363" s="220"/>
      <c r="G363" s="2047">
        <f t="shared" si="15"/>
        <v>496386.00144587999</v>
      </c>
      <c r="H363" s="1823"/>
      <c r="I363" s="1859"/>
      <c r="J363" s="1543"/>
    </row>
    <row r="364" spans="1:16">
      <c r="A364" s="1722" t="s">
        <v>2680</v>
      </c>
      <c r="B364" s="1611" t="s">
        <v>1229</v>
      </c>
      <c r="C364" s="1530"/>
      <c r="D364" s="1542"/>
      <c r="E364" s="1564"/>
      <c r="F364" s="220"/>
      <c r="G364" s="2047"/>
      <c r="H364" s="1823"/>
      <c r="I364" s="1859"/>
      <c r="J364" s="1543"/>
    </row>
    <row r="365" spans="1:16">
      <c r="A365" s="75" t="s">
        <v>2758</v>
      </c>
      <c r="B365" s="220" t="s">
        <v>1235</v>
      </c>
      <c r="C365" s="1530" t="s">
        <v>46</v>
      </c>
      <c r="D365" s="1542">
        <v>127.33</v>
      </c>
      <c r="E365" s="2170">
        <v>618</v>
      </c>
      <c r="F365" s="220"/>
      <c r="G365" s="2047">
        <f t="shared" si="15"/>
        <v>78689.94</v>
      </c>
      <c r="H365" s="1823"/>
      <c r="I365" s="1859"/>
      <c r="J365" s="1543"/>
    </row>
    <row r="366" spans="1:16" ht="54">
      <c r="A366" s="1722" t="s">
        <v>2681</v>
      </c>
      <c r="B366" s="1546" t="s">
        <v>2741</v>
      </c>
      <c r="C366" s="1530"/>
      <c r="D366" s="1542"/>
      <c r="E366" s="1564"/>
      <c r="F366" s="220"/>
      <c r="G366" s="2047"/>
      <c r="H366" s="1823"/>
      <c r="I366" s="1859"/>
      <c r="J366" s="1543"/>
    </row>
    <row r="367" spans="1:16">
      <c r="A367" s="75" t="s">
        <v>2682</v>
      </c>
      <c r="B367" s="669" t="str">
        <f>'S.basin,HP&amp;Spillway'!B117</f>
        <v>Water Bar</v>
      </c>
      <c r="C367" s="1576" t="s">
        <v>27</v>
      </c>
      <c r="D367" s="1542">
        <v>350</v>
      </c>
      <c r="E367" s="2177">
        <v>1693</v>
      </c>
      <c r="F367" s="220"/>
      <c r="G367" s="2047">
        <f t="shared" si="15"/>
        <v>592550</v>
      </c>
      <c r="H367" s="1823"/>
      <c r="I367" s="1859"/>
      <c r="J367" s="1543"/>
    </row>
    <row r="368" spans="1:16">
      <c r="A368" s="75" t="s">
        <v>2683</v>
      </c>
      <c r="B368" s="669" t="str">
        <f>'S.basin,HP&amp;Spillway'!B121</f>
        <v>Sealant</v>
      </c>
      <c r="C368" s="1576" t="s">
        <v>27</v>
      </c>
      <c r="D368" s="1542">
        <v>350</v>
      </c>
      <c r="E368" s="2177">
        <v>1245</v>
      </c>
      <c r="F368" s="220"/>
      <c r="G368" s="2047">
        <f t="shared" si="15"/>
        <v>435750</v>
      </c>
      <c r="H368" s="1823"/>
      <c r="I368" s="1859"/>
      <c r="J368" s="1543"/>
    </row>
    <row r="369" spans="1:76" ht="19.8">
      <c r="A369" s="75" t="s">
        <v>2684</v>
      </c>
      <c r="B369" s="669" t="s">
        <v>2390</v>
      </c>
      <c r="C369" s="1530" t="s">
        <v>122</v>
      </c>
      <c r="D369" s="1542">
        <v>700</v>
      </c>
      <c r="E369" s="2177">
        <v>1208</v>
      </c>
      <c r="F369" s="220"/>
      <c r="G369" s="2047">
        <f t="shared" si="15"/>
        <v>845600</v>
      </c>
      <c r="H369" s="1823"/>
      <c r="I369" s="1859"/>
      <c r="J369" s="1543"/>
    </row>
    <row r="370" spans="1:76">
      <c r="A370" s="1722"/>
      <c r="B370" s="1557"/>
      <c r="C370" s="1530"/>
      <c r="D370" s="1542"/>
      <c r="E370" s="1564"/>
      <c r="F370" s="220"/>
      <c r="G370" s="2047"/>
      <c r="H370" s="1823"/>
      <c r="I370" s="1859"/>
      <c r="J370" s="1543"/>
    </row>
    <row r="371" spans="1:76" ht="17.25" customHeight="1">
      <c r="A371" s="1722"/>
      <c r="B371" s="1557"/>
      <c r="C371" s="1563"/>
      <c r="D371" s="1688"/>
      <c r="E371" s="1565"/>
      <c r="F371" s="1666" t="s">
        <v>1483</v>
      </c>
      <c r="G371" s="2036">
        <f>SUM(G343:G369)</f>
        <v>385230144.32029063</v>
      </c>
      <c r="H371" s="1824"/>
      <c r="I371" s="1850"/>
      <c r="J371" s="1717"/>
    </row>
    <row r="372" spans="1:76" ht="18" customHeight="1">
      <c r="A372" s="75"/>
      <c r="B372" s="669"/>
      <c r="C372" s="1530"/>
      <c r="D372" s="1686"/>
      <c r="E372" s="1565"/>
      <c r="F372" s="1666" t="s">
        <v>1557</v>
      </c>
      <c r="G372" s="2036">
        <f>G371+G340+G317+G293+G261</f>
        <v>653738791.39418125</v>
      </c>
      <c r="H372" s="1823"/>
      <c r="I372" s="1850"/>
      <c r="J372" s="1717"/>
      <c r="L372" s="1653"/>
    </row>
    <row r="373" spans="1:76" ht="18" customHeight="1">
      <c r="A373" s="2055"/>
      <c r="B373" s="2056"/>
      <c r="C373" s="1957"/>
      <c r="D373" s="1958"/>
      <c r="E373" s="2002"/>
      <c r="F373" s="2057" t="s">
        <v>3335</v>
      </c>
      <c r="G373" s="2040">
        <f>G372+G243</f>
        <v>1020603053.0815003</v>
      </c>
      <c r="H373" s="1921"/>
      <c r="I373" s="1850"/>
      <c r="J373" s="1971"/>
      <c r="L373" s="1653"/>
    </row>
    <row r="374" spans="1:76" s="1654" customFormat="1" ht="17.25" customHeight="1">
      <c r="A374" s="1813"/>
      <c r="B374" s="1998" t="s">
        <v>2911</v>
      </c>
      <c r="C374" s="1998"/>
      <c r="D374" s="1998"/>
      <c r="E374" s="1999"/>
      <c r="F374" s="1998"/>
      <c r="G374" s="2039"/>
      <c r="H374" s="1998"/>
      <c r="I374" s="1850"/>
      <c r="J374" s="220"/>
      <c r="K374" s="315"/>
      <c r="L374" s="315"/>
      <c r="M374" s="315"/>
      <c r="N374" s="315"/>
      <c r="O374" s="315"/>
      <c r="P374" s="315"/>
      <c r="Q374" s="315"/>
      <c r="R374" s="315"/>
      <c r="S374" s="315"/>
      <c r="T374" s="315"/>
      <c r="U374" s="315"/>
      <c r="V374" s="315"/>
      <c r="W374" s="315"/>
      <c r="X374" s="315"/>
      <c r="Y374" s="315"/>
      <c r="Z374" s="315"/>
      <c r="AA374" s="315"/>
      <c r="AB374" s="315"/>
      <c r="AC374" s="315"/>
      <c r="AD374" s="315"/>
      <c r="AE374" s="315"/>
      <c r="AF374" s="315"/>
      <c r="AG374" s="315"/>
      <c r="AH374" s="315"/>
      <c r="AI374" s="315"/>
      <c r="AJ374" s="315"/>
      <c r="AK374" s="315"/>
      <c r="AL374" s="315"/>
      <c r="AM374" s="315"/>
      <c r="AN374" s="315"/>
      <c r="AO374" s="315"/>
      <c r="AP374" s="315"/>
      <c r="AQ374" s="315"/>
      <c r="AR374" s="315"/>
      <c r="AS374" s="315"/>
      <c r="AT374" s="315"/>
      <c r="AU374" s="315"/>
      <c r="AV374" s="315"/>
      <c r="AW374" s="315"/>
      <c r="AX374" s="315"/>
      <c r="AY374" s="315"/>
      <c r="AZ374" s="315"/>
      <c r="BA374" s="315"/>
      <c r="BB374" s="315"/>
      <c r="BC374" s="315"/>
      <c r="BD374" s="315"/>
      <c r="BE374" s="315"/>
      <c r="BF374" s="315"/>
      <c r="BG374" s="315"/>
      <c r="BH374" s="315"/>
      <c r="BI374" s="315"/>
      <c r="BJ374" s="315"/>
      <c r="BK374" s="315"/>
      <c r="BL374" s="315"/>
      <c r="BM374" s="315"/>
      <c r="BN374" s="315"/>
      <c r="BO374" s="315"/>
      <c r="BP374" s="315"/>
      <c r="BQ374" s="315"/>
      <c r="BR374" s="315"/>
      <c r="BS374" s="315"/>
      <c r="BT374" s="315"/>
      <c r="BU374" s="315"/>
      <c r="BV374" s="315"/>
      <c r="BW374" s="315"/>
      <c r="BX374" s="315"/>
    </row>
    <row r="375" spans="1:76" s="315" customFormat="1">
      <c r="A375" s="1814" t="s">
        <v>2162</v>
      </c>
      <c r="B375" s="1533" t="s">
        <v>736</v>
      </c>
      <c r="C375" s="1534"/>
      <c r="D375" s="1736"/>
      <c r="E375" s="2001"/>
      <c r="F375" s="1536"/>
      <c r="G375" s="2037"/>
      <c r="H375" s="1534"/>
      <c r="I375" s="1857"/>
      <c r="J375" s="1543"/>
    </row>
    <row r="376" spans="1:76">
      <c r="A376" s="1722" t="s">
        <v>2163</v>
      </c>
      <c r="B376" s="1548" t="s">
        <v>18</v>
      </c>
      <c r="C376" s="1530"/>
      <c r="D376" s="1686"/>
      <c r="E376" s="1565"/>
      <c r="F376" s="1587"/>
      <c r="G376" s="2034"/>
      <c r="H376" s="1563"/>
      <c r="I376" s="1857"/>
      <c r="J376" s="1543"/>
    </row>
    <row r="377" spans="1:76" ht="72">
      <c r="A377" s="75" t="s">
        <v>2171</v>
      </c>
      <c r="B377" s="1555" t="s">
        <v>2386</v>
      </c>
      <c r="C377" s="1576" t="s">
        <v>19</v>
      </c>
      <c r="D377" s="1542">
        <v>5000</v>
      </c>
      <c r="E377" s="1564">
        <v>40.5</v>
      </c>
      <c r="F377" s="220"/>
      <c r="G377" s="2047">
        <f>E377*D377</f>
        <v>202500</v>
      </c>
      <c r="H377" s="1530"/>
      <c r="I377" s="1859"/>
      <c r="J377" s="1543"/>
    </row>
    <row r="378" spans="1:76" ht="72">
      <c r="A378" s="1815" t="s">
        <v>2164</v>
      </c>
      <c r="B378" s="1544" t="s">
        <v>2849</v>
      </c>
      <c r="C378" s="1576"/>
      <c r="D378" s="1542"/>
      <c r="E378" s="1564"/>
      <c r="F378" s="220"/>
      <c r="G378" s="2047"/>
      <c r="H378" s="1530"/>
      <c r="I378" s="1859"/>
      <c r="J378" s="1543"/>
    </row>
    <row r="379" spans="1:76">
      <c r="A379" s="75" t="s">
        <v>2172</v>
      </c>
      <c r="B379" s="220" t="s">
        <v>1851</v>
      </c>
      <c r="C379" s="1530" t="s">
        <v>21</v>
      </c>
      <c r="D379" s="1542">
        <v>37916.533847999992</v>
      </c>
      <c r="E379" s="1564">
        <v>358.66</v>
      </c>
      <c r="F379" s="220"/>
      <c r="G379" s="2047">
        <f t="shared" ref="G379:G395" si="16">E379*D379</f>
        <v>13599144.029923677</v>
      </c>
      <c r="H379" s="1530"/>
      <c r="I379" s="1859"/>
      <c r="J379" s="1543"/>
    </row>
    <row r="380" spans="1:76">
      <c r="A380" s="75" t="s">
        <v>2179</v>
      </c>
      <c r="B380" s="220" t="s">
        <v>63</v>
      </c>
      <c r="C380" s="1530" t="s">
        <v>21</v>
      </c>
      <c r="D380" s="1542">
        <v>6691.1530319999993</v>
      </c>
      <c r="E380" s="1564">
        <v>1385.23</v>
      </c>
      <c r="F380" s="220"/>
      <c r="G380" s="2047">
        <f t="shared" si="16"/>
        <v>9268785.9145173598</v>
      </c>
      <c r="H380" s="1823"/>
      <c r="I380" s="1859"/>
      <c r="J380" s="1543"/>
    </row>
    <row r="381" spans="1:76">
      <c r="A381" s="1815" t="s">
        <v>2165</v>
      </c>
      <c r="B381" s="313" t="s">
        <v>31</v>
      </c>
      <c r="C381" s="1530"/>
      <c r="D381" s="1542"/>
      <c r="E381" s="1564"/>
      <c r="F381" s="220"/>
      <c r="G381" s="2047"/>
      <c r="H381" s="1823"/>
      <c r="I381" s="1859"/>
      <c r="J381" s="1543"/>
    </row>
    <row r="382" spans="1:76" s="315" customFormat="1" ht="54">
      <c r="A382" s="75" t="s">
        <v>2173</v>
      </c>
      <c r="B382" s="1545" t="s">
        <v>2862</v>
      </c>
      <c r="C382" s="1530" t="s">
        <v>21</v>
      </c>
      <c r="D382" s="1542">
        <v>13696.852756</v>
      </c>
      <c r="E382" s="1564">
        <v>217.5</v>
      </c>
      <c r="F382" s="313"/>
      <c r="G382" s="2047">
        <f t="shared" si="16"/>
        <v>2979065.4744299999</v>
      </c>
      <c r="H382" s="1823"/>
      <c r="I382" s="1859"/>
      <c r="J382" s="1543"/>
      <c r="L382" s="1651"/>
      <c r="M382" s="1610"/>
      <c r="W382" s="1610"/>
    </row>
    <row r="383" spans="1:76" s="315" customFormat="1">
      <c r="A383" s="75" t="s">
        <v>2686</v>
      </c>
      <c r="B383" s="669" t="s">
        <v>2416</v>
      </c>
      <c r="C383" s="1530" t="s">
        <v>21</v>
      </c>
      <c r="D383" s="1542">
        <v>1400</v>
      </c>
      <c r="E383" s="2109">
        <v>1563.5</v>
      </c>
      <c r="F383" s="313"/>
      <c r="G383" s="2047">
        <f t="shared" si="16"/>
        <v>2188900</v>
      </c>
      <c r="H383" s="1823"/>
      <c r="I383" s="1859"/>
      <c r="J383" s="1543"/>
    </row>
    <row r="384" spans="1:76" s="315" customFormat="1" ht="54">
      <c r="A384" s="1722" t="s">
        <v>2166</v>
      </c>
      <c r="B384" s="1545" t="s">
        <v>2735</v>
      </c>
      <c r="C384" s="1530"/>
      <c r="D384" s="1542"/>
      <c r="E384" s="1564"/>
      <c r="F384" s="313"/>
      <c r="G384" s="2047"/>
      <c r="H384" s="1823"/>
      <c r="I384" s="1859"/>
      <c r="J384" s="1543"/>
    </row>
    <row r="385" spans="1:12" s="315" customFormat="1">
      <c r="A385" s="75" t="s">
        <v>2174</v>
      </c>
      <c r="B385" s="1546" t="s">
        <v>1641</v>
      </c>
      <c r="C385" s="1530" t="s">
        <v>21</v>
      </c>
      <c r="D385" s="1542">
        <v>566.65</v>
      </c>
      <c r="E385" s="1564">
        <v>13187.5</v>
      </c>
      <c r="F385" s="313"/>
      <c r="G385" s="2047">
        <f t="shared" si="16"/>
        <v>7472696.875</v>
      </c>
      <c r="H385" s="1823"/>
      <c r="I385" s="1859"/>
      <c r="J385" s="1543"/>
      <c r="L385" s="1652"/>
    </row>
    <row r="386" spans="1:12">
      <c r="A386" s="75" t="s">
        <v>2180</v>
      </c>
      <c r="B386" s="1546" t="s">
        <v>2620</v>
      </c>
      <c r="C386" s="1530" t="s">
        <v>21</v>
      </c>
      <c r="D386" s="1542">
        <v>1384.6369999999999</v>
      </c>
      <c r="E386" s="1564">
        <v>18375.5</v>
      </c>
      <c r="F386" s="1613"/>
      <c r="G386" s="2047">
        <f t="shared" si="16"/>
        <v>25443397.193499997</v>
      </c>
      <c r="H386" s="1823"/>
      <c r="I386" s="1859"/>
      <c r="J386" s="1543"/>
      <c r="L386" s="1653"/>
    </row>
    <row r="387" spans="1:12">
      <c r="A387" s="1815" t="s">
        <v>2167</v>
      </c>
      <c r="B387" s="313" t="s">
        <v>1706</v>
      </c>
      <c r="C387" s="1530"/>
      <c r="D387" s="1542"/>
      <c r="E387" s="1564"/>
      <c r="F387" s="1613"/>
      <c r="G387" s="2047"/>
      <c r="H387" s="1823"/>
      <c r="I387" s="1859"/>
      <c r="J387" s="1543"/>
      <c r="L387" s="1653"/>
    </row>
    <row r="388" spans="1:12" ht="36">
      <c r="A388" s="75" t="s">
        <v>2175</v>
      </c>
      <c r="B388" s="1529" t="s">
        <v>1710</v>
      </c>
      <c r="C388" s="1530" t="s">
        <v>21</v>
      </c>
      <c r="D388" s="1542">
        <v>149.71699999999998</v>
      </c>
      <c r="E388" s="1564">
        <v>9852.5</v>
      </c>
      <c r="F388" s="1613"/>
      <c r="G388" s="2047">
        <f t="shared" si="16"/>
        <v>1475086.7424999999</v>
      </c>
      <c r="H388" s="1823"/>
      <c r="I388" s="1859"/>
      <c r="J388" s="1543"/>
      <c r="L388" s="1653"/>
    </row>
    <row r="389" spans="1:12">
      <c r="A389" s="1815" t="s">
        <v>2168</v>
      </c>
      <c r="B389" s="1548" t="s">
        <v>309</v>
      </c>
      <c r="C389" s="1530"/>
      <c r="D389" s="1542"/>
      <c r="E389" s="1564"/>
      <c r="F389" s="1613"/>
      <c r="G389" s="2047"/>
      <c r="H389" s="1823"/>
      <c r="I389" s="1859"/>
      <c r="J389" s="1543"/>
      <c r="L389" s="1653"/>
    </row>
    <row r="390" spans="1:12" ht="57.75" customHeight="1">
      <c r="A390" s="75" t="s">
        <v>2176</v>
      </c>
      <c r="B390" s="1549" t="s">
        <v>1637</v>
      </c>
      <c r="C390" s="1576" t="s">
        <v>19</v>
      </c>
      <c r="D390" s="1542">
        <v>770.85</v>
      </c>
      <c r="E390" s="1564">
        <v>1228.5614285714287</v>
      </c>
      <c r="F390" s="1613"/>
      <c r="G390" s="2047">
        <f t="shared" si="16"/>
        <v>947036.57721428585</v>
      </c>
      <c r="H390" s="1823"/>
      <c r="I390" s="1859"/>
      <c r="J390" s="1543"/>
      <c r="L390" s="1653"/>
    </row>
    <row r="391" spans="1:12">
      <c r="A391" s="1815" t="s">
        <v>2169</v>
      </c>
      <c r="B391" s="313" t="s">
        <v>1649</v>
      </c>
      <c r="C391" s="1576"/>
      <c r="D391" s="1542"/>
      <c r="E391" s="1564"/>
      <c r="F391" s="1613"/>
      <c r="G391" s="2047"/>
      <c r="H391" s="1823"/>
      <c r="I391" s="1859"/>
      <c r="J391" s="1543"/>
      <c r="L391" s="1653"/>
    </row>
    <row r="392" spans="1:12" ht="54">
      <c r="A392" s="75" t="s">
        <v>2177</v>
      </c>
      <c r="B392" s="1550" t="s">
        <v>1248</v>
      </c>
      <c r="C392" s="1530" t="s">
        <v>25</v>
      </c>
      <c r="D392" s="1542">
        <v>101.62900449999999</v>
      </c>
      <c r="E392" s="1564">
        <v>164277.67441860467</v>
      </c>
      <c r="F392" s="1613"/>
      <c r="G392" s="2047">
        <f t="shared" si="16"/>
        <v>16695376.512737907</v>
      </c>
      <c r="H392" s="1823"/>
      <c r="I392" s="1859"/>
      <c r="J392" s="1543"/>
      <c r="L392" s="1653"/>
    </row>
    <row r="393" spans="1:12">
      <c r="A393" s="1815" t="s">
        <v>2170</v>
      </c>
      <c r="B393" s="313" t="s">
        <v>1702</v>
      </c>
      <c r="C393" s="1530"/>
      <c r="D393" s="1542"/>
      <c r="E393" s="1564"/>
      <c r="F393" s="1613"/>
      <c r="G393" s="2047"/>
      <c r="H393" s="1823"/>
      <c r="I393" s="1859"/>
      <c r="J393" s="1543"/>
      <c r="L393" s="1653"/>
    </row>
    <row r="394" spans="1:12" ht="36">
      <c r="A394" s="75" t="s">
        <v>2178</v>
      </c>
      <c r="B394" s="1529" t="s">
        <v>1704</v>
      </c>
      <c r="C394" s="1530" t="s">
        <v>21</v>
      </c>
      <c r="D394" s="1542">
        <v>280</v>
      </c>
      <c r="E394" s="1564">
        <v>5206</v>
      </c>
      <c r="F394" s="1613"/>
      <c r="G394" s="2047">
        <f t="shared" si="16"/>
        <v>1457680</v>
      </c>
      <c r="H394" s="1823"/>
      <c r="I394" s="1859"/>
      <c r="J394" s="1543"/>
      <c r="L394" s="1653"/>
    </row>
    <row r="395" spans="1:12" s="2137" customFormat="1">
      <c r="A395" s="2141" t="s">
        <v>3349</v>
      </c>
      <c r="B395" s="2162" t="s">
        <v>3350</v>
      </c>
      <c r="C395" s="2120" t="s">
        <v>21</v>
      </c>
      <c r="D395" s="2126">
        <v>141.80000000000001</v>
      </c>
      <c r="E395" s="2127">
        <v>4550</v>
      </c>
      <c r="F395" s="2123"/>
      <c r="G395" s="2139">
        <f t="shared" si="16"/>
        <v>645190</v>
      </c>
      <c r="H395" s="2158"/>
      <c r="I395" s="2140"/>
      <c r="J395" s="2159"/>
      <c r="L395" s="2160"/>
    </row>
    <row r="396" spans="1:12" ht="17.25" customHeight="1">
      <c r="A396" s="1722"/>
      <c r="B396" s="1557"/>
      <c r="C396" s="1563"/>
      <c r="D396" s="1688"/>
      <c r="E396" s="1564"/>
      <c r="F396" s="1666" t="s">
        <v>1483</v>
      </c>
      <c r="G396" s="2036">
        <f>SUM(G377:G395)</f>
        <v>82374859.31982322</v>
      </c>
      <c r="H396" s="1824"/>
      <c r="I396" s="1850"/>
      <c r="J396" s="1542"/>
      <c r="L396" s="1653"/>
    </row>
    <row r="397" spans="1:12">
      <c r="A397" s="1814" t="s">
        <v>2181</v>
      </c>
      <c r="B397" s="1533" t="s">
        <v>795</v>
      </c>
      <c r="C397" s="1534"/>
      <c r="D397" s="1736"/>
      <c r="E397" s="2000"/>
      <c r="F397" s="1536"/>
      <c r="G397" s="1682"/>
      <c r="H397" s="1534"/>
      <c r="I397" s="1850"/>
      <c r="J397" s="220"/>
      <c r="L397" s="1653"/>
    </row>
    <row r="398" spans="1:12">
      <c r="A398" s="2141" t="s">
        <v>2182</v>
      </c>
      <c r="B398" s="2147" t="s">
        <v>18</v>
      </c>
      <c r="C398" s="2131"/>
      <c r="D398" s="2148"/>
      <c r="E398" s="2127"/>
      <c r="F398" s="2149"/>
      <c r="G398" s="2150"/>
      <c r="H398" s="2151"/>
      <c r="I398" s="1857"/>
      <c r="J398" s="220"/>
      <c r="L398" s="1653"/>
    </row>
    <row r="399" spans="1:12" ht="72">
      <c r="A399" s="2129" t="s">
        <v>2183</v>
      </c>
      <c r="B399" s="2152" t="s">
        <v>2847</v>
      </c>
      <c r="C399" s="2131" t="s">
        <v>19</v>
      </c>
      <c r="D399" s="2132">
        <v>1000</v>
      </c>
      <c r="E399" s="2127">
        <v>40.5</v>
      </c>
      <c r="F399" s="2133"/>
      <c r="G399" s="2139">
        <f>D399*E399</f>
        <v>40500</v>
      </c>
      <c r="H399" s="2145"/>
      <c r="I399" s="1860"/>
      <c r="J399" s="1543"/>
    </row>
    <row r="400" spans="1:12" ht="72">
      <c r="A400" s="2141" t="s">
        <v>2184</v>
      </c>
      <c r="B400" s="2153" t="s">
        <v>2849</v>
      </c>
      <c r="C400" s="2131"/>
      <c r="D400" s="2132"/>
      <c r="E400" s="2127"/>
      <c r="F400" s="2133"/>
      <c r="G400" s="2139"/>
      <c r="H400" s="2145"/>
      <c r="I400" s="1860"/>
      <c r="J400" s="1543"/>
    </row>
    <row r="401" spans="1:10">
      <c r="A401" s="2129" t="s">
        <v>2187</v>
      </c>
      <c r="B401" s="2133" t="s">
        <v>1851</v>
      </c>
      <c r="C401" s="2131" t="s">
        <v>21</v>
      </c>
      <c r="D401" s="2132">
        <v>5096</v>
      </c>
      <c r="E401" s="2127">
        <v>358.66</v>
      </c>
      <c r="F401" s="2133"/>
      <c r="G401" s="2139">
        <f t="shared" ref="G401:G411" si="17">D401*E401</f>
        <v>1827731.36</v>
      </c>
      <c r="H401" s="2145"/>
      <c r="I401" s="1860"/>
      <c r="J401" s="1543"/>
    </row>
    <row r="402" spans="1:10">
      <c r="A402" s="2129" t="s">
        <v>2188</v>
      </c>
      <c r="B402" s="2133" t="s">
        <v>63</v>
      </c>
      <c r="C402" s="2131" t="s">
        <v>21</v>
      </c>
      <c r="D402" s="2132">
        <v>2184</v>
      </c>
      <c r="E402" s="2127">
        <v>1385.23</v>
      </c>
      <c r="F402" s="2133"/>
      <c r="G402" s="2139">
        <f t="shared" si="17"/>
        <v>3025342.32</v>
      </c>
      <c r="H402" s="2145"/>
      <c r="I402" s="1860"/>
      <c r="J402" s="1543"/>
    </row>
    <row r="403" spans="1:10">
      <c r="A403" s="2141" t="s">
        <v>2185</v>
      </c>
      <c r="B403" s="2154" t="s">
        <v>1929</v>
      </c>
      <c r="C403" s="2131"/>
      <c r="D403" s="2132"/>
      <c r="E403" s="2127"/>
      <c r="F403" s="2133"/>
      <c r="G403" s="2139"/>
      <c r="H403" s="2145"/>
      <c r="I403" s="1860"/>
      <c r="J403" s="1543"/>
    </row>
    <row r="404" spans="1:10" ht="54">
      <c r="A404" s="2129" t="s">
        <v>2189</v>
      </c>
      <c r="B404" s="2130" t="s">
        <v>2865</v>
      </c>
      <c r="C404" s="2131" t="s">
        <v>307</v>
      </c>
      <c r="D404" s="2132">
        <v>400</v>
      </c>
      <c r="E404" s="2127">
        <v>5512.75</v>
      </c>
      <c r="F404" s="2133"/>
      <c r="G404" s="2139">
        <f t="shared" si="17"/>
        <v>2205100</v>
      </c>
      <c r="H404" s="2145"/>
      <c r="I404" s="1860"/>
      <c r="J404" s="1543"/>
    </row>
    <row r="405" spans="1:10">
      <c r="A405" s="2141" t="s">
        <v>2186</v>
      </c>
      <c r="B405" s="2154" t="s">
        <v>1872</v>
      </c>
      <c r="C405" s="2155"/>
      <c r="D405" s="2156"/>
      <c r="E405" s="2127"/>
      <c r="F405" s="2133"/>
      <c r="G405" s="2139"/>
      <c r="H405" s="2145"/>
      <c r="I405" s="1850"/>
      <c r="J405" s="220"/>
    </row>
    <row r="406" spans="1:10" ht="54">
      <c r="A406" s="2129" t="s">
        <v>2190</v>
      </c>
      <c r="B406" s="2130" t="s">
        <v>2750</v>
      </c>
      <c r="C406" s="2155" t="s">
        <v>19</v>
      </c>
      <c r="D406" s="2156">
        <v>50</v>
      </c>
      <c r="E406" s="2127">
        <v>4184.2125000000005</v>
      </c>
      <c r="F406" s="2133"/>
      <c r="G406" s="2139">
        <f t="shared" si="17"/>
        <v>209210.62500000003</v>
      </c>
      <c r="H406" s="2145"/>
      <c r="I406" s="1853"/>
      <c r="J406" s="1593"/>
    </row>
    <row r="407" spans="1:10" ht="54">
      <c r="A407" s="2129" t="s">
        <v>2759</v>
      </c>
      <c r="B407" s="2130" t="s">
        <v>1807</v>
      </c>
      <c r="C407" s="2131" t="s">
        <v>19</v>
      </c>
      <c r="D407" s="2132">
        <v>90</v>
      </c>
      <c r="E407" s="2127">
        <v>5578.9500000000007</v>
      </c>
      <c r="F407" s="2133"/>
      <c r="G407" s="2139">
        <f t="shared" si="17"/>
        <v>502105.50000000006</v>
      </c>
      <c r="H407" s="2145"/>
      <c r="I407" s="1860"/>
      <c r="J407" s="1543"/>
    </row>
    <row r="408" spans="1:10">
      <c r="A408" s="2141" t="s">
        <v>2191</v>
      </c>
      <c r="B408" s="2142" t="s">
        <v>1486</v>
      </c>
      <c r="C408" s="2131"/>
      <c r="D408" s="2132"/>
      <c r="E408" s="2127"/>
      <c r="F408" s="2133"/>
      <c r="G408" s="2139"/>
      <c r="H408" s="2145"/>
      <c r="I408" s="1860"/>
      <c r="J408" s="1543"/>
    </row>
    <row r="409" spans="1:10" ht="36">
      <c r="A409" s="2129" t="s">
        <v>2193</v>
      </c>
      <c r="B409" s="2138" t="s">
        <v>2877</v>
      </c>
      <c r="C409" s="2131" t="s">
        <v>19</v>
      </c>
      <c r="D409" s="2132">
        <v>300</v>
      </c>
      <c r="E409" s="2127">
        <v>534.79999999999995</v>
      </c>
      <c r="F409" s="2133"/>
      <c r="G409" s="2139">
        <f t="shared" si="17"/>
        <v>160440</v>
      </c>
      <c r="H409" s="2145"/>
      <c r="I409" s="1860"/>
      <c r="J409" s="1543"/>
    </row>
    <row r="410" spans="1:10" ht="36">
      <c r="A410" s="2129" t="s">
        <v>2760</v>
      </c>
      <c r="B410" s="2138" t="s">
        <v>2878</v>
      </c>
      <c r="C410" s="2131" t="s">
        <v>19</v>
      </c>
      <c r="D410" s="2132">
        <v>900</v>
      </c>
      <c r="E410" s="2127">
        <v>668.5</v>
      </c>
      <c r="F410" s="2133"/>
      <c r="G410" s="2139">
        <f t="shared" si="17"/>
        <v>601650</v>
      </c>
      <c r="H410" s="2145"/>
      <c r="I410" s="1860"/>
      <c r="J410" s="1543"/>
    </row>
    <row r="411" spans="1:10">
      <c r="A411" s="2141" t="s">
        <v>2192</v>
      </c>
      <c r="B411" s="2142" t="s">
        <v>1484</v>
      </c>
      <c r="C411" s="2131" t="s">
        <v>311</v>
      </c>
      <c r="D411" s="2132">
        <v>300</v>
      </c>
      <c r="E411" s="2127">
        <v>618</v>
      </c>
      <c r="F411" s="2133"/>
      <c r="G411" s="2139">
        <f t="shared" si="17"/>
        <v>185400</v>
      </c>
      <c r="H411" s="2145"/>
      <c r="I411" s="1860"/>
      <c r="J411" s="1543"/>
    </row>
    <row r="412" spans="1:10" ht="17.25" customHeight="1">
      <c r="A412" s="1722"/>
      <c r="B412" s="1557"/>
      <c r="C412" s="1563"/>
      <c r="D412" s="1688"/>
      <c r="E412" s="1564"/>
      <c r="F412" s="1666" t="s">
        <v>1483</v>
      </c>
      <c r="G412" s="2036">
        <f>SUM(G399:G411)</f>
        <v>8757479.8049999997</v>
      </c>
      <c r="H412" s="1822"/>
      <c r="I412" s="1850"/>
      <c r="J412" s="1717"/>
    </row>
    <row r="413" spans="1:10" s="315" customFormat="1">
      <c r="A413" s="1814" t="s">
        <v>2194</v>
      </c>
      <c r="B413" s="1533" t="s">
        <v>1485</v>
      </c>
      <c r="C413" s="1534"/>
      <c r="D413" s="1736"/>
      <c r="E413" s="2000"/>
      <c r="F413" s="1536"/>
      <c r="G413" s="2037"/>
      <c r="H413" s="1534"/>
      <c r="I413" s="1857"/>
      <c r="J413" s="1543"/>
    </row>
    <row r="414" spans="1:10" ht="108">
      <c r="A414" s="1815" t="s">
        <v>2195</v>
      </c>
      <c r="B414" s="1556" t="s">
        <v>3116</v>
      </c>
      <c r="C414" s="1530"/>
      <c r="D414" s="1686"/>
      <c r="E414" s="1564"/>
      <c r="F414" s="1577"/>
      <c r="G414" s="2034"/>
      <c r="H414" s="1608"/>
      <c r="I414" s="1857"/>
      <c r="J414" s="1543"/>
    </row>
    <row r="415" spans="1:10">
      <c r="A415" s="75" t="s">
        <v>2200</v>
      </c>
      <c r="B415" s="1545" t="s">
        <v>2903</v>
      </c>
      <c r="C415" s="1530" t="s">
        <v>21</v>
      </c>
      <c r="D415" s="1542">
        <v>62454.53366378331</v>
      </c>
      <c r="E415" s="1564">
        <v>6784.25</v>
      </c>
      <c r="F415" s="220"/>
      <c r="G415" s="2034">
        <f>D415*E415</f>
        <v>423707170.00852191</v>
      </c>
      <c r="H415" s="1608"/>
      <c r="I415" s="1860"/>
      <c r="J415" s="1543" t="s">
        <v>3265</v>
      </c>
    </row>
    <row r="416" spans="1:10">
      <c r="A416" s="75" t="s">
        <v>2687</v>
      </c>
      <c r="B416" s="1545" t="s">
        <v>2904</v>
      </c>
      <c r="C416" s="1530" t="s">
        <v>21</v>
      </c>
      <c r="D416" s="1542">
        <v>22407.653292109317</v>
      </c>
      <c r="E416" s="1564">
        <v>7462.6750000000002</v>
      </c>
      <c r="F416" s="220"/>
      <c r="G416" s="2034">
        <f t="shared" ref="G416:G460" si="18">D416*E416</f>
        <v>167221034.03169191</v>
      </c>
      <c r="H416" s="1608"/>
      <c r="I416" s="1860"/>
      <c r="J416" s="1543" t="s">
        <v>84</v>
      </c>
    </row>
    <row r="417" spans="1:10">
      <c r="A417" s="1815" t="s">
        <v>2196</v>
      </c>
      <c r="B417" s="313" t="s">
        <v>1872</v>
      </c>
      <c r="C417" s="1530"/>
      <c r="D417" s="1542"/>
      <c r="E417" s="1564"/>
      <c r="F417" s="220"/>
      <c r="G417" s="2034"/>
      <c r="H417" s="1608"/>
      <c r="I417" s="1850"/>
      <c r="J417" s="1543"/>
    </row>
    <row r="418" spans="1:10" ht="54">
      <c r="A418" s="75" t="s">
        <v>2201</v>
      </c>
      <c r="B418" s="669" t="s">
        <v>2606</v>
      </c>
      <c r="C418" s="1530" t="s">
        <v>19</v>
      </c>
      <c r="D418" s="1542">
        <v>50</v>
      </c>
      <c r="E418" s="1564">
        <v>2789.4750000000004</v>
      </c>
      <c r="F418" s="220"/>
      <c r="G418" s="2034">
        <f t="shared" si="18"/>
        <v>139473.75000000003</v>
      </c>
      <c r="H418" s="1608"/>
      <c r="I418" s="1860"/>
      <c r="J418" s="1543"/>
    </row>
    <row r="419" spans="1:10" ht="54">
      <c r="A419" s="75" t="s">
        <v>2202</v>
      </c>
      <c r="B419" s="669" t="s">
        <v>2607</v>
      </c>
      <c r="C419" s="1530" t="s">
        <v>19</v>
      </c>
      <c r="D419" s="1542">
        <v>50</v>
      </c>
      <c r="E419" s="1564">
        <v>4184.2125000000005</v>
      </c>
      <c r="F419" s="220"/>
      <c r="G419" s="2034">
        <f t="shared" si="18"/>
        <v>209210.62500000003</v>
      </c>
      <c r="H419" s="1608"/>
      <c r="I419" s="1860"/>
      <c r="J419" s="1543"/>
    </row>
    <row r="420" spans="1:10" ht="54">
      <c r="A420" s="75" t="s">
        <v>2688</v>
      </c>
      <c r="B420" s="669" t="s">
        <v>2412</v>
      </c>
      <c r="C420" s="1530" t="s">
        <v>19</v>
      </c>
      <c r="D420" s="1542">
        <v>50</v>
      </c>
      <c r="E420" s="1564">
        <v>5578.9500000000007</v>
      </c>
      <c r="F420" s="220"/>
      <c r="G420" s="2034">
        <f t="shared" si="18"/>
        <v>278947.50000000006</v>
      </c>
      <c r="H420" s="1608"/>
      <c r="I420" s="1860"/>
      <c r="J420" s="1543"/>
    </row>
    <row r="421" spans="1:10" ht="54">
      <c r="A421" s="75" t="s">
        <v>2689</v>
      </c>
      <c r="B421" s="669" t="s">
        <v>1862</v>
      </c>
      <c r="C421" s="1530" t="s">
        <v>19</v>
      </c>
      <c r="D421" s="1542">
        <v>24661.688826399928</v>
      </c>
      <c r="E421" s="1564">
        <v>5831.9000000000005</v>
      </c>
      <c r="F421" s="220"/>
      <c r="G421" s="2034">
        <f t="shared" si="18"/>
        <v>143824503.06668174</v>
      </c>
      <c r="H421" s="1608"/>
      <c r="I421" s="1860"/>
      <c r="J421" s="1543" t="s">
        <v>84</v>
      </c>
    </row>
    <row r="422" spans="1:10" ht="54">
      <c r="A422" s="75" t="s">
        <v>2690</v>
      </c>
      <c r="B422" s="669" t="s">
        <v>1881</v>
      </c>
      <c r="C422" s="1530" t="s">
        <v>19</v>
      </c>
      <c r="D422" s="1542">
        <v>21693.522236018885</v>
      </c>
      <c r="E422" s="1564">
        <v>7289.875</v>
      </c>
      <c r="F422" s="220"/>
      <c r="G422" s="2034">
        <f t="shared" si="18"/>
        <v>158143065.41029817</v>
      </c>
      <c r="H422" s="1608"/>
      <c r="I422" s="1860"/>
      <c r="J422" s="1543" t="s">
        <v>84</v>
      </c>
    </row>
    <row r="423" spans="1:10" ht="54">
      <c r="A423" s="75" t="s">
        <v>2783</v>
      </c>
      <c r="B423" s="669" t="s">
        <v>1883</v>
      </c>
      <c r="C423" s="1530" t="s">
        <v>19</v>
      </c>
      <c r="D423" s="1542">
        <v>11035.868577846293</v>
      </c>
      <c r="E423" s="1564">
        <v>8747.85</v>
      </c>
      <c r="F423" s="220"/>
      <c r="G423" s="2034">
        <f t="shared" si="18"/>
        <v>96540122.938712701</v>
      </c>
      <c r="H423" s="1608"/>
      <c r="I423" s="1860"/>
      <c r="J423" s="1543" t="s">
        <v>84</v>
      </c>
    </row>
    <row r="424" spans="1:10" ht="54">
      <c r="A424" s="2068" t="s">
        <v>3217</v>
      </c>
      <c r="B424" s="2074" t="s">
        <v>1878</v>
      </c>
      <c r="C424" s="2070" t="s">
        <v>19</v>
      </c>
      <c r="D424" s="2071">
        <v>150</v>
      </c>
      <c r="E424" s="2013">
        <v>4811.317500000001</v>
      </c>
      <c r="F424" s="2072"/>
      <c r="G424" s="2075">
        <f t="shared" si="18"/>
        <v>721697.62500000012</v>
      </c>
      <c r="H424" s="1608"/>
      <c r="I424" s="1860"/>
      <c r="J424" s="1543"/>
    </row>
    <row r="425" spans="1:10">
      <c r="A425" s="1815" t="s">
        <v>2882</v>
      </c>
      <c r="B425" s="1557" t="s">
        <v>1486</v>
      </c>
      <c r="C425" s="1530"/>
      <c r="D425" s="1542"/>
      <c r="E425" s="1565"/>
      <c r="F425" s="220"/>
      <c r="G425" s="2034"/>
      <c r="H425" s="1608"/>
      <c r="I425" s="1860"/>
      <c r="J425" s="1543"/>
    </row>
    <row r="426" spans="1:10" ht="36">
      <c r="A426" s="75" t="s">
        <v>2883</v>
      </c>
      <c r="B426" s="669" t="s">
        <v>2879</v>
      </c>
      <c r="C426" s="1530" t="s">
        <v>19</v>
      </c>
      <c r="D426" s="1542">
        <v>31883.427481891256</v>
      </c>
      <c r="E426" s="1627">
        <v>668.5</v>
      </c>
      <c r="F426" s="220"/>
      <c r="G426" s="2034">
        <f t="shared" si="18"/>
        <v>21314071.271644305</v>
      </c>
      <c r="H426" s="1608"/>
      <c r="I426" s="1860"/>
      <c r="J426" s="1543"/>
    </row>
    <row r="427" spans="1:10" ht="36">
      <c r="A427" s="75" t="s">
        <v>2884</v>
      </c>
      <c r="B427" s="669" t="s">
        <v>2877</v>
      </c>
      <c r="C427" s="1530" t="s">
        <v>19</v>
      </c>
      <c r="D427" s="1542">
        <v>100</v>
      </c>
      <c r="E427" s="1627">
        <v>534.79999999999995</v>
      </c>
      <c r="F427" s="220"/>
      <c r="G427" s="2034">
        <f t="shared" si="18"/>
        <v>53479.999999999993</v>
      </c>
      <c r="H427" s="1608"/>
      <c r="I427" s="1860"/>
      <c r="J427" s="1543"/>
    </row>
    <row r="428" spans="1:10">
      <c r="A428" s="1815" t="s">
        <v>2197</v>
      </c>
      <c r="B428" s="313" t="s">
        <v>1929</v>
      </c>
      <c r="C428" s="1530"/>
      <c r="D428" s="1542"/>
      <c r="E428" s="1627"/>
      <c r="F428" s="220"/>
      <c r="G428" s="2034"/>
      <c r="H428" s="1608"/>
      <c r="I428" s="1860"/>
      <c r="J428" s="1543"/>
    </row>
    <row r="429" spans="1:10" ht="54">
      <c r="A429" s="75" t="s">
        <v>2203</v>
      </c>
      <c r="B429" s="1570" t="s">
        <v>3220</v>
      </c>
      <c r="C429" s="1530" t="s">
        <v>311</v>
      </c>
      <c r="D429" s="1542">
        <v>11194</v>
      </c>
      <c r="E429" s="1627">
        <v>4209.7000000000007</v>
      </c>
      <c r="F429" s="220"/>
      <c r="G429" s="2034">
        <f t="shared" si="18"/>
        <v>47123381.800000004</v>
      </c>
      <c r="H429" s="1608"/>
      <c r="I429" s="1860"/>
      <c r="J429" s="1543" t="s">
        <v>3265</v>
      </c>
    </row>
    <row r="430" spans="1:10" ht="54">
      <c r="A430" s="75" t="s">
        <v>2691</v>
      </c>
      <c r="B430" s="1570" t="s">
        <v>3221</v>
      </c>
      <c r="C430" s="1530" t="s">
        <v>311</v>
      </c>
      <c r="D430" s="1542">
        <v>15046</v>
      </c>
      <c r="E430" s="1627">
        <v>4795.1750000000002</v>
      </c>
      <c r="F430" s="220"/>
      <c r="G430" s="2034">
        <f t="shared" si="18"/>
        <v>72148203.049999997</v>
      </c>
      <c r="H430" s="1608"/>
      <c r="I430" s="1860"/>
      <c r="J430" s="1543" t="s">
        <v>3266</v>
      </c>
    </row>
    <row r="431" spans="1:10" ht="76.8">
      <c r="A431" s="2068" t="s">
        <v>3218</v>
      </c>
      <c r="B431" s="2069" t="s">
        <v>3222</v>
      </c>
      <c r="C431" s="2070" t="s">
        <v>311</v>
      </c>
      <c r="D431" s="2071">
        <v>55</v>
      </c>
      <c r="E431" s="2013">
        <v>4630.670000000001</v>
      </c>
      <c r="F431" s="2072"/>
      <c r="G431" s="2073">
        <f t="shared" si="18"/>
        <v>254686.85000000006</v>
      </c>
      <c r="H431" s="1608"/>
      <c r="I431" s="1860"/>
      <c r="J431" s="1543"/>
    </row>
    <row r="432" spans="1:10" ht="76.8">
      <c r="A432" s="2068" t="s">
        <v>3219</v>
      </c>
      <c r="B432" s="2069" t="s">
        <v>3223</v>
      </c>
      <c r="C432" s="2070" t="s">
        <v>311</v>
      </c>
      <c r="D432" s="2071">
        <v>35</v>
      </c>
      <c r="E432" s="2013">
        <v>5274.692500000001</v>
      </c>
      <c r="F432" s="2072"/>
      <c r="G432" s="2073">
        <f t="shared" si="18"/>
        <v>184614.23750000005</v>
      </c>
      <c r="H432" s="1608"/>
      <c r="I432" s="1860"/>
      <c r="J432" s="1543"/>
    </row>
    <row r="433" spans="1:78">
      <c r="A433" s="75"/>
      <c r="B433" s="1570"/>
      <c r="C433" s="1530"/>
      <c r="D433" s="1542"/>
      <c r="E433" s="1565"/>
      <c r="F433" s="220"/>
      <c r="G433" s="2034"/>
      <c r="H433" s="1608"/>
      <c r="I433" s="1860"/>
      <c r="J433" s="1543"/>
    </row>
    <row r="434" spans="1:78">
      <c r="A434" s="1815" t="s">
        <v>2198</v>
      </c>
      <c r="B434" s="313" t="s">
        <v>2784</v>
      </c>
      <c r="C434" s="1530"/>
      <c r="D434" s="1542"/>
      <c r="E434" s="1565"/>
      <c r="F434" s="220"/>
      <c r="G434" s="2034"/>
      <c r="H434" s="1608"/>
      <c r="I434" s="1860"/>
      <c r="J434" s="1543"/>
    </row>
    <row r="435" spans="1:78" ht="54">
      <c r="A435" s="75" t="s">
        <v>2204</v>
      </c>
      <c r="B435" s="669" t="s">
        <v>2881</v>
      </c>
      <c r="C435" s="1530" t="s">
        <v>311</v>
      </c>
      <c r="D435" s="1542">
        <v>1427</v>
      </c>
      <c r="E435" s="2109">
        <v>12161.6</v>
      </c>
      <c r="F435" s="220"/>
      <c r="G435" s="2034">
        <f t="shared" si="18"/>
        <v>17354603.199999999</v>
      </c>
      <c r="H435" s="1608"/>
      <c r="I435" s="1860"/>
      <c r="J435" s="1543"/>
    </row>
    <row r="436" spans="1:78" ht="54">
      <c r="A436" s="1815" t="s">
        <v>2199</v>
      </c>
      <c r="B436" s="1578" t="s">
        <v>2742</v>
      </c>
      <c r="C436" s="1530"/>
      <c r="D436" s="1542"/>
      <c r="E436" s="1565"/>
      <c r="F436" s="220"/>
      <c r="G436" s="2034"/>
      <c r="H436" s="1608"/>
      <c r="I436" s="1860"/>
      <c r="J436" s="1543"/>
    </row>
    <row r="437" spans="1:78">
      <c r="A437" s="75" t="s">
        <v>2885</v>
      </c>
      <c r="B437" s="1429" t="s">
        <v>2397</v>
      </c>
      <c r="C437" s="1530" t="s">
        <v>322</v>
      </c>
      <c r="D437" s="1542">
        <v>500</v>
      </c>
      <c r="E437" s="1564">
        <v>56500</v>
      </c>
      <c r="F437" s="220"/>
      <c r="G437" s="2034">
        <f t="shared" si="18"/>
        <v>28250000</v>
      </c>
      <c r="H437" s="1608"/>
      <c r="I437" s="1860"/>
      <c r="J437" s="1577"/>
    </row>
    <row r="438" spans="1:78">
      <c r="A438" s="75" t="s">
        <v>2886</v>
      </c>
      <c r="B438" s="1429" t="s">
        <v>2398</v>
      </c>
      <c r="C438" s="1530" t="s">
        <v>322</v>
      </c>
      <c r="D438" s="1542">
        <v>45</v>
      </c>
      <c r="E438" s="1564">
        <v>56500</v>
      </c>
      <c r="F438" s="220"/>
      <c r="G438" s="2034">
        <f t="shared" si="18"/>
        <v>2542500</v>
      </c>
      <c r="H438" s="1608"/>
      <c r="I438" s="1860"/>
      <c r="J438" s="1577"/>
    </row>
    <row r="439" spans="1:78">
      <c r="A439" s="75" t="s">
        <v>2887</v>
      </c>
      <c r="B439" s="1429" t="s">
        <v>2399</v>
      </c>
      <c r="C439" s="66" t="s">
        <v>47</v>
      </c>
      <c r="D439" s="1742">
        <v>50</v>
      </c>
      <c r="E439" s="1564">
        <v>282.5</v>
      </c>
      <c r="F439" s="220"/>
      <c r="G439" s="2034">
        <f t="shared" si="18"/>
        <v>14125</v>
      </c>
      <c r="H439" s="1608"/>
      <c r="I439" s="1860"/>
      <c r="J439" s="1577"/>
    </row>
    <row r="440" spans="1:78">
      <c r="A440" s="75" t="s">
        <v>2888</v>
      </c>
      <c r="B440" s="1586" t="s">
        <v>1902</v>
      </c>
      <c r="C440" s="1530" t="s">
        <v>27</v>
      </c>
      <c r="D440" s="1542">
        <v>7476.18</v>
      </c>
      <c r="E440" s="1564">
        <v>11600.82</v>
      </c>
      <c r="F440" s="220"/>
      <c r="G440" s="2034">
        <f t="shared" si="18"/>
        <v>86729818.467600003</v>
      </c>
      <c r="H440" s="1608"/>
      <c r="I440" s="1860"/>
      <c r="J440" s="1577"/>
    </row>
    <row r="441" spans="1:78" s="1996" customFormat="1">
      <c r="A441" s="2102" t="s">
        <v>3330</v>
      </c>
      <c r="B441" s="2103" t="s">
        <v>3331</v>
      </c>
      <c r="C441" s="1976" t="s">
        <v>47</v>
      </c>
      <c r="D441" s="1924">
        <v>50</v>
      </c>
      <c r="E441" s="2007">
        <v>1200</v>
      </c>
      <c r="F441" s="1925"/>
      <c r="G441" s="2100">
        <f t="shared" si="18"/>
        <v>60000</v>
      </c>
      <c r="H441" s="1905"/>
      <c r="I441" s="1860"/>
      <c r="J441" s="1906"/>
      <c r="K441" s="217"/>
      <c r="L441" s="217"/>
      <c r="M441" s="217"/>
      <c r="N441" s="217"/>
      <c r="O441" s="217"/>
      <c r="P441" s="217"/>
      <c r="Q441" s="217"/>
      <c r="R441" s="217"/>
      <c r="S441" s="217"/>
      <c r="T441" s="217"/>
      <c r="U441" s="217"/>
      <c r="V441" s="217"/>
      <c r="W441" s="217"/>
      <c r="X441" s="217"/>
      <c r="Y441" s="217"/>
      <c r="Z441" s="217"/>
      <c r="AA441" s="217"/>
      <c r="AB441" s="217"/>
      <c r="AC441" s="217"/>
      <c r="AD441" s="217"/>
      <c r="AE441" s="217"/>
      <c r="AF441" s="217"/>
      <c r="AG441" s="217"/>
      <c r="AH441" s="217"/>
      <c r="AI441" s="217"/>
      <c r="AJ441" s="217"/>
      <c r="AK441" s="217"/>
      <c r="AL441" s="217"/>
      <c r="AM441" s="217"/>
      <c r="AN441" s="217"/>
      <c r="AO441" s="217"/>
      <c r="AP441" s="217"/>
      <c r="AQ441" s="217"/>
      <c r="AR441" s="217"/>
      <c r="AS441" s="217"/>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217"/>
      <c r="BS441" s="217"/>
      <c r="BT441" s="217"/>
      <c r="BU441" s="217"/>
      <c r="BV441" s="217"/>
      <c r="BW441" s="217"/>
      <c r="BX441" s="217"/>
      <c r="BY441" s="217"/>
      <c r="BZ441" s="217"/>
    </row>
    <row r="442" spans="1:78" s="1996" customFormat="1">
      <c r="A442" s="2102" t="s">
        <v>3332</v>
      </c>
      <c r="B442" s="2103" t="s">
        <v>3333</v>
      </c>
      <c r="C442" s="1976" t="s">
        <v>47</v>
      </c>
      <c r="D442" s="1924">
        <v>100</v>
      </c>
      <c r="E442" s="2007">
        <v>1500</v>
      </c>
      <c r="F442" s="1925"/>
      <c r="G442" s="2100">
        <f t="shared" si="18"/>
        <v>150000</v>
      </c>
      <c r="H442" s="1905"/>
      <c r="I442" s="1860"/>
      <c r="J442" s="1906"/>
      <c r="K442" s="217"/>
      <c r="L442" s="217"/>
      <c r="M442" s="217"/>
      <c r="N442" s="217"/>
      <c r="O442" s="217"/>
      <c r="P442" s="217"/>
      <c r="Q442" s="217"/>
      <c r="R442" s="217"/>
      <c r="S442" s="217"/>
      <c r="T442" s="217"/>
      <c r="U442" s="217"/>
      <c r="V442" s="217"/>
      <c r="W442" s="217"/>
      <c r="X442" s="217"/>
      <c r="Y442" s="217"/>
      <c r="Z442" s="217"/>
      <c r="AA442" s="217"/>
      <c r="AB442" s="217"/>
      <c r="AC442" s="217"/>
      <c r="AD442" s="217"/>
      <c r="AE442" s="217"/>
      <c r="AF442" s="217"/>
      <c r="AG442" s="217"/>
      <c r="AH442" s="217"/>
      <c r="AI442" s="217"/>
      <c r="AJ442" s="217"/>
      <c r="AK442" s="217"/>
      <c r="AL442" s="217"/>
      <c r="AM442" s="217"/>
      <c r="AN442" s="217"/>
      <c r="AO442" s="217"/>
      <c r="AP442" s="217"/>
      <c r="AQ442" s="217"/>
      <c r="AR442" s="217"/>
      <c r="AS442" s="217"/>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217"/>
      <c r="BS442" s="217"/>
      <c r="BT442" s="217"/>
      <c r="BU442" s="217"/>
      <c r="BV442" s="217"/>
      <c r="BW442" s="217"/>
      <c r="BX442" s="217"/>
      <c r="BY442" s="217"/>
      <c r="BZ442" s="217"/>
    </row>
    <row r="443" spans="1:78" ht="54">
      <c r="A443" s="1722" t="s">
        <v>2692</v>
      </c>
      <c r="B443" s="1545" t="s">
        <v>2735</v>
      </c>
      <c r="C443" s="1530"/>
      <c r="D443" s="1542"/>
      <c r="E443" s="1565"/>
      <c r="F443" s="220"/>
      <c r="G443" s="2034"/>
      <c r="H443" s="1608"/>
      <c r="I443" s="1860"/>
      <c r="J443" s="1577"/>
    </row>
    <row r="444" spans="1:78">
      <c r="A444" s="1899" t="s">
        <v>2947</v>
      </c>
      <c r="B444" s="1878" t="s">
        <v>2214</v>
      </c>
      <c r="C444" s="1900" t="s">
        <v>21</v>
      </c>
      <c r="D444" s="1901">
        <v>3997.097874072032</v>
      </c>
      <c r="E444" s="2093">
        <v>19638</v>
      </c>
      <c r="F444" s="2094"/>
      <c r="G444" s="2098">
        <f t="shared" si="18"/>
        <v>78495008.051026568</v>
      </c>
      <c r="H444" s="1608"/>
      <c r="I444" s="1860"/>
      <c r="J444" s="1577"/>
    </row>
    <row r="445" spans="1:78">
      <c r="A445" s="1899" t="s">
        <v>2948</v>
      </c>
      <c r="B445" s="1878" t="s">
        <v>3254</v>
      </c>
      <c r="C445" s="1900" t="s">
        <v>21</v>
      </c>
      <c r="D445" s="1901">
        <v>3056.3681280000005</v>
      </c>
      <c r="E445" s="2093">
        <v>19638</v>
      </c>
      <c r="F445" s="2094"/>
      <c r="G445" s="2098">
        <f t="shared" si="18"/>
        <v>60020957.297664009</v>
      </c>
      <c r="H445" s="1608"/>
      <c r="I445" s="1860"/>
      <c r="J445" s="1577"/>
    </row>
    <row r="446" spans="1:78">
      <c r="A446" s="1722" t="s">
        <v>2693</v>
      </c>
      <c r="B446" s="313" t="s">
        <v>1649</v>
      </c>
      <c r="C446" s="1530"/>
      <c r="D446" s="1542"/>
      <c r="E446" s="1565"/>
      <c r="F446" s="220"/>
      <c r="G446" s="2034"/>
      <c r="H446" s="1608"/>
      <c r="I446" s="1860"/>
      <c r="J446" s="1577"/>
    </row>
    <row r="447" spans="1:78" ht="54">
      <c r="A447" s="1899" t="s">
        <v>2949</v>
      </c>
      <c r="B447" s="1903" t="s">
        <v>1248</v>
      </c>
      <c r="C447" s="1900" t="s">
        <v>322</v>
      </c>
      <c r="D447" s="1901">
        <v>339.60297720425814</v>
      </c>
      <c r="E447" s="2093">
        <v>174710.47619047618</v>
      </c>
      <c r="F447" s="2094"/>
      <c r="G447" s="2095">
        <f t="shared" si="18"/>
        <v>59332197.863059364</v>
      </c>
      <c r="H447" s="1608"/>
      <c r="I447" s="1860"/>
      <c r="J447" s="1577"/>
    </row>
    <row r="448" spans="1:78">
      <c r="A448" s="1815" t="s">
        <v>2943</v>
      </c>
      <c r="B448" s="1548" t="s">
        <v>309</v>
      </c>
      <c r="C448" s="1530"/>
      <c r="D448" s="1542"/>
      <c r="E448" s="2011"/>
      <c r="F448" s="1613"/>
      <c r="G448" s="2034"/>
      <c r="H448" s="1608"/>
      <c r="I448" s="1860"/>
      <c r="J448" s="1543"/>
    </row>
    <row r="449" spans="1:10" ht="54">
      <c r="A449" s="1899" t="s">
        <v>2950</v>
      </c>
      <c r="B449" s="1902" t="s">
        <v>2038</v>
      </c>
      <c r="C449" s="1900" t="s">
        <v>19</v>
      </c>
      <c r="D449" s="1901">
        <v>10481.278780734105</v>
      </c>
      <c r="E449" s="2096">
        <v>1234.9729633333334</v>
      </c>
      <c r="F449" s="2097"/>
      <c r="G449" s="2095">
        <f t="shared" si="18"/>
        <v>12944095.915365985</v>
      </c>
      <c r="H449" s="1608"/>
      <c r="I449" s="1860"/>
      <c r="J449" s="1543"/>
    </row>
    <row r="450" spans="1:10">
      <c r="A450" s="1722" t="s">
        <v>2694</v>
      </c>
      <c r="B450" s="1557" t="s">
        <v>318</v>
      </c>
      <c r="C450" s="1530"/>
      <c r="D450" s="1542"/>
      <c r="E450" s="66"/>
      <c r="F450" s="220"/>
      <c r="G450" s="2034"/>
      <c r="H450" s="1608"/>
      <c r="I450" s="1860"/>
      <c r="J450" s="1577"/>
    </row>
    <row r="451" spans="1:10" ht="54">
      <c r="A451" s="1899" t="s">
        <v>2695</v>
      </c>
      <c r="B451" s="1878" t="s">
        <v>2892</v>
      </c>
      <c r="C451" s="1900" t="s">
        <v>322</v>
      </c>
      <c r="D451" s="1901">
        <v>170.66131033145385</v>
      </c>
      <c r="E451" s="2110">
        <v>339058.5</v>
      </c>
      <c r="F451" s="2094"/>
      <c r="G451" s="2098">
        <f t="shared" si="18"/>
        <v>57864167.889017247</v>
      </c>
      <c r="H451" s="1608"/>
      <c r="I451" s="1860"/>
      <c r="J451" s="1577"/>
    </row>
    <row r="452" spans="1:10" ht="54">
      <c r="A452" s="75" t="s">
        <v>2889</v>
      </c>
      <c r="B452" s="669" t="s">
        <v>3224</v>
      </c>
      <c r="C452" s="1530" t="s">
        <v>322</v>
      </c>
      <c r="D452" s="1542">
        <v>5</v>
      </c>
      <c r="E452" s="2064">
        <v>356011.42499999999</v>
      </c>
      <c r="F452" s="220"/>
      <c r="G452" s="2034">
        <f t="shared" si="18"/>
        <v>1780057.125</v>
      </c>
      <c r="H452" s="1608"/>
      <c r="I452" s="1860"/>
      <c r="J452" s="1577"/>
    </row>
    <row r="453" spans="1:10" ht="54">
      <c r="A453" s="1722" t="s">
        <v>2696</v>
      </c>
      <c r="B453" s="1557" t="s">
        <v>2418</v>
      </c>
      <c r="C453" s="1530" t="s">
        <v>47</v>
      </c>
      <c r="D453" s="1542">
        <v>20814.41</v>
      </c>
      <c r="E453" s="1564">
        <v>174.71047619047619</v>
      </c>
      <c r="F453" s="220"/>
      <c r="G453" s="2034">
        <f t="shared" si="18"/>
        <v>3636495.4827238093</v>
      </c>
      <c r="H453" s="1608" t="s">
        <v>3348</v>
      </c>
      <c r="I453" s="1860"/>
      <c r="J453" s="1577"/>
    </row>
    <row r="454" spans="1:10" ht="36">
      <c r="A454" s="1722" t="s">
        <v>2697</v>
      </c>
      <c r="B454" s="1557" t="s">
        <v>2890</v>
      </c>
      <c r="C454" s="1530" t="s">
        <v>19</v>
      </c>
      <c r="D454" s="1542">
        <v>18082.5216</v>
      </c>
      <c r="E454" s="1564">
        <v>350</v>
      </c>
      <c r="F454" s="220"/>
      <c r="G454" s="2034">
        <f t="shared" si="18"/>
        <v>6328882.5599999996</v>
      </c>
      <c r="H454" s="1608"/>
      <c r="I454" s="1860"/>
      <c r="J454" s="1577"/>
    </row>
    <row r="455" spans="1:10">
      <c r="A455" s="1815" t="s">
        <v>2951</v>
      </c>
      <c r="B455" s="1557" t="s">
        <v>2419</v>
      </c>
      <c r="C455" s="1530"/>
      <c r="D455" s="1732"/>
      <c r="E455" s="1565"/>
      <c r="F455" s="220"/>
      <c r="G455" s="2034"/>
      <c r="H455" s="1608"/>
      <c r="I455" s="1860"/>
      <c r="J455" s="1577"/>
    </row>
    <row r="456" spans="1:10">
      <c r="A456" s="75" t="s">
        <v>2952</v>
      </c>
      <c r="B456" s="669" t="s">
        <v>2420</v>
      </c>
      <c r="C456" s="1530" t="s">
        <v>21</v>
      </c>
      <c r="D456" s="1542">
        <v>1120.3826646054658</v>
      </c>
      <c r="E456" s="1564">
        <v>746.26750000000004</v>
      </c>
      <c r="F456" s="220"/>
      <c r="G456" s="2034">
        <f t="shared" si="18"/>
        <v>836105.17015845957</v>
      </c>
      <c r="H456" s="1608"/>
      <c r="I456" s="1860"/>
      <c r="J456" s="1577"/>
    </row>
    <row r="457" spans="1:10">
      <c r="A457" s="1825" t="s">
        <v>3245</v>
      </c>
      <c r="B457" s="1923" t="s">
        <v>3252</v>
      </c>
      <c r="C457" s="1976" t="s">
        <v>311</v>
      </c>
      <c r="D457" s="2099">
        <v>210</v>
      </c>
      <c r="E457" s="2007">
        <v>18000</v>
      </c>
      <c r="F457" s="1925"/>
      <c r="G457" s="2100">
        <f t="shared" si="18"/>
        <v>3780000</v>
      </c>
      <c r="H457" s="1905"/>
      <c r="I457" s="1860"/>
      <c r="J457" s="1906"/>
    </row>
    <row r="458" spans="1:10">
      <c r="A458" s="1825" t="s">
        <v>3248</v>
      </c>
      <c r="B458" s="1873" t="s">
        <v>3246</v>
      </c>
      <c r="C458" s="1876" t="s">
        <v>46</v>
      </c>
      <c r="D458" s="1877">
        <v>180</v>
      </c>
      <c r="E458" s="2101">
        <v>1500</v>
      </c>
      <c r="F458" s="2082"/>
      <c r="G458" s="2100">
        <f>D458*E458</f>
        <v>270000</v>
      </c>
      <c r="H458" s="1608"/>
      <c r="I458" s="1860"/>
      <c r="J458" s="1577"/>
    </row>
    <row r="459" spans="1:10">
      <c r="A459" s="1825" t="s">
        <v>3249</v>
      </c>
      <c r="B459" s="1923" t="s">
        <v>3247</v>
      </c>
      <c r="C459" s="1876" t="s">
        <v>46</v>
      </c>
      <c r="D459" s="1924">
        <v>40</v>
      </c>
      <c r="E459" s="2007">
        <v>25000</v>
      </c>
      <c r="F459" s="1925"/>
      <c r="G459" s="2100">
        <f t="shared" si="18"/>
        <v>1000000</v>
      </c>
      <c r="H459" s="1905"/>
      <c r="I459" s="1860"/>
      <c r="J459" s="1906"/>
    </row>
    <row r="460" spans="1:10">
      <c r="A460" s="1825" t="s">
        <v>3250</v>
      </c>
      <c r="B460" s="1923" t="s">
        <v>3251</v>
      </c>
      <c r="C460" s="1976" t="s">
        <v>305</v>
      </c>
      <c r="D460" s="1924">
        <v>1</v>
      </c>
      <c r="E460" s="2007">
        <v>5000000</v>
      </c>
      <c r="F460" s="1925"/>
      <c r="G460" s="2100">
        <f t="shared" si="18"/>
        <v>5000000</v>
      </c>
      <c r="H460" s="1905"/>
      <c r="I460" s="1860"/>
      <c r="J460" s="1906"/>
    </row>
    <row r="461" spans="1:10" ht="17.25" customHeight="1">
      <c r="A461" s="1722"/>
      <c r="B461" s="1557"/>
      <c r="C461" s="1563"/>
      <c r="D461" s="1688"/>
      <c r="E461" s="2011"/>
      <c r="F461" s="1666" t="s">
        <v>1483</v>
      </c>
      <c r="G461" s="2035">
        <f>SUM(G414:G460)</f>
        <v>1558252676.186666</v>
      </c>
      <c r="H461" s="1822"/>
      <c r="I461" s="1868"/>
      <c r="J461" s="1717"/>
    </row>
    <row r="462" spans="1:10" s="315" customFormat="1">
      <c r="A462" s="1814" t="s">
        <v>2205</v>
      </c>
      <c r="B462" s="1533" t="s">
        <v>2931</v>
      </c>
      <c r="C462" s="1534"/>
      <c r="D462" s="1736"/>
      <c r="E462" s="2001"/>
      <c r="F462" s="1536"/>
      <c r="G462" s="2037"/>
      <c r="H462" s="1534"/>
      <c r="I462" s="1857"/>
      <c r="J462" s="1543"/>
    </row>
    <row r="463" spans="1:10" s="1595" customFormat="1" ht="108">
      <c r="A463" s="1722" t="s">
        <v>2779</v>
      </c>
      <c r="B463" s="1556" t="s">
        <v>2880</v>
      </c>
      <c r="C463" s="1530" t="s">
        <v>21</v>
      </c>
      <c r="D463" s="1542">
        <v>3404.9489855974825</v>
      </c>
      <c r="E463" s="1564">
        <v>6784.25</v>
      </c>
      <c r="F463" s="1655"/>
      <c r="G463" s="1805">
        <f>E463*D463</f>
        <v>23100025.155539721</v>
      </c>
      <c r="H463" s="1608"/>
      <c r="I463" s="1860"/>
      <c r="J463" s="1543"/>
    </row>
    <row r="464" spans="1:10">
      <c r="A464" s="1815" t="s">
        <v>2206</v>
      </c>
      <c r="B464" s="1557" t="s">
        <v>1872</v>
      </c>
      <c r="C464" s="66"/>
      <c r="D464" s="1612"/>
      <c r="E464" s="1564"/>
      <c r="F464" s="1613"/>
      <c r="G464" s="1805"/>
      <c r="H464" s="1608"/>
      <c r="I464" s="1869"/>
      <c r="J464" s="1613"/>
    </row>
    <row r="465" spans="1:10" ht="54">
      <c r="A465" s="75" t="s">
        <v>2936</v>
      </c>
      <c r="B465" s="669" t="s">
        <v>1862</v>
      </c>
      <c r="C465" s="1530" t="s">
        <v>19</v>
      </c>
      <c r="D465" s="1542">
        <v>1778.6275726812112</v>
      </c>
      <c r="E465" s="1564">
        <v>5831.9000000000005</v>
      </c>
      <c r="F465" s="1613"/>
      <c r="G465" s="1805">
        <f t="shared" ref="G465:G482" si="19">E465*D465</f>
        <v>10372778.141119557</v>
      </c>
      <c r="H465" s="1608"/>
      <c r="I465" s="1860"/>
      <c r="J465" s="1543"/>
    </row>
    <row r="466" spans="1:10" ht="54">
      <c r="A466" s="75" t="s">
        <v>2937</v>
      </c>
      <c r="B466" s="669" t="s">
        <v>1881</v>
      </c>
      <c r="C466" s="1530" t="s">
        <v>19</v>
      </c>
      <c r="D466" s="1542">
        <v>1061.0636326233714</v>
      </c>
      <c r="E466" s="1564">
        <v>7289.875</v>
      </c>
      <c r="F466" s="1613"/>
      <c r="G466" s="1805">
        <f t="shared" si="19"/>
        <v>7735021.2488702992</v>
      </c>
      <c r="H466" s="1608"/>
      <c r="I466" s="1860"/>
      <c r="J466" s="1543"/>
    </row>
    <row r="467" spans="1:10" ht="54">
      <c r="A467" s="75" t="s">
        <v>2938</v>
      </c>
      <c r="B467" s="669" t="s">
        <v>1883</v>
      </c>
      <c r="C467" s="1530" t="s">
        <v>19</v>
      </c>
      <c r="D467" s="1542">
        <v>701.26284409689288</v>
      </c>
      <c r="E467" s="1564">
        <v>8747.85</v>
      </c>
      <c r="F467" s="1613"/>
      <c r="G467" s="1805">
        <f t="shared" si="19"/>
        <v>6134542.1707330048</v>
      </c>
      <c r="H467" s="1608"/>
      <c r="I467" s="1860"/>
      <c r="J467" s="1543"/>
    </row>
    <row r="468" spans="1:10">
      <c r="A468" s="1815" t="s">
        <v>2698</v>
      </c>
      <c r="B468" s="1557" t="s">
        <v>2414</v>
      </c>
      <c r="C468" s="1530"/>
      <c r="D468" s="1542"/>
      <c r="E468" s="1564"/>
      <c r="F468" s="1613"/>
      <c r="G468" s="1805"/>
      <c r="H468" s="1608"/>
      <c r="I468" s="1860"/>
      <c r="J468" s="1543"/>
    </row>
    <row r="469" spans="1:10" ht="36">
      <c r="A469" s="75" t="s">
        <v>2780</v>
      </c>
      <c r="B469" s="669" t="s">
        <v>2879</v>
      </c>
      <c r="C469" s="1530" t="s">
        <v>19</v>
      </c>
      <c r="D469" s="1542">
        <v>1416.3816197605902</v>
      </c>
      <c r="E469" s="1564">
        <v>668.5</v>
      </c>
      <c r="F469" s="1613"/>
      <c r="G469" s="1805">
        <f t="shared" si="19"/>
        <v>946851.11280995456</v>
      </c>
      <c r="H469" s="1608"/>
      <c r="I469" s="1860"/>
      <c r="J469" s="1543"/>
    </row>
    <row r="470" spans="1:10" ht="36">
      <c r="A470" s="75" t="s">
        <v>2781</v>
      </c>
      <c r="B470" s="669" t="s">
        <v>2891</v>
      </c>
      <c r="C470" s="1530" t="s">
        <v>19</v>
      </c>
      <c r="D470" s="1542">
        <v>50</v>
      </c>
      <c r="E470" s="1564">
        <v>534.79999999999995</v>
      </c>
      <c r="F470" s="1613"/>
      <c r="G470" s="1805">
        <f t="shared" si="19"/>
        <v>26739.999999999996</v>
      </c>
      <c r="H470" s="1608"/>
      <c r="I470" s="1860"/>
      <c r="J470" s="1543"/>
    </row>
    <row r="471" spans="1:10">
      <c r="A471" s="1815" t="s">
        <v>2207</v>
      </c>
      <c r="B471" s="313" t="s">
        <v>1929</v>
      </c>
      <c r="C471" s="1530"/>
      <c r="D471" s="1542"/>
      <c r="E471" s="1564"/>
      <c r="F471" s="1613"/>
      <c r="G471" s="1805"/>
      <c r="H471" s="1608"/>
      <c r="I471" s="1860"/>
      <c r="J471" s="1543"/>
    </row>
    <row r="472" spans="1:10" ht="54">
      <c r="A472" s="75" t="s">
        <v>2211</v>
      </c>
      <c r="B472" s="1550" t="s">
        <v>2868</v>
      </c>
      <c r="C472" s="1530" t="s">
        <v>307</v>
      </c>
      <c r="D472" s="1542">
        <v>1369</v>
      </c>
      <c r="E472" s="1564">
        <v>4209.7000000000007</v>
      </c>
      <c r="F472" s="1613"/>
      <c r="G472" s="1805">
        <f t="shared" si="19"/>
        <v>5763079.3000000007</v>
      </c>
      <c r="H472" s="1608"/>
      <c r="I472" s="1860"/>
      <c r="J472" s="1577"/>
    </row>
    <row r="473" spans="1:10" ht="54">
      <c r="A473" s="75" t="s">
        <v>2417</v>
      </c>
      <c r="B473" s="1550" t="s">
        <v>2867</v>
      </c>
      <c r="C473" s="1530" t="s">
        <v>307</v>
      </c>
      <c r="D473" s="1542">
        <v>1414</v>
      </c>
      <c r="E473" s="1564">
        <v>4795.1750000000002</v>
      </c>
      <c r="F473" s="1613"/>
      <c r="G473" s="1805">
        <f t="shared" si="19"/>
        <v>6780377.4500000002</v>
      </c>
      <c r="H473" s="1608"/>
      <c r="I473" s="1860"/>
      <c r="J473" s="1577"/>
    </row>
    <row r="474" spans="1:10">
      <c r="A474" s="1815" t="s">
        <v>2208</v>
      </c>
      <c r="B474" s="1557" t="s">
        <v>318</v>
      </c>
      <c r="C474" s="1530"/>
      <c r="D474" s="1542"/>
      <c r="E474" s="1564"/>
      <c r="F474" s="1613"/>
      <c r="G474" s="1805"/>
      <c r="H474" s="1608"/>
      <c r="I474" s="1860"/>
      <c r="J474" s="1577"/>
    </row>
    <row r="475" spans="1:10" ht="54">
      <c r="A475" s="75" t="s">
        <v>2212</v>
      </c>
      <c r="B475" s="669" t="s">
        <v>2892</v>
      </c>
      <c r="C475" s="1530" t="s">
        <v>322</v>
      </c>
      <c r="D475" s="1542">
        <v>3</v>
      </c>
      <c r="E475" s="1564">
        <v>339058.5</v>
      </c>
      <c r="F475" s="1613"/>
      <c r="G475" s="1805">
        <f t="shared" si="19"/>
        <v>1017175.5</v>
      </c>
      <c r="H475" s="1608"/>
      <c r="I475" s="1860"/>
      <c r="J475" s="1577"/>
    </row>
    <row r="476" spans="1:10" ht="72">
      <c r="A476" s="75" t="s">
        <v>2778</v>
      </c>
      <c r="B476" s="669" t="s">
        <v>2893</v>
      </c>
      <c r="C476" s="1530" t="s">
        <v>322</v>
      </c>
      <c r="D476" s="1542">
        <v>1</v>
      </c>
      <c r="E476" s="1564">
        <v>356011.42499999999</v>
      </c>
      <c r="F476" s="1613"/>
      <c r="G476" s="1805">
        <f t="shared" si="19"/>
        <v>356011.42499999999</v>
      </c>
      <c r="H476" s="1608"/>
      <c r="I476" s="1860"/>
      <c r="J476" s="1577"/>
    </row>
    <row r="477" spans="1:10" s="2137" customFormat="1" ht="90">
      <c r="A477" s="2141" t="s">
        <v>2209</v>
      </c>
      <c r="B477" s="2142" t="s">
        <v>2890</v>
      </c>
      <c r="C477" s="2131" t="s">
        <v>19</v>
      </c>
      <c r="D477" s="2132">
        <v>830.20799999999997</v>
      </c>
      <c r="E477" s="2127">
        <v>350</v>
      </c>
      <c r="F477" s="2143"/>
      <c r="G477" s="2144">
        <f t="shared" si="19"/>
        <v>290572.79999999999</v>
      </c>
      <c r="H477" s="2145" t="s">
        <v>3347</v>
      </c>
      <c r="I477" s="2136"/>
      <c r="J477" s="2146"/>
    </row>
    <row r="478" spans="1:10" ht="54">
      <c r="A478" s="1815" t="s">
        <v>2210</v>
      </c>
      <c r="B478" s="1545" t="s">
        <v>2735</v>
      </c>
      <c r="C478" s="1530"/>
      <c r="D478" s="1542"/>
      <c r="E478" s="1564"/>
      <c r="F478" s="1613"/>
      <c r="G478" s="1805"/>
      <c r="H478" s="1608"/>
      <c r="I478" s="1860"/>
      <c r="J478" s="1543"/>
    </row>
    <row r="479" spans="1:10">
      <c r="A479" s="75" t="s">
        <v>2939</v>
      </c>
      <c r="B479" s="669" t="s">
        <v>2221</v>
      </c>
      <c r="C479" s="1530" t="s">
        <v>21</v>
      </c>
      <c r="D479" s="1542">
        <v>166.04160000000002</v>
      </c>
      <c r="E479" s="1564">
        <v>16560</v>
      </c>
      <c r="F479" s="1613"/>
      <c r="G479" s="1805">
        <f t="shared" si="19"/>
        <v>2749648.8960000002</v>
      </c>
      <c r="H479" s="1608"/>
      <c r="I479" s="1860"/>
      <c r="J479" s="1543"/>
    </row>
    <row r="480" spans="1:10">
      <c r="A480" s="1815" t="s">
        <v>2213</v>
      </c>
      <c r="B480" s="313" t="s">
        <v>1649</v>
      </c>
      <c r="C480" s="1530"/>
      <c r="D480" s="1542"/>
      <c r="E480" s="1564"/>
      <c r="F480" s="1613"/>
      <c r="G480" s="1805"/>
      <c r="H480" s="1608"/>
      <c r="I480" s="1860"/>
      <c r="J480" s="1543"/>
    </row>
    <row r="481" spans="1:10" s="331" customFormat="1" ht="54">
      <c r="A481" s="75" t="s">
        <v>2782</v>
      </c>
      <c r="B481" s="1550" t="s">
        <v>1248</v>
      </c>
      <c r="C481" s="1530" t="s">
        <v>322</v>
      </c>
      <c r="D481" s="1542">
        <v>13.498246022773753</v>
      </c>
      <c r="E481" s="1564">
        <v>174710.47619047618</v>
      </c>
      <c r="F481" s="88"/>
      <c r="G481" s="1805">
        <f t="shared" si="19"/>
        <v>2358284.9903750038</v>
      </c>
      <c r="H481" s="1608"/>
      <c r="I481" s="1860"/>
      <c r="J481" s="1543"/>
    </row>
    <row r="482" spans="1:10" ht="54">
      <c r="A482" s="1815" t="s">
        <v>2940</v>
      </c>
      <c r="B482" s="1557" t="s">
        <v>2418</v>
      </c>
      <c r="C482" s="1530" t="s">
        <v>438</v>
      </c>
      <c r="D482" s="1542">
        <v>681.23</v>
      </c>
      <c r="E482" s="1564">
        <v>174.71047619047619</v>
      </c>
      <c r="F482" s="1613"/>
      <c r="G482" s="1805">
        <f t="shared" si="19"/>
        <v>119018.0176952381</v>
      </c>
      <c r="H482" s="1608"/>
      <c r="I482" s="1860"/>
      <c r="J482" s="1543"/>
    </row>
    <row r="483" spans="1:10" s="315" customFormat="1" ht="17.25" customHeight="1">
      <c r="A483" s="1722"/>
      <c r="B483" s="1557"/>
      <c r="C483" s="1563"/>
      <c r="D483" s="1688"/>
      <c r="E483" s="1564"/>
      <c r="F483" s="1666" t="s">
        <v>1483</v>
      </c>
      <c r="G483" s="2041">
        <f>SUM(G463:G482)</f>
        <v>67750126.208142757</v>
      </c>
      <c r="H483" s="1822"/>
      <c r="I483" s="1850"/>
      <c r="J483" s="1717"/>
    </row>
    <row r="484" spans="1:10" ht="17.25" customHeight="1">
      <c r="A484" s="1814" t="s">
        <v>2215</v>
      </c>
      <c r="B484" s="1533" t="s">
        <v>2927</v>
      </c>
      <c r="C484" s="1534"/>
      <c r="D484" s="1534"/>
      <c r="E484" s="2000"/>
      <c r="F484" s="1536"/>
      <c r="G484" s="2037"/>
      <c r="H484" s="1534"/>
      <c r="I484" s="1868"/>
      <c r="J484" s="1717"/>
    </row>
    <row r="485" spans="1:10">
      <c r="A485" s="1815" t="s">
        <v>2699</v>
      </c>
      <c r="B485" s="1548" t="s">
        <v>18</v>
      </c>
      <c r="C485" s="1572"/>
      <c r="D485" s="1572"/>
      <c r="E485" s="1564"/>
      <c r="F485" s="1573"/>
      <c r="G485" s="2042"/>
      <c r="H485" s="1816"/>
      <c r="I485" s="1868"/>
      <c r="J485" s="1717"/>
    </row>
    <row r="486" spans="1:10" s="315" customFormat="1" ht="72">
      <c r="A486" s="75" t="s">
        <v>2932</v>
      </c>
      <c r="B486" s="1555" t="s">
        <v>2942</v>
      </c>
      <c r="C486" s="1530" t="s">
        <v>19</v>
      </c>
      <c r="D486" s="1542">
        <v>340</v>
      </c>
      <c r="E486" s="1564">
        <v>40.5</v>
      </c>
      <c r="F486" s="220"/>
      <c r="G486" s="2043">
        <f>D486*E486</f>
        <v>13770</v>
      </c>
      <c r="H486" s="1608"/>
      <c r="I486" s="1860"/>
      <c r="J486" s="1543"/>
    </row>
    <row r="487" spans="1:10" s="315" customFormat="1" ht="72">
      <c r="A487" s="1815" t="s">
        <v>2216</v>
      </c>
      <c r="B487" s="1544" t="s">
        <v>2928</v>
      </c>
      <c r="C487" s="1530"/>
      <c r="D487" s="1542"/>
      <c r="E487" s="1564"/>
      <c r="F487" s="220"/>
      <c r="G487" s="2043"/>
      <c r="H487" s="1608"/>
      <c r="I487" s="1857"/>
      <c r="J487" s="1543"/>
    </row>
    <row r="488" spans="1:10" s="315" customFormat="1">
      <c r="A488" s="75" t="s">
        <v>2761</v>
      </c>
      <c r="B488" s="220" t="s">
        <v>63</v>
      </c>
      <c r="C488" s="1530" t="s">
        <v>21</v>
      </c>
      <c r="D488" s="1542">
        <v>7578.2</v>
      </c>
      <c r="E488" s="1564">
        <v>1385.23</v>
      </c>
      <c r="F488" s="1613"/>
      <c r="G488" s="2043">
        <f t="shared" ref="G488:G498" si="20">D488*E488</f>
        <v>10497549.986</v>
      </c>
      <c r="H488" s="1823"/>
      <c r="I488" s="1859"/>
      <c r="J488" s="1543"/>
    </row>
    <row r="489" spans="1:10" s="1595" customFormat="1">
      <c r="A489" s="1815" t="s">
        <v>2217</v>
      </c>
      <c r="B489" s="313" t="s">
        <v>1929</v>
      </c>
      <c r="C489" s="1530"/>
      <c r="D489" s="1542"/>
      <c r="E489" s="1564"/>
      <c r="F489" s="1613"/>
      <c r="G489" s="2043"/>
      <c r="H489" s="1823"/>
      <c r="I489" s="1870"/>
      <c r="J489" s="1543"/>
    </row>
    <row r="490" spans="1:10" s="1595" customFormat="1" ht="54">
      <c r="A490" s="75" t="s">
        <v>2700</v>
      </c>
      <c r="B490" s="1550" t="s">
        <v>2929</v>
      </c>
      <c r="C490" s="1530" t="s">
        <v>307</v>
      </c>
      <c r="D490" s="1542">
        <v>523</v>
      </c>
      <c r="E490" s="1564">
        <v>5512.75</v>
      </c>
      <c r="F490" s="1613"/>
      <c r="G490" s="2043">
        <f t="shared" si="20"/>
        <v>2883168.25</v>
      </c>
      <c r="H490" s="1608"/>
      <c r="I490" s="1860"/>
      <c r="J490" s="1543"/>
    </row>
    <row r="491" spans="1:10">
      <c r="A491" s="1815" t="s">
        <v>2218</v>
      </c>
      <c r="B491" s="313" t="s">
        <v>1872</v>
      </c>
      <c r="C491" s="1530"/>
      <c r="D491" s="1542"/>
      <c r="E491" s="1564"/>
      <c r="F491" s="1613"/>
      <c r="G491" s="2043"/>
      <c r="H491" s="1608"/>
      <c r="I491" s="1850"/>
      <c r="J491" s="1543"/>
    </row>
    <row r="492" spans="1:10" ht="54">
      <c r="A492" s="75" t="s">
        <v>2224</v>
      </c>
      <c r="B492" s="1550" t="s">
        <v>2606</v>
      </c>
      <c r="C492" s="1530" t="s">
        <v>19</v>
      </c>
      <c r="D492" s="1542">
        <v>50</v>
      </c>
      <c r="E492" s="1564">
        <v>2789.4750000000004</v>
      </c>
      <c r="F492" s="1613"/>
      <c r="G492" s="2043">
        <f t="shared" si="20"/>
        <v>139473.75000000003</v>
      </c>
      <c r="H492" s="1608"/>
      <c r="I492" s="1860"/>
      <c r="J492" s="1543"/>
    </row>
    <row r="493" spans="1:10" ht="54">
      <c r="A493" s="75" t="s">
        <v>2934</v>
      </c>
      <c r="B493" s="1550" t="s">
        <v>2607</v>
      </c>
      <c r="C493" s="1530" t="s">
        <v>19</v>
      </c>
      <c r="D493" s="1542">
        <v>50</v>
      </c>
      <c r="E493" s="1564">
        <v>4184.2125000000005</v>
      </c>
      <c r="F493" s="1613"/>
      <c r="G493" s="2043">
        <f t="shared" si="20"/>
        <v>209210.62500000003</v>
      </c>
      <c r="H493" s="1608"/>
      <c r="I493" s="1860"/>
      <c r="J493" s="1543"/>
    </row>
    <row r="494" spans="1:10" ht="54">
      <c r="A494" s="75" t="s">
        <v>2933</v>
      </c>
      <c r="B494" s="1550" t="s">
        <v>2412</v>
      </c>
      <c r="C494" s="1530" t="s">
        <v>19</v>
      </c>
      <c r="D494" s="1542">
        <v>1173.95</v>
      </c>
      <c r="E494" s="1564">
        <v>5578.9500000000007</v>
      </c>
      <c r="F494" s="1613"/>
      <c r="G494" s="2043">
        <f t="shared" si="20"/>
        <v>6549408.352500001</v>
      </c>
      <c r="H494" s="1608"/>
      <c r="I494" s="1860"/>
      <c r="J494" s="1543"/>
    </row>
    <row r="495" spans="1:10">
      <c r="A495" s="1815" t="s">
        <v>2219</v>
      </c>
      <c r="B495" s="1557" t="s">
        <v>1484</v>
      </c>
      <c r="C495" s="1530" t="s">
        <v>307</v>
      </c>
      <c r="D495" s="1542">
        <v>392</v>
      </c>
      <c r="E495" s="1564">
        <v>618</v>
      </c>
      <c r="F495" s="1613"/>
      <c r="G495" s="2043">
        <f t="shared" si="20"/>
        <v>242256</v>
      </c>
      <c r="H495" s="1823"/>
      <c r="I495" s="1859"/>
      <c r="J495" s="1543"/>
    </row>
    <row r="496" spans="1:10">
      <c r="A496" s="1815" t="s">
        <v>2220</v>
      </c>
      <c r="B496" s="1557" t="s">
        <v>1486</v>
      </c>
      <c r="C496" s="1530"/>
      <c r="D496" s="1542"/>
      <c r="E496" s="1564"/>
      <c r="F496" s="1613"/>
      <c r="G496" s="2043">
        <f t="shared" si="20"/>
        <v>0</v>
      </c>
      <c r="H496" s="1823"/>
      <c r="I496" s="1859"/>
      <c r="J496" s="1543"/>
    </row>
    <row r="497" spans="1:76" ht="36">
      <c r="A497" s="75" t="s">
        <v>2777</v>
      </c>
      <c r="B497" s="669" t="s">
        <v>2657</v>
      </c>
      <c r="C497" s="1530" t="s">
        <v>19</v>
      </c>
      <c r="D497" s="1542">
        <v>100</v>
      </c>
      <c r="E497" s="1564">
        <v>534.79999999999995</v>
      </c>
      <c r="F497" s="1613"/>
      <c r="G497" s="2043">
        <f t="shared" si="20"/>
        <v>53479.999999999993</v>
      </c>
      <c r="H497" s="1823"/>
      <c r="I497" s="1859"/>
      <c r="J497" s="1543"/>
    </row>
    <row r="498" spans="1:76" ht="36">
      <c r="A498" s="75" t="s">
        <v>2935</v>
      </c>
      <c r="B498" s="669" t="s">
        <v>2422</v>
      </c>
      <c r="C498" s="1530" t="s">
        <v>19</v>
      </c>
      <c r="D498" s="1542">
        <v>1173.95</v>
      </c>
      <c r="E498" s="1564">
        <v>668.5</v>
      </c>
      <c r="F498" s="1613"/>
      <c r="G498" s="2043">
        <f t="shared" si="20"/>
        <v>784785.57500000007</v>
      </c>
      <c r="H498" s="1823"/>
      <c r="I498" s="1859"/>
      <c r="J498" s="1543"/>
    </row>
    <row r="499" spans="1:76">
      <c r="A499" s="1722"/>
      <c r="B499" s="1557"/>
      <c r="C499" s="1563"/>
      <c r="D499" s="1563"/>
      <c r="E499" s="1564"/>
      <c r="F499" s="1666" t="s">
        <v>1483</v>
      </c>
      <c r="G499" s="2035">
        <f>SUM(G486:G498)</f>
        <v>21373102.5385</v>
      </c>
      <c r="H499" s="1822"/>
      <c r="I499" s="1850"/>
      <c r="J499" s="1770"/>
    </row>
    <row r="500" spans="1:76" s="1654" customFormat="1">
      <c r="A500" s="1814" t="s">
        <v>2222</v>
      </c>
      <c r="B500" s="1533" t="s">
        <v>1487</v>
      </c>
      <c r="C500" s="1551"/>
      <c r="D500" s="1738"/>
      <c r="E500" s="2000"/>
      <c r="F500" s="1536"/>
      <c r="G500" s="2037"/>
      <c r="H500" s="1534"/>
      <c r="I500" s="1850"/>
      <c r="J500" s="1543"/>
      <c r="K500" s="315"/>
      <c r="L500" s="315"/>
      <c r="M500" s="315"/>
      <c r="N500" s="315"/>
      <c r="O500" s="315"/>
      <c r="P500" s="315"/>
      <c r="Q500" s="315"/>
      <c r="R500" s="315"/>
      <c r="S500" s="315"/>
      <c r="T500" s="315"/>
      <c r="U500" s="315"/>
      <c r="V500" s="315"/>
      <c r="W500" s="315"/>
      <c r="X500" s="315"/>
      <c r="Y500" s="315"/>
      <c r="Z500" s="315"/>
      <c r="AA500" s="315"/>
      <c r="AB500" s="315"/>
      <c r="AC500" s="315"/>
      <c r="AD500" s="315"/>
      <c r="AE500" s="315"/>
      <c r="AF500" s="315"/>
      <c r="AG500" s="315"/>
      <c r="AH500" s="315"/>
      <c r="AI500" s="315"/>
      <c r="AJ500" s="315"/>
      <c r="AK500" s="315"/>
      <c r="AL500" s="315"/>
      <c r="AM500" s="315"/>
      <c r="AN500" s="315"/>
      <c r="AO500" s="315"/>
      <c r="AP500" s="315"/>
      <c r="AQ500" s="315"/>
      <c r="AR500" s="315"/>
      <c r="AS500" s="315"/>
      <c r="AT500" s="315"/>
      <c r="AU500" s="315"/>
      <c r="AV500" s="315"/>
      <c r="AW500" s="315"/>
      <c r="AX500" s="315"/>
      <c r="AY500" s="315"/>
      <c r="AZ500" s="315"/>
      <c r="BA500" s="315"/>
      <c r="BB500" s="315"/>
      <c r="BC500" s="315"/>
      <c r="BD500" s="315"/>
      <c r="BE500" s="315"/>
      <c r="BF500" s="315"/>
      <c r="BG500" s="315"/>
      <c r="BH500" s="315"/>
      <c r="BI500" s="315"/>
      <c r="BJ500" s="315"/>
      <c r="BK500" s="315"/>
      <c r="BL500" s="315"/>
      <c r="BM500" s="315"/>
      <c r="BN500" s="315"/>
      <c r="BO500" s="315"/>
      <c r="BP500" s="315"/>
      <c r="BQ500" s="315"/>
      <c r="BR500" s="315"/>
      <c r="BS500" s="315"/>
      <c r="BT500" s="315"/>
      <c r="BU500" s="315"/>
      <c r="BV500" s="315"/>
      <c r="BW500" s="315"/>
      <c r="BX500" s="315"/>
    </row>
    <row r="501" spans="1:76" ht="90">
      <c r="A501" s="1815" t="s">
        <v>2223</v>
      </c>
      <c r="B501" s="1556" t="s">
        <v>1866</v>
      </c>
      <c r="C501" s="1530" t="s">
        <v>21</v>
      </c>
      <c r="D501" s="1542">
        <v>395.22365676192737</v>
      </c>
      <c r="E501" s="1564">
        <v>6784.25</v>
      </c>
      <c r="F501" s="1613"/>
      <c r="G501" s="2024">
        <f>D501*E501</f>
        <v>2681296.093387106</v>
      </c>
      <c r="H501" s="1823"/>
      <c r="I501" s="1859"/>
      <c r="J501" s="1543"/>
    </row>
    <row r="502" spans="1:76" s="315" customFormat="1">
      <c r="A502" s="1815" t="s">
        <v>2225</v>
      </c>
      <c r="B502" s="1557" t="s">
        <v>2621</v>
      </c>
      <c r="C502" s="1759"/>
      <c r="D502" s="1743"/>
      <c r="E502" s="1564"/>
      <c r="F502" s="313"/>
      <c r="G502" s="2024"/>
      <c r="H502" s="1824"/>
      <c r="I502" s="1850"/>
      <c r="J502" s="220"/>
    </row>
    <row r="503" spans="1:76" s="315" customFormat="1" ht="54">
      <c r="A503" s="75" t="s">
        <v>2701</v>
      </c>
      <c r="B503" s="669" t="s">
        <v>2606</v>
      </c>
      <c r="C503" s="66" t="s">
        <v>19</v>
      </c>
      <c r="D503" s="1732">
        <v>10</v>
      </c>
      <c r="E503" s="1564">
        <v>2789.4750000000004</v>
      </c>
      <c r="F503" s="313"/>
      <c r="G503" s="2024">
        <f t="shared" ref="G503:G518" si="21">D503*E503</f>
        <v>27894.750000000004</v>
      </c>
      <c r="H503" s="1824"/>
      <c r="I503" s="1853"/>
      <c r="J503" s="220"/>
    </row>
    <row r="504" spans="1:76" s="315" customFormat="1" ht="54">
      <c r="A504" s="75" t="s">
        <v>2953</v>
      </c>
      <c r="B504" s="669" t="s">
        <v>2607</v>
      </c>
      <c r="C504" s="66" t="s">
        <v>19</v>
      </c>
      <c r="D504" s="1732">
        <v>20</v>
      </c>
      <c r="E504" s="1564">
        <v>4184.2125000000005</v>
      </c>
      <c r="F504" s="313"/>
      <c r="G504" s="2024">
        <f t="shared" si="21"/>
        <v>83684.250000000015</v>
      </c>
      <c r="H504" s="1824"/>
      <c r="I504" s="1853"/>
      <c r="J504" s="220"/>
    </row>
    <row r="505" spans="1:76" ht="54">
      <c r="A505" s="75" t="s">
        <v>2954</v>
      </c>
      <c r="B505" s="669" t="s">
        <v>1862</v>
      </c>
      <c r="C505" s="1530" t="s">
        <v>19</v>
      </c>
      <c r="D505" s="1542">
        <v>252.96635855661785</v>
      </c>
      <c r="E505" s="1564">
        <v>5831.9000000000005</v>
      </c>
      <c r="F505" s="1613"/>
      <c r="G505" s="2024">
        <f t="shared" si="21"/>
        <v>1475274.5064663398</v>
      </c>
      <c r="H505" s="1823"/>
      <c r="I505" s="1859"/>
      <c r="J505" s="1543"/>
    </row>
    <row r="506" spans="1:76" ht="54">
      <c r="A506" s="75" t="s">
        <v>2955</v>
      </c>
      <c r="B506" s="669" t="s">
        <v>1881</v>
      </c>
      <c r="C506" s="1530" t="s">
        <v>19</v>
      </c>
      <c r="D506" s="1542">
        <v>25</v>
      </c>
      <c r="E506" s="1564">
        <v>7289.875</v>
      </c>
      <c r="F506" s="1613"/>
      <c r="G506" s="2024">
        <f t="shared" si="21"/>
        <v>182246.875</v>
      </c>
      <c r="H506" s="1823"/>
      <c r="I506" s="1859"/>
      <c r="J506" s="1543"/>
    </row>
    <row r="507" spans="1:76" ht="54">
      <c r="A507" s="75" t="s">
        <v>2956</v>
      </c>
      <c r="B507" s="669" t="s">
        <v>1883</v>
      </c>
      <c r="C507" s="1530" t="s">
        <v>19</v>
      </c>
      <c r="D507" s="1542">
        <v>63.241589639154462</v>
      </c>
      <c r="E507" s="1564">
        <v>8747.85</v>
      </c>
      <c r="F507" s="1613"/>
      <c r="G507" s="2024">
        <f t="shared" si="21"/>
        <v>553227.93992487737</v>
      </c>
      <c r="H507" s="1823"/>
      <c r="I507" s="1859"/>
      <c r="J507" s="1543"/>
    </row>
    <row r="508" spans="1:76">
      <c r="A508" s="1815" t="s">
        <v>2226</v>
      </c>
      <c r="B508" s="1557" t="s">
        <v>1486</v>
      </c>
      <c r="C508" s="1530"/>
      <c r="D508" s="1542"/>
      <c r="E508" s="1564"/>
      <c r="F508" s="1613"/>
      <c r="G508" s="2024"/>
      <c r="H508" s="1823"/>
      <c r="I508" s="1859"/>
      <c r="J508" s="1543"/>
    </row>
    <row r="509" spans="1:76" ht="36">
      <c r="A509" s="75" t="s">
        <v>2231</v>
      </c>
      <c r="B509" s="669" t="s">
        <v>2749</v>
      </c>
      <c r="C509" s="1530" t="s">
        <v>19</v>
      </c>
      <c r="D509" s="1542">
        <v>10</v>
      </c>
      <c r="E509" s="1564">
        <v>534.79999999999995</v>
      </c>
      <c r="F509" s="1613"/>
      <c r="G509" s="2024">
        <f t="shared" si="21"/>
        <v>5348</v>
      </c>
      <c r="H509" s="1823"/>
      <c r="I509" s="1859"/>
      <c r="J509" s="1543"/>
    </row>
    <row r="510" spans="1:76" ht="36">
      <c r="A510" s="75" t="s">
        <v>2957</v>
      </c>
      <c r="B510" s="669" t="s">
        <v>2421</v>
      </c>
      <c r="C510" s="1530" t="s">
        <v>19</v>
      </c>
      <c r="D510" s="1708">
        <v>31.620794819577231</v>
      </c>
      <c r="E510" s="1564">
        <v>668.5</v>
      </c>
      <c r="F510" s="1613"/>
      <c r="G510" s="2024">
        <f t="shared" si="21"/>
        <v>21138.501336887381</v>
      </c>
      <c r="H510" s="1608"/>
      <c r="I510" s="1860"/>
      <c r="J510" s="1543"/>
    </row>
    <row r="511" spans="1:76">
      <c r="A511" s="1815" t="s">
        <v>2227</v>
      </c>
      <c r="B511" s="313" t="s">
        <v>92</v>
      </c>
      <c r="C511" s="1530"/>
      <c r="D511" s="1542"/>
      <c r="E511" s="1564"/>
      <c r="F511" s="1613"/>
      <c r="G511" s="2024"/>
      <c r="H511" s="1608"/>
      <c r="I511" s="1860"/>
      <c r="J511" s="1543"/>
    </row>
    <row r="512" spans="1:76" ht="54">
      <c r="A512" s="75" t="s">
        <v>2232</v>
      </c>
      <c r="B512" s="1550" t="s">
        <v>2867</v>
      </c>
      <c r="C512" s="1530" t="s">
        <v>307</v>
      </c>
      <c r="D512" s="1542">
        <v>220</v>
      </c>
      <c r="E512" s="1564">
        <v>4795.1750000000002</v>
      </c>
      <c r="F512" s="1613"/>
      <c r="G512" s="2024">
        <f t="shared" si="21"/>
        <v>1054938.5</v>
      </c>
      <c r="H512" s="1608"/>
      <c r="I512" s="1860"/>
      <c r="J512" s="1543"/>
    </row>
    <row r="513" spans="1:76">
      <c r="A513" s="1815" t="s">
        <v>2228</v>
      </c>
      <c r="B513" s="313" t="s">
        <v>2773</v>
      </c>
      <c r="C513" s="1530"/>
      <c r="D513" s="1542"/>
      <c r="E513" s="1564"/>
      <c r="F513" s="1613"/>
      <c r="G513" s="2024"/>
      <c r="H513" s="1608"/>
      <c r="I513" s="1860"/>
      <c r="J513" s="1543"/>
    </row>
    <row r="514" spans="1:76" ht="54">
      <c r="A514" s="75" t="s">
        <v>2230</v>
      </c>
      <c r="B514" s="669" t="s">
        <v>2881</v>
      </c>
      <c r="C514" s="1530" t="s">
        <v>307</v>
      </c>
      <c r="D514" s="1542">
        <v>25</v>
      </c>
      <c r="E514" s="2109">
        <v>12161.5</v>
      </c>
      <c r="F514" s="1613"/>
      <c r="G514" s="2024">
        <f t="shared" si="21"/>
        <v>304037.5</v>
      </c>
      <c r="H514" s="1608"/>
      <c r="I514" s="1859"/>
      <c r="J514" s="1577"/>
    </row>
    <row r="515" spans="1:76">
      <c r="A515" s="1815" t="s">
        <v>2229</v>
      </c>
      <c r="B515" s="1557" t="s">
        <v>318</v>
      </c>
      <c r="C515" s="1530"/>
      <c r="D515" s="1542"/>
      <c r="E515" s="1564"/>
      <c r="F515" s="1613"/>
      <c r="G515" s="2024"/>
      <c r="H515" s="1608"/>
      <c r="I515" s="1860"/>
      <c r="J515" s="1543"/>
    </row>
    <row r="516" spans="1:76" ht="54">
      <c r="A516" s="75" t="s">
        <v>2702</v>
      </c>
      <c r="B516" s="669" t="s">
        <v>2892</v>
      </c>
      <c r="C516" s="1530" t="s">
        <v>322</v>
      </c>
      <c r="D516" s="1542">
        <v>0.94862384458731686</v>
      </c>
      <c r="E516" s="1564">
        <v>339058.5</v>
      </c>
      <c r="F516" s="1613"/>
      <c r="G516" s="2024">
        <f t="shared" si="21"/>
        <v>321638.9778100088</v>
      </c>
      <c r="H516" s="1823"/>
      <c r="I516" s="1859"/>
      <c r="J516" s="1577"/>
    </row>
    <row r="517" spans="1:76" ht="36">
      <c r="A517" s="1815" t="s">
        <v>2958</v>
      </c>
      <c r="B517" s="1557" t="s">
        <v>2890</v>
      </c>
      <c r="C517" s="1530" t="s">
        <v>19</v>
      </c>
      <c r="D517" s="1542">
        <v>123</v>
      </c>
      <c r="E517" s="1564">
        <v>350</v>
      </c>
      <c r="F517" s="1613"/>
      <c r="G517" s="2024">
        <f t="shared" si="21"/>
        <v>43050</v>
      </c>
      <c r="H517" s="1823"/>
      <c r="I517" s="1859"/>
      <c r="J517" s="1543"/>
    </row>
    <row r="518" spans="1:76" ht="54">
      <c r="A518" s="1815" t="s">
        <v>2959</v>
      </c>
      <c r="B518" s="1557" t="s">
        <v>2418</v>
      </c>
      <c r="C518" s="1530" t="s">
        <v>438</v>
      </c>
      <c r="D518" s="1542">
        <v>94.862384458731682</v>
      </c>
      <c r="E518" s="1564">
        <v>174.71047619047619</v>
      </c>
      <c r="F518" s="1613"/>
      <c r="G518" s="2024">
        <f t="shared" si="21"/>
        <v>16573.452361349038</v>
      </c>
      <c r="H518" s="1823"/>
      <c r="I518" s="1859"/>
      <c r="J518" s="1543"/>
    </row>
    <row r="519" spans="1:76" ht="17.25" customHeight="1">
      <c r="A519" s="1722"/>
      <c r="B519" s="1557"/>
      <c r="C519" s="1563"/>
      <c r="D519" s="1688"/>
      <c r="E519" s="1564"/>
      <c r="F519" s="1666" t="s">
        <v>1483</v>
      </c>
      <c r="G519" s="2035">
        <f>SUM(G501:G518)</f>
        <v>6770349.3462865679</v>
      </c>
      <c r="H519" s="1824"/>
      <c r="I519" s="1868"/>
      <c r="J519" s="1717"/>
    </row>
    <row r="520" spans="1:76" s="1654" customFormat="1">
      <c r="A520" s="1814" t="s">
        <v>2233</v>
      </c>
      <c r="B520" s="1533" t="s">
        <v>298</v>
      </c>
      <c r="C520" s="1551"/>
      <c r="D520" s="1738"/>
      <c r="E520" s="2000"/>
      <c r="F520" s="1536"/>
      <c r="G520" s="2037"/>
      <c r="H520" s="1534"/>
      <c r="I520" s="1857"/>
      <c r="J520" s="1543"/>
      <c r="K520" s="315"/>
      <c r="L520" s="315"/>
      <c r="M520" s="315"/>
      <c r="N520" s="315"/>
      <c r="O520" s="315"/>
      <c r="P520" s="315"/>
      <c r="Q520" s="315"/>
      <c r="R520" s="315"/>
      <c r="S520" s="315"/>
      <c r="T520" s="315"/>
      <c r="U520" s="315"/>
      <c r="V520" s="315"/>
      <c r="W520" s="315"/>
      <c r="X520" s="315"/>
      <c r="Y520" s="315"/>
      <c r="Z520" s="315"/>
      <c r="AA520" s="315"/>
      <c r="AB520" s="315"/>
      <c r="AC520" s="315"/>
      <c r="AD520" s="315"/>
      <c r="AE520" s="315"/>
      <c r="AF520" s="315"/>
      <c r="AG520" s="315"/>
      <c r="AH520" s="315"/>
      <c r="AI520" s="315"/>
      <c r="AJ520" s="315"/>
      <c r="AK520" s="315"/>
      <c r="AL520" s="315"/>
      <c r="AM520" s="315"/>
      <c r="AN520" s="315"/>
      <c r="AO520" s="315"/>
      <c r="AP520" s="315"/>
      <c r="AQ520" s="315"/>
      <c r="AR520" s="315"/>
      <c r="AS520" s="315"/>
      <c r="AT520" s="315"/>
      <c r="AU520" s="315"/>
      <c r="AV520" s="315"/>
      <c r="AW520" s="315"/>
      <c r="AX520" s="315"/>
      <c r="AY520" s="315"/>
      <c r="AZ520" s="315"/>
      <c r="BA520" s="315"/>
      <c r="BB520" s="315"/>
      <c r="BC520" s="315"/>
      <c r="BD520" s="315"/>
      <c r="BE520" s="315"/>
      <c r="BF520" s="315"/>
      <c r="BG520" s="315"/>
      <c r="BH520" s="315"/>
      <c r="BI520" s="315"/>
      <c r="BJ520" s="315"/>
      <c r="BK520" s="315"/>
      <c r="BL520" s="315"/>
      <c r="BM520" s="315"/>
      <c r="BN520" s="315"/>
      <c r="BO520" s="315"/>
      <c r="BP520" s="315"/>
      <c r="BQ520" s="315"/>
      <c r="BR520" s="315"/>
      <c r="BS520" s="315"/>
      <c r="BT520" s="315"/>
      <c r="BU520" s="315"/>
      <c r="BV520" s="315"/>
      <c r="BW520" s="315"/>
      <c r="BX520" s="315"/>
    </row>
    <row r="521" spans="1:76" ht="90">
      <c r="A521" s="1815" t="s">
        <v>2234</v>
      </c>
      <c r="B521" s="1556" t="s">
        <v>2941</v>
      </c>
      <c r="C521" s="1530" t="s">
        <v>21</v>
      </c>
      <c r="D521" s="1542">
        <v>4257.301795576489</v>
      </c>
      <c r="E521" s="1564">
        <v>10839.5</v>
      </c>
      <c r="F521" s="1613"/>
      <c r="G521" s="2024">
        <f>D521*E521</f>
        <v>46147022.813151352</v>
      </c>
      <c r="H521" s="1823"/>
      <c r="I521" s="1859"/>
      <c r="J521" s="1543"/>
    </row>
    <row r="522" spans="1:76" ht="54">
      <c r="A522" s="1815" t="s">
        <v>2235</v>
      </c>
      <c r="B522" s="1545" t="s">
        <v>2735</v>
      </c>
      <c r="C522" s="1530"/>
      <c r="D522" s="1542"/>
      <c r="E522" s="1564"/>
      <c r="F522" s="1613"/>
      <c r="G522" s="2024"/>
      <c r="H522" s="1823"/>
      <c r="I522" s="1859"/>
      <c r="J522" s="1543"/>
    </row>
    <row r="523" spans="1:76">
      <c r="A523" s="75" t="s">
        <v>2618</v>
      </c>
      <c r="B523" s="1562" t="s">
        <v>1553</v>
      </c>
      <c r="C523" s="1530" t="s">
        <v>21</v>
      </c>
      <c r="D523" s="1542">
        <v>1465.3046366141657</v>
      </c>
      <c r="E523" s="1564">
        <v>27493.199999999997</v>
      </c>
      <c r="F523" s="1613"/>
      <c r="G523" s="2024">
        <f t="shared" ref="G523:G532" si="22">D523*E523</f>
        <v>40285913.435360573</v>
      </c>
      <c r="H523" s="1823"/>
      <c r="I523" s="1859"/>
      <c r="J523" s="1543"/>
    </row>
    <row r="524" spans="1:76">
      <c r="A524" s="1815" t="s">
        <v>2236</v>
      </c>
      <c r="B524" s="313" t="s">
        <v>1649</v>
      </c>
      <c r="C524" s="1530"/>
      <c r="D524" s="1542"/>
      <c r="E524" s="1564"/>
      <c r="F524" s="1613"/>
      <c r="G524" s="2024"/>
      <c r="H524" s="1823"/>
      <c r="I524" s="1859"/>
      <c r="J524" s="1543"/>
    </row>
    <row r="525" spans="1:76" ht="54">
      <c r="A525" s="75" t="s">
        <v>2242</v>
      </c>
      <c r="B525" s="1550" t="s">
        <v>1248</v>
      </c>
      <c r="C525" s="1530" t="s">
        <v>322</v>
      </c>
      <c r="D525" s="1542">
        <v>164.00056129534795</v>
      </c>
      <c r="E525" s="1564">
        <v>176598.5</v>
      </c>
      <c r="F525" s="1613"/>
      <c r="G525" s="2024">
        <f t="shared" si="22"/>
        <v>28962253.123916507</v>
      </c>
      <c r="H525" s="1608"/>
      <c r="I525" s="1860"/>
      <c r="J525" s="1543"/>
    </row>
    <row r="526" spans="1:76">
      <c r="A526" s="1815" t="s">
        <v>2237</v>
      </c>
      <c r="B526" s="1548" t="s">
        <v>309</v>
      </c>
      <c r="C526" s="1530"/>
      <c r="D526" s="1542"/>
      <c r="E526" s="1564"/>
      <c r="F526" s="1613"/>
      <c r="G526" s="2024"/>
      <c r="H526" s="1608"/>
      <c r="I526" s="1860"/>
      <c r="J526" s="1543"/>
    </row>
    <row r="527" spans="1:76" ht="54">
      <c r="A527" s="75" t="s">
        <v>2241</v>
      </c>
      <c r="B527" s="1549" t="s">
        <v>2038</v>
      </c>
      <c r="C527" s="1530" t="s">
        <v>19</v>
      </c>
      <c r="D527" s="1542">
        <v>1758.3655639369988</v>
      </c>
      <c r="E527" s="1564">
        <v>1728.9621486666667</v>
      </c>
      <c r="F527" s="1613"/>
      <c r="G527" s="2024">
        <f t="shared" si="22"/>
        <v>3040147.5035659885</v>
      </c>
      <c r="H527" s="1608"/>
      <c r="I527" s="1860"/>
      <c r="J527" s="1543"/>
    </row>
    <row r="528" spans="1:76">
      <c r="A528" s="1815" t="s">
        <v>2238</v>
      </c>
      <c r="B528" s="313" t="s">
        <v>1929</v>
      </c>
      <c r="C528" s="1530"/>
      <c r="D528" s="1542"/>
      <c r="E528" s="1564"/>
      <c r="F528" s="1613"/>
      <c r="G528" s="2024"/>
      <c r="H528" s="1608"/>
      <c r="I528" s="1860"/>
      <c r="J528" s="1543"/>
    </row>
    <row r="529" spans="1:76" ht="51.75" customHeight="1">
      <c r="A529" s="75" t="s">
        <v>2960</v>
      </c>
      <c r="B529" s="1550" t="s">
        <v>2869</v>
      </c>
      <c r="C529" s="1530" t="s">
        <v>311</v>
      </c>
      <c r="D529" s="1542">
        <v>690</v>
      </c>
      <c r="E529" s="1564">
        <v>6848.0999999999995</v>
      </c>
      <c r="F529" s="1613"/>
      <c r="G529" s="2024">
        <f t="shared" si="22"/>
        <v>4725189</v>
      </c>
      <c r="H529" s="1823"/>
      <c r="I529" s="1859"/>
      <c r="J529" s="1577"/>
    </row>
    <row r="530" spans="1:76">
      <c r="A530" s="1815" t="s">
        <v>2239</v>
      </c>
      <c r="B530" s="313" t="s">
        <v>1872</v>
      </c>
      <c r="C530" s="1530"/>
      <c r="D530" s="1542"/>
      <c r="E530" s="1564"/>
      <c r="F530" s="1613"/>
      <c r="G530" s="2024"/>
      <c r="H530" s="1823"/>
      <c r="I530" s="1859"/>
      <c r="J530" s="1577"/>
    </row>
    <row r="531" spans="1:76" ht="54">
      <c r="A531" s="75" t="s">
        <v>2240</v>
      </c>
      <c r="B531" s="1570" t="s">
        <v>1862</v>
      </c>
      <c r="C531" s="1530" t="s">
        <v>19</v>
      </c>
      <c r="D531" s="1542">
        <v>1640.0056129534796</v>
      </c>
      <c r="E531" s="1564">
        <v>8164.66</v>
      </c>
      <c r="F531" s="1613"/>
      <c r="G531" s="2024">
        <f t="shared" si="22"/>
        <v>13390088.227856757</v>
      </c>
      <c r="H531" s="1823"/>
      <c r="I531" s="1859"/>
      <c r="J531" s="1577"/>
    </row>
    <row r="532" spans="1:76" ht="54">
      <c r="A532" s="75" t="s">
        <v>2619</v>
      </c>
      <c r="B532" s="1570" t="s">
        <v>1883</v>
      </c>
      <c r="C532" s="1530" t="s">
        <v>19</v>
      </c>
      <c r="D532" s="1547">
        <v>20</v>
      </c>
      <c r="E532" s="1564">
        <v>12246.99</v>
      </c>
      <c r="F532" s="1613"/>
      <c r="G532" s="2024">
        <f t="shared" si="22"/>
        <v>244939.8</v>
      </c>
      <c r="H532" s="1823"/>
      <c r="I532" s="1859"/>
      <c r="J532" s="1577"/>
    </row>
    <row r="533" spans="1:76" ht="17.25" customHeight="1">
      <c r="A533" s="1722"/>
      <c r="B533" s="1557"/>
      <c r="C533" s="1563"/>
      <c r="D533" s="1688"/>
      <c r="E533" s="1564"/>
      <c r="F533" s="1666" t="s">
        <v>1483</v>
      </c>
      <c r="G533" s="2035">
        <f>SUM(G521:G532)</f>
        <v>136795553.90385118</v>
      </c>
      <c r="H533" s="1824"/>
      <c r="I533" s="1868"/>
      <c r="J533" s="1717"/>
    </row>
    <row r="534" spans="1:76" s="1654" customFormat="1">
      <c r="A534" s="1814" t="s">
        <v>2244</v>
      </c>
      <c r="B534" s="1533" t="s">
        <v>829</v>
      </c>
      <c r="C534" s="1551"/>
      <c r="D534" s="1738"/>
      <c r="E534" s="2000"/>
      <c r="F534" s="1536"/>
      <c r="G534" s="2037"/>
      <c r="H534" s="1534"/>
      <c r="I534" s="1857"/>
      <c r="J534" s="1543"/>
      <c r="K534" s="315"/>
      <c r="L534" s="315"/>
      <c r="M534" s="315"/>
      <c r="N534" s="315"/>
      <c r="O534" s="315"/>
      <c r="P534" s="315"/>
      <c r="Q534" s="315"/>
      <c r="R534" s="315"/>
      <c r="S534" s="315"/>
      <c r="T534" s="315"/>
      <c r="U534" s="315"/>
      <c r="V534" s="315"/>
      <c r="W534" s="315"/>
      <c r="X534" s="315"/>
      <c r="Y534" s="315"/>
      <c r="Z534" s="315"/>
      <c r="AA534" s="315"/>
      <c r="AB534" s="315"/>
      <c r="AC534" s="315"/>
      <c r="AD534" s="315"/>
      <c r="AE534" s="315"/>
      <c r="AF534" s="315"/>
      <c r="AG534" s="315"/>
      <c r="AH534" s="315"/>
      <c r="AI534" s="315"/>
      <c r="AJ534" s="315"/>
      <c r="AK534" s="315"/>
      <c r="AL534" s="315"/>
      <c r="AM534" s="315"/>
      <c r="AN534" s="315"/>
      <c r="AO534" s="315"/>
      <c r="AP534" s="315"/>
      <c r="AQ534" s="315"/>
      <c r="AR534" s="315"/>
      <c r="AS534" s="315"/>
      <c r="AT534" s="315"/>
      <c r="AU534" s="315"/>
      <c r="AV534" s="315"/>
      <c r="AW534" s="315"/>
      <c r="AX534" s="315"/>
      <c r="AY534" s="315"/>
      <c r="AZ534" s="315"/>
      <c r="BA534" s="315"/>
      <c r="BB534" s="315"/>
      <c r="BC534" s="315"/>
      <c r="BD534" s="315"/>
      <c r="BE534" s="315"/>
      <c r="BF534" s="315"/>
      <c r="BG534" s="315"/>
      <c r="BH534" s="315"/>
      <c r="BI534" s="315"/>
      <c r="BJ534" s="315"/>
      <c r="BK534" s="315"/>
      <c r="BL534" s="315"/>
      <c r="BM534" s="315"/>
      <c r="BN534" s="315"/>
      <c r="BO534" s="315"/>
      <c r="BP534" s="315"/>
      <c r="BQ534" s="315"/>
      <c r="BR534" s="315"/>
      <c r="BS534" s="315"/>
      <c r="BT534" s="315"/>
      <c r="BU534" s="315"/>
      <c r="BV534" s="315"/>
      <c r="BW534" s="315"/>
      <c r="BX534" s="315"/>
    </row>
    <row r="535" spans="1:76" s="1590" customFormat="1">
      <c r="A535" s="1815" t="s">
        <v>2274</v>
      </c>
      <c r="B535" s="1548" t="s">
        <v>18</v>
      </c>
      <c r="C535" s="1572"/>
      <c r="D535" s="1737"/>
      <c r="E535" s="1564"/>
      <c r="F535" s="1573"/>
      <c r="G535" s="2042"/>
      <c r="H535" s="1816"/>
      <c r="I535" s="1857"/>
      <c r="J535" s="1543"/>
    </row>
    <row r="536" spans="1:76" ht="72">
      <c r="A536" s="75" t="s">
        <v>2961</v>
      </c>
      <c r="B536" s="1555" t="s">
        <v>2847</v>
      </c>
      <c r="C536" s="1530" t="s">
        <v>19</v>
      </c>
      <c r="D536" s="1542">
        <v>1500</v>
      </c>
      <c r="E536" s="1564">
        <v>40.5</v>
      </c>
      <c r="F536" s="220"/>
      <c r="G536" s="2024">
        <f>D536*E536</f>
        <v>60750</v>
      </c>
      <c r="H536" s="1608"/>
      <c r="I536" s="1860"/>
      <c r="J536" s="1543"/>
    </row>
    <row r="537" spans="1:76" ht="72">
      <c r="A537" s="1815" t="s">
        <v>2275</v>
      </c>
      <c r="B537" s="1544" t="s">
        <v>2849</v>
      </c>
      <c r="C537" s="1530"/>
      <c r="D537" s="1542"/>
      <c r="E537" s="1564"/>
      <c r="F537" s="220"/>
      <c r="G537" s="2024"/>
      <c r="H537" s="1608"/>
      <c r="I537" s="1860"/>
      <c r="J537" s="1543"/>
    </row>
    <row r="538" spans="1:76">
      <c r="A538" s="75" t="s">
        <v>2276</v>
      </c>
      <c r="B538" s="220" t="s">
        <v>63</v>
      </c>
      <c r="C538" s="1530" t="s">
        <v>21</v>
      </c>
      <c r="D538" s="1542">
        <v>7236</v>
      </c>
      <c r="E538" s="1564">
        <v>1385.23</v>
      </c>
      <c r="F538" s="1613"/>
      <c r="G538" s="2024">
        <f t="shared" ref="G538:G548" si="23">D538*E538</f>
        <v>10023524.279999999</v>
      </c>
      <c r="H538" s="1823"/>
      <c r="I538" s="1859"/>
      <c r="J538" s="1543"/>
    </row>
    <row r="539" spans="1:76">
      <c r="A539" s="1815" t="s">
        <v>2277</v>
      </c>
      <c r="B539" s="313" t="s">
        <v>1929</v>
      </c>
      <c r="C539" s="1530"/>
      <c r="D539" s="1542"/>
      <c r="E539" s="1564"/>
      <c r="F539" s="1613"/>
      <c r="G539" s="2024"/>
      <c r="H539" s="1823"/>
      <c r="I539" s="1859"/>
      <c r="J539" s="1543"/>
    </row>
    <row r="540" spans="1:76" ht="54">
      <c r="A540" s="75" t="s">
        <v>2278</v>
      </c>
      <c r="B540" s="1550" t="s">
        <v>2865</v>
      </c>
      <c r="C540" s="1530" t="s">
        <v>307</v>
      </c>
      <c r="D540" s="1542">
        <v>864</v>
      </c>
      <c r="E540" s="1564">
        <v>5512.75</v>
      </c>
      <c r="F540" s="1613"/>
      <c r="G540" s="2024">
        <f t="shared" si="23"/>
        <v>4763016</v>
      </c>
      <c r="H540" s="1608"/>
      <c r="I540" s="1860"/>
      <c r="J540" s="1543"/>
    </row>
    <row r="541" spans="1:76">
      <c r="A541" s="1815" t="s">
        <v>2279</v>
      </c>
      <c r="B541" s="313" t="s">
        <v>1872</v>
      </c>
      <c r="C541" s="1530"/>
      <c r="D541" s="1542"/>
      <c r="E541" s="1564"/>
      <c r="F541" s="1613"/>
      <c r="G541" s="2024"/>
      <c r="H541" s="1608"/>
      <c r="I541" s="1860"/>
      <c r="J541" s="1543"/>
    </row>
    <row r="542" spans="1:76" ht="54">
      <c r="A542" s="75" t="s">
        <v>2962</v>
      </c>
      <c r="B542" s="1550" t="s">
        <v>2412</v>
      </c>
      <c r="C542" s="1530" t="s">
        <v>19</v>
      </c>
      <c r="D542" s="1542">
        <v>648</v>
      </c>
      <c r="E542" s="1564">
        <v>5578.9500000000007</v>
      </c>
      <c r="F542" s="1613"/>
      <c r="G542" s="2024">
        <f t="shared" si="23"/>
        <v>3615159.6000000006</v>
      </c>
      <c r="H542" s="1608"/>
      <c r="I542" s="1860"/>
      <c r="J542" s="1543"/>
    </row>
    <row r="543" spans="1:76" ht="54">
      <c r="A543" s="75" t="s">
        <v>2963</v>
      </c>
      <c r="B543" s="1550" t="s">
        <v>2607</v>
      </c>
      <c r="C543" s="1530" t="s">
        <v>19</v>
      </c>
      <c r="D543" s="1542">
        <v>50</v>
      </c>
      <c r="E543" s="1564">
        <v>4184.2125000000005</v>
      </c>
      <c r="F543" s="1613"/>
      <c r="G543" s="2024">
        <f t="shared" si="23"/>
        <v>209210.62500000003</v>
      </c>
      <c r="H543" s="1608"/>
      <c r="I543" s="1860"/>
      <c r="J543" s="1543"/>
    </row>
    <row r="544" spans="1:76" ht="54">
      <c r="A544" s="75" t="s">
        <v>2964</v>
      </c>
      <c r="B544" s="1550" t="s">
        <v>2606</v>
      </c>
      <c r="C544" s="1530" t="s">
        <v>19</v>
      </c>
      <c r="D544" s="1542">
        <v>100</v>
      </c>
      <c r="E544" s="1564">
        <v>2789.4750000000004</v>
      </c>
      <c r="F544" s="1613"/>
      <c r="G544" s="2024">
        <f t="shared" si="23"/>
        <v>278947.50000000006</v>
      </c>
      <c r="H544" s="1608"/>
      <c r="I544" s="1860"/>
      <c r="J544" s="1543"/>
    </row>
    <row r="545" spans="1:11">
      <c r="A545" s="1815" t="s">
        <v>2280</v>
      </c>
      <c r="B545" s="1557" t="s">
        <v>1484</v>
      </c>
      <c r="C545" s="1530" t="s">
        <v>307</v>
      </c>
      <c r="D545" s="1542">
        <v>648</v>
      </c>
      <c r="E545" s="1564">
        <v>618</v>
      </c>
      <c r="F545" s="1613"/>
      <c r="G545" s="2024">
        <f t="shared" si="23"/>
        <v>400464</v>
      </c>
      <c r="H545" s="1823"/>
      <c r="I545" s="1859"/>
      <c r="J545" s="1577"/>
    </row>
    <row r="546" spans="1:11">
      <c r="A546" s="1815" t="s">
        <v>2281</v>
      </c>
      <c r="B546" s="1557" t="s">
        <v>1486</v>
      </c>
      <c r="C546" s="1530"/>
      <c r="D546" s="1542"/>
      <c r="E546" s="1564"/>
      <c r="F546" s="1613"/>
      <c r="G546" s="2024">
        <f t="shared" si="23"/>
        <v>0</v>
      </c>
      <c r="H546" s="1823"/>
      <c r="I546" s="1859"/>
      <c r="J546" s="1577"/>
    </row>
    <row r="547" spans="1:11" ht="36">
      <c r="A547" s="75" t="s">
        <v>2282</v>
      </c>
      <c r="B547" s="669" t="s">
        <v>2749</v>
      </c>
      <c r="C547" s="1530" t="s">
        <v>19</v>
      </c>
      <c r="D547" s="1542">
        <v>100</v>
      </c>
      <c r="E547" s="1564">
        <v>534.79999999999995</v>
      </c>
      <c r="F547" s="1613"/>
      <c r="G547" s="2024">
        <f t="shared" si="23"/>
        <v>53479.999999999993</v>
      </c>
      <c r="H547" s="1823"/>
      <c r="I547" s="1859"/>
      <c r="J547" s="1577"/>
    </row>
    <row r="548" spans="1:11" ht="36">
      <c r="A548" s="75" t="s">
        <v>2763</v>
      </c>
      <c r="B548" s="669" t="s">
        <v>2421</v>
      </c>
      <c r="C548" s="1530" t="s">
        <v>19</v>
      </c>
      <c r="D548" s="1542">
        <v>1944</v>
      </c>
      <c r="E548" s="1564">
        <v>668.5</v>
      </c>
      <c r="F548" s="1613"/>
      <c r="G548" s="2024">
        <f t="shared" si="23"/>
        <v>1299564</v>
      </c>
      <c r="H548" s="1823"/>
      <c r="I548" s="1859"/>
      <c r="J548" s="1577"/>
    </row>
    <row r="549" spans="1:11" ht="17.25" customHeight="1">
      <c r="A549" s="1722"/>
      <c r="B549" s="1557"/>
      <c r="C549" s="1563"/>
      <c r="D549" s="1688"/>
      <c r="E549" s="2011"/>
      <c r="F549" s="1666" t="s">
        <v>1483</v>
      </c>
      <c r="G549" s="2035">
        <f>SUM(G536:G548)</f>
        <v>20704116.004999999</v>
      </c>
      <c r="H549" s="1824"/>
      <c r="I549" s="1868"/>
      <c r="J549" s="1717"/>
    </row>
    <row r="550" spans="1:11" s="315" customFormat="1">
      <c r="A550" s="1814" t="s">
        <v>2245</v>
      </c>
      <c r="B550" s="1533" t="s">
        <v>3268</v>
      </c>
      <c r="C550" s="1551"/>
      <c r="D550" s="1738"/>
      <c r="E550" s="2001"/>
      <c r="F550" s="1536"/>
      <c r="G550" s="2037"/>
      <c r="H550" s="1534"/>
      <c r="I550" s="1857"/>
      <c r="J550" s="1543"/>
    </row>
    <row r="551" spans="1:11" s="2189" customFormat="1" ht="54">
      <c r="A551" s="2178" t="s">
        <v>3274</v>
      </c>
      <c r="B551" s="2179" t="s">
        <v>3275</v>
      </c>
      <c r="C551" s="2180" t="s">
        <v>21</v>
      </c>
      <c r="D551" s="2181">
        <v>7368</v>
      </c>
      <c r="E551" s="2182">
        <v>1385.23</v>
      </c>
      <c r="F551" s="2183"/>
      <c r="G551" s="2184">
        <f>D551*E551</f>
        <v>10206374.640000001</v>
      </c>
      <c r="H551" s="2185"/>
      <c r="I551" s="2186"/>
      <c r="J551" s="2187"/>
      <c r="K551" s="2188"/>
    </row>
    <row r="552" spans="1:11" ht="108">
      <c r="A552" s="1935" t="s">
        <v>2283</v>
      </c>
      <c r="B552" s="1928" t="s">
        <v>2243</v>
      </c>
      <c r="C552" s="1929" t="s">
        <v>21</v>
      </c>
      <c r="D552" s="1897">
        <v>5576.7349901757316</v>
      </c>
      <c r="E552" s="2065">
        <v>18736.850000000002</v>
      </c>
      <c r="F552" s="1930"/>
      <c r="G552" s="2091">
        <f t="shared" ref="G552:G576" si="24">D552*E552</f>
        <v>104490447.00067417</v>
      </c>
      <c r="H552" s="1936"/>
      <c r="I552" s="1860"/>
      <c r="J552" s="1543"/>
    </row>
    <row r="553" spans="1:11">
      <c r="A553" s="1944"/>
      <c r="B553" s="1945"/>
      <c r="C553" s="1941"/>
      <c r="D553" s="1942"/>
      <c r="E553" s="2004"/>
      <c r="F553" s="1946"/>
      <c r="G553" s="2105"/>
      <c r="H553" s="1947"/>
      <c r="I553" s="1860"/>
      <c r="J553" s="1922"/>
    </row>
    <row r="554" spans="1:11">
      <c r="A554" s="1815" t="s">
        <v>2284</v>
      </c>
      <c r="B554" s="313" t="s">
        <v>1929</v>
      </c>
      <c r="C554" s="1576"/>
      <c r="D554" s="1542"/>
      <c r="E554" s="1565"/>
      <c r="F554" s="220"/>
      <c r="G554" s="2106"/>
      <c r="H554" s="1608"/>
      <c r="I554" s="1860"/>
      <c r="J554" s="1543"/>
    </row>
    <row r="555" spans="1:11" ht="54">
      <c r="A555" s="75" t="s">
        <v>2285</v>
      </c>
      <c r="B555" s="1550" t="s">
        <v>2870</v>
      </c>
      <c r="C555" s="1576" t="s">
        <v>307</v>
      </c>
      <c r="D555" s="1542">
        <v>2894</v>
      </c>
      <c r="E555" s="1564">
        <v>6538.875</v>
      </c>
      <c r="F555" s="220"/>
      <c r="G555" s="2106">
        <f t="shared" si="24"/>
        <v>18923504.25</v>
      </c>
      <c r="H555" s="1608"/>
      <c r="I555" s="1860"/>
      <c r="J555" s="1543"/>
    </row>
    <row r="556" spans="1:11" ht="54">
      <c r="A556" s="1874" t="s">
        <v>3267</v>
      </c>
      <c r="B556" s="1937" t="s">
        <v>2866</v>
      </c>
      <c r="C556" s="1938" t="s">
        <v>307</v>
      </c>
      <c r="D556" s="1924">
        <v>1200</v>
      </c>
      <c r="E556" s="2092">
        <v>4209.7000000000007</v>
      </c>
      <c r="F556" s="1925"/>
      <c r="G556" s="2107">
        <f t="shared" si="24"/>
        <v>5051640.0000000009</v>
      </c>
      <c r="H556" s="1905"/>
      <c r="I556" s="1860"/>
      <c r="J556" s="1922"/>
    </row>
    <row r="557" spans="1:11">
      <c r="A557" s="1815" t="s">
        <v>2288</v>
      </c>
      <c r="B557" s="313" t="s">
        <v>1872</v>
      </c>
      <c r="C557" s="1576"/>
      <c r="D557" s="1542"/>
      <c r="E557" s="1565"/>
      <c r="F557" s="220"/>
      <c r="G557" s="2106"/>
      <c r="H557" s="1608"/>
      <c r="I557" s="1860"/>
      <c r="J557" s="1543"/>
    </row>
    <row r="558" spans="1:11" ht="54">
      <c r="A558" s="75" t="s">
        <v>2295</v>
      </c>
      <c r="B558" s="1550" t="s">
        <v>1862</v>
      </c>
      <c r="C558" s="1530" t="s">
        <v>19</v>
      </c>
      <c r="D558" s="1542">
        <v>50</v>
      </c>
      <c r="E558" s="1564">
        <v>8164.66</v>
      </c>
      <c r="F558" s="220"/>
      <c r="G558" s="2106">
        <f t="shared" si="24"/>
        <v>408233</v>
      </c>
      <c r="H558" s="1608"/>
      <c r="I558" s="1860"/>
      <c r="J558" s="1543"/>
    </row>
    <row r="559" spans="1:11" ht="54">
      <c r="A559" s="75" t="s">
        <v>2762</v>
      </c>
      <c r="B559" s="1550" t="s">
        <v>1881</v>
      </c>
      <c r="C559" s="1530" t="s">
        <v>19</v>
      </c>
      <c r="D559" s="1542">
        <v>3680.5793688843951</v>
      </c>
      <c r="E559" s="1564">
        <v>10205.825000000001</v>
      </c>
      <c r="F559" s="220"/>
      <c r="G559" s="2106">
        <f t="shared" si="24"/>
        <v>37563348.937444583</v>
      </c>
      <c r="H559" s="1608"/>
      <c r="I559" s="1860"/>
      <c r="J559" s="1543"/>
    </row>
    <row r="560" spans="1:11" ht="54">
      <c r="A560" s="75" t="s">
        <v>2965</v>
      </c>
      <c r="B560" s="1550" t="s">
        <v>1883</v>
      </c>
      <c r="C560" s="1530" t="s">
        <v>19</v>
      </c>
      <c r="D560" s="1542">
        <v>1577.391158093312</v>
      </c>
      <c r="E560" s="1564">
        <v>12246.99</v>
      </c>
      <c r="F560" s="220"/>
      <c r="G560" s="2106">
        <f t="shared" si="24"/>
        <v>19318293.739257213</v>
      </c>
      <c r="H560" s="1608"/>
      <c r="I560" s="1860"/>
      <c r="J560" s="1543"/>
    </row>
    <row r="561" spans="1:10" ht="54">
      <c r="A561" s="75" t="s">
        <v>2966</v>
      </c>
      <c r="B561" s="1550" t="s">
        <v>2412</v>
      </c>
      <c r="C561" s="1530" t="s">
        <v>19</v>
      </c>
      <c r="D561" s="1542">
        <v>20</v>
      </c>
      <c r="E561" s="1564">
        <v>7810.5300000000007</v>
      </c>
      <c r="F561" s="220"/>
      <c r="G561" s="2106">
        <f t="shared" si="24"/>
        <v>156210.6</v>
      </c>
      <c r="H561" s="1608"/>
      <c r="I561" s="1860"/>
      <c r="J561" s="1543"/>
    </row>
    <row r="562" spans="1:10">
      <c r="A562" s="1894"/>
      <c r="B562" s="1934"/>
      <c r="C562" s="1929"/>
      <c r="D562" s="1897"/>
      <c r="E562" s="2003"/>
      <c r="F562" s="1930"/>
      <c r="G562" s="2090"/>
      <c r="H562" s="1608"/>
      <c r="I562" s="1860"/>
      <c r="J562" s="1577"/>
    </row>
    <row r="563" spans="1:10">
      <c r="A563" s="1815" t="s">
        <v>2290</v>
      </c>
      <c r="B563" s="1557" t="s">
        <v>318</v>
      </c>
      <c r="C563" s="1576"/>
      <c r="D563" s="1542"/>
      <c r="E563" s="1565"/>
      <c r="F563" s="220"/>
      <c r="G563" s="2044"/>
      <c r="H563" s="1608"/>
      <c r="I563" s="1860"/>
      <c r="J563" s="1577"/>
    </row>
    <row r="564" spans="1:10" ht="54">
      <c r="A564" s="75" t="s">
        <v>2967</v>
      </c>
      <c r="B564" s="669" t="s">
        <v>2892</v>
      </c>
      <c r="C564" s="1576" t="s">
        <v>25</v>
      </c>
      <c r="D564" s="1542">
        <v>15.77391158093312</v>
      </c>
      <c r="E564" s="2067">
        <v>474681.89999999997</v>
      </c>
      <c r="F564" s="220"/>
      <c r="G564" s="2066">
        <f t="shared" si="24"/>
        <v>7487590.319669337</v>
      </c>
      <c r="H564" s="1608"/>
      <c r="I564" s="1860"/>
      <c r="J564" s="1577"/>
    </row>
    <row r="565" spans="1:10">
      <c r="A565" s="1815" t="s">
        <v>2291</v>
      </c>
      <c r="B565" s="1557" t="s">
        <v>1486</v>
      </c>
      <c r="C565" s="1576"/>
      <c r="D565" s="1542"/>
      <c r="E565" s="1565"/>
      <c r="F565" s="220"/>
      <c r="G565" s="2044"/>
      <c r="H565" s="1608"/>
      <c r="I565" s="1860"/>
      <c r="J565" s="1577"/>
    </row>
    <row r="566" spans="1:10" ht="36">
      <c r="A566" s="75" t="s">
        <v>2771</v>
      </c>
      <c r="B566" s="669" t="s">
        <v>2423</v>
      </c>
      <c r="C566" s="1576" t="s">
        <v>19</v>
      </c>
      <c r="D566" s="1542">
        <v>1314.4926317444269</v>
      </c>
      <c r="E566" s="1564">
        <v>668.5</v>
      </c>
      <c r="F566" s="220"/>
      <c r="G566" s="2044">
        <f t="shared" si="24"/>
        <v>878738.32432114938</v>
      </c>
      <c r="H566" s="1608"/>
      <c r="I566" s="1860"/>
      <c r="J566" s="1577"/>
    </row>
    <row r="567" spans="1:10" ht="36">
      <c r="A567" s="75" t="s">
        <v>2894</v>
      </c>
      <c r="B567" s="669" t="s">
        <v>2748</v>
      </c>
      <c r="C567" s="1576" t="s">
        <v>19</v>
      </c>
      <c r="D567" s="1542">
        <v>15.77391158093312</v>
      </c>
      <c r="E567" s="1564">
        <v>534.79999999999995</v>
      </c>
      <c r="F567" s="220"/>
      <c r="G567" s="2044">
        <f t="shared" si="24"/>
        <v>8435.8879134830313</v>
      </c>
      <c r="H567" s="1608"/>
      <c r="I567" s="1860"/>
      <c r="J567" s="1577"/>
    </row>
    <row r="568" spans="1:10" ht="54">
      <c r="A568" s="1815" t="s">
        <v>2292</v>
      </c>
      <c r="B568" s="1545" t="s">
        <v>2735</v>
      </c>
      <c r="C568" s="1576"/>
      <c r="D568" s="1542"/>
      <c r="E568" s="1565"/>
      <c r="F568" s="220"/>
      <c r="G568" s="2044"/>
      <c r="H568" s="1608"/>
      <c r="I568" s="1860"/>
      <c r="J568" s="1577"/>
    </row>
    <row r="569" spans="1:10">
      <c r="A569" s="1894" t="s">
        <v>2968</v>
      </c>
      <c r="B569" s="1928" t="s">
        <v>2286</v>
      </c>
      <c r="C569" s="1929" t="s">
        <v>21</v>
      </c>
      <c r="D569" s="1897">
        <v>3333</v>
      </c>
      <c r="E569" s="1564">
        <v>16560</v>
      </c>
      <c r="F569" s="220"/>
      <c r="G569" s="2044">
        <f t="shared" si="24"/>
        <v>55194480</v>
      </c>
      <c r="H569" s="1608"/>
      <c r="I569" s="1860"/>
      <c r="J569" s="1577"/>
    </row>
    <row r="570" spans="1:10">
      <c r="A570" s="75" t="s">
        <v>2969</v>
      </c>
      <c r="B570" s="669" t="s">
        <v>2287</v>
      </c>
      <c r="C570" s="1576" t="s">
        <v>21</v>
      </c>
      <c r="D570" s="1542">
        <v>2563.2606319016327</v>
      </c>
      <c r="E570" s="1564">
        <v>18216</v>
      </c>
      <c r="F570" s="220"/>
      <c r="G570" s="2044">
        <f t="shared" si="24"/>
        <v>46692355.670720138</v>
      </c>
      <c r="H570" s="1608"/>
      <c r="I570" s="1860"/>
      <c r="J570" s="1543"/>
    </row>
    <row r="571" spans="1:10">
      <c r="A571" s="1815" t="s">
        <v>2293</v>
      </c>
      <c r="B571" s="1548" t="s">
        <v>309</v>
      </c>
      <c r="C571" s="1576"/>
      <c r="D571" s="1542"/>
      <c r="E571" s="1565"/>
      <c r="F571" s="220"/>
      <c r="G571" s="2044"/>
      <c r="H571" s="1608"/>
      <c r="I571" s="1860"/>
      <c r="J571" s="1543"/>
    </row>
    <row r="572" spans="1:10" ht="54">
      <c r="A572" s="75" t="s">
        <v>2296</v>
      </c>
      <c r="B572" s="1549" t="s">
        <v>2038</v>
      </c>
      <c r="C572" s="1576" t="s">
        <v>19</v>
      </c>
      <c r="D572" s="1542">
        <v>270</v>
      </c>
      <c r="E572" s="1564">
        <v>1234.9729633333334</v>
      </c>
      <c r="F572" s="220"/>
      <c r="G572" s="2044">
        <f t="shared" si="24"/>
        <v>333442.70010000002</v>
      </c>
      <c r="H572" s="1608"/>
      <c r="I572" s="1860"/>
      <c r="J572" s="1577"/>
    </row>
    <row r="573" spans="1:10">
      <c r="A573" s="1815" t="s">
        <v>2294</v>
      </c>
      <c r="B573" s="313" t="s">
        <v>1649</v>
      </c>
      <c r="C573" s="1576"/>
      <c r="D573" s="1542"/>
      <c r="E573" s="1565"/>
      <c r="F573" s="220"/>
      <c r="G573" s="2044"/>
      <c r="H573" s="1608"/>
      <c r="I573" s="1860"/>
      <c r="J573" s="1577"/>
    </row>
    <row r="574" spans="1:10" ht="54">
      <c r="A574" s="1894" t="s">
        <v>2772</v>
      </c>
      <c r="B574" s="1940" t="s">
        <v>1248</v>
      </c>
      <c r="C574" s="1929" t="s">
        <v>322</v>
      </c>
      <c r="D574" s="1897">
        <v>130.82024999999999</v>
      </c>
      <c r="E574" s="2065">
        <v>174710.47619047618</v>
      </c>
      <c r="F574" s="1930"/>
      <c r="G574" s="2090">
        <f t="shared" si="24"/>
        <v>22855668.172857139</v>
      </c>
      <c r="H574" s="1608"/>
      <c r="I574" s="1860"/>
      <c r="J574" s="1577"/>
    </row>
    <row r="575" spans="1:10">
      <c r="A575" s="1815" t="s">
        <v>3270</v>
      </c>
      <c r="B575" s="1557" t="s">
        <v>3228</v>
      </c>
      <c r="C575" s="1530"/>
      <c r="D575" s="1542"/>
      <c r="E575" s="2002"/>
      <c r="F575" s="1904"/>
      <c r="G575" s="2044"/>
      <c r="H575" s="1905"/>
      <c r="I575" s="1860"/>
      <c r="J575" s="1906"/>
    </row>
    <row r="576" spans="1:10" s="2137" customFormat="1" ht="72">
      <c r="A576" s="2129" t="s">
        <v>3271</v>
      </c>
      <c r="B576" s="2138" t="s">
        <v>3369</v>
      </c>
      <c r="C576" s="2131" t="s">
        <v>46</v>
      </c>
      <c r="D576" s="2132">
        <v>177.77777777777777</v>
      </c>
      <c r="E576" s="2190">
        <v>1500</v>
      </c>
      <c r="F576" s="2117"/>
      <c r="G576" s="2191">
        <f t="shared" si="24"/>
        <v>266666.66666666669</v>
      </c>
      <c r="H576" s="2128"/>
      <c r="I576" s="2136"/>
      <c r="J576" s="2192"/>
    </row>
    <row r="577" spans="1:10" ht="17.25" customHeight="1">
      <c r="A577" s="1722"/>
      <c r="B577" s="1557"/>
      <c r="C577" s="1581"/>
      <c r="D577" s="1741"/>
      <c r="E577" s="1565"/>
      <c r="F577" s="1666" t="s">
        <v>1483</v>
      </c>
      <c r="G577" s="2036">
        <f>SUM(G551:G576)</f>
        <v>329835429.90962392</v>
      </c>
      <c r="H577" s="1822"/>
      <c r="I577" s="1850"/>
      <c r="J577" s="1717"/>
    </row>
    <row r="578" spans="1:10" s="315" customFormat="1">
      <c r="A578" s="1814" t="s">
        <v>2246</v>
      </c>
      <c r="B578" s="1533" t="s">
        <v>1513</v>
      </c>
      <c r="C578" s="1534"/>
      <c r="D578" s="1736"/>
      <c r="E578" s="2001"/>
      <c r="F578" s="1536"/>
      <c r="G578" s="2037"/>
      <c r="H578" s="1534"/>
      <c r="I578" s="1857"/>
      <c r="J578" s="1543"/>
    </row>
    <row r="579" spans="1:10" ht="108">
      <c r="A579" s="1815" t="s">
        <v>2297</v>
      </c>
      <c r="B579" s="669" t="s">
        <v>2944</v>
      </c>
      <c r="C579" s="1530" t="s">
        <v>21</v>
      </c>
      <c r="D579" s="1542">
        <v>1655.3586032832375</v>
      </c>
      <c r="E579" s="1564">
        <v>6784.25</v>
      </c>
      <c r="F579" s="220"/>
      <c r="G579" s="2024">
        <f>D579*E579</f>
        <v>11230366.604324304</v>
      </c>
      <c r="H579" s="1823"/>
      <c r="I579" s="1859"/>
      <c r="J579" s="1543"/>
    </row>
    <row r="580" spans="1:10">
      <c r="A580" s="1815" t="s">
        <v>2298</v>
      </c>
      <c r="B580" s="313" t="s">
        <v>1872</v>
      </c>
      <c r="C580" s="1530"/>
      <c r="D580" s="1542"/>
      <c r="E580" s="1564"/>
      <c r="F580" s="220"/>
      <c r="G580" s="2024">
        <f t="shared" ref="G580:G603" si="25">D580*E580</f>
        <v>0</v>
      </c>
      <c r="H580" s="1823"/>
      <c r="I580" s="1859"/>
      <c r="J580" s="1543"/>
    </row>
    <row r="581" spans="1:10" ht="54">
      <c r="A581" s="75" t="s">
        <v>2617</v>
      </c>
      <c r="B581" s="1550" t="s">
        <v>2747</v>
      </c>
      <c r="C581" s="1530" t="s">
        <v>19</v>
      </c>
      <c r="D581" s="1542">
        <v>60</v>
      </c>
      <c r="E581" s="1564">
        <v>5831.9000000000005</v>
      </c>
      <c r="F581" s="220"/>
      <c r="G581" s="2024">
        <f t="shared" si="25"/>
        <v>349914.00000000006</v>
      </c>
      <c r="H581" s="1823"/>
      <c r="I581" s="1859"/>
      <c r="J581" s="1543"/>
    </row>
    <row r="582" spans="1:10" ht="54">
      <c r="A582" s="75" t="s">
        <v>2970</v>
      </c>
      <c r="B582" s="1550" t="s">
        <v>2746</v>
      </c>
      <c r="C582" s="1530" t="s">
        <v>19</v>
      </c>
      <c r="D582" s="1542">
        <v>30</v>
      </c>
      <c r="E582" s="1564">
        <v>7289.875</v>
      </c>
      <c r="F582" s="220"/>
      <c r="G582" s="2024">
        <f t="shared" si="25"/>
        <v>218696.25</v>
      </c>
      <c r="H582" s="1823"/>
      <c r="I582" s="1859"/>
      <c r="J582" s="1543"/>
    </row>
    <row r="583" spans="1:10" ht="54">
      <c r="A583" s="75" t="s">
        <v>2971</v>
      </c>
      <c r="B583" s="1550" t="s">
        <v>2612</v>
      </c>
      <c r="C583" s="1530" t="s">
        <v>19</v>
      </c>
      <c r="D583" s="1542">
        <v>491.27493479255008</v>
      </c>
      <c r="E583" s="1564">
        <v>8747.85</v>
      </c>
      <c r="F583" s="220"/>
      <c r="G583" s="2024">
        <f t="shared" si="25"/>
        <v>4297599.4383250093</v>
      </c>
      <c r="H583" s="1823"/>
      <c r="I583" s="1859"/>
      <c r="J583" s="1543"/>
    </row>
    <row r="584" spans="1:10">
      <c r="A584" s="1815" t="s">
        <v>2299</v>
      </c>
      <c r="B584" s="1557" t="s">
        <v>1486</v>
      </c>
      <c r="C584" s="1530"/>
      <c r="D584" s="1542"/>
      <c r="E584" s="1564"/>
      <c r="F584" s="220"/>
      <c r="G584" s="2024">
        <f t="shared" si="25"/>
        <v>0</v>
      </c>
      <c r="H584" s="1823"/>
      <c r="I584" s="1859"/>
      <c r="J584" s="1543"/>
    </row>
    <row r="585" spans="1:10" ht="36">
      <c r="A585" s="75" t="s">
        <v>2303</v>
      </c>
      <c r="B585" s="669" t="s">
        <v>2655</v>
      </c>
      <c r="C585" s="1530" t="s">
        <v>19</v>
      </c>
      <c r="D585" s="1542">
        <v>50</v>
      </c>
      <c r="E585" s="1564">
        <v>534.79999999999995</v>
      </c>
      <c r="F585" s="220"/>
      <c r="G585" s="2024">
        <f t="shared" si="25"/>
        <v>26739.999999999996</v>
      </c>
      <c r="H585" s="1823"/>
      <c r="I585" s="1859"/>
      <c r="J585" s="1543"/>
    </row>
    <row r="586" spans="1:10" ht="36">
      <c r="A586" s="75" t="s">
        <v>2972</v>
      </c>
      <c r="B586" s="669" t="s">
        <v>2656</v>
      </c>
      <c r="C586" s="1530" t="s">
        <v>19</v>
      </c>
      <c r="D586" s="1542">
        <v>196.50997391702003</v>
      </c>
      <c r="E586" s="1564">
        <v>668.5</v>
      </c>
      <c r="F586" s="220"/>
      <c r="G586" s="2024">
        <f t="shared" si="25"/>
        <v>131366.91756352788</v>
      </c>
      <c r="H586" s="1608"/>
      <c r="I586" s="1860"/>
      <c r="J586" s="1543"/>
    </row>
    <row r="587" spans="1:10">
      <c r="A587" s="1815" t="s">
        <v>2300</v>
      </c>
      <c r="B587" s="313" t="s">
        <v>92</v>
      </c>
      <c r="C587" s="1530"/>
      <c r="D587" s="1542"/>
      <c r="E587" s="1564"/>
      <c r="F587" s="220"/>
      <c r="G587" s="2024">
        <f t="shared" si="25"/>
        <v>0</v>
      </c>
      <c r="H587" s="1608"/>
      <c r="I587" s="1860"/>
      <c r="J587" s="1543"/>
    </row>
    <row r="588" spans="1:10" ht="54">
      <c r="A588" s="75" t="s">
        <v>2304</v>
      </c>
      <c r="B588" s="1550" t="s">
        <v>2865</v>
      </c>
      <c r="C588" s="1530" t="s">
        <v>367</v>
      </c>
      <c r="D588" s="1542">
        <v>492</v>
      </c>
      <c r="E588" s="1564">
        <v>5512.75</v>
      </c>
      <c r="F588" s="220"/>
      <c r="G588" s="2024">
        <f t="shared" si="25"/>
        <v>2712273</v>
      </c>
      <c r="H588" s="1608"/>
      <c r="I588" s="1860"/>
      <c r="J588" s="1543"/>
    </row>
    <row r="589" spans="1:10">
      <c r="A589" s="1815" t="s">
        <v>2301</v>
      </c>
      <c r="B589" s="313" t="s">
        <v>2770</v>
      </c>
      <c r="C589" s="1530"/>
      <c r="D589" s="1542"/>
      <c r="E589" s="1564"/>
      <c r="F589" s="220"/>
      <c r="G589" s="2024">
        <f t="shared" si="25"/>
        <v>0</v>
      </c>
      <c r="H589" s="1608"/>
      <c r="I589" s="1860"/>
      <c r="J589" s="1543"/>
    </row>
    <row r="590" spans="1:10" ht="54">
      <c r="A590" s="75" t="s">
        <v>2973</v>
      </c>
      <c r="B590" s="669" t="s">
        <v>2881</v>
      </c>
      <c r="C590" s="1530" t="s">
        <v>307</v>
      </c>
      <c r="D590" s="1542">
        <v>151</v>
      </c>
      <c r="E590" s="1564">
        <v>12161.5</v>
      </c>
      <c r="F590" s="220"/>
      <c r="G590" s="2024">
        <f t="shared" si="25"/>
        <v>1836386.5</v>
      </c>
      <c r="H590" s="1608"/>
      <c r="I590" s="1860"/>
      <c r="J590" s="1577"/>
    </row>
    <row r="591" spans="1:10">
      <c r="A591" s="1815" t="s">
        <v>2302</v>
      </c>
      <c r="B591" s="1557" t="s">
        <v>318</v>
      </c>
      <c r="C591" s="1530"/>
      <c r="D591" s="1542"/>
      <c r="E591" s="1564"/>
      <c r="F591" s="220"/>
      <c r="G591" s="2024">
        <f t="shared" si="25"/>
        <v>0</v>
      </c>
      <c r="H591" s="1608"/>
      <c r="I591" s="1860"/>
      <c r="J591" s="1577"/>
    </row>
    <row r="592" spans="1:10" ht="54">
      <c r="A592" s="75" t="s">
        <v>2703</v>
      </c>
      <c r="B592" s="669" t="s">
        <v>2892</v>
      </c>
      <c r="C592" s="1530" t="s">
        <v>322</v>
      </c>
      <c r="D592" s="1542">
        <v>7.3849775699942883</v>
      </c>
      <c r="E592" s="1564">
        <v>339058.5</v>
      </c>
      <c r="F592" s="220"/>
      <c r="G592" s="2024">
        <f t="shared" si="25"/>
        <v>2503939.4174159085</v>
      </c>
      <c r="H592" s="1608"/>
      <c r="I592" s="1860"/>
      <c r="J592" s="1543"/>
    </row>
    <row r="593" spans="1:10" ht="54">
      <c r="A593" s="75" t="s">
        <v>2974</v>
      </c>
      <c r="B593" s="669" t="s">
        <v>3229</v>
      </c>
      <c r="C593" s="1530" t="s">
        <v>322</v>
      </c>
      <c r="D593" s="1542">
        <v>1</v>
      </c>
      <c r="E593" s="1564">
        <v>372964.35000000003</v>
      </c>
      <c r="F593" s="220"/>
      <c r="G593" s="2024">
        <f t="shared" si="25"/>
        <v>372964.35000000003</v>
      </c>
      <c r="H593" s="1608"/>
      <c r="I593" s="1860"/>
      <c r="J593" s="1543"/>
    </row>
    <row r="594" spans="1:10" ht="36">
      <c r="A594" s="1815" t="s">
        <v>2975</v>
      </c>
      <c r="B594" s="1557" t="s">
        <v>2890</v>
      </c>
      <c r="C594" s="1530" t="s">
        <v>19</v>
      </c>
      <c r="D594" s="1542">
        <v>148.41</v>
      </c>
      <c r="E594" s="1564">
        <v>350</v>
      </c>
      <c r="F594" s="220"/>
      <c r="G594" s="2024">
        <f t="shared" si="25"/>
        <v>51943.5</v>
      </c>
      <c r="H594" s="1608"/>
      <c r="I594" s="1860"/>
      <c r="J594" s="1543"/>
    </row>
    <row r="595" spans="1:10" ht="54">
      <c r="A595" s="1815" t="s">
        <v>2976</v>
      </c>
      <c r="B595" s="1545" t="s">
        <v>2735</v>
      </c>
      <c r="C595" s="1530"/>
      <c r="D595" s="1542"/>
      <c r="E595" s="1564"/>
      <c r="F595" s="220"/>
      <c r="G595" s="2024">
        <f t="shared" si="25"/>
        <v>0</v>
      </c>
      <c r="H595" s="1608"/>
      <c r="I595" s="1860"/>
      <c r="J595" s="1543"/>
    </row>
    <row r="596" spans="1:10">
      <c r="A596" s="75" t="s">
        <v>2977</v>
      </c>
      <c r="B596" s="669" t="s">
        <v>2221</v>
      </c>
      <c r="C596" s="1530" t="s">
        <v>21</v>
      </c>
      <c r="D596" s="1542">
        <v>30.729600000000005</v>
      </c>
      <c r="E596" s="1564">
        <v>16560</v>
      </c>
      <c r="F596" s="220"/>
      <c r="G596" s="2024">
        <f t="shared" si="25"/>
        <v>508882.17600000009</v>
      </c>
      <c r="H596" s="1823"/>
      <c r="I596" s="1859"/>
      <c r="J596" s="1543"/>
    </row>
    <row r="597" spans="1:10">
      <c r="A597" s="75" t="s">
        <v>2978</v>
      </c>
      <c r="B597" s="669" t="s">
        <v>2305</v>
      </c>
      <c r="C597" s="1530" t="s">
        <v>21</v>
      </c>
      <c r="D597" s="1542">
        <v>461.68</v>
      </c>
      <c r="E597" s="1564">
        <v>19638</v>
      </c>
      <c r="F597" s="220"/>
      <c r="G597" s="2024">
        <f t="shared" si="25"/>
        <v>9066471.8399999999</v>
      </c>
      <c r="H597" s="1823"/>
      <c r="I597" s="1859"/>
      <c r="J597" s="1543"/>
    </row>
    <row r="598" spans="1:10">
      <c r="A598" s="1815" t="s">
        <v>2979</v>
      </c>
      <c r="B598" s="313" t="s">
        <v>1649</v>
      </c>
      <c r="C598" s="1530"/>
      <c r="D598" s="1542"/>
      <c r="E598" s="1564"/>
      <c r="F598" s="220"/>
      <c r="G598" s="2024">
        <f t="shared" si="25"/>
        <v>0</v>
      </c>
      <c r="H598" s="1823"/>
      <c r="I598" s="1859"/>
      <c r="J598" s="1543"/>
    </row>
    <row r="599" spans="1:10" ht="54">
      <c r="A599" s="75" t="s">
        <v>2980</v>
      </c>
      <c r="B599" s="1550" t="s">
        <v>2306</v>
      </c>
      <c r="C599" s="1530" t="s">
        <v>322</v>
      </c>
      <c r="D599" s="1542">
        <v>28.990615200000001</v>
      </c>
      <c r="E599" s="1564">
        <v>174710.47619047618</v>
      </c>
      <c r="F599" s="220"/>
      <c r="G599" s="2024">
        <f t="shared" si="25"/>
        <v>5064964.1866468573</v>
      </c>
      <c r="H599" s="1823"/>
      <c r="I599" s="1859"/>
      <c r="J599" s="1543"/>
    </row>
    <row r="600" spans="1:10" ht="54">
      <c r="A600" s="1815" t="s">
        <v>2981</v>
      </c>
      <c r="B600" s="1557" t="s">
        <v>2418</v>
      </c>
      <c r="C600" s="1530" t="s">
        <v>438</v>
      </c>
      <c r="D600" s="1542">
        <v>738.49775699942882</v>
      </c>
      <c r="E600" s="1564">
        <v>174.71047619047619</v>
      </c>
      <c r="F600" s="220"/>
      <c r="G600" s="2024">
        <f t="shared" si="25"/>
        <v>129023.29479096878</v>
      </c>
      <c r="H600" s="1823"/>
      <c r="I600" s="1859"/>
      <c r="J600" s="1543"/>
    </row>
    <row r="601" spans="1:10">
      <c r="A601" s="1815" t="s">
        <v>3230</v>
      </c>
      <c r="B601" s="315" t="s">
        <v>309</v>
      </c>
      <c r="C601" s="1530"/>
      <c r="D601" s="1542"/>
      <c r="E601" s="1565"/>
      <c r="F601" s="220"/>
      <c r="G601" s="2024">
        <f t="shared" si="25"/>
        <v>0</v>
      </c>
      <c r="H601" s="1823"/>
      <c r="I601" s="1859"/>
      <c r="J601" s="1543"/>
    </row>
    <row r="602" spans="1:10" ht="54">
      <c r="A602" s="2068" t="s">
        <v>3276</v>
      </c>
      <c r="B602" s="2084" t="s">
        <v>1249</v>
      </c>
      <c r="C602" s="2070" t="s">
        <v>19</v>
      </c>
      <c r="D602" s="2071">
        <v>140.4</v>
      </c>
      <c r="E602" s="2013">
        <v>1234.9729633333334</v>
      </c>
      <c r="F602" s="2072"/>
      <c r="G602" s="2075">
        <f t="shared" si="25"/>
        <v>173390.20405200002</v>
      </c>
      <c r="H602" s="1823"/>
      <c r="I602" s="1859"/>
      <c r="J602" s="1543"/>
    </row>
    <row r="603" spans="1:10" ht="144">
      <c r="A603" s="2085" t="s">
        <v>3314</v>
      </c>
      <c r="B603" s="2086" t="s">
        <v>3334</v>
      </c>
      <c r="C603" s="2087" t="s">
        <v>322</v>
      </c>
      <c r="D603" s="2088">
        <v>10</v>
      </c>
      <c r="E603" s="2089">
        <v>197133.20930232559</v>
      </c>
      <c r="F603" s="2080"/>
      <c r="G603" s="2075">
        <f t="shared" si="25"/>
        <v>1971332.0930232559</v>
      </c>
      <c r="H603" s="1921"/>
      <c r="I603" s="1859"/>
      <c r="J603" s="1922"/>
    </row>
    <row r="604" spans="1:10" ht="17.25" customHeight="1">
      <c r="A604" s="1722"/>
      <c r="B604" s="1557"/>
      <c r="C604" s="1563"/>
      <c r="D604" s="1688"/>
      <c r="E604" s="1565"/>
      <c r="F604" s="1666" t="s">
        <v>1483</v>
      </c>
      <c r="G604" s="2036">
        <f>SUM(G579:G603)</f>
        <v>40646253.772141837</v>
      </c>
      <c r="H604" s="1824"/>
      <c r="I604" s="1850"/>
      <c r="J604" s="1717"/>
    </row>
    <row r="605" spans="1:10">
      <c r="A605" s="1814" t="s">
        <v>2247</v>
      </c>
      <c r="B605" s="1533" t="s">
        <v>1521</v>
      </c>
      <c r="C605" s="1551"/>
      <c r="D605" s="1738"/>
      <c r="E605" s="2001"/>
      <c r="F605" s="1536"/>
      <c r="G605" s="2045"/>
      <c r="H605" s="1534"/>
      <c r="I605" s="1857"/>
      <c r="J605" s="1543"/>
    </row>
    <row r="606" spans="1:10" s="1582" customFormat="1">
      <c r="A606" s="1815" t="s">
        <v>2321</v>
      </c>
      <c r="B606" s="1548" t="s">
        <v>18</v>
      </c>
      <c r="C606" s="1572"/>
      <c r="D606" s="1737"/>
      <c r="E606" s="2005"/>
      <c r="F606" s="1573"/>
      <c r="G606" s="2038"/>
      <c r="H606" s="1816"/>
      <c r="I606" s="1857"/>
      <c r="J606" s="1543"/>
    </row>
    <row r="607" spans="1:10" ht="72">
      <c r="A607" s="75" t="s">
        <v>2322</v>
      </c>
      <c r="B607" s="1555" t="s">
        <v>2847</v>
      </c>
      <c r="C607" s="1530" t="s">
        <v>19</v>
      </c>
      <c r="D607" s="1542">
        <v>350</v>
      </c>
      <c r="E607" s="1564">
        <v>40.5</v>
      </c>
      <c r="F607" s="220"/>
      <c r="G607" s="2047">
        <f>D607*E607</f>
        <v>14175</v>
      </c>
      <c r="H607" s="1823"/>
      <c r="I607" s="1860"/>
      <c r="J607" s="1542"/>
    </row>
    <row r="608" spans="1:10" ht="72">
      <c r="A608" s="1815" t="s">
        <v>2323</v>
      </c>
      <c r="B608" s="1544" t="s">
        <v>2849</v>
      </c>
      <c r="C608" s="1530"/>
      <c r="D608" s="1542"/>
      <c r="E608" s="1564"/>
      <c r="F608" s="220"/>
      <c r="G608" s="2047">
        <f t="shared" ref="G608:G619" si="26">D608*E608</f>
        <v>0</v>
      </c>
      <c r="H608" s="1823"/>
      <c r="I608" s="1860"/>
      <c r="J608" s="1542"/>
    </row>
    <row r="609" spans="1:10">
      <c r="A609" s="75" t="s">
        <v>2324</v>
      </c>
      <c r="B609" s="220" t="s">
        <v>63</v>
      </c>
      <c r="C609" s="1530" t="s">
        <v>21</v>
      </c>
      <c r="D609" s="1542">
        <v>5714.58</v>
      </c>
      <c r="E609" s="1564">
        <v>1385.23</v>
      </c>
      <c r="F609" s="220"/>
      <c r="G609" s="2047">
        <f t="shared" si="26"/>
        <v>7916007.6534000002</v>
      </c>
      <c r="H609" s="1823"/>
      <c r="I609" s="1859"/>
      <c r="J609" s="1542"/>
    </row>
    <row r="610" spans="1:10">
      <c r="A610" s="1815" t="s">
        <v>2325</v>
      </c>
      <c r="B610" s="313" t="s">
        <v>92</v>
      </c>
      <c r="C610" s="1530"/>
      <c r="D610" s="1542"/>
      <c r="E610" s="1564"/>
      <c r="F610" s="220"/>
      <c r="G610" s="2047">
        <f t="shared" si="26"/>
        <v>0</v>
      </c>
      <c r="H610" s="1823"/>
      <c r="I610" s="1859"/>
      <c r="J610" s="1542"/>
    </row>
    <row r="611" spans="1:10" ht="54">
      <c r="A611" s="75" t="s">
        <v>2329</v>
      </c>
      <c r="B611" s="1550" t="s">
        <v>2865</v>
      </c>
      <c r="C611" s="1530" t="s">
        <v>307</v>
      </c>
      <c r="D611" s="1542">
        <v>445</v>
      </c>
      <c r="E611" s="1564">
        <v>5512.75</v>
      </c>
      <c r="F611" s="220"/>
      <c r="G611" s="2047">
        <f t="shared" si="26"/>
        <v>2453173.75</v>
      </c>
      <c r="H611" s="1823"/>
      <c r="I611" s="1860"/>
      <c r="J611" s="1542"/>
    </row>
    <row r="612" spans="1:10">
      <c r="A612" s="1815" t="s">
        <v>2326</v>
      </c>
      <c r="B612" s="313" t="s">
        <v>1872</v>
      </c>
      <c r="C612" s="1530"/>
      <c r="D612" s="1542"/>
      <c r="E612" s="1564"/>
      <c r="F612" s="220"/>
      <c r="G612" s="2047">
        <f t="shared" si="26"/>
        <v>0</v>
      </c>
      <c r="H612" s="1823"/>
      <c r="I612" s="1860"/>
      <c r="J612" s="1542"/>
    </row>
    <row r="613" spans="1:10" ht="54">
      <c r="A613" s="75" t="s">
        <v>2330</v>
      </c>
      <c r="B613" s="1550" t="s">
        <v>1874</v>
      </c>
      <c r="C613" s="1530" t="s">
        <v>19</v>
      </c>
      <c r="D613" s="1542">
        <v>20</v>
      </c>
      <c r="E613" s="1564">
        <v>2789.4750000000004</v>
      </c>
      <c r="F613" s="220"/>
      <c r="G613" s="2047">
        <f t="shared" si="26"/>
        <v>55789.500000000007</v>
      </c>
      <c r="H613" s="1823"/>
      <c r="I613" s="1860"/>
      <c r="J613" s="1542"/>
    </row>
    <row r="614" spans="1:10" ht="54">
      <c r="A614" s="75" t="s">
        <v>2982</v>
      </c>
      <c r="B614" s="1550" t="s">
        <v>1876</v>
      </c>
      <c r="C614" s="1530" t="s">
        <v>19</v>
      </c>
      <c r="D614" s="1542">
        <v>50</v>
      </c>
      <c r="E614" s="1564">
        <v>4184.2125000000005</v>
      </c>
      <c r="F614" s="220"/>
      <c r="G614" s="2047">
        <f t="shared" si="26"/>
        <v>209210.62500000003</v>
      </c>
      <c r="H614" s="1823"/>
      <c r="I614" s="1860"/>
      <c r="J614" s="1542"/>
    </row>
    <row r="615" spans="1:10" ht="54">
      <c r="A615" s="75" t="s">
        <v>2983</v>
      </c>
      <c r="B615" s="1550" t="s">
        <v>1807</v>
      </c>
      <c r="C615" s="1530" t="s">
        <v>19</v>
      </c>
      <c r="D615" s="1542">
        <v>1000</v>
      </c>
      <c r="E615" s="1564">
        <v>5578.9500000000007</v>
      </c>
      <c r="F615" s="220"/>
      <c r="G615" s="2047">
        <f t="shared" si="26"/>
        <v>5578950.0000000009</v>
      </c>
      <c r="H615" s="1823"/>
      <c r="I615" s="1860"/>
      <c r="J615" s="1542"/>
    </row>
    <row r="616" spans="1:10">
      <c r="A616" s="1815" t="s">
        <v>2327</v>
      </c>
      <c r="B616" s="1557" t="s">
        <v>1484</v>
      </c>
      <c r="C616" s="1530" t="s">
        <v>307</v>
      </c>
      <c r="D616" s="1542">
        <v>334</v>
      </c>
      <c r="E616" s="1564">
        <v>618</v>
      </c>
      <c r="F616" s="220"/>
      <c r="G616" s="2047">
        <f t="shared" si="26"/>
        <v>206412</v>
      </c>
      <c r="H616" s="1823"/>
      <c r="I616" s="1859"/>
      <c r="J616" s="1542"/>
    </row>
    <row r="617" spans="1:10">
      <c r="A617" s="1815" t="s">
        <v>2328</v>
      </c>
      <c r="B617" s="1557" t="s">
        <v>1486</v>
      </c>
      <c r="C617" s="1530"/>
      <c r="D617" s="1542"/>
      <c r="E617" s="1564"/>
      <c r="F617" s="220"/>
      <c r="G617" s="2047"/>
      <c r="H617" s="1823"/>
      <c r="I617" s="1859"/>
      <c r="J617" s="1542"/>
    </row>
    <row r="618" spans="1:10" ht="36">
      <c r="A618" s="75" t="s">
        <v>2331</v>
      </c>
      <c r="B618" s="669" t="s">
        <v>2395</v>
      </c>
      <c r="C618" s="1607" t="s">
        <v>19</v>
      </c>
      <c r="D618" s="1542">
        <v>20</v>
      </c>
      <c r="E618" s="1564">
        <v>534.79999999999995</v>
      </c>
      <c r="F618" s="220"/>
      <c r="G618" s="2047">
        <f t="shared" si="26"/>
        <v>10696</v>
      </c>
      <c r="H618" s="1823"/>
      <c r="I618" s="1859"/>
      <c r="J618" s="1542"/>
    </row>
    <row r="619" spans="1:10" ht="36">
      <c r="A619" s="75" t="s">
        <v>2331</v>
      </c>
      <c r="B619" s="669" t="s">
        <v>2769</v>
      </c>
      <c r="C619" s="1530" t="s">
        <v>19</v>
      </c>
      <c r="D619" s="1542">
        <v>1000</v>
      </c>
      <c r="E619" s="1564">
        <v>668.5</v>
      </c>
      <c r="F619" s="220"/>
      <c r="G619" s="2047">
        <f t="shared" si="26"/>
        <v>668500</v>
      </c>
      <c r="H619" s="1823"/>
      <c r="I619" s="1859"/>
      <c r="J619" s="1542"/>
    </row>
    <row r="620" spans="1:10" ht="17.25" customHeight="1">
      <c r="A620" s="1722"/>
      <c r="B620" s="1557"/>
      <c r="C620" s="1563"/>
      <c r="D620" s="1688"/>
      <c r="E620" s="1565"/>
      <c r="F620" s="1666" t="s">
        <v>1483</v>
      </c>
      <c r="G620" s="2036">
        <f>SUM(G607:G619)</f>
        <v>17112914.5284</v>
      </c>
      <c r="H620" s="1824"/>
      <c r="I620" s="1850"/>
      <c r="J620" s="1717"/>
    </row>
    <row r="621" spans="1:10">
      <c r="A621" s="1814" t="s">
        <v>2248</v>
      </c>
      <c r="B621" s="1533" t="s">
        <v>1526</v>
      </c>
      <c r="C621" s="1551"/>
      <c r="D621" s="1738"/>
      <c r="E621" s="2001"/>
      <c r="F621" s="1536"/>
      <c r="G621" s="2045"/>
      <c r="H621" s="1534"/>
      <c r="I621" s="1857"/>
      <c r="J621" s="1543"/>
    </row>
    <row r="622" spans="1:10" s="1582" customFormat="1">
      <c r="A622" s="1815" t="s">
        <v>2332</v>
      </c>
      <c r="B622" s="1548" t="s">
        <v>1961</v>
      </c>
      <c r="C622" s="1572"/>
      <c r="D622" s="1737"/>
      <c r="E622" s="2005"/>
      <c r="F622" s="1573"/>
      <c r="G622" s="2038"/>
      <c r="H622" s="1816"/>
      <c r="I622" s="1857"/>
      <c r="J622" s="1543"/>
    </row>
    <row r="623" spans="1:10" ht="108">
      <c r="A623" s="75" t="s">
        <v>2333</v>
      </c>
      <c r="B623" s="1556" t="s">
        <v>2008</v>
      </c>
      <c r="C623" s="1607" t="s">
        <v>21</v>
      </c>
      <c r="D623" s="1542">
        <v>1035.3929477761615</v>
      </c>
      <c r="E623" s="1564">
        <v>6784.25</v>
      </c>
      <c r="F623" s="220"/>
      <c r="G623" s="2024">
        <f>D623*E623</f>
        <v>7024364.6059504235</v>
      </c>
      <c r="H623" s="1823"/>
      <c r="I623" s="1859"/>
      <c r="J623" s="1542"/>
    </row>
    <row r="624" spans="1:10">
      <c r="A624" s="1815" t="s">
        <v>2367</v>
      </c>
      <c r="B624" s="313" t="s">
        <v>1872</v>
      </c>
      <c r="C624" s="1607"/>
      <c r="D624" s="1542"/>
      <c r="E624" s="1564"/>
      <c r="F624" s="220"/>
      <c r="G624" s="2024"/>
      <c r="H624" s="1823"/>
      <c r="I624" s="1859"/>
      <c r="J624" s="1542"/>
    </row>
    <row r="625" spans="1:10" ht="54">
      <c r="A625" s="75" t="s">
        <v>2375</v>
      </c>
      <c r="B625" s="1550" t="s">
        <v>2606</v>
      </c>
      <c r="C625" s="1607" t="s">
        <v>19</v>
      </c>
      <c r="D625" s="1542">
        <v>10</v>
      </c>
      <c r="E625" s="1564">
        <v>2789.4750000000004</v>
      </c>
      <c r="F625" s="220"/>
      <c r="G625" s="2024">
        <f t="shared" ref="G625:G647" si="27">D625*E625</f>
        <v>27894.750000000004</v>
      </c>
      <c r="H625" s="1823"/>
      <c r="I625" s="1859"/>
      <c r="J625" s="1542"/>
    </row>
    <row r="626" spans="1:10" ht="54">
      <c r="A626" s="75" t="s">
        <v>2704</v>
      </c>
      <c r="B626" s="1550" t="s">
        <v>2607</v>
      </c>
      <c r="C626" s="1607" t="s">
        <v>19</v>
      </c>
      <c r="D626" s="1542">
        <v>12</v>
      </c>
      <c r="E626" s="1564">
        <v>4184.2125000000005</v>
      </c>
      <c r="F626" s="220"/>
      <c r="G626" s="2024">
        <f t="shared" si="27"/>
        <v>50210.55</v>
      </c>
      <c r="H626" s="1823"/>
      <c r="I626" s="1859"/>
      <c r="J626" s="1542"/>
    </row>
    <row r="627" spans="1:10" ht="54">
      <c r="A627" s="75" t="s">
        <v>2705</v>
      </c>
      <c r="B627" s="1550" t="s">
        <v>2412</v>
      </c>
      <c r="C627" s="1607" t="s">
        <v>19</v>
      </c>
      <c r="D627" s="1542">
        <v>10</v>
      </c>
      <c r="E627" s="1564">
        <v>5578.9500000000007</v>
      </c>
      <c r="F627" s="220"/>
      <c r="G627" s="2024">
        <f t="shared" si="27"/>
        <v>55789.500000000007</v>
      </c>
      <c r="H627" s="1823"/>
      <c r="I627" s="1859"/>
      <c r="J627" s="1542"/>
    </row>
    <row r="628" spans="1:10" ht="54">
      <c r="A628" s="75" t="s">
        <v>2706</v>
      </c>
      <c r="B628" s="1550" t="s">
        <v>1862</v>
      </c>
      <c r="C628" s="1607" t="s">
        <v>19</v>
      </c>
      <c r="D628" s="1542">
        <v>388.5246460415525</v>
      </c>
      <c r="E628" s="1564">
        <v>5831.9000000000005</v>
      </c>
      <c r="F628" s="220"/>
      <c r="G628" s="2024">
        <f t="shared" si="27"/>
        <v>2265836.8832497303</v>
      </c>
      <c r="H628" s="1823"/>
      <c r="I628" s="1859"/>
      <c r="J628" s="1542"/>
    </row>
    <row r="629" spans="1:10" ht="54">
      <c r="A629" s="75" t="s">
        <v>2764</v>
      </c>
      <c r="B629" s="1550" t="s">
        <v>1881</v>
      </c>
      <c r="C629" s="1607" t="s">
        <v>2614</v>
      </c>
      <c r="D629" s="1542">
        <v>231.72708331798782</v>
      </c>
      <c r="E629" s="1564">
        <v>7289.875</v>
      </c>
      <c r="F629" s="220"/>
      <c r="G629" s="2024">
        <f t="shared" si="27"/>
        <v>1689261.4715027164</v>
      </c>
      <c r="H629" s="1823"/>
      <c r="I629" s="1859"/>
      <c r="J629" s="1542"/>
    </row>
    <row r="630" spans="1:10" ht="54">
      <c r="A630" s="75" t="s">
        <v>2765</v>
      </c>
      <c r="B630" s="1550" t="s">
        <v>1883</v>
      </c>
      <c r="C630" s="1607" t="s">
        <v>19</v>
      </c>
      <c r="D630" s="1542">
        <v>153.0970179050482</v>
      </c>
      <c r="E630" s="1564">
        <v>8747.85</v>
      </c>
      <c r="F630" s="220"/>
      <c r="G630" s="2024">
        <f t="shared" si="27"/>
        <v>1339269.748080676</v>
      </c>
      <c r="H630" s="1823"/>
      <c r="I630" s="1859"/>
      <c r="J630" s="1542"/>
    </row>
    <row r="631" spans="1:10" ht="54">
      <c r="A631" s="1815" t="s">
        <v>2368</v>
      </c>
      <c r="B631" s="1545" t="s">
        <v>2735</v>
      </c>
      <c r="C631" s="1607"/>
      <c r="D631" s="1542"/>
      <c r="E631" s="1564"/>
      <c r="F631" s="220"/>
      <c r="G631" s="2024">
        <f t="shared" si="27"/>
        <v>0</v>
      </c>
      <c r="H631" s="1823"/>
      <c r="I631" s="1859"/>
      <c r="J631" s="1542"/>
    </row>
    <row r="632" spans="1:10">
      <c r="A632" s="75" t="s">
        <v>2376</v>
      </c>
      <c r="B632" s="669" t="s">
        <v>2334</v>
      </c>
      <c r="C632" s="1607" t="s">
        <v>21</v>
      </c>
      <c r="D632" s="1542">
        <v>38.852464604155251</v>
      </c>
      <c r="E632" s="1564">
        <v>19638</v>
      </c>
      <c r="F632" s="220"/>
      <c r="G632" s="2024">
        <f t="shared" si="27"/>
        <v>762984.69989640079</v>
      </c>
      <c r="H632" s="1823"/>
      <c r="I632" s="1859"/>
      <c r="J632" s="1542"/>
    </row>
    <row r="633" spans="1:10">
      <c r="A633" s="75" t="s">
        <v>2377</v>
      </c>
      <c r="B633" s="669" t="s">
        <v>2335</v>
      </c>
      <c r="C633" s="1607" t="s">
        <v>19</v>
      </c>
      <c r="D633" s="1542">
        <v>44.760960000000004</v>
      </c>
      <c r="E633" s="1564">
        <v>16560</v>
      </c>
      <c r="F633" s="220"/>
      <c r="G633" s="2024">
        <f t="shared" si="27"/>
        <v>741241.49760000012</v>
      </c>
      <c r="H633" s="1823"/>
      <c r="I633" s="1859"/>
      <c r="J633" s="1542"/>
    </row>
    <row r="634" spans="1:10">
      <c r="A634" s="1815" t="s">
        <v>2369</v>
      </c>
      <c r="B634" s="1548" t="s">
        <v>309</v>
      </c>
      <c r="C634" s="1607"/>
      <c r="D634" s="1542"/>
      <c r="E634" s="1564"/>
      <c r="F634" s="220"/>
      <c r="G634" s="2024">
        <f t="shared" si="27"/>
        <v>0</v>
      </c>
      <c r="H634" s="1823"/>
      <c r="I634" s="1859"/>
      <c r="J634" s="1542"/>
    </row>
    <row r="635" spans="1:10" ht="54">
      <c r="A635" s="75" t="s">
        <v>2378</v>
      </c>
      <c r="B635" s="1549" t="s">
        <v>2038</v>
      </c>
      <c r="C635" s="1607" t="s">
        <v>19</v>
      </c>
      <c r="D635" s="1542">
        <v>155.40985841662101</v>
      </c>
      <c r="E635" s="1564">
        <v>1234.9729633333334</v>
      </c>
      <c r="F635" s="220"/>
      <c r="G635" s="2024">
        <f t="shared" si="27"/>
        <v>191926.97337998822</v>
      </c>
      <c r="H635" s="1823"/>
      <c r="I635" s="1859"/>
      <c r="J635" s="1542"/>
    </row>
    <row r="636" spans="1:10">
      <c r="A636" s="1815" t="s">
        <v>2370</v>
      </c>
      <c r="B636" s="313" t="s">
        <v>1649</v>
      </c>
      <c r="C636" s="1607"/>
      <c r="D636" s="1542"/>
      <c r="E636" s="1564"/>
      <c r="F636" s="220"/>
      <c r="G636" s="2024">
        <f t="shared" si="27"/>
        <v>0</v>
      </c>
      <c r="H636" s="1823"/>
      <c r="I636" s="1859"/>
      <c r="J636" s="1542"/>
    </row>
    <row r="637" spans="1:10" ht="54">
      <c r="A637" s="75" t="s">
        <v>2984</v>
      </c>
      <c r="B637" s="1550" t="s">
        <v>2306</v>
      </c>
      <c r="C637" s="1607" t="s">
        <v>25</v>
      </c>
      <c r="D637" s="1542">
        <v>2.6353015200000001</v>
      </c>
      <c r="E637" s="1564">
        <v>174710.47619047618</v>
      </c>
      <c r="F637" s="220"/>
      <c r="G637" s="2024">
        <f t="shared" si="27"/>
        <v>460414.78346468572</v>
      </c>
      <c r="H637" s="1823"/>
      <c r="I637" s="1859"/>
      <c r="J637" s="1542"/>
    </row>
    <row r="638" spans="1:10">
      <c r="A638" s="1815" t="s">
        <v>2371</v>
      </c>
      <c r="B638" s="313" t="s">
        <v>92</v>
      </c>
      <c r="C638" s="1607"/>
      <c r="D638" s="1542"/>
      <c r="E638" s="1564"/>
      <c r="F638" s="220"/>
      <c r="G638" s="2024">
        <f t="shared" si="27"/>
        <v>0</v>
      </c>
      <c r="H638" s="1823"/>
      <c r="I638" s="1859"/>
      <c r="J638" s="1542"/>
    </row>
    <row r="639" spans="1:10" ht="54">
      <c r="A639" s="75" t="s">
        <v>2774</v>
      </c>
      <c r="B639" s="1550" t="s">
        <v>2867</v>
      </c>
      <c r="C639" s="1607" t="s">
        <v>367</v>
      </c>
      <c r="D639" s="1542">
        <v>1212</v>
      </c>
      <c r="E639" s="1564">
        <v>4795.1750000000002</v>
      </c>
      <c r="F639" s="220"/>
      <c r="G639" s="2024">
        <f t="shared" si="27"/>
        <v>5811752.1000000006</v>
      </c>
      <c r="H639" s="1823"/>
      <c r="I639" s="1859"/>
      <c r="J639" s="1542"/>
    </row>
    <row r="640" spans="1:10">
      <c r="A640" s="1815" t="s">
        <v>2372</v>
      </c>
      <c r="B640" s="1557" t="s">
        <v>2104</v>
      </c>
      <c r="C640" s="1607"/>
      <c r="D640" s="1542"/>
      <c r="E640" s="1564"/>
      <c r="F640" s="220"/>
      <c r="G640" s="2024">
        <f t="shared" si="27"/>
        <v>0</v>
      </c>
      <c r="H640" s="1823"/>
      <c r="I640" s="1859"/>
      <c r="J640" s="1542"/>
    </row>
    <row r="641" spans="1:10" ht="54">
      <c r="A641" s="75" t="s">
        <v>2985</v>
      </c>
      <c r="B641" s="669" t="s">
        <v>2871</v>
      </c>
      <c r="C641" s="1607" t="s">
        <v>367</v>
      </c>
      <c r="D641" s="1542">
        <v>114</v>
      </c>
      <c r="E641" s="1564">
        <v>12161.5</v>
      </c>
      <c r="F641" s="220"/>
      <c r="G641" s="2024">
        <f t="shared" si="27"/>
        <v>1386411</v>
      </c>
      <c r="H641" s="1823"/>
      <c r="I641" s="1859"/>
      <c r="J641" s="1542"/>
    </row>
    <row r="642" spans="1:10" ht="36">
      <c r="A642" s="1815" t="s">
        <v>2373</v>
      </c>
      <c r="B642" s="1557" t="s">
        <v>2890</v>
      </c>
      <c r="C642" s="1607" t="s">
        <v>19</v>
      </c>
      <c r="D642" s="1542">
        <v>1053.6897929747397</v>
      </c>
      <c r="E642" s="1564">
        <v>350</v>
      </c>
      <c r="F642" s="220"/>
      <c r="G642" s="2024">
        <f t="shared" si="27"/>
        <v>368791.42754115892</v>
      </c>
      <c r="H642" s="1823"/>
      <c r="I642" s="1859"/>
      <c r="J642" s="1542"/>
    </row>
    <row r="643" spans="1:10">
      <c r="A643" s="1815" t="s">
        <v>2374</v>
      </c>
      <c r="B643" s="1557" t="s">
        <v>2424</v>
      </c>
      <c r="C643" s="1607"/>
      <c r="D643" s="1542"/>
      <c r="E643" s="1564"/>
      <c r="F643" s="220"/>
      <c r="G643" s="2024">
        <f t="shared" si="27"/>
        <v>0</v>
      </c>
      <c r="H643" s="1823"/>
      <c r="I643" s="1859"/>
      <c r="J643" s="1542"/>
    </row>
    <row r="644" spans="1:10" ht="36">
      <c r="A644" s="75" t="s">
        <v>2379</v>
      </c>
      <c r="B644" s="669" t="s">
        <v>2395</v>
      </c>
      <c r="C644" s="1607" t="s">
        <v>19</v>
      </c>
      <c r="D644" s="1542">
        <v>10</v>
      </c>
      <c r="E644" s="1564">
        <v>534.79999999999995</v>
      </c>
      <c r="F644" s="220"/>
      <c r="G644" s="2024">
        <f t="shared" si="27"/>
        <v>5348</v>
      </c>
      <c r="H644" s="1823"/>
      <c r="I644" s="1859"/>
      <c r="J644" s="1542"/>
    </row>
    <row r="645" spans="1:10" ht="36">
      <c r="A645" s="75" t="s">
        <v>2775</v>
      </c>
      <c r="B645" s="669" t="s">
        <v>2394</v>
      </c>
      <c r="C645" s="1607" t="s">
        <v>19</v>
      </c>
      <c r="D645" s="1542">
        <v>84.082571182731883</v>
      </c>
      <c r="E645" s="1564">
        <v>668.5</v>
      </c>
      <c r="F645" s="220"/>
      <c r="G645" s="2024">
        <f t="shared" si="27"/>
        <v>56209.198835656265</v>
      </c>
      <c r="H645" s="1823"/>
      <c r="I645" s="1859"/>
      <c r="J645" s="1542"/>
    </row>
    <row r="646" spans="1:10">
      <c r="A646" s="1815" t="s">
        <v>2986</v>
      </c>
      <c r="B646" s="1557" t="s">
        <v>318</v>
      </c>
      <c r="C646" s="1607"/>
      <c r="D646" s="1542"/>
      <c r="E646" s="1564"/>
      <c r="F646" s="220"/>
      <c r="G646" s="2024">
        <f t="shared" si="27"/>
        <v>0</v>
      </c>
      <c r="H646" s="1823"/>
      <c r="I646" s="1859"/>
      <c r="J646" s="1542"/>
    </row>
    <row r="647" spans="1:10" ht="54">
      <c r="A647" s="75" t="s">
        <v>2776</v>
      </c>
      <c r="B647" s="669" t="s">
        <v>2892</v>
      </c>
      <c r="C647" s="1607" t="s">
        <v>25</v>
      </c>
      <c r="D647" s="1542">
        <v>1.5832300164692437</v>
      </c>
      <c r="E647" s="1564">
        <v>339058.5</v>
      </c>
      <c r="F647" s="220"/>
      <c r="G647" s="2024">
        <f t="shared" si="27"/>
        <v>536807.59453903709</v>
      </c>
      <c r="H647" s="1823"/>
      <c r="I647" s="1859"/>
      <c r="J647" s="1542"/>
    </row>
    <row r="648" spans="1:10" ht="17.25" customHeight="1">
      <c r="A648" s="1722"/>
      <c r="B648" s="1557"/>
      <c r="C648" s="1563"/>
      <c r="D648" s="1688"/>
      <c r="E648" s="1565"/>
      <c r="F648" s="1666" t="s">
        <v>1483</v>
      </c>
      <c r="G648" s="2036">
        <f>SUM(G622:G647)</f>
        <v>22774514.784040473</v>
      </c>
      <c r="H648" s="1824"/>
      <c r="I648" s="1850"/>
      <c r="J648" s="1717"/>
    </row>
    <row r="649" spans="1:10">
      <c r="A649" s="1814" t="s">
        <v>2249</v>
      </c>
      <c r="B649" s="1533" t="s">
        <v>3086</v>
      </c>
      <c r="C649" s="1551"/>
      <c r="D649" s="1738"/>
      <c r="E649" s="2001"/>
      <c r="F649" s="1536"/>
      <c r="G649" s="2045"/>
      <c r="H649" s="1534"/>
      <c r="I649" s="1857"/>
      <c r="J649" s="1543"/>
    </row>
    <row r="650" spans="1:10">
      <c r="A650" s="1815" t="s">
        <v>2336</v>
      </c>
      <c r="B650" s="1548" t="s">
        <v>1961</v>
      </c>
      <c r="C650" s="1530"/>
      <c r="D650" s="1686"/>
      <c r="E650" s="1565"/>
      <c r="F650" s="1577"/>
      <c r="G650" s="2034"/>
      <c r="H650" s="1608"/>
      <c r="I650" s="1857"/>
      <c r="J650" s="1543"/>
    </row>
    <row r="651" spans="1:10" ht="108">
      <c r="A651" s="75" t="s">
        <v>2337</v>
      </c>
      <c r="B651" s="1591" t="s">
        <v>2008</v>
      </c>
      <c r="C651" s="1530" t="s">
        <v>21</v>
      </c>
      <c r="D651" s="1542">
        <v>6999.7922070581335</v>
      </c>
      <c r="E651" s="1564">
        <v>6784.25</v>
      </c>
      <c r="F651" s="220"/>
      <c r="G651" s="2024">
        <f>D651*E651</f>
        <v>47488340.280734144</v>
      </c>
      <c r="H651" s="1823"/>
      <c r="I651" s="1859"/>
      <c r="J651" s="1577"/>
    </row>
    <row r="652" spans="1:10">
      <c r="A652" s="1815" t="s">
        <v>2338</v>
      </c>
      <c r="B652" s="313" t="s">
        <v>1872</v>
      </c>
      <c r="C652" s="1530"/>
      <c r="D652" s="1542"/>
      <c r="E652" s="1564"/>
      <c r="F652" s="220"/>
      <c r="G652" s="2024">
        <f t="shared" ref="G652:G674" si="28">D652*E652</f>
        <v>0</v>
      </c>
      <c r="H652" s="1823"/>
      <c r="I652" s="1859"/>
      <c r="J652" s="1577"/>
    </row>
    <row r="653" spans="1:10" ht="54">
      <c r="A653" s="75" t="s">
        <v>2343</v>
      </c>
      <c r="B653" s="1550" t="s">
        <v>2606</v>
      </c>
      <c r="C653" s="1530" t="s">
        <v>19</v>
      </c>
      <c r="D653" s="1542">
        <v>20</v>
      </c>
      <c r="E653" s="1564">
        <v>2789.4750000000004</v>
      </c>
      <c r="F653" s="220"/>
      <c r="G653" s="2024">
        <f t="shared" si="28"/>
        <v>55789.500000000007</v>
      </c>
      <c r="H653" s="1823"/>
      <c r="I653" s="1859"/>
      <c r="J653" s="1577"/>
    </row>
    <row r="654" spans="1:10" ht="54">
      <c r="A654" s="75" t="s">
        <v>2987</v>
      </c>
      <c r="B654" s="1550" t="s">
        <v>2607</v>
      </c>
      <c r="C654" s="1530" t="s">
        <v>19</v>
      </c>
      <c r="D654" s="1542">
        <v>20</v>
      </c>
      <c r="E654" s="1564">
        <v>4184.2125000000005</v>
      </c>
      <c r="F654" s="220"/>
      <c r="G654" s="2024">
        <f t="shared" si="28"/>
        <v>83684.250000000015</v>
      </c>
      <c r="H654" s="1823"/>
      <c r="I654" s="1859"/>
      <c r="J654" s="1577"/>
    </row>
    <row r="655" spans="1:10" ht="54">
      <c r="A655" s="75" t="s">
        <v>2988</v>
      </c>
      <c r="B655" s="1550" t="s">
        <v>2412</v>
      </c>
      <c r="C655" s="1530" t="s">
        <v>19</v>
      </c>
      <c r="D655" s="1542">
        <v>20</v>
      </c>
      <c r="E655" s="1564">
        <v>5578.9500000000007</v>
      </c>
      <c r="F655" s="220"/>
      <c r="G655" s="2024">
        <f t="shared" si="28"/>
        <v>111579.00000000001</v>
      </c>
      <c r="H655" s="1823"/>
      <c r="I655" s="1859"/>
      <c r="J655" s="1543"/>
    </row>
    <row r="656" spans="1:10" ht="54">
      <c r="A656" s="75" t="s">
        <v>2989</v>
      </c>
      <c r="B656" s="1550" t="s">
        <v>2745</v>
      </c>
      <c r="C656" s="1530" t="s">
        <v>19</v>
      </c>
      <c r="D656" s="1542">
        <v>20</v>
      </c>
      <c r="E656" s="1564">
        <v>5831.9000000000005</v>
      </c>
      <c r="F656" s="220"/>
      <c r="G656" s="2024">
        <f t="shared" si="28"/>
        <v>116638.00000000001</v>
      </c>
      <c r="H656" s="1823"/>
      <c r="I656" s="1859"/>
      <c r="J656" s="1543"/>
    </row>
    <row r="657" spans="1:10" ht="54">
      <c r="A657" s="75" t="s">
        <v>2990</v>
      </c>
      <c r="B657" s="1550" t="s">
        <v>1881</v>
      </c>
      <c r="C657" s="1530" t="s">
        <v>19</v>
      </c>
      <c r="D657" s="1542">
        <v>4689.711035053976</v>
      </c>
      <c r="E657" s="1564">
        <v>7289.875</v>
      </c>
      <c r="F657" s="220"/>
      <c r="G657" s="2024">
        <f t="shared" si="28"/>
        <v>34187407.231664106</v>
      </c>
      <c r="H657" s="1823"/>
      <c r="I657" s="1859"/>
      <c r="J657" s="1577"/>
    </row>
    <row r="658" spans="1:10" ht="54">
      <c r="A658" s="75" t="s">
        <v>2991</v>
      </c>
      <c r="B658" s="1550" t="s">
        <v>1883</v>
      </c>
      <c r="C658" s="1530" t="s">
        <v>19</v>
      </c>
      <c r="D658" s="1542">
        <v>1797.1612966087528</v>
      </c>
      <c r="E658" s="1564">
        <v>8747.85</v>
      </c>
      <c r="F658" s="220"/>
      <c r="G658" s="2024">
        <f t="shared" si="28"/>
        <v>15721297.448538879</v>
      </c>
      <c r="H658" s="1823"/>
      <c r="I658" s="1859"/>
      <c r="J658" s="1543"/>
    </row>
    <row r="659" spans="1:10">
      <c r="A659" s="1815" t="s">
        <v>2339</v>
      </c>
      <c r="B659" s="1557" t="s">
        <v>1518</v>
      </c>
      <c r="C659" s="1530"/>
      <c r="D659" s="1542"/>
      <c r="E659" s="1564"/>
      <c r="F659" s="220"/>
      <c r="G659" s="2024">
        <f t="shared" si="28"/>
        <v>0</v>
      </c>
      <c r="H659" s="1823"/>
      <c r="I659" s="1859"/>
      <c r="J659" s="1543"/>
    </row>
    <row r="660" spans="1:10" ht="36">
      <c r="A660" s="75" t="s">
        <v>2344</v>
      </c>
      <c r="B660" s="669" t="s">
        <v>2394</v>
      </c>
      <c r="C660" s="1530" t="s">
        <v>19</v>
      </c>
      <c r="D660" s="1542">
        <v>599.05376553625092</v>
      </c>
      <c r="E660" s="1564">
        <v>668.5</v>
      </c>
      <c r="F660" s="220"/>
      <c r="G660" s="2024">
        <f t="shared" si="28"/>
        <v>400467.44226098375</v>
      </c>
      <c r="H660" s="1823"/>
      <c r="I660" s="1860"/>
      <c r="J660" s="1543"/>
    </row>
    <row r="661" spans="1:10" ht="36">
      <c r="A661" s="75" t="s">
        <v>2992</v>
      </c>
      <c r="B661" s="669" t="s">
        <v>2395</v>
      </c>
      <c r="C661" s="1530" t="s">
        <v>19</v>
      </c>
      <c r="D661" s="1742">
        <v>42</v>
      </c>
      <c r="E661" s="1564">
        <v>534.79999999999995</v>
      </c>
      <c r="F661" s="220"/>
      <c r="G661" s="2024">
        <f t="shared" si="28"/>
        <v>22461.599999999999</v>
      </c>
      <c r="H661" s="1608"/>
      <c r="I661" s="1860"/>
      <c r="J661" s="1593"/>
    </row>
    <row r="662" spans="1:10">
      <c r="A662" s="1815" t="s">
        <v>2340</v>
      </c>
      <c r="B662" s="313" t="s">
        <v>1929</v>
      </c>
      <c r="C662" s="1530"/>
      <c r="D662" s="1542"/>
      <c r="E662" s="1564"/>
      <c r="F662" s="220"/>
      <c r="G662" s="2024">
        <f t="shared" si="28"/>
        <v>0</v>
      </c>
      <c r="H662" s="1608"/>
      <c r="I662" s="1860"/>
      <c r="J662" s="1543"/>
    </row>
    <row r="663" spans="1:10" ht="51.75" customHeight="1">
      <c r="A663" s="75" t="s">
        <v>2345</v>
      </c>
      <c r="B663" s="1550" t="s">
        <v>2872</v>
      </c>
      <c r="C663" s="1530" t="s">
        <v>307</v>
      </c>
      <c r="D663" s="1542">
        <v>3115</v>
      </c>
      <c r="E663" s="1564">
        <v>4795.1750000000002</v>
      </c>
      <c r="F663" s="220"/>
      <c r="G663" s="2024">
        <f t="shared" si="28"/>
        <v>14936970.125</v>
      </c>
      <c r="H663" s="1608"/>
      <c r="I663" s="1860"/>
      <c r="J663" s="1543"/>
    </row>
    <row r="664" spans="1:10">
      <c r="A664" s="1815" t="s">
        <v>2341</v>
      </c>
      <c r="B664" s="313" t="s">
        <v>2773</v>
      </c>
      <c r="C664" s="1530"/>
      <c r="D664" s="1542"/>
      <c r="E664" s="1564"/>
      <c r="F664" s="220"/>
      <c r="G664" s="2024">
        <f t="shared" si="28"/>
        <v>0</v>
      </c>
      <c r="H664" s="1608"/>
      <c r="I664" s="1860"/>
      <c r="J664" s="1543"/>
    </row>
    <row r="665" spans="1:10" ht="54">
      <c r="A665" s="75" t="s">
        <v>2993</v>
      </c>
      <c r="B665" s="669" t="s">
        <v>2881</v>
      </c>
      <c r="C665" s="1530" t="s">
        <v>307</v>
      </c>
      <c r="D665" s="1542">
        <v>673</v>
      </c>
      <c r="E665" s="1564">
        <v>12161.5</v>
      </c>
      <c r="F665" s="220"/>
      <c r="G665" s="2024">
        <f t="shared" si="28"/>
        <v>8184689.5</v>
      </c>
      <c r="H665" s="1608"/>
      <c r="I665" s="1860"/>
      <c r="J665" s="1543"/>
    </row>
    <row r="666" spans="1:10">
      <c r="A666" s="1815" t="s">
        <v>2342</v>
      </c>
      <c r="B666" s="1557" t="s">
        <v>318</v>
      </c>
      <c r="C666" s="1530"/>
      <c r="D666" s="1542"/>
      <c r="E666" s="1564"/>
      <c r="F666" s="220"/>
      <c r="G666" s="2024">
        <f t="shared" si="28"/>
        <v>0</v>
      </c>
      <c r="H666" s="1608"/>
      <c r="I666" s="1860"/>
      <c r="J666" s="1543"/>
    </row>
    <row r="667" spans="1:10" ht="54">
      <c r="A667" s="75" t="s">
        <v>2707</v>
      </c>
      <c r="B667" s="669" t="s">
        <v>2892</v>
      </c>
      <c r="C667" s="1530" t="s">
        <v>322</v>
      </c>
      <c r="D667" s="1542">
        <v>18.191706998648641</v>
      </c>
      <c r="E667" s="1564">
        <v>339058.5</v>
      </c>
      <c r="F667" s="220"/>
      <c r="G667" s="2024">
        <f t="shared" si="28"/>
        <v>6168052.8874013098</v>
      </c>
      <c r="H667" s="1608"/>
      <c r="I667" s="1860"/>
      <c r="J667" s="1543"/>
    </row>
    <row r="668" spans="1:10" ht="36">
      <c r="A668" s="1815" t="s">
        <v>2994</v>
      </c>
      <c r="B668" s="1557" t="s">
        <v>2890</v>
      </c>
      <c r="C668" s="1530" t="s">
        <v>19</v>
      </c>
      <c r="D668" s="1542">
        <v>2412.8504000000003</v>
      </c>
      <c r="E668" s="1564">
        <v>350</v>
      </c>
      <c r="F668" s="220"/>
      <c r="G668" s="2024">
        <f t="shared" si="28"/>
        <v>844497.64000000013</v>
      </c>
      <c r="H668" s="1608"/>
      <c r="I668" s="1860"/>
      <c r="J668" s="1543"/>
    </row>
    <row r="669" spans="1:10" ht="54">
      <c r="A669" s="1815" t="s">
        <v>2995</v>
      </c>
      <c r="B669" s="1557" t="s">
        <v>2418</v>
      </c>
      <c r="C669" s="1530" t="s">
        <v>438</v>
      </c>
      <c r="D669" s="1542">
        <v>3638.3413997297284</v>
      </c>
      <c r="E669" s="1564">
        <v>174.71047619047619</v>
      </c>
      <c r="F669" s="220"/>
      <c r="G669" s="2024">
        <f t="shared" si="28"/>
        <v>635656.35849030456</v>
      </c>
      <c r="H669" s="1823"/>
      <c r="I669" s="1859"/>
      <c r="J669" s="1543"/>
    </row>
    <row r="670" spans="1:10" ht="54">
      <c r="A670" s="1815" t="s">
        <v>2996</v>
      </c>
      <c r="B670" s="1545" t="s">
        <v>2735</v>
      </c>
      <c r="C670" s="1530"/>
      <c r="D670" s="1542"/>
      <c r="E670" s="1564"/>
      <c r="F670" s="220"/>
      <c r="G670" s="2024">
        <f t="shared" si="28"/>
        <v>0</v>
      </c>
      <c r="H670" s="1823"/>
      <c r="I670" s="1859"/>
      <c r="J670" s="1543"/>
    </row>
    <row r="671" spans="1:10" ht="36">
      <c r="A671" s="1894" t="s">
        <v>2997</v>
      </c>
      <c r="B671" s="1928" t="s">
        <v>3269</v>
      </c>
      <c r="C671" s="1896" t="s">
        <v>21</v>
      </c>
      <c r="D671" s="1897">
        <v>4796.2477039037167</v>
      </c>
      <c r="E671" s="2111">
        <v>15242</v>
      </c>
      <c r="F671" s="1930"/>
      <c r="G671" s="2083">
        <f t="shared" si="28"/>
        <v>73104407.502900451</v>
      </c>
      <c r="H671" s="1823" t="s">
        <v>3273</v>
      </c>
      <c r="I671" s="1859"/>
      <c r="J671" s="1543"/>
    </row>
    <row r="672" spans="1:10">
      <c r="A672" s="75" t="s">
        <v>2998</v>
      </c>
      <c r="B672" s="669" t="s">
        <v>2610</v>
      </c>
      <c r="C672" s="1530" t="s">
        <v>21</v>
      </c>
      <c r="D672" s="1542">
        <v>134.67072000000002</v>
      </c>
      <c r="E672" s="1564">
        <v>16560</v>
      </c>
      <c r="F672" s="220"/>
      <c r="G672" s="2024">
        <f t="shared" si="28"/>
        <v>2230147.1232000003</v>
      </c>
      <c r="H672" s="1823"/>
      <c r="I672" s="1859"/>
      <c r="J672" s="1543"/>
    </row>
    <row r="673" spans="1:10">
      <c r="A673" s="1815" t="s">
        <v>2999</v>
      </c>
      <c r="B673" s="313" t="s">
        <v>1649</v>
      </c>
      <c r="C673" s="1530"/>
      <c r="D673" s="1542"/>
      <c r="E673" s="1564"/>
      <c r="F673" s="220"/>
      <c r="G673" s="2024">
        <f t="shared" si="28"/>
        <v>0</v>
      </c>
      <c r="H673" s="1823"/>
      <c r="I673" s="1859"/>
      <c r="J673" s="1543"/>
    </row>
    <row r="674" spans="1:10" ht="54">
      <c r="A674" s="75" t="s">
        <v>2999</v>
      </c>
      <c r="B674" s="1550" t="s">
        <v>1248</v>
      </c>
      <c r="C674" s="1530" t="s">
        <v>25</v>
      </c>
      <c r="D674" s="1542">
        <v>0.59365440000000003</v>
      </c>
      <c r="E674" s="1564">
        <v>174710.47619047618</v>
      </c>
      <c r="F674" s="220"/>
      <c r="G674" s="2024">
        <f t="shared" si="28"/>
        <v>103717.64291657144</v>
      </c>
      <c r="H674" s="1823"/>
      <c r="I674" s="1859"/>
      <c r="J674" s="1543"/>
    </row>
    <row r="675" spans="1:10" ht="17.25" customHeight="1">
      <c r="A675" s="1722"/>
      <c r="B675" s="1557"/>
      <c r="C675" s="1563"/>
      <c r="D675" s="1688"/>
      <c r="E675" s="1564"/>
      <c r="F675" s="1666" t="s">
        <v>1483</v>
      </c>
      <c r="G675" s="2036">
        <f>SUM(G651:G674)</f>
        <v>204395803.53310674</v>
      </c>
      <c r="H675" s="1824"/>
      <c r="I675" s="1850"/>
      <c r="J675" s="1717"/>
    </row>
    <row r="676" spans="1:10">
      <c r="A676" s="1814" t="s">
        <v>2250</v>
      </c>
      <c r="B676" s="1533" t="s">
        <v>1528</v>
      </c>
      <c r="C676" s="1551"/>
      <c r="D676" s="1738"/>
      <c r="E676" s="2000"/>
      <c r="F676" s="1536"/>
      <c r="G676" s="2045"/>
      <c r="H676" s="1534"/>
      <c r="I676" s="1857"/>
      <c r="J676" s="1543"/>
    </row>
    <row r="677" spans="1:10" s="1582" customFormat="1">
      <c r="A677" s="1815" t="s">
        <v>2346</v>
      </c>
      <c r="B677" s="1548" t="s">
        <v>18</v>
      </c>
      <c r="C677" s="1572"/>
      <c r="D677" s="1737"/>
      <c r="E677" s="1564"/>
      <c r="F677" s="1573"/>
      <c r="G677" s="2038"/>
      <c r="H677" s="1816"/>
      <c r="I677" s="1857"/>
      <c r="J677" s="1543"/>
    </row>
    <row r="678" spans="1:10" ht="72">
      <c r="A678" s="75" t="s">
        <v>2347</v>
      </c>
      <c r="B678" s="1555" t="s">
        <v>2847</v>
      </c>
      <c r="C678" s="1530" t="s">
        <v>19</v>
      </c>
      <c r="D678" s="1542">
        <v>100</v>
      </c>
      <c r="E678" s="1564">
        <v>40.5</v>
      </c>
      <c r="F678" s="220"/>
      <c r="G678" s="2024">
        <f>D678*E678</f>
        <v>4050</v>
      </c>
      <c r="H678" s="1823"/>
      <c r="I678" s="1860"/>
      <c r="J678" s="1542"/>
    </row>
    <row r="679" spans="1:10" ht="72">
      <c r="A679" s="1815" t="s">
        <v>2348</v>
      </c>
      <c r="B679" s="1544" t="s">
        <v>2849</v>
      </c>
      <c r="C679" s="1530"/>
      <c r="D679" s="1542"/>
      <c r="E679" s="1564"/>
      <c r="F679" s="220"/>
      <c r="G679" s="2024"/>
      <c r="H679" s="1823"/>
      <c r="I679" s="1860"/>
      <c r="J679" s="1542"/>
    </row>
    <row r="680" spans="1:10">
      <c r="A680" s="75" t="s">
        <v>2353</v>
      </c>
      <c r="B680" s="220" t="s">
        <v>63</v>
      </c>
      <c r="C680" s="1530" t="s">
        <v>21</v>
      </c>
      <c r="D680" s="1542">
        <v>2328</v>
      </c>
      <c r="E680" s="1564">
        <v>1385.23</v>
      </c>
      <c r="F680" s="220"/>
      <c r="G680" s="2024">
        <f t="shared" ref="G680:G690" si="29">D680*E680</f>
        <v>3224815.44</v>
      </c>
      <c r="H680" s="1823"/>
      <c r="I680" s="1859"/>
      <c r="J680" s="1542"/>
    </row>
    <row r="681" spans="1:10">
      <c r="A681" s="1815" t="s">
        <v>2349</v>
      </c>
      <c r="B681" s="313" t="s">
        <v>1929</v>
      </c>
      <c r="C681" s="1530"/>
      <c r="D681" s="1542"/>
      <c r="E681" s="1564"/>
      <c r="F681" s="220"/>
      <c r="G681" s="2024"/>
      <c r="H681" s="1823"/>
      <c r="I681" s="1859"/>
      <c r="J681" s="1542"/>
    </row>
    <row r="682" spans="1:10" ht="54">
      <c r="A682" s="75" t="s">
        <v>2354</v>
      </c>
      <c r="B682" s="1550" t="s">
        <v>2945</v>
      </c>
      <c r="C682" s="1530" t="s">
        <v>307</v>
      </c>
      <c r="D682" s="1542">
        <v>139</v>
      </c>
      <c r="E682" s="1564">
        <v>5512.75</v>
      </c>
      <c r="F682" s="220"/>
      <c r="G682" s="2024">
        <f t="shared" si="29"/>
        <v>766272.25</v>
      </c>
      <c r="H682" s="1823"/>
      <c r="I682" s="1862"/>
      <c r="J682" s="1542"/>
    </row>
    <row r="683" spans="1:10">
      <c r="A683" s="1815" t="s">
        <v>2350</v>
      </c>
      <c r="B683" s="313" t="s">
        <v>1872</v>
      </c>
      <c r="C683" s="1530"/>
      <c r="D683" s="1542"/>
      <c r="E683" s="1564"/>
      <c r="F683" s="220"/>
      <c r="G683" s="2024"/>
      <c r="H683" s="1823"/>
      <c r="I683" s="1860"/>
      <c r="J683" s="1542"/>
    </row>
    <row r="684" spans="1:10" ht="54">
      <c r="A684" s="75" t="s">
        <v>2355</v>
      </c>
      <c r="B684" s="1550" t="s">
        <v>2606</v>
      </c>
      <c r="C684" s="1530" t="s">
        <v>19</v>
      </c>
      <c r="D684" s="1542">
        <v>20</v>
      </c>
      <c r="E684" s="1564">
        <v>2789.4750000000004</v>
      </c>
      <c r="F684" s="220"/>
      <c r="G684" s="2024">
        <f t="shared" si="29"/>
        <v>55789.500000000007</v>
      </c>
      <c r="H684" s="1823"/>
      <c r="I684" s="1859"/>
      <c r="J684" s="1542"/>
    </row>
    <row r="685" spans="1:10" ht="54">
      <c r="A685" s="75" t="s">
        <v>3000</v>
      </c>
      <c r="B685" s="1550" t="s">
        <v>2607</v>
      </c>
      <c r="C685" s="1530" t="s">
        <v>19</v>
      </c>
      <c r="D685" s="1542">
        <v>10</v>
      </c>
      <c r="E685" s="1564">
        <v>4184.2125000000005</v>
      </c>
      <c r="F685" s="220"/>
      <c r="G685" s="2024">
        <f t="shared" si="29"/>
        <v>41842.125000000007</v>
      </c>
      <c r="H685" s="1823"/>
      <c r="I685" s="1859"/>
      <c r="J685" s="1542"/>
    </row>
    <row r="686" spans="1:10" s="2137" customFormat="1" ht="54">
      <c r="A686" s="2129" t="s">
        <v>3001</v>
      </c>
      <c r="B686" s="2130" t="s">
        <v>2412</v>
      </c>
      <c r="C686" s="2131" t="s">
        <v>19</v>
      </c>
      <c r="D686" s="2132">
        <v>312.5</v>
      </c>
      <c r="E686" s="2127">
        <v>5578.9500000000007</v>
      </c>
      <c r="F686" s="2133"/>
      <c r="G686" s="2134">
        <f t="shared" si="29"/>
        <v>1743421.8750000002</v>
      </c>
      <c r="H686" s="2135" t="s">
        <v>3344</v>
      </c>
      <c r="I686" s="2136"/>
      <c r="J686" s="2132"/>
    </row>
    <row r="687" spans="1:10">
      <c r="A687" s="1815" t="s">
        <v>2351</v>
      </c>
      <c r="B687" s="1557" t="s">
        <v>1484</v>
      </c>
      <c r="C687" s="1530" t="s">
        <v>307</v>
      </c>
      <c r="D687" s="1542">
        <v>105</v>
      </c>
      <c r="E687" s="1564">
        <v>618</v>
      </c>
      <c r="F687" s="220"/>
      <c r="G687" s="2024">
        <f t="shared" si="29"/>
        <v>64890</v>
      </c>
      <c r="H687" s="1823"/>
      <c r="I687" s="1859"/>
      <c r="J687" s="1542"/>
    </row>
    <row r="688" spans="1:10">
      <c r="A688" s="1815" t="s">
        <v>2352</v>
      </c>
      <c r="B688" s="1557" t="s">
        <v>1518</v>
      </c>
      <c r="C688" s="1530"/>
      <c r="D688" s="1542"/>
      <c r="E688" s="1564"/>
      <c r="F688" s="220"/>
      <c r="G688" s="2024"/>
      <c r="H688" s="1823"/>
      <c r="I688" s="1859"/>
      <c r="J688" s="1542"/>
    </row>
    <row r="689" spans="1:10" ht="36">
      <c r="A689" s="75" t="s">
        <v>2356</v>
      </c>
      <c r="B689" s="669" t="s">
        <v>2655</v>
      </c>
      <c r="C689" s="1530" t="s">
        <v>19</v>
      </c>
      <c r="D689" s="1542">
        <v>20</v>
      </c>
      <c r="E689" s="1564">
        <v>534.79999999999995</v>
      </c>
      <c r="F689" s="220"/>
      <c r="G689" s="2024">
        <f t="shared" si="29"/>
        <v>10696</v>
      </c>
      <c r="H689" s="1823"/>
      <c r="I689" s="1859"/>
      <c r="J689" s="1542"/>
    </row>
    <row r="690" spans="1:10" ht="36">
      <c r="A690" s="75" t="s">
        <v>3002</v>
      </c>
      <c r="B690" s="669" t="s">
        <v>2656</v>
      </c>
      <c r="C690" s="1530" t="s">
        <v>19</v>
      </c>
      <c r="D690" s="1542">
        <v>312.5</v>
      </c>
      <c r="E690" s="1564">
        <v>668.5</v>
      </c>
      <c r="F690" s="220"/>
      <c r="G690" s="2024">
        <f t="shared" si="29"/>
        <v>208906.25</v>
      </c>
      <c r="H690" s="1823"/>
      <c r="I690" s="1859"/>
      <c r="J690" s="1542"/>
    </row>
    <row r="691" spans="1:10" ht="17.25" customHeight="1">
      <c r="A691" s="1722"/>
      <c r="B691" s="1557"/>
      <c r="C691" s="1563"/>
      <c r="D691" s="1688"/>
      <c r="E691" s="1565"/>
      <c r="F691" s="1666" t="s">
        <v>1483</v>
      </c>
      <c r="G691" s="2036">
        <f>SUM(G678:G690)</f>
        <v>6120683.4400000004</v>
      </c>
      <c r="H691" s="1824"/>
      <c r="I691" s="1850"/>
      <c r="J691" s="1717"/>
    </row>
    <row r="692" spans="1:10">
      <c r="A692" s="1814" t="s">
        <v>2251</v>
      </c>
      <c r="B692" s="1533" t="s">
        <v>1527</v>
      </c>
      <c r="C692" s="1551"/>
      <c r="D692" s="1738"/>
      <c r="E692" s="2001"/>
      <c r="F692" s="1536"/>
      <c r="G692" s="2045"/>
      <c r="H692" s="1534"/>
      <c r="I692" s="1857"/>
      <c r="J692" s="1543"/>
    </row>
    <row r="693" spans="1:10" s="1583" customFormat="1">
      <c r="A693" s="1815" t="s">
        <v>2357</v>
      </c>
      <c r="B693" s="1548" t="s">
        <v>1961</v>
      </c>
      <c r="C693" s="1539"/>
      <c r="D693" s="1739"/>
      <c r="E693" s="2006"/>
      <c r="F693" s="1540"/>
      <c r="G693" s="2046"/>
      <c r="H693" s="1820"/>
      <c r="I693" s="1857"/>
      <c r="J693" s="1543"/>
    </row>
    <row r="694" spans="1:10" ht="108">
      <c r="A694" s="75" t="s">
        <v>3003</v>
      </c>
      <c r="B694" s="1591" t="s">
        <v>2008</v>
      </c>
      <c r="C694" s="1530" t="s">
        <v>21</v>
      </c>
      <c r="D694" s="1542">
        <v>825.96858438337108</v>
      </c>
      <c r="E694" s="1564">
        <v>6784.25</v>
      </c>
      <c r="F694" s="220"/>
      <c r="G694" s="2047">
        <f>E694*D694</f>
        <v>5603577.3686028849</v>
      </c>
      <c r="H694" s="1823"/>
      <c r="I694" s="1859"/>
      <c r="J694" s="1542"/>
    </row>
    <row r="695" spans="1:10">
      <c r="A695" s="1815" t="s">
        <v>2358</v>
      </c>
      <c r="B695" s="313" t="s">
        <v>1872</v>
      </c>
      <c r="C695" s="1530"/>
      <c r="D695" s="1542"/>
      <c r="E695" s="1564"/>
      <c r="F695" s="220"/>
      <c r="G695" s="2047"/>
      <c r="H695" s="1823"/>
      <c r="I695" s="1859"/>
      <c r="J695" s="1542"/>
    </row>
    <row r="696" spans="1:10" ht="54">
      <c r="A696" s="75" t="s">
        <v>3004</v>
      </c>
      <c r="B696" s="1550" t="s">
        <v>1862</v>
      </c>
      <c r="C696" s="1530" t="s">
        <v>19</v>
      </c>
      <c r="D696" s="1542">
        <v>280.68423421464865</v>
      </c>
      <c r="E696" s="1564">
        <v>5831.9000000000005</v>
      </c>
      <c r="F696" s="220"/>
      <c r="G696" s="2047">
        <f t="shared" ref="G696:G715" si="30">E696*D696</f>
        <v>1636922.3855164095</v>
      </c>
      <c r="H696" s="1823"/>
      <c r="I696" s="1859"/>
      <c r="J696" s="1542"/>
    </row>
    <row r="697" spans="1:10" ht="54">
      <c r="A697" s="75" t="s">
        <v>3005</v>
      </c>
      <c r="B697" s="1550" t="s">
        <v>1881</v>
      </c>
      <c r="C697" s="1530" t="s">
        <v>19</v>
      </c>
      <c r="D697" s="1542">
        <v>112.27369368585948</v>
      </c>
      <c r="E697" s="1564">
        <v>7289.875</v>
      </c>
      <c r="F697" s="220"/>
      <c r="G697" s="2047">
        <f t="shared" si="30"/>
        <v>818461.19275820488</v>
      </c>
      <c r="H697" s="1823"/>
      <c r="I697" s="1859"/>
      <c r="J697" s="1542"/>
    </row>
    <row r="698" spans="1:10" ht="54">
      <c r="A698" s="75" t="s">
        <v>3006</v>
      </c>
      <c r="B698" s="1550" t="s">
        <v>1883</v>
      </c>
      <c r="C698" s="1530" t="s">
        <v>19</v>
      </c>
      <c r="D698" s="1542">
        <v>168.4105405287892</v>
      </c>
      <c r="E698" s="1564">
        <v>8747.85</v>
      </c>
      <c r="F698" s="220"/>
      <c r="G698" s="2047">
        <f t="shared" si="30"/>
        <v>1473230.1469647686</v>
      </c>
      <c r="H698" s="1823"/>
      <c r="I698" s="1859"/>
      <c r="J698" s="1542"/>
    </row>
    <row r="699" spans="1:10" ht="54">
      <c r="A699" s="75" t="s">
        <v>3007</v>
      </c>
      <c r="B699" s="1550" t="s">
        <v>2606</v>
      </c>
      <c r="C699" s="1530" t="s">
        <v>19</v>
      </c>
      <c r="D699" s="1542">
        <v>20</v>
      </c>
      <c r="E699" s="1564">
        <v>2789.4750000000004</v>
      </c>
      <c r="F699" s="220"/>
      <c r="G699" s="2047">
        <f t="shared" si="30"/>
        <v>55789.500000000007</v>
      </c>
      <c r="H699" s="1823"/>
      <c r="I699" s="1859"/>
      <c r="J699" s="1542"/>
    </row>
    <row r="700" spans="1:10" ht="54">
      <c r="A700" s="75" t="s">
        <v>3008</v>
      </c>
      <c r="B700" s="1550" t="s">
        <v>2607</v>
      </c>
      <c r="C700" s="1530" t="s">
        <v>19</v>
      </c>
      <c r="D700" s="1542">
        <v>10</v>
      </c>
      <c r="E700" s="1564">
        <v>4184.2125000000005</v>
      </c>
      <c r="F700" s="220"/>
      <c r="G700" s="2047">
        <f t="shared" si="30"/>
        <v>41842.125000000007</v>
      </c>
      <c r="H700" s="1823"/>
      <c r="I700" s="1859"/>
      <c r="J700" s="1542"/>
    </row>
    <row r="701" spans="1:10">
      <c r="A701" s="1815" t="s">
        <v>2359</v>
      </c>
      <c r="B701" s="313" t="s">
        <v>1929</v>
      </c>
      <c r="C701" s="1530"/>
      <c r="D701" s="1542"/>
      <c r="E701" s="1564"/>
      <c r="F701" s="220"/>
      <c r="G701" s="2047"/>
      <c r="H701" s="1823"/>
      <c r="I701" s="1859"/>
      <c r="J701" s="1542"/>
    </row>
    <row r="702" spans="1:10" ht="54">
      <c r="A702" s="75" t="s">
        <v>3009</v>
      </c>
      <c r="B702" s="1550" t="s">
        <v>2873</v>
      </c>
      <c r="C702" s="1530" t="s">
        <v>367</v>
      </c>
      <c r="D702" s="1542">
        <v>145</v>
      </c>
      <c r="E702" s="1564">
        <v>4209.7000000000007</v>
      </c>
      <c r="F702" s="220"/>
      <c r="G702" s="2047">
        <f t="shared" si="30"/>
        <v>610406.50000000012</v>
      </c>
      <c r="H702" s="1823"/>
      <c r="I702" s="1859"/>
      <c r="J702" s="1542"/>
    </row>
    <row r="703" spans="1:10" ht="54">
      <c r="A703" s="75" t="s">
        <v>3009</v>
      </c>
      <c r="B703" s="1550" t="s">
        <v>2872</v>
      </c>
      <c r="C703" s="1530" t="s">
        <v>367</v>
      </c>
      <c r="D703" s="1542">
        <v>338</v>
      </c>
      <c r="E703" s="1564">
        <v>4795.1750000000002</v>
      </c>
      <c r="F703" s="220"/>
      <c r="G703" s="2047">
        <f t="shared" si="30"/>
        <v>1620769.1500000001</v>
      </c>
      <c r="H703" s="1823"/>
      <c r="I703" s="1859"/>
      <c r="J703" s="1542"/>
    </row>
    <row r="704" spans="1:10">
      <c r="A704" s="1815" t="s">
        <v>2360</v>
      </c>
      <c r="B704" s="1557" t="s">
        <v>2104</v>
      </c>
      <c r="C704" s="1530"/>
      <c r="D704" s="1542"/>
      <c r="E704" s="1564"/>
      <c r="F704" s="220"/>
      <c r="G704" s="2047"/>
      <c r="H704" s="1823"/>
      <c r="I704" s="1859"/>
      <c r="J704" s="1542"/>
    </row>
    <row r="705" spans="1:76" ht="54">
      <c r="A705" s="75" t="s">
        <v>3010</v>
      </c>
      <c r="B705" s="669" t="s">
        <v>2881</v>
      </c>
      <c r="C705" s="1530" t="s">
        <v>367</v>
      </c>
      <c r="D705" s="1542">
        <v>63</v>
      </c>
      <c r="E705" s="1564">
        <v>12161.5</v>
      </c>
      <c r="F705" s="220"/>
      <c r="G705" s="2047">
        <f t="shared" si="30"/>
        <v>766174.5</v>
      </c>
      <c r="H705" s="1823"/>
      <c r="I705" s="1859"/>
      <c r="J705" s="1542"/>
    </row>
    <row r="706" spans="1:76" ht="36">
      <c r="A706" s="1815" t="s">
        <v>2361</v>
      </c>
      <c r="B706" s="1557" t="s">
        <v>2890</v>
      </c>
      <c r="C706" s="1530" t="s">
        <v>25</v>
      </c>
      <c r="D706" s="1542">
        <v>142.46400000000003</v>
      </c>
      <c r="E706" s="1564">
        <v>350</v>
      </c>
      <c r="F706" s="220"/>
      <c r="G706" s="2047">
        <f t="shared" si="30"/>
        <v>49862.400000000009</v>
      </c>
      <c r="H706" s="1823"/>
      <c r="I706" s="1859"/>
      <c r="J706" s="1542"/>
    </row>
    <row r="707" spans="1:76" ht="54">
      <c r="A707" s="1815" t="s">
        <v>2362</v>
      </c>
      <c r="B707" s="1778" t="s">
        <v>2735</v>
      </c>
      <c r="C707" s="1530"/>
      <c r="D707" s="1542"/>
      <c r="E707" s="1564"/>
      <c r="F707" s="220"/>
      <c r="G707" s="2047"/>
      <c r="H707" s="1823"/>
      <c r="I707" s="1859"/>
      <c r="J707" s="1542"/>
    </row>
    <row r="708" spans="1:76">
      <c r="A708" s="75" t="s">
        <v>3011</v>
      </c>
      <c r="B708" s="669" t="s">
        <v>2221</v>
      </c>
      <c r="C708" s="1572" t="s">
        <v>21</v>
      </c>
      <c r="D708" s="1542">
        <v>28.492800000000006</v>
      </c>
      <c r="E708" s="1564">
        <v>16560</v>
      </c>
      <c r="F708" s="220"/>
      <c r="G708" s="2047">
        <f t="shared" si="30"/>
        <v>471840.7680000001</v>
      </c>
      <c r="H708" s="1823"/>
      <c r="I708" s="1859"/>
      <c r="J708" s="1542"/>
    </row>
    <row r="709" spans="1:76">
      <c r="A709" s="1815" t="s">
        <v>2363</v>
      </c>
      <c r="B709" s="313" t="s">
        <v>1649</v>
      </c>
      <c r="C709" s="1530"/>
      <c r="D709" s="1542"/>
      <c r="E709" s="1564"/>
      <c r="F709" s="220"/>
      <c r="G709" s="2047"/>
      <c r="H709" s="1823"/>
      <c r="I709" s="1859"/>
      <c r="J709" s="1542"/>
    </row>
    <row r="710" spans="1:76" ht="54">
      <c r="A710" s="75" t="s">
        <v>3012</v>
      </c>
      <c r="B710" s="1550" t="s">
        <v>1248</v>
      </c>
      <c r="C710" s="1530" t="s">
        <v>25</v>
      </c>
      <c r="D710" s="1542">
        <v>2.2366848000000004</v>
      </c>
      <c r="E710" s="1564">
        <v>174710.47619047618</v>
      </c>
      <c r="F710" s="220"/>
      <c r="G710" s="2047">
        <f t="shared" si="30"/>
        <v>390772.26649600005</v>
      </c>
      <c r="H710" s="1823"/>
      <c r="I710" s="1859"/>
      <c r="J710" s="1542"/>
    </row>
    <row r="711" spans="1:76">
      <c r="A711" s="1815" t="s">
        <v>2364</v>
      </c>
      <c r="B711" s="1557" t="s">
        <v>1344</v>
      </c>
      <c r="C711" s="1530"/>
      <c r="D711" s="1542"/>
      <c r="E711" s="1564"/>
      <c r="F711" s="220"/>
      <c r="G711" s="2047"/>
      <c r="H711" s="1823"/>
      <c r="I711" s="1859"/>
      <c r="J711" s="1542"/>
    </row>
    <row r="712" spans="1:76" ht="36">
      <c r="A712" s="75" t="s">
        <v>3013</v>
      </c>
      <c r="B712" s="669" t="s">
        <v>2395</v>
      </c>
      <c r="C712" s="1530" t="s">
        <v>19</v>
      </c>
      <c r="D712" s="1542">
        <v>10</v>
      </c>
      <c r="E712" s="1564">
        <v>534.79999999999995</v>
      </c>
      <c r="F712" s="220"/>
      <c r="G712" s="2047">
        <f t="shared" si="30"/>
        <v>5348</v>
      </c>
      <c r="H712" s="1823"/>
      <c r="I712" s="1859"/>
      <c r="J712" s="1542"/>
    </row>
    <row r="713" spans="1:76" ht="36">
      <c r="A713" s="75" t="s">
        <v>3014</v>
      </c>
      <c r="B713" s="669" t="s">
        <v>2394</v>
      </c>
      <c r="C713" s="1530" t="s">
        <v>19</v>
      </c>
      <c r="D713" s="1542">
        <v>56.136846842929742</v>
      </c>
      <c r="E713" s="1564">
        <v>668.5</v>
      </c>
      <c r="F713" s="220"/>
      <c r="G713" s="2047">
        <f t="shared" si="30"/>
        <v>37527.482114498533</v>
      </c>
      <c r="H713" s="1823" t="s">
        <v>3346</v>
      </c>
      <c r="I713" s="1859"/>
      <c r="J713" s="1542"/>
    </row>
    <row r="714" spans="1:76">
      <c r="A714" s="1815" t="s">
        <v>2365</v>
      </c>
      <c r="B714" s="1557" t="s">
        <v>318</v>
      </c>
      <c r="C714" s="1530"/>
      <c r="D714" s="1542"/>
      <c r="E714" s="1564"/>
      <c r="F714" s="220"/>
      <c r="G714" s="2047"/>
      <c r="H714" s="1823"/>
      <c r="I714" s="1859"/>
      <c r="J714" s="1542"/>
    </row>
    <row r="715" spans="1:76" ht="54">
      <c r="A715" s="75" t="s">
        <v>3015</v>
      </c>
      <c r="B715" s="669" t="s">
        <v>2892</v>
      </c>
      <c r="C715" s="1530" t="s">
        <v>25</v>
      </c>
      <c r="D715" s="1542">
        <v>1.7211769079200154</v>
      </c>
      <c r="E715" s="1564">
        <v>339058.5</v>
      </c>
      <c r="F715" s="220"/>
      <c r="G715" s="2047">
        <f t="shared" si="30"/>
        <v>583579.66063399857</v>
      </c>
      <c r="H715" s="1823"/>
      <c r="I715" s="1859"/>
      <c r="J715" s="1542"/>
    </row>
    <row r="716" spans="1:76" ht="17.25" customHeight="1">
      <c r="A716" s="1722"/>
      <c r="B716" s="1557"/>
      <c r="C716" s="1563"/>
      <c r="D716" s="1688"/>
      <c r="E716" s="1565"/>
      <c r="F716" s="1666" t="s">
        <v>1483</v>
      </c>
      <c r="G716" s="2036">
        <f>SUM(G694:G715)</f>
        <v>14166103.446086766</v>
      </c>
      <c r="H716" s="1824"/>
      <c r="I716" s="1850"/>
      <c r="J716" s="1717"/>
    </row>
    <row r="717" spans="1:76" ht="18" customHeight="1">
      <c r="A717" s="75"/>
      <c r="B717" s="669"/>
      <c r="C717" s="1530"/>
      <c r="D717" s="1686"/>
      <c r="E717" s="1565"/>
      <c r="F717" s="1666" t="s">
        <v>1558</v>
      </c>
      <c r="G717" s="2036">
        <f>G716+G691+G675+G648+G620+G604+G577+G549+G533+G519+G499+G483+G461+G412+G396</f>
        <v>2537829966.7266693</v>
      </c>
      <c r="H717" s="1823"/>
      <c r="I717" s="1850"/>
      <c r="J717" s="1717"/>
    </row>
    <row r="718" spans="1:76" s="1654" customFormat="1" ht="17.25" customHeight="1">
      <c r="A718" s="1825"/>
      <c r="B718" s="1998" t="s">
        <v>2912</v>
      </c>
      <c r="C718" s="1998"/>
      <c r="D718" s="1998"/>
      <c r="E718" s="1999"/>
      <c r="F718" s="1998"/>
      <c r="G718" s="2039"/>
      <c r="H718" s="1998"/>
      <c r="I718" s="1850"/>
      <c r="J718" s="220"/>
      <c r="K718" s="315"/>
      <c r="L718" s="315"/>
      <c r="M718" s="315"/>
      <c r="N718" s="315"/>
      <c r="O718" s="315"/>
      <c r="P718" s="315"/>
      <c r="Q718" s="315"/>
      <c r="R718" s="315"/>
      <c r="S718" s="315"/>
      <c r="T718" s="315"/>
      <c r="U718" s="315"/>
      <c r="V718" s="315"/>
      <c r="W718" s="315"/>
      <c r="X718" s="315"/>
      <c r="Y718" s="315"/>
      <c r="Z718" s="315"/>
      <c r="AA718" s="315"/>
      <c r="AB718" s="315"/>
      <c r="AC718" s="315"/>
      <c r="AD718" s="315"/>
      <c r="AE718" s="315"/>
      <c r="AF718" s="315"/>
      <c r="AG718" s="315"/>
      <c r="AH718" s="315"/>
      <c r="AI718" s="315"/>
      <c r="AJ718" s="315"/>
      <c r="AK718" s="315"/>
      <c r="AL718" s="315"/>
      <c r="AM718" s="315"/>
      <c r="AN718" s="315"/>
      <c r="AO718" s="315"/>
      <c r="AP718" s="315"/>
      <c r="AQ718" s="315"/>
      <c r="AR718" s="315"/>
      <c r="AS718" s="315"/>
      <c r="AT718" s="315"/>
      <c r="AU718" s="315"/>
      <c r="AV718" s="315"/>
      <c r="AW718" s="315"/>
      <c r="AX718" s="315"/>
      <c r="AY718" s="315"/>
      <c r="AZ718" s="315"/>
      <c r="BA718" s="315"/>
      <c r="BB718" s="315"/>
      <c r="BC718" s="315"/>
      <c r="BD718" s="315"/>
      <c r="BE718" s="315"/>
      <c r="BF718" s="315"/>
      <c r="BG718" s="315"/>
      <c r="BH718" s="315"/>
      <c r="BI718" s="315"/>
      <c r="BJ718" s="315"/>
      <c r="BK718" s="315"/>
      <c r="BL718" s="315"/>
      <c r="BM718" s="315"/>
      <c r="BN718" s="315"/>
      <c r="BO718" s="315"/>
      <c r="BP718" s="315"/>
      <c r="BQ718" s="315"/>
      <c r="BR718" s="315"/>
      <c r="BS718" s="315"/>
      <c r="BT718" s="315"/>
      <c r="BU718" s="315"/>
      <c r="BV718" s="315"/>
      <c r="BW718" s="315"/>
      <c r="BX718" s="315"/>
    </row>
    <row r="719" spans="1:76" s="315" customFormat="1">
      <c r="A719" s="1814" t="s">
        <v>2252</v>
      </c>
      <c r="B719" s="1533" t="s">
        <v>423</v>
      </c>
      <c r="C719" s="1534"/>
      <c r="D719" s="1736"/>
      <c r="E719" s="2014"/>
      <c r="F719" s="1536"/>
      <c r="G719" s="1682"/>
      <c r="H719" s="1534"/>
      <c r="I719" s="1850"/>
      <c r="J719" s="220"/>
    </row>
    <row r="720" spans="1:76">
      <c r="A720" s="1811" t="s">
        <v>2307</v>
      </c>
      <c r="B720" s="1661" t="s">
        <v>18</v>
      </c>
      <c r="C720" s="1662"/>
      <c r="D720" s="1744"/>
      <c r="E720" s="2015"/>
      <c r="F720" s="1664"/>
      <c r="G720" s="2034"/>
      <c r="H720" s="1809"/>
      <c r="I720" s="1850"/>
      <c r="J720" s="1543"/>
    </row>
    <row r="721" spans="1:10" ht="72">
      <c r="A721" s="75" t="s">
        <v>2308</v>
      </c>
      <c r="B721" s="1555" t="s">
        <v>2847</v>
      </c>
      <c r="C721" s="1576" t="s">
        <v>19</v>
      </c>
      <c r="D721" s="1542">
        <v>2800</v>
      </c>
      <c r="E721" s="1564">
        <v>40.5</v>
      </c>
      <c r="F721" s="220"/>
      <c r="G721" s="2024">
        <f>D721*E721</f>
        <v>113400</v>
      </c>
      <c r="H721" s="1530"/>
      <c r="I721" s="1859"/>
      <c r="J721" s="1543"/>
    </row>
    <row r="722" spans="1:10" ht="72">
      <c r="A722" s="1722" t="s">
        <v>2309</v>
      </c>
      <c r="B722" s="1544" t="s">
        <v>2849</v>
      </c>
      <c r="C722" s="1576"/>
      <c r="D722" s="1542"/>
      <c r="E722" s="1564"/>
      <c r="F722" s="220"/>
      <c r="G722" s="2024"/>
      <c r="H722" s="1530"/>
      <c r="I722" s="1859"/>
      <c r="J722" s="1543"/>
    </row>
    <row r="723" spans="1:10">
      <c r="A723" s="75" t="s">
        <v>2319</v>
      </c>
      <c r="B723" s="220" t="s">
        <v>1632</v>
      </c>
      <c r="C723" s="1530" t="s">
        <v>21</v>
      </c>
      <c r="D723" s="1542">
        <v>7897.3120000000017</v>
      </c>
      <c r="E723" s="1564">
        <v>358.66</v>
      </c>
      <c r="F723" s="220"/>
      <c r="G723" s="2024">
        <f t="shared" ref="G723:G766" si="31">D723*E723</f>
        <v>2832449.921920001</v>
      </c>
      <c r="H723" s="1530"/>
      <c r="I723" s="1859"/>
      <c r="J723" s="1577"/>
    </row>
    <row r="724" spans="1:10">
      <c r="A724" s="75" t="s">
        <v>2320</v>
      </c>
      <c r="B724" s="220" t="s">
        <v>1634</v>
      </c>
      <c r="C724" s="1530" t="s">
        <v>21</v>
      </c>
      <c r="D724" s="1542">
        <v>11845.968000000001</v>
      </c>
      <c r="E724" s="1564">
        <v>1385.23</v>
      </c>
      <c r="F724" s="220"/>
      <c r="G724" s="2024">
        <f t="shared" si="31"/>
        <v>16409390.252640001</v>
      </c>
      <c r="H724" s="1823"/>
      <c r="I724" s="1859"/>
      <c r="J724" s="1543"/>
    </row>
    <row r="725" spans="1:10">
      <c r="A725" s="1722" t="s">
        <v>2310</v>
      </c>
      <c r="B725" s="313" t="s">
        <v>31</v>
      </c>
      <c r="C725" s="1530"/>
      <c r="D725" s="1542"/>
      <c r="E725" s="1564"/>
      <c r="F725" s="220"/>
      <c r="G725" s="2024"/>
      <c r="H725" s="1823"/>
      <c r="I725" s="1859"/>
      <c r="J725" s="1543"/>
    </row>
    <row r="726" spans="1:10" ht="54">
      <c r="A726" s="75" t="s">
        <v>2318</v>
      </c>
      <c r="B726" s="1545" t="s">
        <v>2862</v>
      </c>
      <c r="C726" s="1530" t="s">
        <v>21</v>
      </c>
      <c r="D726" s="1542">
        <v>3948.6560000000009</v>
      </c>
      <c r="E726" s="1564">
        <v>217.5</v>
      </c>
      <c r="F726" s="220"/>
      <c r="G726" s="2024">
        <f t="shared" si="31"/>
        <v>858832.68000000017</v>
      </c>
      <c r="H726" s="1823"/>
      <c r="I726" s="1859"/>
      <c r="J726" s="1543"/>
    </row>
    <row r="727" spans="1:10" ht="54">
      <c r="A727" s="1722" t="s">
        <v>2311</v>
      </c>
      <c r="B727" s="1545" t="s">
        <v>2735</v>
      </c>
      <c r="C727" s="1530"/>
      <c r="D727" s="1542"/>
      <c r="E727" s="1564"/>
      <c r="F727" s="220"/>
      <c r="G727" s="2024">
        <f t="shared" si="31"/>
        <v>0</v>
      </c>
      <c r="H727" s="1608"/>
      <c r="I727" s="1853"/>
      <c r="J727" s="1543"/>
    </row>
    <row r="728" spans="1:10">
      <c r="A728" s="75" t="s">
        <v>2316</v>
      </c>
      <c r="B728" s="669" t="str">
        <f>Powerhouse!B25</f>
        <v xml:space="preserve">Concrete Blocks for 9" walls </v>
      </c>
      <c r="C728" s="1530" t="s">
        <v>21</v>
      </c>
      <c r="D728" s="1542">
        <v>1053.0899999999999</v>
      </c>
      <c r="E728" s="1564">
        <v>18375.5</v>
      </c>
      <c r="F728" s="220"/>
      <c r="G728" s="2024">
        <f t="shared" si="31"/>
        <v>19351055.294999998</v>
      </c>
      <c r="H728" s="1608"/>
      <c r="I728" s="1860"/>
      <c r="J728" s="1543"/>
    </row>
    <row r="729" spans="1:10">
      <c r="A729" s="75" t="s">
        <v>2317</v>
      </c>
      <c r="B729" s="1546" t="s">
        <v>1647</v>
      </c>
      <c r="C729" s="1530" t="s">
        <v>21</v>
      </c>
      <c r="D729" s="1542">
        <v>61</v>
      </c>
      <c r="E729" s="1564">
        <v>25562.875</v>
      </c>
      <c r="F729" s="220"/>
      <c r="G729" s="2024">
        <f t="shared" si="31"/>
        <v>1559335.375</v>
      </c>
      <c r="H729" s="1608"/>
      <c r="I729" s="1860"/>
      <c r="J729" s="1543"/>
    </row>
    <row r="730" spans="1:10">
      <c r="A730" s="75" t="s">
        <v>3016</v>
      </c>
      <c r="B730" s="1546" t="s">
        <v>1645</v>
      </c>
      <c r="C730" s="1530" t="s">
        <v>21</v>
      </c>
      <c r="D730" s="1542">
        <v>3925</v>
      </c>
      <c r="E730" s="1564">
        <v>18375.5</v>
      </c>
      <c r="F730" s="220"/>
      <c r="G730" s="2024">
        <f t="shared" si="31"/>
        <v>72123837.5</v>
      </c>
      <c r="H730" s="1608"/>
      <c r="I730" s="1860"/>
      <c r="J730" s="1543"/>
    </row>
    <row r="731" spans="1:10">
      <c r="A731" s="75" t="s">
        <v>3017</v>
      </c>
      <c r="B731" s="669" t="str">
        <f>Powerhouse!B28</f>
        <v>C15 Blinding Concrete</v>
      </c>
      <c r="C731" s="1530" t="s">
        <v>21</v>
      </c>
      <c r="D731" s="1542">
        <v>92</v>
      </c>
      <c r="E731" s="1564">
        <v>13187.5</v>
      </c>
      <c r="F731" s="220"/>
      <c r="G731" s="2024">
        <f t="shared" si="31"/>
        <v>1213250</v>
      </c>
      <c r="H731" s="1823"/>
      <c r="I731" s="1860"/>
      <c r="J731" s="1577"/>
    </row>
    <row r="732" spans="1:10">
      <c r="A732" s="75" t="s">
        <v>3018</v>
      </c>
      <c r="B732" s="669" t="str">
        <f>Powerhouse!B29</f>
        <v>C15 plum concrete with 30% plum</v>
      </c>
      <c r="C732" s="1530" t="s">
        <v>21</v>
      </c>
      <c r="D732" s="1542">
        <v>885</v>
      </c>
      <c r="E732" s="1564">
        <v>11539.5</v>
      </c>
      <c r="F732" s="220"/>
      <c r="G732" s="2024">
        <f t="shared" si="31"/>
        <v>10212457.5</v>
      </c>
      <c r="H732" s="1823"/>
      <c r="I732" s="1860"/>
      <c r="J732" s="1543"/>
    </row>
    <row r="733" spans="1:10" ht="36">
      <c r="A733" s="1874" t="s">
        <v>3262</v>
      </c>
      <c r="B733" s="1923" t="s">
        <v>3263</v>
      </c>
      <c r="C733" s="1876" t="s">
        <v>21</v>
      </c>
      <c r="D733" s="1924">
        <v>0.5</v>
      </c>
      <c r="E733" s="2304">
        <v>150000</v>
      </c>
      <c r="F733" s="1925"/>
      <c r="G733" s="2104">
        <f t="shared" si="31"/>
        <v>75000</v>
      </c>
      <c r="H733" s="1921"/>
      <c r="I733" s="1860"/>
      <c r="J733" s="1922"/>
    </row>
    <row r="734" spans="1:10">
      <c r="A734" s="1722" t="s">
        <v>2312</v>
      </c>
      <c r="B734" s="313" t="s">
        <v>1649</v>
      </c>
      <c r="C734" s="1530"/>
      <c r="D734" s="1542"/>
      <c r="E734" s="1565"/>
      <c r="F734" s="220"/>
      <c r="G734" s="2024"/>
      <c r="H734" s="1823"/>
      <c r="I734" s="1860"/>
      <c r="J734" s="1543"/>
    </row>
    <row r="735" spans="1:10" ht="54">
      <c r="A735" s="75" t="s">
        <v>2315</v>
      </c>
      <c r="B735" s="1550" t="s">
        <v>1248</v>
      </c>
      <c r="C735" s="1530" t="s">
        <v>322</v>
      </c>
      <c r="D735" s="1542">
        <v>389.59550000000002</v>
      </c>
      <c r="E735" s="1564">
        <v>164277.67441860467</v>
      </c>
      <c r="F735" s="220"/>
      <c r="G735" s="2024">
        <f t="shared" si="31"/>
        <v>64001842.703953497</v>
      </c>
      <c r="H735" s="1823"/>
      <c r="I735" s="1860"/>
      <c r="J735" s="1543"/>
    </row>
    <row r="736" spans="1:10">
      <c r="A736" s="1722" t="s">
        <v>2313</v>
      </c>
      <c r="B736" s="1548" t="s">
        <v>309</v>
      </c>
      <c r="C736" s="1530"/>
      <c r="D736" s="1542"/>
      <c r="E736" s="1564"/>
      <c r="F736" s="220"/>
      <c r="G736" s="2024"/>
      <c r="H736" s="1823"/>
      <c r="I736" s="1860"/>
      <c r="J736" s="1543"/>
    </row>
    <row r="737" spans="1:11" ht="54">
      <c r="A737" s="75" t="s">
        <v>2314</v>
      </c>
      <c r="B737" s="1549" t="s">
        <v>1249</v>
      </c>
      <c r="C737" s="1576" t="s">
        <v>19</v>
      </c>
      <c r="D737" s="1542">
        <v>5129</v>
      </c>
      <c r="E737" s="1564">
        <v>1228.5614285714287</v>
      </c>
      <c r="F737" s="220"/>
      <c r="G737" s="2024">
        <f t="shared" si="31"/>
        <v>6301291.5671428572</v>
      </c>
      <c r="H737" s="1823"/>
      <c r="I737" s="1859"/>
      <c r="J737" s="1543"/>
    </row>
    <row r="738" spans="1:11">
      <c r="A738" s="1722" t="s">
        <v>3019</v>
      </c>
      <c r="B738" s="1548" t="s">
        <v>1250</v>
      </c>
      <c r="C738" s="66"/>
      <c r="D738" s="1542"/>
      <c r="E738" s="1564"/>
      <c r="F738" s="220"/>
      <c r="G738" s="2024"/>
      <c r="H738" s="1823"/>
      <c r="I738" s="1859"/>
      <c r="J738" s="1543"/>
    </row>
    <row r="739" spans="1:11" ht="36">
      <c r="A739" s="75" t="s">
        <v>3020</v>
      </c>
      <c r="B739" s="669" t="s">
        <v>2381</v>
      </c>
      <c r="C739" s="1530" t="s">
        <v>322</v>
      </c>
      <c r="D739" s="1542">
        <v>33</v>
      </c>
      <c r="E739" s="1564">
        <v>275000</v>
      </c>
      <c r="F739" s="220"/>
      <c r="G739" s="2024">
        <f t="shared" si="31"/>
        <v>9075000</v>
      </c>
      <c r="H739" s="1823"/>
      <c r="I739" s="1859"/>
      <c r="J739" s="1543"/>
      <c r="K739" s="217">
        <v>132758</v>
      </c>
    </row>
    <row r="740" spans="1:11">
      <c r="A740" s="75" t="s">
        <v>3021</v>
      </c>
      <c r="B740" s="1550" t="s">
        <v>1975</v>
      </c>
      <c r="C740" s="1576" t="s">
        <v>19</v>
      </c>
      <c r="D740" s="1542">
        <v>1263</v>
      </c>
      <c r="E740" s="1564">
        <v>1887</v>
      </c>
      <c r="F740" s="220"/>
      <c r="G740" s="2024">
        <f t="shared" si="31"/>
        <v>2383281</v>
      </c>
      <c r="H740" s="1823"/>
      <c r="I740" s="1859"/>
      <c r="J740" s="1543"/>
    </row>
    <row r="741" spans="1:11">
      <c r="A741" s="75" t="s">
        <v>3022</v>
      </c>
      <c r="B741" s="669" t="str">
        <f>Powerhouse!B41</f>
        <v>CGI sheet for ridging</v>
      </c>
      <c r="C741" s="1576" t="s">
        <v>19</v>
      </c>
      <c r="D741" s="1542">
        <v>60</v>
      </c>
      <c r="E741" s="1564">
        <v>1887</v>
      </c>
      <c r="F741" s="220"/>
      <c r="G741" s="2024">
        <f t="shared" si="31"/>
        <v>113220</v>
      </c>
      <c r="H741" s="1823"/>
      <c r="I741" s="1859"/>
      <c r="J741" s="1543"/>
    </row>
    <row r="742" spans="1:11">
      <c r="A742" s="75" t="s">
        <v>3023</v>
      </c>
      <c r="B742" s="669" t="str">
        <f>Powerhouse!B42</f>
        <v>Gutter around roof</v>
      </c>
      <c r="C742" s="1576" t="s">
        <v>19</v>
      </c>
      <c r="D742" s="1542">
        <v>152.27000000000001</v>
      </c>
      <c r="E742" s="1564">
        <v>482</v>
      </c>
      <c r="F742" s="220"/>
      <c r="G742" s="2024">
        <f t="shared" si="31"/>
        <v>73394.14</v>
      </c>
      <c r="H742" s="1823"/>
      <c r="I742" s="1859"/>
      <c r="J742" s="1543"/>
    </row>
    <row r="743" spans="1:11">
      <c r="A743" s="1722" t="s">
        <v>3024</v>
      </c>
      <c r="B743" s="1557" t="s">
        <v>2850</v>
      </c>
      <c r="C743" s="1576"/>
      <c r="D743" s="1542"/>
      <c r="E743" s="1564"/>
      <c r="F743" s="220"/>
      <c r="G743" s="2024"/>
      <c r="H743" s="1823"/>
      <c r="I743" s="1859"/>
      <c r="J743" s="1543"/>
    </row>
    <row r="744" spans="1:11" ht="36">
      <c r="A744" s="220"/>
      <c r="B744" s="1594" t="s">
        <v>2384</v>
      </c>
      <c r="C744" s="1576" t="s">
        <v>19</v>
      </c>
      <c r="D744" s="1542">
        <v>1454</v>
      </c>
      <c r="E744" s="1564">
        <v>482</v>
      </c>
      <c r="F744" s="220"/>
      <c r="G744" s="2024">
        <f t="shared" si="31"/>
        <v>700828</v>
      </c>
      <c r="H744" s="1823"/>
      <c r="I744" s="1859"/>
      <c r="J744" s="1543"/>
    </row>
    <row r="745" spans="1:11">
      <c r="A745" s="1722" t="s">
        <v>3025</v>
      </c>
      <c r="B745" s="1557" t="s">
        <v>2385</v>
      </c>
      <c r="C745" s="1576" t="s">
        <v>19</v>
      </c>
      <c r="D745" s="1542">
        <v>549</v>
      </c>
      <c r="E745" s="1564">
        <v>482</v>
      </c>
      <c r="F745" s="220"/>
      <c r="G745" s="2024">
        <f t="shared" si="31"/>
        <v>264618</v>
      </c>
      <c r="H745" s="1823"/>
      <c r="I745" s="1859"/>
      <c r="J745" s="1543"/>
    </row>
    <row r="746" spans="1:11" s="2137" customFormat="1" ht="54">
      <c r="A746" s="2141" t="s">
        <v>3026</v>
      </c>
      <c r="B746" s="2142" t="s">
        <v>2380</v>
      </c>
      <c r="C746" s="2131" t="s">
        <v>19</v>
      </c>
      <c r="D746" s="2132">
        <v>124</v>
      </c>
      <c r="E746" s="2127">
        <v>35000</v>
      </c>
      <c r="F746" s="2133"/>
      <c r="G746" s="2134">
        <f t="shared" si="31"/>
        <v>4340000</v>
      </c>
      <c r="H746" s="2135"/>
      <c r="I746" s="2140"/>
      <c r="J746" s="2441"/>
    </row>
    <row r="747" spans="1:11" s="2137" customFormat="1">
      <c r="A747" s="2141" t="s">
        <v>3027</v>
      </c>
      <c r="B747" s="2142" t="str">
        <f>Powerhouse!B46</f>
        <v>Fixed Glaze with 3mm thick Shutter</v>
      </c>
      <c r="C747" s="2442" t="s">
        <v>19</v>
      </c>
      <c r="D747" s="2132">
        <v>540</v>
      </c>
      <c r="E747" s="2127">
        <v>10000</v>
      </c>
      <c r="F747" s="2133"/>
      <c r="G747" s="2134">
        <f t="shared" si="31"/>
        <v>5400000</v>
      </c>
      <c r="H747" s="2135"/>
      <c r="I747" s="2140"/>
      <c r="J747" s="2146"/>
    </row>
    <row r="748" spans="1:11">
      <c r="A748" s="1722" t="s">
        <v>3028</v>
      </c>
      <c r="B748" s="1557" t="str">
        <f>Powerhouse!B47</f>
        <v>Painting</v>
      </c>
      <c r="C748" s="1576"/>
      <c r="D748" s="1542"/>
      <c r="E748" s="1564"/>
      <c r="F748" s="220"/>
      <c r="G748" s="2024"/>
      <c r="H748" s="1823"/>
      <c r="I748" s="1850"/>
      <c r="J748" s="1543"/>
    </row>
    <row r="749" spans="1:11" ht="61.5" customHeight="1">
      <c r="A749" s="75" t="s">
        <v>3029</v>
      </c>
      <c r="B749" s="669" t="s">
        <v>2382</v>
      </c>
      <c r="C749" s="1576" t="s">
        <v>19</v>
      </c>
      <c r="D749" s="1542">
        <v>1454</v>
      </c>
      <c r="E749" s="1564">
        <v>611.5</v>
      </c>
      <c r="F749" s="220"/>
      <c r="G749" s="2024">
        <f t="shared" si="31"/>
        <v>889121</v>
      </c>
      <c r="H749" s="1823"/>
      <c r="I749" s="1859"/>
      <c r="J749" s="1543"/>
    </row>
    <row r="750" spans="1:11" ht="54">
      <c r="A750" s="75" t="s">
        <v>3030</v>
      </c>
      <c r="B750" s="669" t="s">
        <v>2383</v>
      </c>
      <c r="C750" s="1576" t="s">
        <v>19</v>
      </c>
      <c r="D750" s="1542">
        <v>1454</v>
      </c>
      <c r="E750" s="1564">
        <v>611.5</v>
      </c>
      <c r="F750" s="220"/>
      <c r="G750" s="2024">
        <f t="shared" si="31"/>
        <v>889121</v>
      </c>
      <c r="H750" s="1823"/>
      <c r="I750" s="1859"/>
      <c r="J750" s="1543"/>
    </row>
    <row r="751" spans="1:11">
      <c r="A751" s="1722" t="s">
        <v>3031</v>
      </c>
      <c r="B751" s="1557" t="s">
        <v>2103</v>
      </c>
      <c r="C751" s="1530" t="s">
        <v>27</v>
      </c>
      <c r="D751" s="1542">
        <v>203.6</v>
      </c>
      <c r="E751" s="1564">
        <v>714</v>
      </c>
      <c r="F751" s="220"/>
      <c r="G751" s="2024">
        <f t="shared" si="31"/>
        <v>145370.4</v>
      </c>
      <c r="H751" s="1823"/>
      <c r="I751" s="1859"/>
      <c r="J751" s="1543"/>
    </row>
    <row r="752" spans="1:11">
      <c r="A752" s="1722" t="s">
        <v>3032</v>
      </c>
      <c r="B752" s="313" t="s">
        <v>1929</v>
      </c>
      <c r="C752" s="1530"/>
      <c r="D752" s="1542"/>
      <c r="E752" s="1564"/>
      <c r="F752" s="220"/>
      <c r="G752" s="2024"/>
      <c r="H752" s="1823"/>
      <c r="I752" s="1859"/>
      <c r="J752" s="1543"/>
    </row>
    <row r="753" spans="1:10" ht="54">
      <c r="A753" s="75" t="s">
        <v>3033</v>
      </c>
      <c r="B753" s="1550" t="s">
        <v>2874</v>
      </c>
      <c r="C753" s="1530" t="s">
        <v>311</v>
      </c>
      <c r="D753" s="1542">
        <v>545</v>
      </c>
      <c r="E753" s="1564">
        <v>4891.5</v>
      </c>
      <c r="F753" s="220"/>
      <c r="G753" s="2024">
        <f t="shared" si="31"/>
        <v>2665867.5</v>
      </c>
      <c r="H753" s="1823"/>
      <c r="I753" s="1859"/>
      <c r="J753" s="1543"/>
    </row>
    <row r="754" spans="1:10">
      <c r="A754" s="1722" t="s">
        <v>3034</v>
      </c>
      <c r="B754" s="313" t="s">
        <v>1872</v>
      </c>
      <c r="C754" s="1530"/>
      <c r="D754" s="1542"/>
      <c r="E754" s="1564"/>
      <c r="F754" s="220"/>
      <c r="G754" s="2024"/>
      <c r="H754" s="1823"/>
      <c r="I754" s="1859"/>
      <c r="J754" s="1543"/>
    </row>
    <row r="755" spans="1:10" ht="54">
      <c r="A755" s="75" t="s">
        <v>3035</v>
      </c>
      <c r="B755" s="1550" t="s">
        <v>1862</v>
      </c>
      <c r="C755" s="1576" t="s">
        <v>19</v>
      </c>
      <c r="D755" s="1542">
        <v>2275</v>
      </c>
      <c r="E755" s="1564">
        <v>5831.9000000000005</v>
      </c>
      <c r="F755" s="220"/>
      <c r="G755" s="2024">
        <f t="shared" si="31"/>
        <v>13267572.500000002</v>
      </c>
      <c r="H755" s="1823"/>
      <c r="I755" s="1859"/>
      <c r="J755" s="1543"/>
    </row>
    <row r="756" spans="1:10">
      <c r="A756" s="1722" t="s">
        <v>3036</v>
      </c>
      <c r="B756" s="1557" t="s">
        <v>1518</v>
      </c>
      <c r="C756" s="1576"/>
      <c r="D756" s="1542"/>
      <c r="E756" s="1564"/>
      <c r="F756" s="220"/>
      <c r="G756" s="2024"/>
      <c r="H756" s="1823"/>
      <c r="I756" s="1859"/>
      <c r="J756" s="1543"/>
    </row>
    <row r="757" spans="1:10" ht="36">
      <c r="A757" s="75" t="s">
        <v>3037</v>
      </c>
      <c r="B757" s="669" t="s">
        <v>2744</v>
      </c>
      <c r="C757" s="1576" t="s">
        <v>19</v>
      </c>
      <c r="D757" s="1542">
        <v>2275</v>
      </c>
      <c r="E757" s="1564">
        <v>668.5</v>
      </c>
      <c r="F757" s="220"/>
      <c r="G757" s="2024">
        <f t="shared" si="31"/>
        <v>1520837.5</v>
      </c>
      <c r="H757" s="1823"/>
      <c r="I757" s="1859"/>
      <c r="J757" s="1543"/>
    </row>
    <row r="758" spans="1:10" ht="36">
      <c r="A758" s="75" t="s">
        <v>3038</v>
      </c>
      <c r="B758" s="669" t="s">
        <v>2743</v>
      </c>
      <c r="C758" s="1576" t="s">
        <v>19</v>
      </c>
      <c r="D758" s="1542">
        <v>10</v>
      </c>
      <c r="E758" s="1564">
        <v>534.79999999999995</v>
      </c>
      <c r="F758" s="220"/>
      <c r="G758" s="2024">
        <f t="shared" si="31"/>
        <v>5348</v>
      </c>
      <c r="H758" s="1823"/>
      <c r="I758" s="1859"/>
      <c r="J758" s="1543"/>
    </row>
    <row r="759" spans="1:10" ht="54">
      <c r="A759" s="1722" t="s">
        <v>3039</v>
      </c>
      <c r="B759" s="1578" t="s">
        <v>2742</v>
      </c>
      <c r="C759" s="1576"/>
      <c r="D759" s="1542"/>
      <c r="E759" s="1564"/>
      <c r="F759" s="220"/>
      <c r="G759" s="2024"/>
      <c r="H759" s="1823"/>
      <c r="I759" s="1859"/>
      <c r="J759" s="1543"/>
    </row>
    <row r="760" spans="1:10">
      <c r="A760" s="75" t="s">
        <v>3040</v>
      </c>
      <c r="B760" s="1579" t="s">
        <v>2397</v>
      </c>
      <c r="C760" s="1530" t="s">
        <v>322</v>
      </c>
      <c r="D760" s="1542">
        <v>10</v>
      </c>
      <c r="E760" s="1564">
        <v>56500</v>
      </c>
      <c r="F760" s="220"/>
      <c r="G760" s="2024">
        <f t="shared" si="31"/>
        <v>565000</v>
      </c>
      <c r="H760" s="1823"/>
      <c r="I760" s="1859"/>
      <c r="J760" s="1543"/>
    </row>
    <row r="761" spans="1:10">
      <c r="A761" s="75" t="s">
        <v>3041</v>
      </c>
      <c r="B761" s="669" t="s">
        <v>2399</v>
      </c>
      <c r="C761" s="1530" t="s">
        <v>47</v>
      </c>
      <c r="D761" s="1542">
        <v>100</v>
      </c>
      <c r="E761" s="1564">
        <v>282.5</v>
      </c>
      <c r="F761" s="220"/>
      <c r="G761" s="2024">
        <f t="shared" si="31"/>
        <v>28250</v>
      </c>
      <c r="H761" s="1823"/>
      <c r="I761" s="1859"/>
      <c r="J761" s="1543"/>
    </row>
    <row r="762" spans="1:10">
      <c r="A762" s="75" t="s">
        <v>3042</v>
      </c>
      <c r="B762" s="669" t="s">
        <v>1902</v>
      </c>
      <c r="C762" s="1530" t="s">
        <v>27</v>
      </c>
      <c r="D762" s="1542">
        <v>50</v>
      </c>
      <c r="E762" s="1564">
        <v>11600.82</v>
      </c>
      <c r="F762" s="220"/>
      <c r="G762" s="2024">
        <f t="shared" si="31"/>
        <v>580041</v>
      </c>
      <c r="H762" s="1823"/>
      <c r="I762" s="1859"/>
      <c r="J762" s="1543"/>
    </row>
    <row r="763" spans="1:10">
      <c r="A763" s="1722" t="s">
        <v>3226</v>
      </c>
      <c r="B763" s="1557" t="s">
        <v>3228</v>
      </c>
      <c r="C763" s="1530"/>
      <c r="D763" s="1542"/>
      <c r="E763" s="1564"/>
      <c r="F763" s="220"/>
      <c r="G763" s="2024"/>
      <c r="H763" s="1823"/>
      <c r="I763" s="1859"/>
      <c r="J763" s="1543"/>
    </row>
    <row r="764" spans="1:10" ht="72">
      <c r="A764" s="2068" t="s">
        <v>3227</v>
      </c>
      <c r="B764" s="2074" t="s">
        <v>3225</v>
      </c>
      <c r="C764" s="2070" t="s">
        <v>46</v>
      </c>
      <c r="D764" s="2071">
        <v>1066.6666666666667</v>
      </c>
      <c r="E764" s="2009">
        <v>1500</v>
      </c>
      <c r="F764" s="2072"/>
      <c r="G764" s="2075">
        <f t="shared" si="31"/>
        <v>1600000</v>
      </c>
      <c r="H764" s="1823"/>
      <c r="I764" s="1859"/>
      <c r="J764" s="1543"/>
    </row>
    <row r="765" spans="1:10">
      <c r="A765" s="1701" t="s">
        <v>3311</v>
      </c>
      <c r="B765" s="1700" t="s">
        <v>3305</v>
      </c>
      <c r="C765" s="2070"/>
      <c r="D765" s="2078"/>
      <c r="E765" s="2079"/>
      <c r="F765" s="2080"/>
      <c r="G765" s="2075"/>
      <c r="H765" s="1921"/>
      <c r="I765" s="1859"/>
      <c r="J765" s="1922"/>
    </row>
    <row r="766" spans="1:10" ht="65.400000000000006" customHeight="1">
      <c r="A766" s="2070" t="s">
        <v>3312</v>
      </c>
      <c r="B766" s="2074" t="s">
        <v>3307</v>
      </c>
      <c r="C766" s="2070" t="s">
        <v>85</v>
      </c>
      <c r="D766" s="2081">
        <v>12.319999999999999</v>
      </c>
      <c r="E766" s="2079">
        <v>100000</v>
      </c>
      <c r="F766" s="2080"/>
      <c r="G766" s="2075">
        <f t="shared" si="31"/>
        <v>1231999.9999999998</v>
      </c>
      <c r="H766" s="1921"/>
      <c r="I766" s="1859"/>
      <c r="J766" s="1922"/>
    </row>
    <row r="767" spans="1:10" ht="17.25" customHeight="1">
      <c r="A767" s="1722"/>
      <c r="B767" s="1557"/>
      <c r="C767" s="1563"/>
      <c r="D767" s="1688"/>
      <c r="E767" s="1565"/>
      <c r="F767" s="1666" t="s">
        <v>1483</v>
      </c>
      <c r="G767" s="2036">
        <f>SUM(G721:G766)</f>
        <v>240791012.83565634</v>
      </c>
      <c r="H767" s="1824"/>
      <c r="I767" s="1850"/>
      <c r="J767" s="1717"/>
    </row>
    <row r="768" spans="1:10">
      <c r="A768" s="1814" t="s">
        <v>2253</v>
      </c>
      <c r="B768" s="1533" t="s">
        <v>841</v>
      </c>
      <c r="C768" s="1551"/>
      <c r="D768" s="1738"/>
      <c r="E768" s="2001"/>
      <c r="F768" s="1536"/>
      <c r="G768" s="2045"/>
      <c r="H768" s="1534"/>
      <c r="I768" s="1857"/>
      <c r="J768" s="1543"/>
    </row>
    <row r="769" spans="1:10">
      <c r="A769" s="1722" t="s">
        <v>2264</v>
      </c>
      <c r="B769" s="1548" t="s">
        <v>18</v>
      </c>
      <c r="C769" s="1530"/>
      <c r="D769" s="1686"/>
      <c r="E769" s="1565"/>
      <c r="F769" s="1587"/>
      <c r="G769" s="2034"/>
      <c r="H769" s="1563"/>
      <c r="I769" s="1857"/>
      <c r="J769" s="1543"/>
    </row>
    <row r="770" spans="1:10" ht="72">
      <c r="A770" s="75" t="s">
        <v>2265</v>
      </c>
      <c r="B770" s="1555" t="s">
        <v>2847</v>
      </c>
      <c r="C770" s="1576" t="s">
        <v>19</v>
      </c>
      <c r="D770" s="1542">
        <v>1500</v>
      </c>
      <c r="E770" s="1564">
        <v>40.5</v>
      </c>
      <c r="F770" s="220"/>
      <c r="G770" s="2024">
        <f>D770*E770</f>
        <v>60750</v>
      </c>
      <c r="H770" s="1530"/>
      <c r="I770" s="1859"/>
      <c r="J770" s="1543"/>
    </row>
    <row r="771" spans="1:10" ht="72">
      <c r="A771" s="1722" t="s">
        <v>2266</v>
      </c>
      <c r="B771" s="1544" t="s">
        <v>2849</v>
      </c>
      <c r="C771" s="1576"/>
      <c r="D771" s="1542"/>
      <c r="E771" s="1564"/>
      <c r="F771" s="220"/>
      <c r="G771" s="2024"/>
      <c r="H771" s="1530"/>
      <c r="I771" s="1859"/>
      <c r="J771" s="1543"/>
    </row>
    <row r="772" spans="1:10">
      <c r="A772" s="75" t="s">
        <v>2270</v>
      </c>
      <c r="B772" s="220" t="s">
        <v>1632</v>
      </c>
      <c r="C772" s="1530" t="s">
        <v>21</v>
      </c>
      <c r="D772" s="1542">
        <v>3729.6000000000004</v>
      </c>
      <c r="E772" s="1564">
        <v>358.66</v>
      </c>
      <c r="F772" s="220"/>
      <c r="G772" s="2024">
        <f t="shared" ref="G772:G782" si="32">D772*E772</f>
        <v>1337658.3360000001</v>
      </c>
      <c r="H772" s="1530"/>
      <c r="I772" s="1859"/>
      <c r="J772" s="1543"/>
    </row>
    <row r="773" spans="1:10">
      <c r="A773" s="75" t="s">
        <v>3043</v>
      </c>
      <c r="B773" s="220" t="s">
        <v>1634</v>
      </c>
      <c r="C773" s="1530" t="s">
        <v>21</v>
      </c>
      <c r="D773" s="1542">
        <v>932.40000000000009</v>
      </c>
      <c r="E773" s="1564">
        <v>1385.23</v>
      </c>
      <c r="F773" s="220"/>
      <c r="G773" s="2024">
        <f t="shared" si="32"/>
        <v>1291588.452</v>
      </c>
      <c r="H773" s="1823"/>
      <c r="I773" s="1859"/>
      <c r="J773" s="1577"/>
    </row>
    <row r="774" spans="1:10">
      <c r="A774" s="1722" t="s">
        <v>2267</v>
      </c>
      <c r="B774" s="313" t="s">
        <v>31</v>
      </c>
      <c r="C774" s="1530"/>
      <c r="D774" s="1542"/>
      <c r="E774" s="1564"/>
      <c r="F774" s="220"/>
      <c r="G774" s="2024"/>
      <c r="H774" s="1823"/>
      <c r="I774" s="1859"/>
      <c r="J774" s="1577"/>
    </row>
    <row r="775" spans="1:10" ht="54">
      <c r="A775" s="75" t="s">
        <v>2271</v>
      </c>
      <c r="B775" s="1545" t="s">
        <v>2862</v>
      </c>
      <c r="C775" s="1530" t="s">
        <v>21</v>
      </c>
      <c r="D775" s="1542">
        <v>1398.6</v>
      </c>
      <c r="E775" s="1564">
        <v>217.5</v>
      </c>
      <c r="F775" s="220"/>
      <c r="G775" s="2024">
        <f t="shared" si="32"/>
        <v>304195.5</v>
      </c>
      <c r="H775" s="1823"/>
      <c r="I775" s="1859"/>
      <c r="J775" s="1543"/>
    </row>
    <row r="776" spans="1:10" ht="54">
      <c r="A776" s="1722" t="s">
        <v>2268</v>
      </c>
      <c r="B776" s="1545" t="s">
        <v>2735</v>
      </c>
      <c r="C776" s="1530"/>
      <c r="D776" s="1542"/>
      <c r="E776" s="1564"/>
      <c r="F776" s="220"/>
      <c r="G776" s="2024"/>
      <c r="H776" s="1823"/>
      <c r="I776" s="1859"/>
      <c r="J776" s="1543"/>
    </row>
    <row r="777" spans="1:10">
      <c r="A777" s="75" t="s">
        <v>2272</v>
      </c>
      <c r="B777" s="669" t="str">
        <f>'Switchyard '!B54</f>
        <v>75mm C15 Blinding Concrete</v>
      </c>
      <c r="C777" s="1530" t="s">
        <v>21</v>
      </c>
      <c r="D777" s="1542">
        <v>75</v>
      </c>
      <c r="E777" s="1564">
        <v>13187.5</v>
      </c>
      <c r="F777" s="220"/>
      <c r="G777" s="2024">
        <f t="shared" si="32"/>
        <v>989062.5</v>
      </c>
      <c r="H777" s="1608"/>
      <c r="I777" s="1860"/>
      <c r="J777" s="1543"/>
    </row>
    <row r="778" spans="1:10">
      <c r="A778" s="75" t="s">
        <v>3044</v>
      </c>
      <c r="B778" s="1546" t="s">
        <v>1645</v>
      </c>
      <c r="C778" s="1530" t="s">
        <v>21</v>
      </c>
      <c r="D778" s="1542">
        <v>724.74733125</v>
      </c>
      <c r="E778" s="1564">
        <v>18375.5</v>
      </c>
      <c r="F778" s="220"/>
      <c r="G778" s="2024">
        <f t="shared" si="32"/>
        <v>13317594.585384374</v>
      </c>
      <c r="H778" s="1608"/>
      <c r="I778" s="1853"/>
      <c r="J778" s="1543"/>
    </row>
    <row r="779" spans="1:10">
      <c r="A779" s="1722" t="s">
        <v>2269</v>
      </c>
      <c r="B779" s="313" t="s">
        <v>1649</v>
      </c>
      <c r="C779" s="1530"/>
      <c r="D779" s="1542"/>
      <c r="E779" s="1564"/>
      <c r="F779" s="220"/>
      <c r="G779" s="2024"/>
      <c r="H779" s="1608"/>
      <c r="I779" s="1853"/>
      <c r="J779" s="1543"/>
    </row>
    <row r="780" spans="1:10" ht="54">
      <c r="A780" s="75" t="s">
        <v>2273</v>
      </c>
      <c r="B780" s="1550" t="s">
        <v>1248</v>
      </c>
      <c r="C780" s="1530" t="s">
        <v>322</v>
      </c>
      <c r="D780" s="1542">
        <v>39.489999999999995</v>
      </c>
      <c r="E780" s="1564">
        <v>164277.67441860467</v>
      </c>
      <c r="F780" s="220"/>
      <c r="G780" s="2024">
        <f t="shared" si="32"/>
        <v>6487325.3627906973</v>
      </c>
      <c r="H780" s="1608"/>
      <c r="I780" s="1860"/>
      <c r="J780" s="1543"/>
    </row>
    <row r="781" spans="1:10">
      <c r="A781" s="1722" t="s">
        <v>3045</v>
      </c>
      <c r="B781" s="1548" t="s">
        <v>309</v>
      </c>
      <c r="C781" s="1530"/>
      <c r="D781" s="1542"/>
      <c r="E781" s="1564"/>
      <c r="F781" s="220"/>
      <c r="G781" s="2024"/>
      <c r="H781" s="1608"/>
      <c r="I781" s="1860"/>
      <c r="J781" s="1543"/>
    </row>
    <row r="782" spans="1:10" ht="54">
      <c r="A782" s="75" t="s">
        <v>3046</v>
      </c>
      <c r="B782" s="1549" t="s">
        <v>2038</v>
      </c>
      <c r="C782" s="1576" t="s">
        <v>19</v>
      </c>
      <c r="D782" s="1542">
        <v>2527.6600775333336</v>
      </c>
      <c r="E782" s="1564">
        <v>1228.5614285714287</v>
      </c>
      <c r="F782" s="220"/>
      <c r="G782" s="2024">
        <f t="shared" si="32"/>
        <v>3105385.6757973204</v>
      </c>
      <c r="H782" s="1608"/>
      <c r="I782" s="1860"/>
      <c r="J782" s="1543"/>
    </row>
    <row r="783" spans="1:10" ht="17.25" customHeight="1">
      <c r="A783" s="1722"/>
      <c r="B783" s="1557"/>
      <c r="C783" s="1581"/>
      <c r="D783" s="1741"/>
      <c r="E783" s="2011"/>
      <c r="F783" s="1666" t="s">
        <v>1483</v>
      </c>
      <c r="G783" s="2035">
        <f>SUM(G770:G782)</f>
        <v>26893560.411972392</v>
      </c>
      <c r="H783" s="1824"/>
      <c r="I783" s="1868"/>
      <c r="J783" s="1717"/>
    </row>
    <row r="784" spans="1:10">
      <c r="A784" s="1814" t="s">
        <v>2254</v>
      </c>
      <c r="B784" s="1533" t="s">
        <v>1319</v>
      </c>
      <c r="C784" s="1551"/>
      <c r="D784" s="1738"/>
      <c r="E784" s="2001"/>
      <c r="F784" s="1536"/>
      <c r="G784" s="2045"/>
      <c r="H784" s="1534"/>
      <c r="I784" s="1857"/>
      <c r="J784" s="1543"/>
    </row>
    <row r="785" spans="1:10">
      <c r="A785" s="1722" t="s">
        <v>2255</v>
      </c>
      <c r="B785" s="313" t="s">
        <v>31</v>
      </c>
      <c r="C785" s="1530" t="s">
        <v>21</v>
      </c>
      <c r="D785" s="1542"/>
      <c r="E785" s="1565"/>
      <c r="F785" s="220"/>
      <c r="G785" s="2034"/>
      <c r="H785" s="1823"/>
      <c r="I785" s="1859"/>
      <c r="J785" s="1543"/>
    </row>
    <row r="786" spans="1:10" ht="54">
      <c r="A786" s="75" t="s">
        <v>2256</v>
      </c>
      <c r="B786" s="1545" t="s">
        <v>2862</v>
      </c>
      <c r="C786" s="1530" t="s">
        <v>21</v>
      </c>
      <c r="D786" s="1542">
        <v>624.75</v>
      </c>
      <c r="E786" s="1564">
        <v>217.5</v>
      </c>
      <c r="F786" s="220"/>
      <c r="G786" s="2024">
        <f>D786*E786</f>
        <v>135883.125</v>
      </c>
      <c r="H786" s="1823"/>
      <c r="I786" s="1859"/>
      <c r="J786" s="1543"/>
    </row>
    <row r="787" spans="1:10">
      <c r="A787" s="1722" t="s">
        <v>2257</v>
      </c>
      <c r="B787" s="1548" t="s">
        <v>309</v>
      </c>
      <c r="C787" s="1576" t="s">
        <v>19</v>
      </c>
      <c r="D787" s="1542"/>
      <c r="E787" s="1564"/>
      <c r="F787" s="220"/>
      <c r="G787" s="2024"/>
      <c r="H787" s="1608"/>
      <c r="I787" s="1853"/>
      <c r="J787" s="1543"/>
    </row>
    <row r="788" spans="1:10" ht="54">
      <c r="A788" s="75" t="s">
        <v>2261</v>
      </c>
      <c r="B788" s="1549" t="s">
        <v>2038</v>
      </c>
      <c r="C788" s="1576" t="s">
        <v>19</v>
      </c>
      <c r="D788" s="1542">
        <v>1122</v>
      </c>
      <c r="E788" s="1564">
        <v>1228.5614285714287</v>
      </c>
      <c r="F788" s="220"/>
      <c r="G788" s="2024">
        <f t="shared" ref="G788:G797" si="33">D788*E788</f>
        <v>1378445.922857143</v>
      </c>
      <c r="H788" s="1608"/>
      <c r="I788" s="1865"/>
      <c r="J788" s="1543"/>
    </row>
    <row r="789" spans="1:10" ht="54">
      <c r="A789" s="1722" t="s">
        <v>2258</v>
      </c>
      <c r="B789" s="1545" t="s">
        <v>2735</v>
      </c>
      <c r="C789" s="1576"/>
      <c r="D789" s="1542"/>
      <c r="E789" s="1564"/>
      <c r="F789" s="220"/>
      <c r="G789" s="2024"/>
      <c r="H789" s="1608"/>
      <c r="I789" s="1853"/>
      <c r="J789" s="1543"/>
    </row>
    <row r="790" spans="1:10">
      <c r="A790" s="75" t="s">
        <v>3047</v>
      </c>
      <c r="B790" s="669" t="s">
        <v>2946</v>
      </c>
      <c r="C790" s="1530" t="s">
        <v>21</v>
      </c>
      <c r="D790" s="1542">
        <v>30</v>
      </c>
      <c r="E790" s="1564">
        <v>13187.5</v>
      </c>
      <c r="F790" s="220"/>
      <c r="G790" s="2024">
        <f t="shared" si="33"/>
        <v>395625</v>
      </c>
      <c r="H790" s="1608"/>
      <c r="I790" s="1860"/>
      <c r="J790" s="1577"/>
    </row>
    <row r="791" spans="1:10">
      <c r="A791" s="75" t="s">
        <v>3048</v>
      </c>
      <c r="B791" s="1546" t="s">
        <v>1645</v>
      </c>
      <c r="C791" s="1530" t="s">
        <v>21</v>
      </c>
      <c r="D791" s="1542">
        <v>667.77600000000007</v>
      </c>
      <c r="E791" s="1564">
        <v>18375.5</v>
      </c>
      <c r="F791" s="220"/>
      <c r="G791" s="2024">
        <f t="shared" si="33"/>
        <v>12270717.888000002</v>
      </c>
      <c r="H791" s="1608"/>
      <c r="I791" s="1860"/>
      <c r="J791" s="1543"/>
    </row>
    <row r="792" spans="1:10">
      <c r="A792" s="1722" t="s">
        <v>2259</v>
      </c>
      <c r="B792" s="313" t="s">
        <v>1649</v>
      </c>
      <c r="C792" s="1530"/>
      <c r="D792" s="1542"/>
      <c r="E792" s="1564"/>
      <c r="F792" s="220"/>
      <c r="G792" s="2024"/>
      <c r="H792" s="1608"/>
      <c r="I792" s="1860"/>
      <c r="J792" s="1543"/>
    </row>
    <row r="793" spans="1:10" ht="54">
      <c r="A793" s="75" t="s">
        <v>3049</v>
      </c>
      <c r="B793" s="1550" t="s">
        <v>1248</v>
      </c>
      <c r="C793" s="1576" t="s">
        <v>322</v>
      </c>
      <c r="D793" s="1542">
        <v>52.42</v>
      </c>
      <c r="E793" s="1564">
        <v>164277.67441860467</v>
      </c>
      <c r="F793" s="220"/>
      <c r="G793" s="2024">
        <f t="shared" si="33"/>
        <v>8611435.693023257</v>
      </c>
      <c r="H793" s="1608"/>
      <c r="I793" s="1860"/>
      <c r="J793" s="1543"/>
    </row>
    <row r="794" spans="1:10" ht="54">
      <c r="A794" s="1722" t="s">
        <v>2260</v>
      </c>
      <c r="B794" s="1550" t="s">
        <v>2740</v>
      </c>
      <c r="C794" s="1576"/>
      <c r="D794" s="1542"/>
      <c r="E794" s="1564"/>
      <c r="F794" s="1613"/>
      <c r="G794" s="2024"/>
      <c r="H794" s="1823"/>
      <c r="I794" s="1859"/>
      <c r="J794" s="1543"/>
    </row>
    <row r="795" spans="1:10">
      <c r="A795" s="75" t="s">
        <v>2262</v>
      </c>
      <c r="B795" s="669" t="str">
        <f>'Tailrace Culvert'!B36</f>
        <v>Water Bar</v>
      </c>
      <c r="C795" s="1576" t="s">
        <v>27</v>
      </c>
      <c r="D795" s="1542">
        <v>100</v>
      </c>
      <c r="E795" s="1564">
        <v>1693</v>
      </c>
      <c r="F795" s="1613"/>
      <c r="G795" s="2024">
        <f t="shared" si="33"/>
        <v>169300</v>
      </c>
      <c r="H795" s="1608"/>
      <c r="I795" s="1860"/>
      <c r="J795" s="1543"/>
    </row>
    <row r="796" spans="1:10">
      <c r="A796" s="75" t="s">
        <v>2263</v>
      </c>
      <c r="B796" s="669" t="str">
        <f>'Tailrace Culvert'!B38</f>
        <v>Hydroseal</v>
      </c>
      <c r="C796" s="1576" t="s">
        <v>27</v>
      </c>
      <c r="D796" s="1542">
        <v>200</v>
      </c>
      <c r="E796" s="1564">
        <v>1245</v>
      </c>
      <c r="F796" s="1613"/>
      <c r="G796" s="2024">
        <f t="shared" si="33"/>
        <v>249000</v>
      </c>
      <c r="H796" s="1608"/>
      <c r="I796" s="1860"/>
      <c r="J796" s="1543"/>
    </row>
    <row r="797" spans="1:10">
      <c r="A797" s="75" t="s">
        <v>3050</v>
      </c>
      <c r="B797" s="669" t="str">
        <f>'Tailrace Culvert'!B41</f>
        <v>Sealants</v>
      </c>
      <c r="C797" s="1576" t="s">
        <v>27</v>
      </c>
      <c r="D797" s="1542">
        <v>100</v>
      </c>
      <c r="E797" s="1564">
        <v>1208</v>
      </c>
      <c r="F797" s="1613"/>
      <c r="G797" s="2024">
        <f t="shared" si="33"/>
        <v>120800</v>
      </c>
      <c r="H797" s="1608"/>
      <c r="I797" s="1860"/>
      <c r="J797" s="1543"/>
    </row>
    <row r="798" spans="1:10" ht="72">
      <c r="A798" s="2114" t="s">
        <v>3340</v>
      </c>
      <c r="B798" s="2115" t="s">
        <v>2849</v>
      </c>
      <c r="C798" s="2117"/>
      <c r="D798" s="2117"/>
      <c r="E798" s="2117"/>
      <c r="F798" s="2123"/>
      <c r="G798" s="2124"/>
      <c r="H798" s="2128"/>
      <c r="I798" s="1860"/>
      <c r="J798" s="1922"/>
    </row>
    <row r="799" spans="1:10">
      <c r="A799" s="2116" t="s">
        <v>3341</v>
      </c>
      <c r="B799" s="2117" t="s">
        <v>1632</v>
      </c>
      <c r="C799" s="2125" t="s">
        <v>21</v>
      </c>
      <c r="D799" s="2126">
        <v>424.20000000000005</v>
      </c>
      <c r="E799" s="2127">
        <v>358.66</v>
      </c>
      <c r="F799" s="2123"/>
      <c r="G799" s="2124">
        <f>E799*D799</f>
        <v>152143.57200000001</v>
      </c>
      <c r="H799" s="2128" t="s">
        <v>3345</v>
      </c>
      <c r="I799" s="1860"/>
      <c r="J799" s="1922"/>
    </row>
    <row r="800" spans="1:10" ht="17.25" customHeight="1">
      <c r="A800" s="1722"/>
      <c r="B800" s="1557"/>
      <c r="C800" s="1581"/>
      <c r="D800" s="1741"/>
      <c r="E800" s="2011"/>
      <c r="F800" s="1666" t="s">
        <v>1483</v>
      </c>
      <c r="G800" s="2035">
        <f>SUM(G786:G799)</f>
        <v>23483351.200880405</v>
      </c>
      <c r="H800" s="1822"/>
      <c r="I800" s="1868"/>
      <c r="J800" s="1717"/>
    </row>
    <row r="801" spans="1:76" s="315" customFormat="1">
      <c r="A801" s="1814" t="s">
        <v>2913</v>
      </c>
      <c r="B801" s="1533" t="s">
        <v>1491</v>
      </c>
      <c r="C801" s="1534"/>
      <c r="D801" s="1736"/>
      <c r="E801" s="2001"/>
      <c r="F801" s="1536"/>
      <c r="G801" s="2037"/>
      <c r="H801" s="1534"/>
      <c r="I801" s="1857"/>
      <c r="J801" s="1543"/>
    </row>
    <row r="802" spans="1:76">
      <c r="A802" s="1722" t="s">
        <v>3051</v>
      </c>
      <c r="B802" s="1548" t="s">
        <v>18</v>
      </c>
      <c r="C802" s="1530"/>
      <c r="D802" s="1686"/>
      <c r="E802" s="1565"/>
      <c r="F802" s="1587"/>
      <c r="G802" s="2034"/>
      <c r="H802" s="1563"/>
      <c r="I802" s="1857"/>
      <c r="J802" s="1543"/>
    </row>
    <row r="803" spans="1:76" ht="72">
      <c r="A803" s="75" t="s">
        <v>3052</v>
      </c>
      <c r="B803" s="1555" t="s">
        <v>2847</v>
      </c>
      <c r="C803" s="1576" t="s">
        <v>19</v>
      </c>
      <c r="D803" s="1542">
        <v>2500</v>
      </c>
      <c r="E803" s="1564">
        <v>40.5</v>
      </c>
      <c r="F803" s="220"/>
      <c r="G803" s="2024">
        <f>D803*E803</f>
        <v>101250</v>
      </c>
      <c r="H803" s="1530"/>
      <c r="I803" s="1859"/>
      <c r="J803" s="1543"/>
    </row>
    <row r="804" spans="1:76" ht="72">
      <c r="A804" s="1722" t="s">
        <v>3053</v>
      </c>
      <c r="B804" s="1544" t="s">
        <v>2849</v>
      </c>
      <c r="C804" s="1576"/>
      <c r="D804" s="1542"/>
      <c r="E804" s="1564"/>
      <c r="F804" s="220"/>
      <c r="G804" s="2024"/>
      <c r="H804" s="1530"/>
      <c r="I804" s="1859"/>
      <c r="J804" s="1543"/>
    </row>
    <row r="805" spans="1:76">
      <c r="A805" s="75" t="s">
        <v>3054</v>
      </c>
      <c r="B805" s="220" t="s">
        <v>1632</v>
      </c>
      <c r="C805" s="1530" t="s">
        <v>21</v>
      </c>
      <c r="D805" s="1542">
        <v>5320</v>
      </c>
      <c r="E805" s="1564">
        <v>358.66</v>
      </c>
      <c r="F805" s="220"/>
      <c r="G805" s="2024">
        <f t="shared" ref="G805:G822" si="34">D805*E805</f>
        <v>1908071.2000000002</v>
      </c>
      <c r="H805" s="1530"/>
      <c r="I805" s="1859"/>
      <c r="J805" s="1543"/>
    </row>
    <row r="806" spans="1:76">
      <c r="A806" s="75" t="s">
        <v>3055</v>
      </c>
      <c r="B806" s="220" t="s">
        <v>1634</v>
      </c>
      <c r="C806" s="1530" t="s">
        <v>21</v>
      </c>
      <c r="D806" s="1542">
        <v>1330</v>
      </c>
      <c r="E806" s="1564">
        <v>1385.23</v>
      </c>
      <c r="F806" s="220"/>
      <c r="G806" s="2024">
        <f t="shared" si="34"/>
        <v>1842355.9000000001</v>
      </c>
      <c r="H806" s="1823"/>
      <c r="I806" s="1859"/>
      <c r="J806" s="1577"/>
    </row>
    <row r="807" spans="1:76">
      <c r="A807" s="1722" t="s">
        <v>3056</v>
      </c>
      <c r="B807" s="313" t="s">
        <v>31</v>
      </c>
      <c r="C807" s="1530"/>
      <c r="D807" s="1542"/>
      <c r="E807" s="1564"/>
      <c r="F807" s="220"/>
      <c r="G807" s="2024"/>
      <c r="H807" s="1823"/>
      <c r="I807" s="1859"/>
      <c r="J807" s="1577"/>
    </row>
    <row r="808" spans="1:76" ht="54">
      <c r="A808" s="75" t="s">
        <v>3054</v>
      </c>
      <c r="B808" s="1545" t="s">
        <v>2862</v>
      </c>
      <c r="C808" s="1530" t="s">
        <v>21</v>
      </c>
      <c r="D808" s="1542">
        <v>4940</v>
      </c>
      <c r="E808" s="1564">
        <v>217.5</v>
      </c>
      <c r="F808" s="220"/>
      <c r="G808" s="2024">
        <f t="shared" si="34"/>
        <v>1074450</v>
      </c>
      <c r="H808" s="1823"/>
      <c r="I808" s="1859"/>
      <c r="J808" s="1543"/>
    </row>
    <row r="809" spans="1:76">
      <c r="A809" s="1722" t="s">
        <v>3057</v>
      </c>
      <c r="B809" s="1548" t="s">
        <v>309</v>
      </c>
      <c r="C809" s="1530"/>
      <c r="D809" s="1542"/>
      <c r="E809" s="1564"/>
      <c r="F809" s="220"/>
      <c r="G809" s="2024">
        <f t="shared" si="34"/>
        <v>0</v>
      </c>
      <c r="H809" s="1823"/>
      <c r="I809" s="1859"/>
      <c r="J809" s="1543"/>
    </row>
    <row r="810" spans="1:76" s="1656" customFormat="1" ht="54">
      <c r="A810" s="75" t="s">
        <v>3054</v>
      </c>
      <c r="B810" s="1549" t="s">
        <v>2038</v>
      </c>
      <c r="C810" s="1576" t="s">
        <v>19</v>
      </c>
      <c r="D810" s="1542">
        <v>3149</v>
      </c>
      <c r="E810" s="1564">
        <v>1228.5614285714287</v>
      </c>
      <c r="F810" s="1655"/>
      <c r="G810" s="2024">
        <f t="shared" si="34"/>
        <v>3868739.9385714289</v>
      </c>
      <c r="H810" s="1608"/>
      <c r="I810" s="1859"/>
      <c r="J810" s="1543"/>
      <c r="K810" s="1595"/>
      <c r="L810" s="1595"/>
      <c r="M810" s="1595"/>
      <c r="N810" s="1595"/>
      <c r="O810" s="1595"/>
      <c r="P810" s="1595"/>
      <c r="Q810" s="1595"/>
      <c r="R810" s="1595"/>
      <c r="S810" s="1595"/>
      <c r="T810" s="1595"/>
      <c r="U810" s="1595"/>
      <c r="V810" s="1595"/>
      <c r="W810" s="1595"/>
      <c r="X810" s="1595"/>
      <c r="Y810" s="1595"/>
      <c r="Z810" s="1595"/>
      <c r="AA810" s="1595"/>
      <c r="AB810" s="1595"/>
      <c r="AC810" s="1595"/>
      <c r="AD810" s="1595"/>
      <c r="AE810" s="1595"/>
      <c r="AF810" s="1595"/>
      <c r="AG810" s="1595"/>
      <c r="AH810" s="1595"/>
      <c r="AI810" s="1595"/>
      <c r="AJ810" s="1595"/>
      <c r="AK810" s="1595"/>
      <c r="AL810" s="1595"/>
      <c r="AM810" s="1595"/>
      <c r="AN810" s="1595"/>
      <c r="AO810" s="1595"/>
      <c r="AP810" s="1595"/>
      <c r="AQ810" s="1595"/>
      <c r="AR810" s="1595"/>
      <c r="AS810" s="1595"/>
      <c r="AT810" s="1595"/>
      <c r="AU810" s="1595"/>
      <c r="AV810" s="1595"/>
      <c r="AW810" s="1595"/>
      <c r="AX810" s="1595"/>
      <c r="AY810" s="1595"/>
      <c r="AZ810" s="1595"/>
      <c r="BA810" s="1595"/>
      <c r="BB810" s="1595"/>
      <c r="BC810" s="1595"/>
      <c r="BD810" s="1595"/>
      <c r="BE810" s="1595"/>
      <c r="BF810" s="1595"/>
      <c r="BG810" s="1595"/>
      <c r="BH810" s="1595"/>
      <c r="BI810" s="1595"/>
      <c r="BJ810" s="1595"/>
      <c r="BK810" s="1595"/>
      <c r="BL810" s="1595"/>
      <c r="BM810" s="1595"/>
      <c r="BN810" s="1595"/>
      <c r="BO810" s="1595"/>
      <c r="BP810" s="1595"/>
      <c r="BQ810" s="1595"/>
      <c r="BR810" s="1595"/>
      <c r="BS810" s="1595"/>
      <c r="BT810" s="1595"/>
      <c r="BU810" s="1595"/>
      <c r="BV810" s="1595"/>
      <c r="BW810" s="1595"/>
      <c r="BX810" s="1595"/>
    </row>
    <row r="811" spans="1:76" s="1656" customFormat="1" ht="54">
      <c r="A811" s="1722" t="s">
        <v>3058</v>
      </c>
      <c r="B811" s="1545" t="s">
        <v>2735</v>
      </c>
      <c r="C811" s="1576"/>
      <c r="D811" s="1542"/>
      <c r="E811" s="1564"/>
      <c r="F811" s="1655"/>
      <c r="G811" s="2024"/>
      <c r="H811" s="1608"/>
      <c r="I811" s="1860"/>
      <c r="J811" s="1543"/>
      <c r="K811" s="1595"/>
      <c r="L811" s="1595"/>
      <c r="M811" s="1595"/>
      <c r="N811" s="1595"/>
      <c r="O811" s="1595"/>
      <c r="P811" s="1595"/>
      <c r="Q811" s="1595"/>
      <c r="R811" s="1595"/>
      <c r="S811" s="1595"/>
      <c r="T811" s="1595"/>
      <c r="U811" s="1595"/>
      <c r="V811" s="1595"/>
      <c r="W811" s="1595"/>
      <c r="X811" s="1595"/>
      <c r="Y811" s="1595"/>
      <c r="Z811" s="1595"/>
      <c r="AA811" s="1595"/>
      <c r="AB811" s="1595"/>
      <c r="AC811" s="1595"/>
      <c r="AD811" s="1595"/>
      <c r="AE811" s="1595"/>
      <c r="AF811" s="1595"/>
      <c r="AG811" s="1595"/>
      <c r="AH811" s="1595"/>
      <c r="AI811" s="1595"/>
      <c r="AJ811" s="1595"/>
      <c r="AK811" s="1595"/>
      <c r="AL811" s="1595"/>
      <c r="AM811" s="1595"/>
      <c r="AN811" s="1595"/>
      <c r="AO811" s="1595"/>
      <c r="AP811" s="1595"/>
      <c r="AQ811" s="1595"/>
      <c r="AR811" s="1595"/>
      <c r="AS811" s="1595"/>
      <c r="AT811" s="1595"/>
      <c r="AU811" s="1595"/>
      <c r="AV811" s="1595"/>
      <c r="AW811" s="1595"/>
      <c r="AX811" s="1595"/>
      <c r="AY811" s="1595"/>
      <c r="AZ811" s="1595"/>
      <c r="BA811" s="1595"/>
      <c r="BB811" s="1595"/>
      <c r="BC811" s="1595"/>
      <c r="BD811" s="1595"/>
      <c r="BE811" s="1595"/>
      <c r="BF811" s="1595"/>
      <c r="BG811" s="1595"/>
      <c r="BH811" s="1595"/>
      <c r="BI811" s="1595"/>
      <c r="BJ811" s="1595"/>
      <c r="BK811" s="1595"/>
      <c r="BL811" s="1595"/>
      <c r="BM811" s="1595"/>
      <c r="BN811" s="1595"/>
      <c r="BO811" s="1595"/>
      <c r="BP811" s="1595"/>
      <c r="BQ811" s="1595"/>
      <c r="BR811" s="1595"/>
      <c r="BS811" s="1595"/>
      <c r="BT811" s="1595"/>
      <c r="BU811" s="1595"/>
      <c r="BV811" s="1595"/>
      <c r="BW811" s="1595"/>
      <c r="BX811" s="1595"/>
    </row>
    <row r="812" spans="1:76" s="1656" customFormat="1">
      <c r="A812" s="75" t="s">
        <v>3059</v>
      </c>
      <c r="B812" s="1546" t="s">
        <v>1641</v>
      </c>
      <c r="C812" s="1530" t="s">
        <v>21</v>
      </c>
      <c r="D812" s="1542">
        <v>85.5</v>
      </c>
      <c r="E812" s="1564">
        <v>13187.5</v>
      </c>
      <c r="F812" s="1655"/>
      <c r="G812" s="2024">
        <f t="shared" si="34"/>
        <v>1127531.25</v>
      </c>
      <c r="H812" s="1823"/>
      <c r="I812" s="1859"/>
      <c r="J812" s="1543"/>
      <c r="K812" s="1595"/>
      <c r="L812" s="1595"/>
      <c r="M812" s="1595"/>
      <c r="N812" s="1595"/>
      <c r="O812" s="1595"/>
      <c r="P812" s="1595"/>
      <c r="Q812" s="1595"/>
      <c r="R812" s="1595"/>
      <c r="S812" s="1595"/>
      <c r="T812" s="1595"/>
      <c r="U812" s="1595"/>
      <c r="V812" s="1595"/>
      <c r="W812" s="1595"/>
      <c r="X812" s="1595"/>
      <c r="Y812" s="1595"/>
      <c r="Z812" s="1595"/>
      <c r="AA812" s="1595"/>
      <c r="AB812" s="1595"/>
      <c r="AC812" s="1595"/>
      <c r="AD812" s="1595"/>
      <c r="AE812" s="1595"/>
      <c r="AF812" s="1595"/>
      <c r="AG812" s="1595"/>
      <c r="AH812" s="1595"/>
      <c r="AI812" s="1595"/>
      <c r="AJ812" s="1595"/>
      <c r="AK812" s="1595"/>
      <c r="AL812" s="1595"/>
      <c r="AM812" s="1595"/>
      <c r="AN812" s="1595"/>
      <c r="AO812" s="1595"/>
      <c r="AP812" s="1595"/>
      <c r="AQ812" s="1595"/>
      <c r="AR812" s="1595"/>
      <c r="AS812" s="1595"/>
      <c r="AT812" s="1595"/>
      <c r="AU812" s="1595"/>
      <c r="AV812" s="1595"/>
      <c r="AW812" s="1595"/>
      <c r="AX812" s="1595"/>
      <c r="AY812" s="1595"/>
      <c r="AZ812" s="1595"/>
      <c r="BA812" s="1595"/>
      <c r="BB812" s="1595"/>
      <c r="BC812" s="1595"/>
      <c r="BD812" s="1595"/>
      <c r="BE812" s="1595"/>
      <c r="BF812" s="1595"/>
      <c r="BG812" s="1595"/>
      <c r="BH812" s="1595"/>
      <c r="BI812" s="1595"/>
      <c r="BJ812" s="1595"/>
      <c r="BK812" s="1595"/>
      <c r="BL812" s="1595"/>
      <c r="BM812" s="1595"/>
      <c r="BN812" s="1595"/>
      <c r="BO812" s="1595"/>
      <c r="BP812" s="1595"/>
      <c r="BQ812" s="1595"/>
      <c r="BR812" s="1595"/>
      <c r="BS812" s="1595"/>
      <c r="BT812" s="1595"/>
      <c r="BU812" s="1595"/>
      <c r="BV812" s="1595"/>
      <c r="BW812" s="1595"/>
      <c r="BX812" s="1595"/>
    </row>
    <row r="813" spans="1:76" s="1656" customFormat="1">
      <c r="A813" s="75" t="s">
        <v>3060</v>
      </c>
      <c r="B813" s="669" t="str">
        <f>'Rivertraining at Powerhouse'!B32</f>
        <v>Structural Concrete (C25)</v>
      </c>
      <c r="C813" s="1576" t="s">
        <v>21</v>
      </c>
      <c r="D813" s="1542">
        <v>2071</v>
      </c>
      <c r="E813" s="1564">
        <v>18375.5</v>
      </c>
      <c r="F813" s="1655"/>
      <c r="G813" s="2024">
        <f t="shared" si="34"/>
        <v>38055660.5</v>
      </c>
      <c r="H813" s="1608"/>
      <c r="I813" s="1860"/>
      <c r="J813" s="1543"/>
      <c r="K813" s="1595"/>
      <c r="L813" s="1595"/>
      <c r="M813" s="1595"/>
      <c r="N813" s="1595"/>
      <c r="O813" s="1595"/>
      <c r="P813" s="1595"/>
      <c r="Q813" s="1595"/>
      <c r="R813" s="1595"/>
      <c r="S813" s="1595"/>
      <c r="T813" s="1595"/>
      <c r="U813" s="1595"/>
      <c r="V813" s="1595"/>
      <c r="W813" s="1595"/>
      <c r="X813" s="1595"/>
      <c r="Y813" s="1595"/>
      <c r="Z813" s="1595"/>
      <c r="AA813" s="1595"/>
      <c r="AB813" s="1595"/>
      <c r="AC813" s="1595"/>
      <c r="AD813" s="1595"/>
      <c r="AE813" s="1595"/>
      <c r="AF813" s="1595"/>
      <c r="AG813" s="1595"/>
      <c r="AH813" s="1595"/>
      <c r="AI813" s="1595"/>
      <c r="AJ813" s="1595"/>
      <c r="AK813" s="1595"/>
      <c r="AL813" s="1595"/>
      <c r="AM813" s="1595"/>
      <c r="AN813" s="1595"/>
      <c r="AO813" s="1595"/>
      <c r="AP813" s="1595"/>
      <c r="AQ813" s="1595"/>
      <c r="AR813" s="1595"/>
      <c r="AS813" s="1595"/>
      <c r="AT813" s="1595"/>
      <c r="AU813" s="1595"/>
      <c r="AV813" s="1595"/>
      <c r="AW813" s="1595"/>
      <c r="AX813" s="1595"/>
      <c r="AY813" s="1595"/>
      <c r="AZ813" s="1595"/>
      <c r="BA813" s="1595"/>
      <c r="BB813" s="1595"/>
      <c r="BC813" s="1595"/>
      <c r="BD813" s="1595"/>
      <c r="BE813" s="1595"/>
      <c r="BF813" s="1595"/>
      <c r="BG813" s="1595"/>
      <c r="BH813" s="1595"/>
      <c r="BI813" s="1595"/>
      <c r="BJ813" s="1595"/>
      <c r="BK813" s="1595"/>
      <c r="BL813" s="1595"/>
      <c r="BM813" s="1595"/>
      <c r="BN813" s="1595"/>
      <c r="BO813" s="1595"/>
      <c r="BP813" s="1595"/>
      <c r="BQ813" s="1595"/>
      <c r="BR813" s="1595"/>
      <c r="BS813" s="1595"/>
      <c r="BT813" s="1595"/>
      <c r="BU813" s="1595"/>
      <c r="BV813" s="1595"/>
      <c r="BW813" s="1595"/>
      <c r="BX813" s="1595"/>
    </row>
    <row r="814" spans="1:76" s="1656" customFormat="1">
      <c r="A814" s="1722" t="s">
        <v>3061</v>
      </c>
      <c r="B814" s="313" t="s">
        <v>1649</v>
      </c>
      <c r="C814" s="1576"/>
      <c r="D814" s="1542"/>
      <c r="E814" s="1564"/>
      <c r="F814" s="1655"/>
      <c r="G814" s="2024"/>
      <c r="H814" s="1608"/>
      <c r="I814" s="1860"/>
      <c r="J814" s="1543"/>
      <c r="K814" s="1595"/>
      <c r="L814" s="1595"/>
      <c r="M814" s="1595"/>
      <c r="N814" s="1595"/>
      <c r="O814" s="1595"/>
      <c r="P814" s="1595"/>
      <c r="Q814" s="1595"/>
      <c r="R814" s="1595"/>
      <c r="S814" s="1595"/>
      <c r="T814" s="1595"/>
      <c r="U814" s="1595"/>
      <c r="V814" s="1595"/>
      <c r="W814" s="1595"/>
      <c r="X814" s="1595"/>
      <c r="Y814" s="1595"/>
      <c r="Z814" s="1595"/>
      <c r="AA814" s="1595"/>
      <c r="AB814" s="1595"/>
      <c r="AC814" s="1595"/>
      <c r="AD814" s="1595"/>
      <c r="AE814" s="1595"/>
      <c r="AF814" s="1595"/>
      <c r="AG814" s="1595"/>
      <c r="AH814" s="1595"/>
      <c r="AI814" s="1595"/>
      <c r="AJ814" s="1595"/>
      <c r="AK814" s="1595"/>
      <c r="AL814" s="1595"/>
      <c r="AM814" s="1595"/>
      <c r="AN814" s="1595"/>
      <c r="AO814" s="1595"/>
      <c r="AP814" s="1595"/>
      <c r="AQ814" s="1595"/>
      <c r="AR814" s="1595"/>
      <c r="AS814" s="1595"/>
      <c r="AT814" s="1595"/>
      <c r="AU814" s="1595"/>
      <c r="AV814" s="1595"/>
      <c r="AW814" s="1595"/>
      <c r="AX814" s="1595"/>
      <c r="AY814" s="1595"/>
      <c r="AZ814" s="1595"/>
      <c r="BA814" s="1595"/>
      <c r="BB814" s="1595"/>
      <c r="BC814" s="1595"/>
      <c r="BD814" s="1595"/>
      <c r="BE814" s="1595"/>
      <c r="BF814" s="1595"/>
      <c r="BG814" s="1595"/>
      <c r="BH814" s="1595"/>
      <c r="BI814" s="1595"/>
      <c r="BJ814" s="1595"/>
      <c r="BK814" s="1595"/>
      <c r="BL814" s="1595"/>
      <c r="BM814" s="1595"/>
      <c r="BN814" s="1595"/>
      <c r="BO814" s="1595"/>
      <c r="BP814" s="1595"/>
      <c r="BQ814" s="1595"/>
      <c r="BR814" s="1595"/>
      <c r="BS814" s="1595"/>
      <c r="BT814" s="1595"/>
      <c r="BU814" s="1595"/>
      <c r="BV814" s="1595"/>
      <c r="BW814" s="1595"/>
      <c r="BX814" s="1595"/>
    </row>
    <row r="815" spans="1:76" s="65" customFormat="1" ht="54">
      <c r="A815" s="75" t="s">
        <v>3054</v>
      </c>
      <c r="B815" s="1550" t="s">
        <v>1248</v>
      </c>
      <c r="C815" s="1576" t="s">
        <v>322</v>
      </c>
      <c r="D815" s="1542">
        <v>162.57</v>
      </c>
      <c r="E815" s="1564">
        <v>164277.67441860467</v>
      </c>
      <c r="F815" s="1565"/>
      <c r="G815" s="2024">
        <f t="shared" si="34"/>
        <v>26706621.53023256</v>
      </c>
      <c r="H815" s="1608"/>
      <c r="I815" s="1860"/>
      <c r="J815" s="1577"/>
    </row>
    <row r="816" spans="1:76" s="65" customFormat="1" ht="54">
      <c r="A816" s="1722" t="s">
        <v>3062</v>
      </c>
      <c r="B816" s="1545" t="s">
        <v>2875</v>
      </c>
      <c r="C816" s="1576"/>
      <c r="D816" s="1542"/>
      <c r="E816" s="1564"/>
      <c r="F816" s="1565"/>
      <c r="G816" s="2024"/>
      <c r="H816" s="1608"/>
      <c r="I816" s="1860"/>
      <c r="J816" s="1577"/>
    </row>
    <row r="817" spans="1:10" s="65" customFormat="1">
      <c r="A817" s="75" t="s">
        <v>3063</v>
      </c>
      <c r="B817" s="1546" t="s">
        <v>1654</v>
      </c>
      <c r="C817" s="1576" t="s">
        <v>19</v>
      </c>
      <c r="D817" s="1542">
        <v>285</v>
      </c>
      <c r="E817" s="1564">
        <v>5005</v>
      </c>
      <c r="F817" s="1565"/>
      <c r="G817" s="2024">
        <f t="shared" si="34"/>
        <v>1426425</v>
      </c>
      <c r="H817" s="1608"/>
      <c r="I817" s="1860"/>
      <c r="J817" s="1543"/>
    </row>
    <row r="818" spans="1:10" s="65" customFormat="1">
      <c r="A818" s="1722" t="s">
        <v>3064</v>
      </c>
      <c r="B818" s="1557" t="str">
        <f>'Rivertraining at Powerhouse'!B42</f>
        <v>0.3m Stone pitching for access road &amp; Floodwall</v>
      </c>
      <c r="C818" s="1576" t="s">
        <v>19</v>
      </c>
      <c r="D818" s="1542">
        <v>500</v>
      </c>
      <c r="E818" s="1564">
        <v>4965</v>
      </c>
      <c r="F818" s="1565"/>
      <c r="G818" s="2024">
        <f t="shared" si="34"/>
        <v>2482500</v>
      </c>
      <c r="H818" s="1608"/>
      <c r="I818" s="1860"/>
      <c r="J818" s="1543"/>
    </row>
    <row r="819" spans="1:10" s="65" customFormat="1" ht="54">
      <c r="A819" s="1722" t="s">
        <v>3065</v>
      </c>
      <c r="B819" s="1550" t="s">
        <v>2740</v>
      </c>
      <c r="C819" s="1576"/>
      <c r="D819" s="1542"/>
      <c r="E819" s="1564"/>
      <c r="F819" s="1565"/>
      <c r="G819" s="2024"/>
      <c r="H819" s="1826"/>
      <c r="I819" s="1871"/>
      <c r="J819" s="1543"/>
    </row>
    <row r="820" spans="1:10" s="65" customFormat="1">
      <c r="A820" s="75" t="s">
        <v>3066</v>
      </c>
      <c r="B820" s="669" t="str">
        <f>'Rivertraining at Powerhouse'!B45</f>
        <v>Water Bar</v>
      </c>
      <c r="C820" s="1576" t="s">
        <v>27</v>
      </c>
      <c r="D820" s="1542">
        <v>150</v>
      </c>
      <c r="E820" s="1564">
        <v>1693</v>
      </c>
      <c r="F820" s="1565"/>
      <c r="G820" s="2024">
        <f t="shared" si="34"/>
        <v>253950</v>
      </c>
      <c r="H820" s="1826"/>
      <c r="I820" s="1871"/>
      <c r="J820" s="1543"/>
    </row>
    <row r="821" spans="1:10" s="65" customFormat="1">
      <c r="A821" s="75" t="s">
        <v>3067</v>
      </c>
      <c r="B821" s="669" t="str">
        <f>'Rivertraining at Powerhouse'!B47</f>
        <v>Hydroseal</v>
      </c>
      <c r="C821" s="1576" t="s">
        <v>85</v>
      </c>
      <c r="D821" s="1542">
        <v>150</v>
      </c>
      <c r="E821" s="1564">
        <v>1245</v>
      </c>
      <c r="F821" s="1565"/>
      <c r="G821" s="2024">
        <f t="shared" si="34"/>
        <v>186750</v>
      </c>
      <c r="H821" s="1826"/>
      <c r="I821" s="1871"/>
      <c r="J821" s="1577"/>
    </row>
    <row r="822" spans="1:10" s="65" customFormat="1">
      <c r="A822" s="75" t="s">
        <v>3068</v>
      </c>
      <c r="B822" s="669" t="str">
        <f>'Rivertraining at Powerhouse'!B50</f>
        <v>Sealants</v>
      </c>
      <c r="C822" s="1576" t="s">
        <v>27</v>
      </c>
      <c r="D822" s="1542">
        <v>150</v>
      </c>
      <c r="E822" s="1564">
        <v>1208</v>
      </c>
      <c r="F822" s="1565"/>
      <c r="G822" s="2024">
        <f t="shared" si="34"/>
        <v>181200</v>
      </c>
      <c r="H822" s="1826"/>
      <c r="I822" s="1871"/>
      <c r="J822" s="1543"/>
    </row>
    <row r="823" spans="1:10" s="65" customFormat="1" ht="17.25" customHeight="1">
      <c r="A823" s="1722"/>
      <c r="B823" s="1557"/>
      <c r="C823" s="1581"/>
      <c r="D823" s="1741"/>
      <c r="E823" s="1565"/>
      <c r="F823" s="1666" t="s">
        <v>1483</v>
      </c>
      <c r="G823" s="2048">
        <f>SUM(G803:G822)</f>
        <v>79215505.318803996</v>
      </c>
      <c r="H823" s="1827"/>
      <c r="I823" s="1872"/>
      <c r="J823" s="1717"/>
    </row>
    <row r="824" spans="1:10" s="65" customFormat="1" ht="17.25" customHeight="1">
      <c r="A824" s="2058"/>
      <c r="B824" s="2059"/>
      <c r="C824" s="2060"/>
      <c r="D824" s="2061"/>
      <c r="E824" s="2002"/>
      <c r="F824" s="2057" t="s">
        <v>1324</v>
      </c>
      <c r="G824" s="2062">
        <f>G823+G800+G783+G767</f>
        <v>370383429.76731312</v>
      </c>
      <c r="H824" s="2063"/>
      <c r="I824" s="1872"/>
      <c r="J824" s="1971"/>
    </row>
    <row r="825" spans="1:10">
      <c r="A825" s="1954" t="s">
        <v>3277</v>
      </c>
      <c r="B825" s="1954" t="s">
        <v>3278</v>
      </c>
      <c r="C825" s="1954"/>
      <c r="D825" s="1954"/>
      <c r="E825" s="2016"/>
      <c r="F825" s="1954"/>
      <c r="G825" s="2049"/>
      <c r="H825" s="1954"/>
      <c r="I825" s="1955"/>
      <c r="J825" s="1956"/>
    </row>
    <row r="826" spans="1:10">
      <c r="A826" s="1972" t="s">
        <v>3279</v>
      </c>
      <c r="B826" s="1972" t="s">
        <v>18</v>
      </c>
      <c r="C826" s="1876"/>
      <c r="D826" s="1876"/>
      <c r="E826" s="1999"/>
      <c r="F826" s="1876"/>
      <c r="G826" s="2050"/>
      <c r="H826" s="1876"/>
      <c r="I826" s="1960"/>
      <c r="J826" s="1961"/>
    </row>
    <row r="827" spans="1:10" ht="72">
      <c r="A827" s="1876" t="s">
        <v>3280</v>
      </c>
      <c r="B827" s="1876" t="s">
        <v>2855</v>
      </c>
      <c r="C827" s="1876" t="s">
        <v>19</v>
      </c>
      <c r="D827" s="1973">
        <v>110.00000000000001</v>
      </c>
      <c r="E827" s="2017">
        <v>40.5</v>
      </c>
      <c r="F827" s="1876"/>
      <c r="G827" s="2050">
        <f>E827*D827</f>
        <v>4455.0000000000009</v>
      </c>
      <c r="H827" s="1876"/>
      <c r="I827" s="1922"/>
      <c r="J827" s="1922"/>
    </row>
    <row r="828" spans="1:10" ht="72">
      <c r="A828" s="1972" t="s">
        <v>3281</v>
      </c>
      <c r="B828" s="1972" t="s">
        <v>3310</v>
      </c>
      <c r="C828" s="1876"/>
      <c r="D828" s="1973"/>
      <c r="E828" s="1999"/>
      <c r="F828" s="1876"/>
      <c r="G828" s="2050"/>
      <c r="H828" s="1876"/>
      <c r="I828" s="1961"/>
      <c r="J828" s="1961"/>
    </row>
    <row r="829" spans="1:10">
      <c r="A829" s="1876" t="s">
        <v>3282</v>
      </c>
      <c r="B829" s="1876" t="s">
        <v>1632</v>
      </c>
      <c r="C829" s="1876" t="s">
        <v>21</v>
      </c>
      <c r="D829" s="1973">
        <v>70.400000000000006</v>
      </c>
      <c r="E829" s="2017">
        <v>358.66</v>
      </c>
      <c r="F829" s="1876"/>
      <c r="G829" s="2050">
        <f t="shared" ref="G829:G851" si="35">E829*D829</f>
        <v>25249.664000000004</v>
      </c>
      <c r="H829" s="1876"/>
      <c r="I829" s="1962"/>
      <c r="J829" s="1922"/>
    </row>
    <row r="830" spans="1:10">
      <c r="A830" s="1876" t="s">
        <v>3283</v>
      </c>
      <c r="B830" s="1876" t="s">
        <v>1634</v>
      </c>
      <c r="C830" s="1876" t="s">
        <v>21</v>
      </c>
      <c r="D830" s="1973">
        <v>70.400000000000006</v>
      </c>
      <c r="E830" s="2017">
        <v>1385.23</v>
      </c>
      <c r="F830" s="1876"/>
      <c r="G830" s="2050">
        <f t="shared" si="35"/>
        <v>97520.19200000001</v>
      </c>
      <c r="H830" s="1876"/>
      <c r="I830" s="1962"/>
      <c r="J830" s="1922"/>
    </row>
    <row r="831" spans="1:10">
      <c r="A831" s="1972" t="s">
        <v>3284</v>
      </c>
      <c r="B831" s="1972" t="s">
        <v>31</v>
      </c>
      <c r="C831" s="1876"/>
      <c r="D831" s="1973"/>
      <c r="E831" s="1999"/>
      <c r="F831" s="1876"/>
      <c r="G831" s="2050"/>
      <c r="H831" s="1876"/>
      <c r="I831" s="1960"/>
      <c r="J831" s="1961"/>
    </row>
    <row r="832" spans="1:10" ht="54">
      <c r="A832" s="1876" t="s">
        <v>3285</v>
      </c>
      <c r="B832" s="1876" t="s">
        <v>2862</v>
      </c>
      <c r="C832" s="1876" t="s">
        <v>21</v>
      </c>
      <c r="D832" s="1973">
        <v>115.5</v>
      </c>
      <c r="E832" s="2017">
        <v>217.5</v>
      </c>
      <c r="F832" s="1876"/>
      <c r="G832" s="2050">
        <f t="shared" si="35"/>
        <v>25121.25</v>
      </c>
      <c r="H832" s="1876"/>
      <c r="I832" s="1962"/>
      <c r="J832" s="1922"/>
    </row>
    <row r="833" spans="1:10" ht="72">
      <c r="A833" s="1972" t="s">
        <v>3286</v>
      </c>
      <c r="B833" s="1972" t="s">
        <v>3309</v>
      </c>
      <c r="C833" s="1876" t="s">
        <v>21</v>
      </c>
      <c r="D833" s="1973"/>
      <c r="E833" s="1999"/>
      <c r="F833" s="1876"/>
      <c r="G833" s="2050"/>
      <c r="H833" s="1876"/>
      <c r="I833" s="1961"/>
      <c r="J833" s="1961"/>
    </row>
    <row r="834" spans="1:10">
      <c r="A834" s="1876" t="s">
        <v>3287</v>
      </c>
      <c r="B834" s="1876" t="s">
        <v>2921</v>
      </c>
      <c r="C834" s="1876" t="s">
        <v>21</v>
      </c>
      <c r="D834" s="1973">
        <v>0.17634374999999997</v>
      </c>
      <c r="E834" s="2017">
        <v>13187.5</v>
      </c>
      <c r="F834" s="1876"/>
      <c r="G834" s="2050">
        <f t="shared" si="35"/>
        <v>2325.5332031249995</v>
      </c>
      <c r="H834" s="1876"/>
      <c r="I834" s="1963"/>
      <c r="J834" s="1922"/>
    </row>
    <row r="835" spans="1:10">
      <c r="A835" s="1876" t="s">
        <v>3288</v>
      </c>
      <c r="B835" s="1876" t="s">
        <v>1645</v>
      </c>
      <c r="C835" s="1876" t="s">
        <v>21</v>
      </c>
      <c r="D835" s="1973">
        <v>158.8159</v>
      </c>
      <c r="E835" s="2018">
        <v>18375.5</v>
      </c>
      <c r="F835" s="1876"/>
      <c r="G835" s="2050">
        <f t="shared" si="35"/>
        <v>2918321.57045</v>
      </c>
      <c r="H835" s="1876"/>
      <c r="I835" s="1922"/>
      <c r="J835" s="1922"/>
    </row>
    <row r="836" spans="1:10">
      <c r="A836" s="1972" t="s">
        <v>3289</v>
      </c>
      <c r="B836" s="1972" t="s">
        <v>309</v>
      </c>
      <c r="C836" s="1876"/>
      <c r="D836" s="1973"/>
      <c r="E836" s="1999"/>
      <c r="F836" s="1876"/>
      <c r="G836" s="2050"/>
      <c r="H836" s="1876"/>
      <c r="I836" s="1961"/>
      <c r="J836" s="1961"/>
    </row>
    <row r="837" spans="1:10" ht="54">
      <c r="A837" s="1876" t="s">
        <v>3290</v>
      </c>
      <c r="B837" s="1876" t="s">
        <v>1637</v>
      </c>
      <c r="C837" s="1876" t="s">
        <v>19</v>
      </c>
      <c r="D837" s="1973">
        <v>559.77249999999992</v>
      </c>
      <c r="E837" s="2017">
        <v>1228.5614285714287</v>
      </c>
      <c r="F837" s="1876"/>
      <c r="G837" s="2050">
        <f t="shared" si="35"/>
        <v>687714.902275</v>
      </c>
      <c r="H837" s="1876"/>
      <c r="I837" s="1922"/>
      <c r="J837" s="1922"/>
    </row>
    <row r="838" spans="1:10">
      <c r="A838" s="1972" t="s">
        <v>3291</v>
      </c>
      <c r="B838" s="1972" t="s">
        <v>1649</v>
      </c>
      <c r="C838" s="1876"/>
      <c r="D838" s="1973"/>
      <c r="E838" s="1999"/>
      <c r="F838" s="1876"/>
      <c r="G838" s="2050"/>
      <c r="H838" s="1876"/>
      <c r="I838" s="1961"/>
      <c r="J838" s="1961"/>
    </row>
    <row r="839" spans="1:10" ht="54">
      <c r="A839" s="1876" t="s">
        <v>3292</v>
      </c>
      <c r="B839" s="1876" t="s">
        <v>1248</v>
      </c>
      <c r="C839" s="1876" t="s">
        <v>25</v>
      </c>
      <c r="D839" s="1973">
        <v>21.82</v>
      </c>
      <c r="E839" s="2017">
        <v>164277.67441860467</v>
      </c>
      <c r="F839" s="1876"/>
      <c r="G839" s="2050">
        <f t="shared" si="35"/>
        <v>3584538.855813954</v>
      </c>
      <c r="H839" s="1876"/>
      <c r="I839" s="1922"/>
      <c r="J839" s="1922"/>
    </row>
    <row r="840" spans="1:10">
      <c r="A840" s="1972" t="s">
        <v>3293</v>
      </c>
      <c r="B840" s="1972" t="s">
        <v>1929</v>
      </c>
      <c r="C840" s="1876"/>
      <c r="D840" s="1973"/>
      <c r="E840" s="1999"/>
      <c r="F840" s="1876"/>
      <c r="G840" s="2050"/>
      <c r="H840" s="1876"/>
      <c r="I840" s="1961"/>
      <c r="J840" s="1961"/>
    </row>
    <row r="841" spans="1:10" ht="72">
      <c r="A841" s="1876" t="s">
        <v>3294</v>
      </c>
      <c r="B841" s="1876" t="s">
        <v>2858</v>
      </c>
      <c r="C841" s="1876" t="s">
        <v>311</v>
      </c>
      <c r="D841" s="1973">
        <v>60</v>
      </c>
      <c r="E841" s="2017">
        <v>4209.7000000000007</v>
      </c>
      <c r="F841" s="1876"/>
      <c r="G841" s="2050">
        <f t="shared" si="35"/>
        <v>252582.00000000006</v>
      </c>
      <c r="H841" s="1876"/>
      <c r="I841" s="1964"/>
      <c r="J841" s="1922"/>
    </row>
    <row r="842" spans="1:10">
      <c r="A842" s="1972" t="s">
        <v>3295</v>
      </c>
      <c r="B842" s="1972" t="s">
        <v>1706</v>
      </c>
      <c r="C842" s="1876"/>
      <c r="D842" s="1973"/>
      <c r="E842" s="1999"/>
      <c r="F842" s="1876"/>
      <c r="G842" s="2050"/>
      <c r="H842" s="1876"/>
      <c r="I842" s="1961"/>
      <c r="J842" s="1961"/>
    </row>
    <row r="843" spans="1:10" ht="36">
      <c r="A843" s="1876" t="s">
        <v>3296</v>
      </c>
      <c r="B843" s="1876" t="s">
        <v>1710</v>
      </c>
      <c r="C843" s="1876" t="s">
        <v>21</v>
      </c>
      <c r="D843" s="1973">
        <v>50.435000000000002</v>
      </c>
      <c r="E843" s="2017">
        <v>9852.5</v>
      </c>
      <c r="F843" s="1876"/>
      <c r="G843" s="2050">
        <f t="shared" si="35"/>
        <v>496910.83750000002</v>
      </c>
      <c r="H843" s="1876"/>
      <c r="I843" s="1922"/>
      <c r="J843" s="1922"/>
    </row>
    <row r="844" spans="1:10" ht="54">
      <c r="A844" s="1972" t="s">
        <v>3297</v>
      </c>
      <c r="B844" s="1972" t="s">
        <v>3308</v>
      </c>
      <c r="C844" s="1876"/>
      <c r="D844" s="1973"/>
      <c r="E844" s="1999"/>
      <c r="F844" s="1876"/>
      <c r="G844" s="2050"/>
      <c r="H844" s="1876"/>
      <c r="I844" s="1961"/>
      <c r="J844" s="1961"/>
    </row>
    <row r="845" spans="1:10">
      <c r="A845" s="1876" t="s">
        <v>3298</v>
      </c>
      <c r="B845" s="1876" t="s">
        <v>155</v>
      </c>
      <c r="C845" s="1876" t="s">
        <v>27</v>
      </c>
      <c r="D845" s="1973">
        <v>16.5</v>
      </c>
      <c r="E845" s="2017">
        <v>1693</v>
      </c>
      <c r="F845" s="1876"/>
      <c r="G845" s="2050">
        <f t="shared" si="35"/>
        <v>27934.5</v>
      </c>
      <c r="H845" s="1876"/>
      <c r="I845" s="1922"/>
      <c r="J845" s="1922"/>
    </row>
    <row r="846" spans="1:10">
      <c r="A846" s="1876" t="s">
        <v>3299</v>
      </c>
      <c r="B846" s="1876" t="s">
        <v>174</v>
      </c>
      <c r="C846" s="1876" t="s">
        <v>27</v>
      </c>
      <c r="D846" s="1973">
        <v>16.5</v>
      </c>
      <c r="E846" s="2017">
        <v>1245</v>
      </c>
      <c r="F846" s="1876"/>
      <c r="G846" s="2050">
        <f t="shared" si="35"/>
        <v>20542.5</v>
      </c>
      <c r="H846" s="1876"/>
      <c r="I846" s="1922"/>
      <c r="J846" s="1922"/>
    </row>
    <row r="847" spans="1:10" ht="19.8">
      <c r="A847" s="1876" t="s">
        <v>3300</v>
      </c>
      <c r="B847" s="1876" t="s">
        <v>2390</v>
      </c>
      <c r="C847" s="1876" t="s">
        <v>122</v>
      </c>
      <c r="D847" s="1973">
        <v>148.5</v>
      </c>
      <c r="E847" s="2017">
        <v>1208</v>
      </c>
      <c r="F847" s="1876"/>
      <c r="G847" s="2050">
        <f t="shared" si="35"/>
        <v>179388</v>
      </c>
      <c r="H847" s="1876"/>
      <c r="I847" s="1922"/>
      <c r="J847" s="1922"/>
    </row>
    <row r="848" spans="1:10">
      <c r="A848" s="1972" t="s">
        <v>3301</v>
      </c>
      <c r="B848" s="1972" t="s">
        <v>3302</v>
      </c>
      <c r="C848" s="1876"/>
      <c r="D848" s="1973"/>
      <c r="E848" s="1999"/>
      <c r="F848" s="1876"/>
      <c r="G848" s="2050"/>
      <c r="H848" s="1876"/>
      <c r="I848" s="1961"/>
      <c r="J848" s="1961"/>
    </row>
    <row r="849" spans="1:10" ht="36">
      <c r="A849" s="1876" t="s">
        <v>1839</v>
      </c>
      <c r="B849" s="1876" t="s">
        <v>3303</v>
      </c>
      <c r="C849" s="1876" t="s">
        <v>46</v>
      </c>
      <c r="D849" s="1973">
        <v>249.60000000000002</v>
      </c>
      <c r="E849" s="1999">
        <v>800</v>
      </c>
      <c r="F849" s="1876"/>
      <c r="G849" s="2050">
        <f t="shared" si="35"/>
        <v>199680.00000000003</v>
      </c>
      <c r="H849" s="1876"/>
      <c r="I849" s="1964"/>
      <c r="J849" s="1922"/>
    </row>
    <row r="850" spans="1:10">
      <c r="A850" s="1972" t="s">
        <v>3304</v>
      </c>
      <c r="B850" s="1972" t="s">
        <v>3305</v>
      </c>
      <c r="C850" s="1876"/>
      <c r="D850" s="1973"/>
      <c r="E850" s="1999"/>
      <c r="F850" s="1876"/>
      <c r="G850" s="2050"/>
      <c r="H850" s="1876"/>
      <c r="I850" s="1961"/>
      <c r="J850" s="1961"/>
    </row>
    <row r="851" spans="1:10" ht="72">
      <c r="A851" s="1876" t="s">
        <v>3306</v>
      </c>
      <c r="B851" s="1876" t="s">
        <v>3307</v>
      </c>
      <c r="C851" s="1876" t="s">
        <v>85</v>
      </c>
      <c r="D851" s="1973">
        <v>3.4</v>
      </c>
      <c r="E851" s="1999">
        <v>100000</v>
      </c>
      <c r="F851" s="1876"/>
      <c r="G851" s="2050">
        <f t="shared" si="35"/>
        <v>340000</v>
      </c>
      <c r="H851" s="1876"/>
      <c r="I851" s="1964"/>
      <c r="J851" s="1922"/>
    </row>
    <row r="852" spans="1:10">
      <c r="A852" s="1957"/>
      <c r="B852" s="1957"/>
      <c r="C852" s="1957"/>
      <c r="D852" s="2171"/>
      <c r="E852" s="2172"/>
      <c r="F852" s="1950" t="s">
        <v>1483</v>
      </c>
      <c r="G852" s="2173">
        <f>SUM(G827:G851)</f>
        <v>8862284.8052420802</v>
      </c>
      <c r="H852" s="1957"/>
      <c r="I852" s="1964"/>
      <c r="J852" s="1922"/>
    </row>
    <row r="853" spans="1:10">
      <c r="A853" s="1954" t="s">
        <v>3362</v>
      </c>
      <c r="B853" s="1954" t="s">
        <v>3358</v>
      </c>
      <c r="C853" s="1954" t="s">
        <v>1099</v>
      </c>
      <c r="D853" s="1954"/>
      <c r="E853" s="2016"/>
      <c r="F853" s="1954"/>
      <c r="G853" s="2049">
        <v>60000000</v>
      </c>
      <c r="H853" s="1954"/>
      <c r="I853" s="1955"/>
      <c r="J853" s="1956"/>
    </row>
    <row r="854" spans="1:10">
      <c r="A854" s="1970"/>
      <c r="B854" s="1965"/>
      <c r="C854" s="1957"/>
      <c r="D854" s="1958"/>
      <c r="E854" s="1959"/>
      <c r="F854" s="1966"/>
      <c r="G854" s="2051"/>
      <c r="H854" s="1950"/>
      <c r="I854" s="1968" t="s">
        <v>20</v>
      </c>
      <c r="J854" s="1969"/>
    </row>
  </sheetData>
  <mergeCells count="3">
    <mergeCell ref="I8:I9"/>
    <mergeCell ref="J8:J9"/>
    <mergeCell ref="A8:A9"/>
  </mergeCells>
  <printOptions horizontalCentered="1"/>
  <pageMargins left="0.70866141732283505" right="0.82677165354330695" top="0.74803149606299202" bottom="1.2204724409448799" header="0.31496062992126" footer="0.31496062992126"/>
  <pageSetup paperSize="9" scale="82" firstPageNumber="3" fitToWidth="0" fitToHeight="0" orientation="landscape" useFirstPageNumber="1" r:id="rId1"/>
  <headerFooter>
    <oddHeader>&amp;L&amp;"Gill Sans MT,Italic"&amp;9Hydro Village Pvt. Ltd.&amp;R&amp;"Gill Sans MT,Italic"&amp;9Myagdi Khola Hydropower Project
Tender Document for Civil Construction Works- Bill of Quantities</oddHeader>
    <oddFooter>&amp;L&amp;"Gill Sans MT,Regular"Company:
Seal:
&amp;C&amp;"Gill Sans MT,Regular"Signature: 
            .
           Name of signatory:
   Designation:&amp;R&amp;"Gill Sans MT,Italic"&amp;9BoQ- page &amp;P</oddFooter>
  </headerFooter>
  <rowBreaks count="1" manualBreakCount="1">
    <brk id="602" max="7"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499984740745262"/>
  </sheetPr>
  <dimension ref="A1:BX841"/>
  <sheetViews>
    <sheetView workbookViewId="0"/>
  </sheetViews>
  <sheetFormatPr defaultColWidth="8.88671875" defaultRowHeight="18"/>
  <cols>
    <col min="1" max="1" width="14.5546875" style="1601" customWidth="1"/>
    <col min="2" max="2" width="54.5546875" style="217" customWidth="1"/>
    <col min="3" max="3" width="8" style="1588" bestFit="1" customWidth="1"/>
    <col min="4" max="4" width="14.44140625" style="1731" customWidth="1"/>
    <col min="5" max="5" width="13.88671875" style="1636" customWidth="1"/>
    <col min="6" max="6" width="19.5546875" style="1589" customWidth="1"/>
    <col min="7" max="7" width="16.88671875" style="1589" customWidth="1"/>
    <col min="8" max="8" width="15.44140625" style="1588" customWidth="1"/>
    <col min="9" max="9" width="10.5546875" style="217" customWidth="1"/>
    <col min="10" max="10" width="10.109375" style="217" customWidth="1"/>
    <col min="11" max="11" width="19.5546875" style="217" customWidth="1"/>
    <col min="12" max="12" width="29.33203125" style="217" customWidth="1"/>
    <col min="13" max="13" width="28.5546875" style="217" customWidth="1"/>
    <col min="14" max="14" width="22.88671875" style="217" bestFit="1" customWidth="1"/>
    <col min="15" max="15" width="8.88671875" style="217"/>
    <col min="16" max="16" width="15" style="217" bestFit="1" customWidth="1"/>
    <col min="17" max="19" width="8.88671875" style="217"/>
    <col min="20" max="20" width="15.5546875" style="217" bestFit="1" customWidth="1"/>
    <col min="21" max="22" width="8.88671875" style="217"/>
    <col min="23" max="23" width="18.6640625" style="217" bestFit="1" customWidth="1"/>
    <col min="24" max="16384" width="8.88671875" style="217"/>
  </cols>
  <sheetData>
    <row r="1" spans="1:10">
      <c r="I1" s="220"/>
      <c r="J1" s="220"/>
    </row>
    <row r="2" spans="1:10" ht="35.25" customHeight="1">
      <c r="I2" s="220"/>
      <c r="J2" s="220"/>
    </row>
    <row r="3" spans="1:10">
      <c r="A3" s="320" t="s">
        <v>0</v>
      </c>
      <c r="B3" s="1637" t="s">
        <v>1564</v>
      </c>
      <c r="G3" s="1638" t="s">
        <v>1561</v>
      </c>
      <c r="H3" s="1588" t="s">
        <v>2793</v>
      </c>
      <c r="I3" s="220"/>
      <c r="J3" s="220"/>
    </row>
    <row r="4" spans="1:10">
      <c r="A4" s="321" t="s">
        <v>1</v>
      </c>
      <c r="B4" s="1637">
        <v>930100</v>
      </c>
      <c r="G4" s="1638" t="s">
        <v>171</v>
      </c>
      <c r="H4" s="1588" t="s">
        <v>2388</v>
      </c>
      <c r="I4" s="220"/>
      <c r="J4" s="220"/>
    </row>
    <row r="5" spans="1:10">
      <c r="A5" s="321" t="s">
        <v>2</v>
      </c>
      <c r="B5" s="1381" t="s">
        <v>331</v>
      </c>
      <c r="G5" s="1638" t="s">
        <v>113</v>
      </c>
      <c r="H5" s="1588" t="s">
        <v>2387</v>
      </c>
      <c r="I5" s="220"/>
      <c r="J5" s="220"/>
    </row>
    <row r="6" spans="1:10">
      <c r="A6" s="321" t="s">
        <v>3</v>
      </c>
      <c r="B6" s="1381" t="s">
        <v>2905</v>
      </c>
      <c r="G6" s="1638" t="s">
        <v>106</v>
      </c>
      <c r="H6" s="1639">
        <f ca="1">TODAY()</f>
        <v>44942</v>
      </c>
      <c r="I6" s="220"/>
      <c r="J6" s="220"/>
    </row>
    <row r="7" spans="1:10">
      <c r="A7" s="217"/>
      <c r="G7" s="217"/>
      <c r="H7" s="217"/>
      <c r="I7" s="220"/>
      <c r="J7" s="220"/>
    </row>
    <row r="8" spans="1:10" ht="17.25" customHeight="1">
      <c r="A8" s="2339" t="s">
        <v>237</v>
      </c>
      <c r="B8" s="2339" t="s">
        <v>8</v>
      </c>
      <c r="C8" s="2339" t="s">
        <v>9</v>
      </c>
      <c r="D8" s="2339" t="s">
        <v>861</v>
      </c>
      <c r="E8" s="2339" t="s">
        <v>2799</v>
      </c>
      <c r="F8" s="2339"/>
      <c r="G8" s="1568" t="s">
        <v>2766</v>
      </c>
      <c r="H8" s="2360" t="s">
        <v>17</v>
      </c>
      <c r="I8" s="2358"/>
      <c r="J8" s="2332"/>
    </row>
    <row r="9" spans="1:10">
      <c r="A9" s="2339"/>
      <c r="B9" s="2339"/>
      <c r="C9" s="2339"/>
      <c r="D9" s="2339"/>
      <c r="E9" s="1797" t="s">
        <v>862</v>
      </c>
      <c r="F9" s="1797" t="s">
        <v>863</v>
      </c>
      <c r="G9" s="1568" t="s">
        <v>287</v>
      </c>
      <c r="H9" s="2360"/>
      <c r="I9" s="2359"/>
      <c r="J9" s="2333"/>
    </row>
    <row r="10" spans="1:10" ht="36">
      <c r="A10" s="1797"/>
      <c r="B10" s="1568" t="s">
        <v>3104</v>
      </c>
      <c r="C10" s="1797"/>
      <c r="D10" s="1797"/>
      <c r="E10" s="1797"/>
      <c r="F10" s="1797"/>
      <c r="G10" s="1568"/>
      <c r="H10" s="1563"/>
      <c r="I10" s="1849"/>
      <c r="J10" s="1798"/>
    </row>
    <row r="11" spans="1:10">
      <c r="A11" s="1797" t="s">
        <v>1607</v>
      </c>
      <c r="B11" s="1568" t="s">
        <v>3089</v>
      </c>
      <c r="C11" s="1797"/>
      <c r="D11" s="1797"/>
      <c r="E11" s="1797"/>
      <c r="F11" s="1797"/>
      <c r="G11" s="1568"/>
      <c r="H11" s="1563"/>
      <c r="I11" s="1849"/>
      <c r="J11" s="1798"/>
    </row>
    <row r="12" spans="1:10">
      <c r="A12" s="1722" t="s">
        <v>1611</v>
      </c>
      <c r="B12" s="1723" t="s">
        <v>2803</v>
      </c>
      <c r="C12" s="66"/>
      <c r="D12" s="1733"/>
      <c r="E12" s="1797"/>
      <c r="F12" s="1797"/>
      <c r="G12" s="1568"/>
      <c r="H12" s="1563"/>
      <c r="I12" s="1850"/>
      <c r="J12" s="220"/>
    </row>
    <row r="13" spans="1:10" ht="216">
      <c r="A13" s="75" t="s">
        <v>2800</v>
      </c>
      <c r="B13" s="1725" t="s">
        <v>3091</v>
      </c>
      <c r="C13" s="66" t="s">
        <v>1099</v>
      </c>
      <c r="D13" s="1733">
        <v>1</v>
      </c>
      <c r="E13" s="1797"/>
      <c r="F13" s="1797"/>
      <c r="G13" s="1568"/>
      <c r="H13" s="1563"/>
      <c r="I13" s="1851"/>
      <c r="J13" s="1564"/>
    </row>
    <row r="14" spans="1:10" ht="36">
      <c r="A14" s="75" t="s">
        <v>2801</v>
      </c>
      <c r="B14" s="1725" t="s">
        <v>3097</v>
      </c>
      <c r="C14" s="66" t="s">
        <v>2804</v>
      </c>
      <c r="D14" s="1733">
        <v>36</v>
      </c>
      <c r="E14" s="1797"/>
      <c r="F14" s="1797"/>
      <c r="G14" s="1568"/>
      <c r="H14" s="1563"/>
      <c r="I14" s="1852"/>
      <c r="J14" s="1593"/>
    </row>
    <row r="15" spans="1:10" ht="54">
      <c r="A15" s="75" t="s">
        <v>2802</v>
      </c>
      <c r="B15" s="1723" t="s">
        <v>2853</v>
      </c>
      <c r="C15" s="66" t="s">
        <v>1099</v>
      </c>
      <c r="D15" s="1733">
        <v>1</v>
      </c>
      <c r="E15" s="1797"/>
      <c r="F15" s="1797"/>
      <c r="G15" s="1568"/>
      <c r="H15" s="1563"/>
      <c r="I15" s="1853"/>
      <c r="J15" s="1593"/>
    </row>
    <row r="16" spans="1:10">
      <c r="A16" s="1722" t="s">
        <v>2814</v>
      </c>
      <c r="B16" s="1723" t="s">
        <v>960</v>
      </c>
      <c r="C16" s="1724" t="s">
        <v>864</v>
      </c>
      <c r="D16" s="1733">
        <v>1</v>
      </c>
      <c r="E16" s="1797"/>
      <c r="F16" s="1797"/>
      <c r="G16" s="1568"/>
      <c r="H16" s="1563"/>
      <c r="I16" s="1850"/>
      <c r="J16" s="220"/>
    </row>
    <row r="17" spans="1:10" ht="36">
      <c r="A17" s="75" t="s">
        <v>2806</v>
      </c>
      <c r="B17" s="1725" t="s">
        <v>3099</v>
      </c>
      <c r="C17" s="1724" t="s">
        <v>864</v>
      </c>
      <c r="D17" s="1733">
        <v>1</v>
      </c>
      <c r="E17" s="1797"/>
      <c r="F17" s="1797"/>
      <c r="G17" s="1568"/>
      <c r="H17" s="1563"/>
      <c r="I17" s="1852"/>
      <c r="J17" s="1593"/>
    </row>
    <row r="18" spans="1:10">
      <c r="A18" s="75" t="s">
        <v>2807</v>
      </c>
      <c r="B18" s="1725" t="s">
        <v>963</v>
      </c>
      <c r="C18" s="1724" t="s">
        <v>864</v>
      </c>
      <c r="D18" s="1733">
        <v>1</v>
      </c>
      <c r="E18" s="1797"/>
      <c r="F18" s="1797"/>
      <c r="G18" s="1568"/>
      <c r="H18" s="1563"/>
      <c r="I18" s="1852"/>
      <c r="J18" s="1593"/>
    </row>
    <row r="19" spans="1:10" ht="54">
      <c r="A19" s="75" t="s">
        <v>2808</v>
      </c>
      <c r="B19" s="1725" t="s">
        <v>964</v>
      </c>
      <c r="C19" s="66" t="s">
        <v>1099</v>
      </c>
      <c r="D19" s="1733">
        <v>1</v>
      </c>
      <c r="E19" s="1797"/>
      <c r="F19" s="1797"/>
      <c r="G19" s="1568"/>
      <c r="H19" s="1563"/>
      <c r="I19" s="1852"/>
      <c r="J19" s="1593"/>
    </row>
    <row r="20" spans="1:10" ht="36">
      <c r="A20" s="75" t="s">
        <v>3088</v>
      </c>
      <c r="B20" s="1725" t="s">
        <v>3100</v>
      </c>
      <c r="C20" s="66"/>
      <c r="D20" s="1733"/>
      <c r="E20" s="1797"/>
      <c r="F20" s="1797"/>
      <c r="G20" s="1568"/>
      <c r="H20" s="1563"/>
      <c r="I20" s="1852"/>
      <c r="J20" s="1593"/>
    </row>
    <row r="21" spans="1:10">
      <c r="A21" s="1722" t="s">
        <v>2813</v>
      </c>
      <c r="B21" s="1723" t="s">
        <v>3096</v>
      </c>
      <c r="C21" s="66"/>
      <c r="D21" s="1733"/>
      <c r="E21" s="1797"/>
      <c r="F21" s="1797"/>
      <c r="G21" s="1568"/>
      <c r="H21" s="1563"/>
      <c r="I21" s="1850"/>
      <c r="J21" s="220"/>
    </row>
    <row r="22" spans="1:10" ht="72">
      <c r="A22" s="75" t="s">
        <v>2812</v>
      </c>
      <c r="B22" s="1725" t="s">
        <v>3092</v>
      </c>
      <c r="C22" s="66" t="s">
        <v>2804</v>
      </c>
      <c r="D22" s="1733">
        <v>36</v>
      </c>
      <c r="E22" s="1797"/>
      <c r="F22" s="1797"/>
      <c r="G22" s="1568"/>
      <c r="H22" s="1563"/>
      <c r="I22" s="1852"/>
      <c r="J22" s="1593"/>
    </row>
    <row r="23" spans="1:10">
      <c r="A23" s="1722" t="s">
        <v>2816</v>
      </c>
      <c r="B23" s="1723" t="s">
        <v>2818</v>
      </c>
      <c r="C23" s="66"/>
      <c r="D23" s="1733"/>
      <c r="E23" s="1797"/>
      <c r="F23" s="1797"/>
      <c r="G23" s="1568"/>
      <c r="H23" s="1563"/>
      <c r="I23" s="1850"/>
      <c r="J23" s="220"/>
    </row>
    <row r="24" spans="1:10" ht="54">
      <c r="A24" s="75" t="s">
        <v>2817</v>
      </c>
      <c r="B24" s="1725" t="s">
        <v>2819</v>
      </c>
      <c r="C24" s="66" t="s">
        <v>1099</v>
      </c>
      <c r="D24" s="1733">
        <v>1</v>
      </c>
      <c r="E24" s="1797"/>
      <c r="F24" s="1797"/>
      <c r="G24" s="1568"/>
      <c r="H24" s="1563"/>
      <c r="I24" s="1852"/>
      <c r="J24" s="1593"/>
    </row>
    <row r="25" spans="1:10">
      <c r="A25" s="1722" t="s">
        <v>2821</v>
      </c>
      <c r="B25" s="1723" t="s">
        <v>1106</v>
      </c>
      <c r="C25" s="66"/>
      <c r="D25" s="1733"/>
      <c r="E25" s="1797"/>
      <c r="F25" s="1797"/>
      <c r="G25" s="1568"/>
      <c r="H25" s="1563"/>
      <c r="I25" s="1850"/>
      <c r="J25" s="220"/>
    </row>
    <row r="26" spans="1:10" ht="54">
      <c r="A26" s="75" t="s">
        <v>2822</v>
      </c>
      <c r="B26" s="1725" t="s">
        <v>1180</v>
      </c>
      <c r="C26" s="66" t="s">
        <v>1099</v>
      </c>
      <c r="D26" s="1733">
        <v>1</v>
      </c>
      <c r="E26" s="1797"/>
      <c r="F26" s="1797"/>
      <c r="G26" s="1568"/>
      <c r="H26" s="1563"/>
      <c r="I26" s="1852"/>
      <c r="J26" s="1593"/>
    </row>
    <row r="27" spans="1:10" ht="72">
      <c r="A27" s="75" t="s">
        <v>2823</v>
      </c>
      <c r="B27" s="1725" t="s">
        <v>2815</v>
      </c>
      <c r="C27" s="66" t="s">
        <v>2804</v>
      </c>
      <c r="D27" s="1733">
        <v>36</v>
      </c>
      <c r="E27" s="1797"/>
      <c r="F27" s="1797"/>
      <c r="G27" s="1568"/>
      <c r="H27" s="1563"/>
      <c r="I27" s="1852"/>
      <c r="J27" s="1593"/>
    </row>
    <row r="28" spans="1:10" ht="36">
      <c r="A28" s="75" t="s">
        <v>2824</v>
      </c>
      <c r="B28" s="1725" t="s">
        <v>2828</v>
      </c>
      <c r="C28" s="66" t="s">
        <v>305</v>
      </c>
      <c r="D28" s="1733">
        <v>1</v>
      </c>
      <c r="E28" s="1797"/>
      <c r="F28" s="1797"/>
      <c r="G28" s="1568"/>
      <c r="H28" s="1563"/>
      <c r="I28" s="1852"/>
      <c r="J28" s="1593"/>
    </row>
    <row r="29" spans="1:10" ht="72">
      <c r="A29" s="75" t="s">
        <v>2825</v>
      </c>
      <c r="B29" s="1725" t="s">
        <v>2829</v>
      </c>
      <c r="C29" s="66" t="s">
        <v>2804</v>
      </c>
      <c r="D29" s="1733">
        <v>36</v>
      </c>
      <c r="E29" s="1797"/>
      <c r="F29" s="1797"/>
      <c r="G29" s="1568"/>
      <c r="H29" s="1563"/>
      <c r="I29" s="1852"/>
      <c r="J29" s="1593"/>
    </row>
    <row r="30" spans="1:10" ht="72">
      <c r="A30" s="75" t="s">
        <v>2826</v>
      </c>
      <c r="B30" s="1725" t="s">
        <v>2854</v>
      </c>
      <c r="C30" s="66" t="s">
        <v>2804</v>
      </c>
      <c r="D30" s="1733">
        <v>36</v>
      </c>
      <c r="E30" s="1797"/>
      <c r="F30" s="1797"/>
      <c r="G30" s="1568"/>
      <c r="H30" s="1563"/>
      <c r="I30" s="1852"/>
      <c r="J30" s="1593"/>
    </row>
    <row r="31" spans="1:10" ht="36">
      <c r="A31" s="75" t="s">
        <v>2827</v>
      </c>
      <c r="B31" s="1725" t="s">
        <v>2820</v>
      </c>
      <c r="C31" s="66" t="s">
        <v>305</v>
      </c>
      <c r="D31" s="1733">
        <v>1</v>
      </c>
      <c r="E31" s="1797"/>
      <c r="F31" s="1797"/>
      <c r="G31" s="1568"/>
      <c r="H31" s="1563"/>
      <c r="I31" s="1852"/>
      <c r="J31" s="1593"/>
    </row>
    <row r="32" spans="1:10">
      <c r="A32" s="1722" t="s">
        <v>2830</v>
      </c>
      <c r="B32" s="1723" t="s">
        <v>1108</v>
      </c>
      <c r="C32" s="66"/>
      <c r="D32" s="1733"/>
      <c r="E32" s="1797"/>
      <c r="F32" s="1797"/>
      <c r="G32" s="1568"/>
      <c r="H32" s="1563"/>
      <c r="I32" s="1852"/>
      <c r="J32" s="220"/>
    </row>
    <row r="33" spans="1:10" ht="36">
      <c r="A33" s="75" t="s">
        <v>2831</v>
      </c>
      <c r="B33" s="1725" t="s">
        <v>2832</v>
      </c>
      <c r="C33" s="66" t="s">
        <v>1099</v>
      </c>
      <c r="D33" s="1733">
        <v>1</v>
      </c>
      <c r="E33" s="1797"/>
      <c r="F33" s="1797"/>
      <c r="G33" s="1568"/>
      <c r="H33" s="1563"/>
      <c r="I33" s="1852"/>
      <c r="J33" s="1593"/>
    </row>
    <row r="34" spans="1:10" ht="72">
      <c r="A34" s="75" t="s">
        <v>2837</v>
      </c>
      <c r="B34" s="1725" t="s">
        <v>1110</v>
      </c>
      <c r="C34" s="66" t="s">
        <v>1099</v>
      </c>
      <c r="D34" s="1733">
        <v>1</v>
      </c>
      <c r="E34" s="1797"/>
      <c r="F34" s="1797"/>
      <c r="G34" s="1568"/>
      <c r="H34" s="1563"/>
      <c r="I34" s="1852"/>
      <c r="J34" s="1593"/>
    </row>
    <row r="35" spans="1:10" ht="54">
      <c r="A35" s="75" t="s">
        <v>2838</v>
      </c>
      <c r="B35" s="1725" t="s">
        <v>1111</v>
      </c>
      <c r="C35" s="66" t="s">
        <v>1099</v>
      </c>
      <c r="D35" s="1733">
        <v>1</v>
      </c>
      <c r="E35" s="1797"/>
      <c r="F35" s="1797"/>
      <c r="G35" s="1568"/>
      <c r="H35" s="1563"/>
      <c r="I35" s="1852"/>
      <c r="J35" s="1593"/>
    </row>
    <row r="36" spans="1:10" ht="54">
      <c r="A36" s="1722" t="s">
        <v>2833</v>
      </c>
      <c r="B36" s="1723" t="s">
        <v>3093</v>
      </c>
      <c r="C36" s="66"/>
      <c r="D36" s="1733"/>
      <c r="E36" s="1797"/>
      <c r="F36" s="1797"/>
      <c r="G36" s="1568"/>
      <c r="H36" s="1563"/>
      <c r="I36" s="1852"/>
      <c r="J36" s="220"/>
    </row>
    <row r="37" spans="1:10">
      <c r="A37" s="75" t="s">
        <v>2836</v>
      </c>
      <c r="B37" s="1725" t="s">
        <v>1166</v>
      </c>
      <c r="C37" s="66" t="s">
        <v>1167</v>
      </c>
      <c r="D37" s="1733">
        <v>1</v>
      </c>
      <c r="E37" s="1797"/>
      <c r="F37" s="1797"/>
      <c r="G37" s="1568"/>
      <c r="H37" s="1563"/>
      <c r="I37" s="1852"/>
      <c r="J37" s="1593"/>
    </row>
    <row r="38" spans="1:10">
      <c r="A38" s="75" t="s">
        <v>3098</v>
      </c>
      <c r="B38" s="1725" t="s">
        <v>1168</v>
      </c>
      <c r="C38" s="66" t="s">
        <v>1167</v>
      </c>
      <c r="D38" s="1733">
        <v>1</v>
      </c>
      <c r="E38" s="1797"/>
      <c r="F38" s="1797"/>
      <c r="G38" s="1568"/>
      <c r="H38" s="1563"/>
      <c r="I38" s="1852"/>
      <c r="J38" s="1593"/>
    </row>
    <row r="39" spans="1:10">
      <c r="A39" s="75"/>
      <c r="B39" s="1725"/>
      <c r="C39" s="66"/>
      <c r="D39" s="1733"/>
      <c r="E39" s="1797"/>
      <c r="F39" s="1666" t="s">
        <v>3095</v>
      </c>
      <c r="G39" s="1691"/>
      <c r="H39" s="1563"/>
      <c r="I39" s="1852"/>
      <c r="J39" s="1828"/>
    </row>
    <row r="40" spans="1:10" ht="54">
      <c r="A40" s="1811" t="s">
        <v>1624</v>
      </c>
      <c r="B40" s="1568" t="s">
        <v>3090</v>
      </c>
      <c r="C40" s="66"/>
      <c r="D40" s="1733"/>
      <c r="E40" s="1797"/>
      <c r="F40" s="1805"/>
      <c r="G40" s="1613"/>
      <c r="H40" s="1563"/>
      <c r="I40" s="1854"/>
      <c r="J40" s="1542"/>
    </row>
    <row r="41" spans="1:10" ht="151.80000000000001">
      <c r="A41" s="1812" t="s">
        <v>3107</v>
      </c>
      <c r="B41" s="343" t="s">
        <v>3108</v>
      </c>
      <c r="C41" s="66" t="s">
        <v>305</v>
      </c>
      <c r="D41" s="1733">
        <v>1</v>
      </c>
      <c r="E41" s="1797"/>
      <c r="F41" s="1805"/>
      <c r="G41" s="1613"/>
      <c r="H41" s="1563"/>
      <c r="I41" s="1855"/>
      <c r="J41" s="1542"/>
    </row>
    <row r="42" spans="1:10" ht="151.80000000000001">
      <c r="A42" s="1812" t="s">
        <v>3109</v>
      </c>
      <c r="B42" s="1881" t="s">
        <v>3253</v>
      </c>
      <c r="C42" s="66" t="s">
        <v>305</v>
      </c>
      <c r="D42" s="1733">
        <v>1</v>
      </c>
      <c r="E42" s="1797"/>
      <c r="F42" s="1805"/>
      <c r="G42" s="1613"/>
      <c r="H42" s="1563"/>
      <c r="I42" s="1855"/>
      <c r="J42" s="1542"/>
    </row>
    <row r="43" spans="1:10" s="1531" customFormat="1" ht="108">
      <c r="A43" s="1812" t="s">
        <v>3110</v>
      </c>
      <c r="B43" s="1725" t="s">
        <v>3111</v>
      </c>
      <c r="C43" s="66" t="s">
        <v>864</v>
      </c>
      <c r="D43" s="1733">
        <v>1</v>
      </c>
      <c r="E43" s="1797"/>
      <c r="F43" s="1797"/>
      <c r="G43" s="1568"/>
      <c r="H43" s="1563"/>
      <c r="I43" s="1851"/>
      <c r="J43" s="1542"/>
    </row>
    <row r="44" spans="1:10">
      <c r="A44" s="220"/>
      <c r="B44" s="220"/>
      <c r="C44" s="220"/>
      <c r="D44" s="220"/>
      <c r="E44" s="220"/>
      <c r="F44" s="1666" t="s">
        <v>3094</v>
      </c>
      <c r="G44" s="1666"/>
      <c r="H44" s="220"/>
      <c r="I44" s="1850"/>
      <c r="J44" s="1806"/>
    </row>
    <row r="45" spans="1:10" s="1531" customFormat="1">
      <c r="A45" s="1813"/>
      <c r="B45" s="1700" t="s">
        <v>2909</v>
      </c>
      <c r="C45" s="1701"/>
      <c r="D45" s="1735"/>
      <c r="E45" s="1702"/>
      <c r="F45" s="1703"/>
      <c r="G45" s="1702"/>
      <c r="H45" s="1701"/>
      <c r="I45" s="1856"/>
      <c r="J45" s="1718"/>
    </row>
    <row r="46" spans="1:10" s="1531" customFormat="1">
      <c r="A46" s="1814" t="s">
        <v>1672</v>
      </c>
      <c r="B46" s="1761" t="s">
        <v>3077</v>
      </c>
      <c r="C46" s="1762"/>
      <c r="D46" s="1738"/>
      <c r="E46" s="1699"/>
      <c r="F46" s="1536"/>
      <c r="G46" s="1699"/>
      <c r="H46" s="1534"/>
      <c r="I46" s="1857"/>
      <c r="J46" s="1543"/>
    </row>
    <row r="47" spans="1:10" s="1567" customFormat="1">
      <c r="A47" s="1815" t="s">
        <v>2632</v>
      </c>
      <c r="B47" s="1548" t="s">
        <v>18</v>
      </c>
      <c r="C47" s="1572"/>
      <c r="D47" s="1547"/>
      <c r="E47" s="1642"/>
      <c r="F47" s="1573"/>
      <c r="G47" s="1642"/>
      <c r="H47" s="1816"/>
      <c r="I47" s="1858"/>
      <c r="J47" s="1543"/>
    </row>
    <row r="48" spans="1:10" s="1567" customFormat="1" ht="72">
      <c r="A48" s="75" t="s">
        <v>2633</v>
      </c>
      <c r="B48" s="1555" t="s">
        <v>2847</v>
      </c>
      <c r="C48" s="1530" t="s">
        <v>19</v>
      </c>
      <c r="D48" s="1547">
        <f>'M. Headworks river protection'!J14</f>
        <v>1028.5</v>
      </c>
      <c r="E48" s="1642"/>
      <c r="F48" s="1642"/>
      <c r="G48" s="1642"/>
      <c r="H48" s="1816"/>
      <c r="I48" s="1859"/>
      <c r="J48" s="1543"/>
    </row>
    <row r="49" spans="1:11" s="1567" customFormat="1" ht="72">
      <c r="A49" s="1817" t="s">
        <v>1677</v>
      </c>
      <c r="B49" s="1544" t="s">
        <v>2849</v>
      </c>
      <c r="C49" s="1530"/>
      <c r="D49" s="1547"/>
      <c r="E49" s="1642"/>
      <c r="F49" s="1642"/>
      <c r="G49" s="1642"/>
      <c r="H49" s="1816"/>
      <c r="I49" s="1859"/>
      <c r="J49" s="1543"/>
    </row>
    <row r="50" spans="1:11" s="1567" customFormat="1">
      <c r="A50" s="1818" t="s">
        <v>1613</v>
      </c>
      <c r="B50" s="220" t="s">
        <v>1632</v>
      </c>
      <c r="C50" s="1530" t="s">
        <v>21</v>
      </c>
      <c r="D50" s="1547">
        <f>'M. Headworks river protection'!J19</f>
        <v>1020.8000000000001</v>
      </c>
      <c r="E50" s="1642"/>
      <c r="F50" s="1642"/>
      <c r="G50" s="1642"/>
      <c r="H50" s="1816"/>
      <c r="I50" s="1857"/>
      <c r="J50" s="1543"/>
    </row>
    <row r="51" spans="1:11" s="1567" customFormat="1">
      <c r="A51" s="1818" t="s">
        <v>2112</v>
      </c>
      <c r="B51" s="220" t="s">
        <v>1634</v>
      </c>
      <c r="C51" s="1530" t="s">
        <v>21</v>
      </c>
      <c r="D51" s="1547">
        <f>'M. Headworks river protection'!J20</f>
        <v>1531.2</v>
      </c>
      <c r="E51" s="1642"/>
      <c r="F51" s="1642"/>
      <c r="G51" s="1642"/>
      <c r="H51" s="1816"/>
      <c r="I51" s="1857"/>
      <c r="J51" s="1543"/>
    </row>
    <row r="52" spans="1:11" s="1567" customFormat="1">
      <c r="A52" s="1817" t="s">
        <v>1679</v>
      </c>
      <c r="B52" s="313" t="s">
        <v>31</v>
      </c>
      <c r="C52" s="1530"/>
      <c r="D52" s="1547"/>
      <c r="E52" s="1642"/>
      <c r="F52" s="1642"/>
      <c r="G52" s="1642"/>
      <c r="H52" s="1816"/>
      <c r="I52" s="1859"/>
      <c r="J52" s="1543"/>
    </row>
    <row r="53" spans="1:11" s="1567" customFormat="1" ht="54">
      <c r="A53" s="1818" t="s">
        <v>1680</v>
      </c>
      <c r="B53" s="1545" t="s">
        <v>2862</v>
      </c>
      <c r="C53" s="1530" t="s">
        <v>21</v>
      </c>
      <c r="D53" s="1547">
        <f>'M. Headworks river protection'!J24</f>
        <v>255.2</v>
      </c>
      <c r="E53" s="1642"/>
      <c r="F53" s="1642"/>
      <c r="G53" s="1642"/>
      <c r="H53" s="1816"/>
      <c r="I53" s="1859"/>
      <c r="J53" s="1543"/>
    </row>
    <row r="54" spans="1:11" s="1531" customFormat="1">
      <c r="A54" s="1817" t="s">
        <v>1677</v>
      </c>
      <c r="B54" s="313" t="s">
        <v>1929</v>
      </c>
      <c r="C54" s="1530"/>
      <c r="D54" s="1542"/>
      <c r="E54" s="332"/>
      <c r="F54" s="332"/>
      <c r="G54" s="332"/>
      <c r="H54" s="1563"/>
      <c r="I54" s="1859"/>
      <c r="J54" s="1543"/>
    </row>
    <row r="55" spans="1:11" s="1531" customFormat="1" ht="54">
      <c r="A55" s="1818" t="s">
        <v>1613</v>
      </c>
      <c r="B55" s="1550" t="s">
        <v>2896</v>
      </c>
      <c r="C55" s="1530" t="s">
        <v>311</v>
      </c>
      <c r="D55" s="1542">
        <f>1320/4</f>
        <v>330</v>
      </c>
      <c r="E55" s="332"/>
      <c r="F55" s="332"/>
      <c r="G55" s="332"/>
      <c r="H55" s="1563"/>
      <c r="I55" s="1859"/>
      <c r="J55" s="1543"/>
    </row>
    <row r="56" spans="1:11" s="1531" customFormat="1">
      <c r="A56" s="1815" t="s">
        <v>1679</v>
      </c>
      <c r="B56" s="313" t="s">
        <v>1872</v>
      </c>
      <c r="C56" s="1530"/>
      <c r="D56" s="1542"/>
      <c r="E56" s="332"/>
      <c r="F56" s="332"/>
      <c r="G56" s="332"/>
      <c r="H56" s="1563"/>
      <c r="I56" s="1859"/>
      <c r="J56" s="1543"/>
    </row>
    <row r="57" spans="1:11" s="1531" customFormat="1" ht="54">
      <c r="A57" s="1818" t="s">
        <v>1680</v>
      </c>
      <c r="B57" s="1550" t="s">
        <v>2897</v>
      </c>
      <c r="C57" s="1530" t="s">
        <v>19</v>
      </c>
      <c r="D57" s="1542">
        <v>550</v>
      </c>
      <c r="E57" s="332"/>
      <c r="F57" s="332"/>
      <c r="G57" s="332"/>
      <c r="H57" s="1563"/>
      <c r="I57" s="1859"/>
      <c r="J57" s="1543"/>
    </row>
    <row r="58" spans="1:11" s="1531" customFormat="1" ht="54">
      <c r="A58" s="1815" t="s">
        <v>1682</v>
      </c>
      <c r="B58" s="1550" t="s">
        <v>2735</v>
      </c>
      <c r="C58" s="1530"/>
      <c r="D58" s="1542"/>
      <c r="E58" s="332"/>
      <c r="F58" s="332"/>
      <c r="G58" s="332"/>
      <c r="H58" s="1563"/>
      <c r="I58" s="1859"/>
      <c r="J58" s="1543"/>
    </row>
    <row r="59" spans="1:11" s="1531" customFormat="1">
      <c r="A59" s="1818" t="s">
        <v>1683</v>
      </c>
      <c r="B59" s="1529" t="s">
        <v>2922</v>
      </c>
      <c r="C59" s="1530" t="s">
        <v>21</v>
      </c>
      <c r="D59" s="1542">
        <f>'M. Headworks river protection'!J28</f>
        <v>70.125</v>
      </c>
      <c r="E59" s="332"/>
      <c r="F59" s="332"/>
      <c r="G59" s="332"/>
      <c r="H59" s="1563"/>
      <c r="I59" s="1854"/>
      <c r="J59" s="1543"/>
    </row>
    <row r="60" spans="1:11">
      <c r="A60" s="1818" t="s">
        <v>3101</v>
      </c>
      <c r="B60" s="220" t="s">
        <v>3102</v>
      </c>
      <c r="C60" s="1530" t="s">
        <v>21</v>
      </c>
      <c r="D60" s="1742">
        <v>450</v>
      </c>
      <c r="E60" s="1612"/>
      <c r="F60" s="1613"/>
      <c r="G60" s="1613"/>
      <c r="H60" s="66"/>
      <c r="I60" s="1853"/>
      <c r="J60" s="1543"/>
    </row>
    <row r="61" spans="1:11" s="1644" customFormat="1" ht="54">
      <c r="A61" s="1722" t="s">
        <v>1684</v>
      </c>
      <c r="B61" s="1538" t="s">
        <v>2899</v>
      </c>
      <c r="C61" s="1530" t="s">
        <v>311</v>
      </c>
      <c r="D61" s="1542">
        <v>325</v>
      </c>
      <c r="E61" s="332"/>
      <c r="F61" s="332"/>
      <c r="G61" s="1643"/>
      <c r="H61" s="1819"/>
      <c r="I61" s="1860"/>
      <c r="J61" s="1543"/>
    </row>
    <row r="62" spans="1:11" s="1531" customFormat="1" ht="54">
      <c r="A62" s="1815" t="s">
        <v>1690</v>
      </c>
      <c r="B62" s="1545" t="s">
        <v>2737</v>
      </c>
      <c r="C62" s="1530"/>
      <c r="D62" s="1542"/>
      <c r="E62" s="332"/>
      <c r="F62" s="332"/>
      <c r="G62" s="332"/>
      <c r="H62" s="1563"/>
      <c r="I62" s="1859"/>
      <c r="J62" s="1543"/>
    </row>
    <row r="63" spans="1:11" s="1531" customFormat="1">
      <c r="A63" s="75" t="s">
        <v>1691</v>
      </c>
      <c r="B63" s="1546" t="s">
        <v>2102</v>
      </c>
      <c r="C63" s="1530" t="s">
        <v>21</v>
      </c>
      <c r="D63" s="1542">
        <f>'M. Headworks river protection'!J32</f>
        <v>935</v>
      </c>
      <c r="E63" s="332"/>
      <c r="F63" s="332"/>
      <c r="G63" s="332"/>
      <c r="H63" s="1563"/>
      <c r="I63" s="1859"/>
      <c r="J63" s="1543"/>
    </row>
    <row r="64" spans="1:11" s="1531" customFormat="1" ht="17.25" customHeight="1">
      <c r="A64" s="1722"/>
      <c r="B64" s="1529"/>
      <c r="C64" s="1530"/>
      <c r="D64" s="1686"/>
      <c r="E64" s="332"/>
      <c r="F64" s="1666" t="s">
        <v>1483</v>
      </c>
      <c r="G64" s="1694"/>
      <c r="H64" s="1563"/>
      <c r="I64" s="1858"/>
      <c r="J64" s="1717"/>
      <c r="K64" s="1764"/>
    </row>
    <row r="65" spans="1:10" s="1531" customFormat="1">
      <c r="A65" s="1814" t="s">
        <v>1727</v>
      </c>
      <c r="B65" s="1533" t="s">
        <v>3078</v>
      </c>
      <c r="C65" s="1551"/>
      <c r="D65" s="1738"/>
      <c r="E65" s="1699"/>
      <c r="F65" s="1536"/>
      <c r="G65" s="1699"/>
      <c r="H65" s="1534"/>
      <c r="I65" s="1857"/>
      <c r="J65" s="1543"/>
    </row>
    <row r="66" spans="1:10" s="1531" customFormat="1">
      <c r="A66" s="1817" t="s">
        <v>1729</v>
      </c>
      <c r="B66" s="1538" t="s">
        <v>18</v>
      </c>
      <c r="C66" s="1539"/>
      <c r="D66" s="1739"/>
      <c r="E66" s="332"/>
      <c r="F66" s="1540"/>
      <c r="G66" s="332"/>
      <c r="H66" s="1820"/>
      <c r="I66" s="1857"/>
      <c r="J66" s="1543"/>
    </row>
    <row r="67" spans="1:10" s="1531" customFormat="1" ht="72">
      <c r="A67" s="1818" t="s">
        <v>1730</v>
      </c>
      <c r="B67" s="1555" t="s">
        <v>2855</v>
      </c>
      <c r="C67" s="1530" t="s">
        <v>19</v>
      </c>
      <c r="D67" s="1542">
        <f>'M. Weir &amp; Stillingbasin'!J15</f>
        <v>1012</v>
      </c>
      <c r="E67" s="332"/>
      <c r="F67" s="332"/>
      <c r="G67" s="332"/>
      <c r="H67" s="1563"/>
      <c r="I67" s="1859"/>
      <c r="J67" s="1543"/>
    </row>
    <row r="68" spans="1:10" s="1531" customFormat="1" ht="72">
      <c r="A68" s="1817" t="s">
        <v>1731</v>
      </c>
      <c r="B68" s="1544" t="s">
        <v>2849</v>
      </c>
      <c r="C68" s="1530"/>
      <c r="D68" s="1542"/>
      <c r="E68" s="332"/>
      <c r="F68" s="332"/>
      <c r="G68" s="332"/>
      <c r="H68" s="1563"/>
      <c r="I68" s="1859"/>
      <c r="J68" s="1543"/>
    </row>
    <row r="69" spans="1:10">
      <c r="A69" s="1818" t="s">
        <v>1732</v>
      </c>
      <c r="B69" s="220" t="s">
        <v>1632</v>
      </c>
      <c r="C69" s="1530" t="s">
        <v>21</v>
      </c>
      <c r="D69" s="1542">
        <f>'M. Weir &amp; Stillingbasin'!J21</f>
        <v>1921.2427777777777</v>
      </c>
      <c r="E69" s="220"/>
      <c r="F69" s="220"/>
      <c r="G69" s="220"/>
      <c r="H69" s="1683"/>
      <c r="I69" s="1857"/>
      <c r="J69" s="1543"/>
    </row>
    <row r="70" spans="1:10">
      <c r="A70" s="1818" t="s">
        <v>2848</v>
      </c>
      <c r="B70" s="220" t="s">
        <v>1634</v>
      </c>
      <c r="C70" s="1530" t="s">
        <v>21</v>
      </c>
      <c r="D70" s="1542">
        <f>'M. Weir &amp; Stillingbasin'!J22</f>
        <v>1921.2427777777777</v>
      </c>
      <c r="E70" s="220"/>
      <c r="F70" s="220"/>
      <c r="G70" s="220"/>
      <c r="H70" s="1683"/>
      <c r="I70" s="1857"/>
      <c r="J70" s="1543"/>
    </row>
    <row r="71" spans="1:10">
      <c r="A71" s="1817" t="s">
        <v>1733</v>
      </c>
      <c r="B71" s="313" t="s">
        <v>31</v>
      </c>
      <c r="C71" s="1530"/>
      <c r="D71" s="1542"/>
      <c r="E71" s="220"/>
      <c r="F71" s="220"/>
      <c r="G71" s="220"/>
      <c r="H71" s="1683"/>
      <c r="I71" s="1857"/>
      <c r="J71" s="1543"/>
    </row>
    <row r="72" spans="1:10" ht="54">
      <c r="A72" s="1818" t="s">
        <v>1734</v>
      </c>
      <c r="B72" s="1545" t="s">
        <v>2862</v>
      </c>
      <c r="C72" s="1530" t="s">
        <v>21</v>
      </c>
      <c r="D72" s="1542">
        <f>'M. Weir &amp; Stillingbasin'!J26</f>
        <v>426.75</v>
      </c>
      <c r="E72" s="220"/>
      <c r="F72" s="220"/>
      <c r="G72" s="220"/>
      <c r="H72" s="1683"/>
      <c r="I72" s="1857"/>
      <c r="J72" s="1543"/>
    </row>
    <row r="73" spans="1:10" s="1531" customFormat="1" ht="54">
      <c r="A73" s="1817" t="s">
        <v>1735</v>
      </c>
      <c r="B73" s="1545" t="s">
        <v>2735</v>
      </c>
      <c r="C73" s="1753" t="s">
        <v>21</v>
      </c>
      <c r="D73" s="1740"/>
      <c r="E73" s="332"/>
      <c r="F73" s="332"/>
      <c r="G73" s="332"/>
      <c r="H73" s="215"/>
      <c r="I73" s="1859"/>
      <c r="J73" s="1543"/>
    </row>
    <row r="74" spans="1:10" s="1531" customFormat="1">
      <c r="A74" s="1818" t="s">
        <v>1736</v>
      </c>
      <c r="B74" s="1545" t="s">
        <v>2921</v>
      </c>
      <c r="C74" s="1530" t="s">
        <v>21</v>
      </c>
      <c r="D74" s="1542">
        <f>'M. Weir &amp; Stillingbasin'!J46</f>
        <v>7.8836624999999998</v>
      </c>
      <c r="E74" s="332"/>
      <c r="F74" s="332"/>
      <c r="G74" s="332"/>
      <c r="H74" s="1563"/>
      <c r="I74" s="1861"/>
      <c r="J74" s="1543"/>
    </row>
    <row r="75" spans="1:10" s="1531" customFormat="1">
      <c r="A75" s="1818" t="s">
        <v>2108</v>
      </c>
      <c r="B75" s="1546" t="s">
        <v>2907</v>
      </c>
      <c r="C75" s="1530" t="s">
        <v>21</v>
      </c>
      <c r="D75" s="1542">
        <f>'M. Weir &amp; Stillingbasin'!J59</f>
        <v>1784.6139999999998</v>
      </c>
      <c r="E75" s="332"/>
      <c r="F75" s="332"/>
      <c r="G75" s="332"/>
      <c r="H75" s="1563"/>
      <c r="I75" s="1859"/>
      <c r="J75" s="1543"/>
    </row>
    <row r="76" spans="1:10" s="1531" customFormat="1">
      <c r="A76" s="1818" t="s">
        <v>2109</v>
      </c>
      <c r="B76" s="1546" t="s">
        <v>1645</v>
      </c>
      <c r="C76" s="1530" t="s">
        <v>21</v>
      </c>
      <c r="D76" s="1542">
        <f>'M. Weir &amp; Stillingbasin'!J55</f>
        <v>2236.2165500000001</v>
      </c>
      <c r="E76" s="332"/>
      <c r="F76" s="332"/>
      <c r="G76" s="332"/>
      <c r="H76" s="1563"/>
      <c r="I76" s="1859"/>
      <c r="J76" s="1543"/>
    </row>
    <row r="77" spans="1:10" s="1531" customFormat="1" ht="36">
      <c r="A77" s="1818" t="s">
        <v>2751</v>
      </c>
      <c r="B77" s="1546" t="s">
        <v>2404</v>
      </c>
      <c r="C77" s="1530" t="s">
        <v>21</v>
      </c>
      <c r="D77" s="1542">
        <f>'M. Weir &amp; Stillingbasin'!J71</f>
        <v>88.199999999999989</v>
      </c>
      <c r="E77" s="332"/>
      <c r="F77" s="332"/>
      <c r="G77" s="332"/>
      <c r="H77" s="1563"/>
      <c r="I77" s="1859"/>
      <c r="J77" s="1543"/>
    </row>
    <row r="78" spans="1:10" s="1531" customFormat="1">
      <c r="A78" s="1817" t="s">
        <v>1737</v>
      </c>
      <c r="B78" s="313" t="s">
        <v>1693</v>
      </c>
      <c r="C78" s="1530"/>
      <c r="D78" s="1542"/>
      <c r="E78" s="332"/>
      <c r="F78" s="332"/>
      <c r="G78" s="332"/>
      <c r="H78" s="1563"/>
      <c r="I78" s="1859"/>
      <c r="J78" s="1543"/>
    </row>
    <row r="79" spans="1:10" s="1531" customFormat="1" ht="51.75" customHeight="1">
      <c r="A79" s="1818" t="s">
        <v>1738</v>
      </c>
      <c r="B79" s="1550" t="s">
        <v>1695</v>
      </c>
      <c r="C79" s="1530" t="s">
        <v>19</v>
      </c>
      <c r="D79" s="1542">
        <f>'M. Weir &amp; Stillingbasin'!J63</f>
        <v>207.5</v>
      </c>
      <c r="E79" s="332"/>
      <c r="F79" s="332"/>
      <c r="G79" s="332"/>
      <c r="H79" s="1563"/>
      <c r="I79" s="1859"/>
      <c r="J79" s="1543"/>
    </row>
    <row r="80" spans="1:10" s="1531" customFormat="1">
      <c r="A80" s="1817" t="s">
        <v>1742</v>
      </c>
      <c r="B80" s="1548" t="s">
        <v>309</v>
      </c>
      <c r="C80" s="1530"/>
      <c r="D80" s="1542"/>
      <c r="E80" s="332"/>
      <c r="F80" s="332"/>
      <c r="G80" s="332"/>
      <c r="H80" s="1563"/>
      <c r="I80" s="1859"/>
      <c r="J80" s="1543"/>
    </row>
    <row r="81" spans="1:11" s="1531" customFormat="1" ht="54">
      <c r="A81" s="1818" t="s">
        <v>1743</v>
      </c>
      <c r="B81" s="1549" t="s">
        <v>1637</v>
      </c>
      <c r="C81" s="1530" t="s">
        <v>19</v>
      </c>
      <c r="D81" s="1542">
        <f>'M. Weir &amp; Stillingbasin'!J40</f>
        <v>523.42099999999994</v>
      </c>
      <c r="E81" s="332"/>
      <c r="F81" s="332"/>
      <c r="G81" s="332"/>
      <c r="H81" s="1563"/>
      <c r="I81" s="1859"/>
      <c r="J81" s="1543"/>
    </row>
    <row r="82" spans="1:11" s="1531" customFormat="1">
      <c r="A82" s="1817" t="s">
        <v>1744</v>
      </c>
      <c r="B82" s="313" t="s">
        <v>1649</v>
      </c>
      <c r="C82" s="1530"/>
      <c r="D82" s="1542"/>
      <c r="E82" s="332"/>
      <c r="F82" s="332"/>
      <c r="G82" s="332"/>
      <c r="H82" s="1563"/>
      <c r="I82" s="1859"/>
      <c r="J82" s="1543"/>
    </row>
    <row r="83" spans="1:11" s="1531" customFormat="1" ht="54">
      <c r="A83" s="1818" t="s">
        <v>1745</v>
      </c>
      <c r="B83" s="1550" t="s">
        <v>1248</v>
      </c>
      <c r="C83" s="1530" t="s">
        <v>25</v>
      </c>
      <c r="D83" s="1740">
        <f>'M. Weir &amp; Stillingbasin'!J75</f>
        <v>136.85</v>
      </c>
      <c r="E83" s="332"/>
      <c r="F83" s="332"/>
      <c r="G83" s="332"/>
      <c r="H83" s="1563"/>
      <c r="I83" s="1859"/>
      <c r="J83" s="1543"/>
    </row>
    <row r="84" spans="1:11" s="1531" customFormat="1" ht="54">
      <c r="A84" s="1817" t="s">
        <v>1746</v>
      </c>
      <c r="B84" s="1538" t="s">
        <v>2736</v>
      </c>
      <c r="C84" s="1530"/>
      <c r="D84" s="1542"/>
      <c r="E84" s="332"/>
      <c r="F84" s="332"/>
      <c r="G84" s="332"/>
      <c r="H84" s="1563"/>
      <c r="I84" s="1859"/>
      <c r="J84" s="1543"/>
    </row>
    <row r="85" spans="1:11" s="1531" customFormat="1">
      <c r="A85" s="1818" t="s">
        <v>2110</v>
      </c>
      <c r="B85" s="669" t="s">
        <v>155</v>
      </c>
      <c r="C85" s="1530" t="s">
        <v>27</v>
      </c>
      <c r="D85" s="1542">
        <f>'M. Weir &amp; Stillingbasin'!J80</f>
        <v>42</v>
      </c>
      <c r="E85" s="332"/>
      <c r="F85" s="332"/>
      <c r="G85" s="332"/>
      <c r="H85" s="1563"/>
      <c r="I85" s="1859"/>
      <c r="J85" s="1543"/>
    </row>
    <row r="86" spans="1:11" s="1531" customFormat="1">
      <c r="A86" s="1818" t="s">
        <v>2635</v>
      </c>
      <c r="B86" s="669" t="s">
        <v>174</v>
      </c>
      <c r="C86" s="1530" t="s">
        <v>27</v>
      </c>
      <c r="D86" s="1542">
        <f>'M. Weir &amp; Stillingbasin'!J84</f>
        <v>42</v>
      </c>
      <c r="E86" s="332"/>
      <c r="F86" s="332"/>
      <c r="G86" s="332"/>
      <c r="H86" s="1563"/>
      <c r="I86" s="1859"/>
      <c r="J86" s="1543"/>
    </row>
    <row r="87" spans="1:11" s="1531" customFormat="1" ht="19.8">
      <c r="A87" s="1818" t="s">
        <v>2636</v>
      </c>
      <c r="B87" s="669" t="s">
        <v>2390</v>
      </c>
      <c r="C87" s="1530" t="s">
        <v>122</v>
      </c>
      <c r="D87" s="1542">
        <f>'M. Weir &amp; Stillingbasin'!J88</f>
        <v>378</v>
      </c>
      <c r="E87" s="332"/>
      <c r="F87" s="332"/>
      <c r="G87" s="332"/>
      <c r="H87" s="1563"/>
      <c r="I87" s="1859"/>
      <c r="J87" s="1543"/>
    </row>
    <row r="88" spans="1:11" s="1531" customFormat="1" ht="36">
      <c r="A88" s="1722" t="s">
        <v>1748</v>
      </c>
      <c r="B88" s="1568" t="s">
        <v>1723</v>
      </c>
      <c r="C88" s="1530" t="s">
        <v>19</v>
      </c>
      <c r="D88" s="1542">
        <v>1122</v>
      </c>
      <c r="E88" s="332"/>
      <c r="F88" s="332"/>
      <c r="G88" s="332"/>
      <c r="H88" s="1563"/>
      <c r="I88" s="1859"/>
      <c r="J88" s="1543"/>
    </row>
    <row r="89" spans="1:11" s="1531" customFormat="1" ht="54">
      <c r="A89" s="1722" t="s">
        <v>2402</v>
      </c>
      <c r="B89" s="1578" t="s">
        <v>2856</v>
      </c>
      <c r="C89" s="1530"/>
      <c r="D89" s="1542"/>
      <c r="E89" s="332"/>
      <c r="F89" s="332"/>
      <c r="G89" s="332"/>
      <c r="H89" s="1563"/>
      <c r="I89" s="1860"/>
      <c r="J89" s="1543"/>
    </row>
    <row r="90" spans="1:11" s="1531" customFormat="1">
      <c r="A90" s="75" t="s">
        <v>1752</v>
      </c>
      <c r="B90" s="669" t="s">
        <v>2397</v>
      </c>
      <c r="C90" s="1530" t="s">
        <v>25</v>
      </c>
      <c r="D90" s="1542">
        <v>8</v>
      </c>
      <c r="E90" s="332"/>
      <c r="F90" s="332"/>
      <c r="G90" s="332"/>
      <c r="H90" s="1563"/>
      <c r="I90" s="1859"/>
      <c r="J90" s="1543"/>
    </row>
    <row r="91" spans="1:11" s="1531" customFormat="1">
      <c r="A91" s="75" t="s">
        <v>1753</v>
      </c>
      <c r="B91" s="669" t="s">
        <v>2398</v>
      </c>
      <c r="C91" s="1530" t="s">
        <v>25</v>
      </c>
      <c r="D91" s="1542">
        <v>2</v>
      </c>
      <c r="E91" s="332"/>
      <c r="F91" s="332"/>
      <c r="G91" s="332"/>
      <c r="H91" s="1563"/>
      <c r="I91" s="1859"/>
      <c r="J91" s="1543"/>
    </row>
    <row r="92" spans="1:11" s="1531" customFormat="1">
      <c r="A92" s="75" t="s">
        <v>1754</v>
      </c>
      <c r="B92" s="669" t="s">
        <v>2399</v>
      </c>
      <c r="C92" s="1530" t="s">
        <v>47</v>
      </c>
      <c r="D92" s="1542">
        <v>100</v>
      </c>
      <c r="E92" s="332"/>
      <c r="F92" s="332"/>
      <c r="G92" s="332"/>
      <c r="H92" s="1563"/>
      <c r="I92" s="1859"/>
      <c r="J92" s="1543"/>
    </row>
    <row r="93" spans="1:11" s="1531" customFormat="1">
      <c r="A93" s="75" t="s">
        <v>2415</v>
      </c>
      <c r="B93" s="669" t="s">
        <v>2403</v>
      </c>
      <c r="C93" s="1530" t="s">
        <v>27</v>
      </c>
      <c r="D93" s="1542">
        <v>200</v>
      </c>
      <c r="E93" s="332"/>
      <c r="F93" s="332"/>
      <c r="G93" s="332"/>
      <c r="H93" s="1563"/>
      <c r="I93" s="1859"/>
      <c r="J93" s="1543"/>
    </row>
    <row r="94" spans="1:11" s="1531" customFormat="1" ht="17.25" customHeight="1">
      <c r="A94" s="1722"/>
      <c r="B94" s="1529"/>
      <c r="C94" s="1530"/>
      <c r="D94" s="1686"/>
      <c r="E94" s="332"/>
      <c r="F94" s="1666" t="s">
        <v>1483</v>
      </c>
      <c r="G94" s="1694"/>
      <c r="H94" s="1563"/>
      <c r="I94" s="1858"/>
      <c r="J94" s="1717"/>
      <c r="K94" s="1764"/>
    </row>
    <row r="95" spans="1:11" s="1531" customFormat="1">
      <c r="A95" s="1814" t="s">
        <v>1759</v>
      </c>
      <c r="B95" s="1533" t="s">
        <v>3079</v>
      </c>
      <c r="C95" s="1534"/>
      <c r="D95" s="1736"/>
      <c r="E95" s="1699"/>
      <c r="F95" s="1536"/>
      <c r="G95" s="1699"/>
      <c r="H95" s="1534"/>
      <c r="I95" s="1857"/>
      <c r="J95" s="1543"/>
    </row>
    <row r="96" spans="1:11" s="1531" customFormat="1">
      <c r="A96" s="1817" t="s">
        <v>1760</v>
      </c>
      <c r="B96" s="1538" t="s">
        <v>18</v>
      </c>
      <c r="C96" s="1539"/>
      <c r="D96" s="1739"/>
      <c r="E96" s="332"/>
      <c r="F96" s="1540"/>
      <c r="G96" s="332"/>
      <c r="H96" s="1820"/>
      <c r="I96" s="1857"/>
      <c r="J96" s="1543"/>
    </row>
    <row r="97" spans="1:10" s="1531" customFormat="1" ht="72">
      <c r="A97" s="1818" t="s">
        <v>1761</v>
      </c>
      <c r="B97" s="1555" t="s">
        <v>2847</v>
      </c>
      <c r="C97" s="1530" t="s">
        <v>19</v>
      </c>
      <c r="D97" s="1542">
        <f>'M. Undersluice trashpassage'!J14</f>
        <v>621.5</v>
      </c>
      <c r="E97" s="332"/>
      <c r="F97" s="332"/>
      <c r="G97" s="332"/>
      <c r="H97" s="1563"/>
      <c r="I97" s="1859"/>
      <c r="J97" s="1543"/>
    </row>
    <row r="98" spans="1:10" s="1531" customFormat="1" ht="72">
      <c r="A98" s="1817" t="s">
        <v>1762</v>
      </c>
      <c r="B98" s="1544" t="s">
        <v>2849</v>
      </c>
      <c r="C98" s="1530"/>
      <c r="D98" s="1542"/>
      <c r="E98" s="332"/>
      <c r="F98" s="332"/>
      <c r="G98" s="332"/>
      <c r="H98" s="1563"/>
      <c r="I98" s="1859"/>
      <c r="J98" s="1543"/>
    </row>
    <row r="99" spans="1:10">
      <c r="A99" s="1818" t="s">
        <v>1763</v>
      </c>
      <c r="B99" s="220" t="s">
        <v>1632</v>
      </c>
      <c r="C99" s="1530" t="s">
        <v>21</v>
      </c>
      <c r="D99" s="1542">
        <f>'M. Undersluice trashpassage'!J21</f>
        <v>735.25400000000013</v>
      </c>
      <c r="E99" s="220"/>
      <c r="F99" s="220"/>
      <c r="G99" s="220"/>
      <c r="H99" s="1683"/>
      <c r="I99" s="1857"/>
      <c r="J99" s="1543"/>
    </row>
    <row r="100" spans="1:10">
      <c r="A100" s="1818" t="s">
        <v>1764</v>
      </c>
      <c r="B100" s="220" t="s">
        <v>1634</v>
      </c>
      <c r="C100" s="1530" t="s">
        <v>21</v>
      </c>
      <c r="D100" s="1542">
        <f>'M. Undersluice trashpassage'!J22</f>
        <v>2941.0160000000005</v>
      </c>
      <c r="E100" s="220"/>
      <c r="F100" s="220"/>
      <c r="G100" s="220"/>
      <c r="H100" s="1683"/>
      <c r="I100" s="1857"/>
      <c r="J100" s="1543"/>
    </row>
    <row r="101" spans="1:10">
      <c r="A101" s="1817" t="s">
        <v>1765</v>
      </c>
      <c r="B101" s="313" t="s">
        <v>31</v>
      </c>
      <c r="C101" s="1530"/>
      <c r="D101" s="1542"/>
      <c r="E101" s="220"/>
      <c r="F101" s="220"/>
      <c r="G101" s="220"/>
      <c r="H101" s="1683"/>
      <c r="I101" s="1857"/>
      <c r="J101" s="1543"/>
    </row>
    <row r="102" spans="1:10" ht="54">
      <c r="A102" s="1818" t="s">
        <v>1766</v>
      </c>
      <c r="B102" s="1545" t="s">
        <v>2862</v>
      </c>
      <c r="C102" s="1530" t="s">
        <v>21</v>
      </c>
      <c r="D102" s="1542">
        <f>'M. Undersluice trashpassage'!J27</f>
        <v>258.18400000000003</v>
      </c>
      <c r="E102" s="220"/>
      <c r="F102" s="220"/>
      <c r="G102" s="220"/>
      <c r="H102" s="1683"/>
      <c r="I102" s="1857"/>
      <c r="J102" s="1543"/>
    </row>
    <row r="103" spans="1:10" s="1531" customFormat="1" ht="54">
      <c r="A103" s="1817" t="s">
        <v>1767</v>
      </c>
      <c r="B103" s="1550" t="s">
        <v>2735</v>
      </c>
      <c r="C103" s="1530" t="s">
        <v>21</v>
      </c>
      <c r="D103" s="1542"/>
      <c r="E103" s="332"/>
      <c r="F103" s="332"/>
      <c r="G103" s="332"/>
      <c r="H103" s="1563"/>
      <c r="I103" s="1859"/>
      <c r="J103" s="1543"/>
    </row>
    <row r="104" spans="1:10" s="1531" customFormat="1">
      <c r="A104" s="1818" t="s">
        <v>1768</v>
      </c>
      <c r="B104" s="1546" t="s">
        <v>1641</v>
      </c>
      <c r="C104" s="1530" t="s">
        <v>21</v>
      </c>
      <c r="D104" s="1542">
        <f>'M. Undersluice trashpassage'!J43</f>
        <v>42.45</v>
      </c>
      <c r="E104" s="332"/>
      <c r="F104" s="332"/>
      <c r="G104" s="332"/>
      <c r="H104" s="1563"/>
      <c r="I104" s="1859"/>
      <c r="J104" s="1543"/>
    </row>
    <row r="105" spans="1:10" s="1531" customFormat="1">
      <c r="A105" s="1818" t="s">
        <v>2111</v>
      </c>
      <c r="B105" s="1546" t="s">
        <v>1645</v>
      </c>
      <c r="C105" s="1530" t="s">
        <v>21</v>
      </c>
      <c r="D105" s="1542">
        <f>'M. Undersluice trashpassage'!J58</f>
        <v>2575.8152</v>
      </c>
      <c r="E105" s="332"/>
      <c r="F105" s="332"/>
      <c r="G105" s="332"/>
      <c r="H105" s="1563"/>
      <c r="I105" s="1859"/>
      <c r="J105" s="1543"/>
    </row>
    <row r="106" spans="1:10" s="1531" customFormat="1" ht="36">
      <c r="A106" s="1818" t="s">
        <v>2396</v>
      </c>
      <c r="B106" s="1546" t="s">
        <v>2404</v>
      </c>
      <c r="C106" s="1530" t="s">
        <v>21</v>
      </c>
      <c r="D106" s="1547">
        <f>'M. Undersluice trashpassage'!J62</f>
        <v>38.194000000000003</v>
      </c>
      <c r="E106" s="332"/>
      <c r="F106" s="332"/>
      <c r="G106" s="332"/>
      <c r="H106" s="1563"/>
      <c r="I106" s="1859"/>
      <c r="J106" s="1543"/>
    </row>
    <row r="107" spans="1:10" s="1531" customFormat="1">
      <c r="A107" s="1817" t="s">
        <v>1769</v>
      </c>
      <c r="B107" s="1548" t="s">
        <v>309</v>
      </c>
      <c r="C107" s="1530"/>
      <c r="D107" s="1547"/>
      <c r="E107" s="332"/>
      <c r="F107" s="332"/>
      <c r="G107" s="332"/>
      <c r="H107" s="1563"/>
      <c r="I107" s="1859"/>
      <c r="J107" s="1543"/>
    </row>
    <row r="108" spans="1:10" s="1531" customFormat="1" ht="54">
      <c r="A108" s="1818" t="s">
        <v>1770</v>
      </c>
      <c r="B108" s="1549" t="s">
        <v>1637</v>
      </c>
      <c r="C108" s="1530" t="s">
        <v>19</v>
      </c>
      <c r="D108" s="1542">
        <f>'M. Undersluice trashpassage'!J38</f>
        <v>2792</v>
      </c>
      <c r="E108" s="332"/>
      <c r="F108" s="332"/>
      <c r="G108" s="332"/>
      <c r="H108" s="1563"/>
      <c r="I108" s="1859"/>
      <c r="J108" s="1543"/>
    </row>
    <row r="109" spans="1:10" s="1531" customFormat="1">
      <c r="A109" s="1817" t="s">
        <v>1772</v>
      </c>
      <c r="B109" s="313" t="s">
        <v>1649</v>
      </c>
      <c r="C109" s="1530"/>
      <c r="D109" s="1542"/>
      <c r="E109" s="332"/>
      <c r="F109" s="332"/>
      <c r="G109" s="332"/>
      <c r="H109" s="1563"/>
      <c r="I109" s="1859"/>
      <c r="J109" s="1543"/>
    </row>
    <row r="110" spans="1:10" s="1531" customFormat="1" ht="54">
      <c r="A110" s="1818" t="s">
        <v>1773</v>
      </c>
      <c r="B110" s="1550" t="s">
        <v>1248</v>
      </c>
      <c r="C110" s="1530" t="s">
        <v>25</v>
      </c>
      <c r="D110" s="1740">
        <f>ROUND(1%*(D105)*7.85,2)</f>
        <v>202.2</v>
      </c>
      <c r="E110" s="332"/>
      <c r="F110" s="332"/>
      <c r="G110" s="332"/>
      <c r="H110" s="1563"/>
      <c r="I110" s="1859"/>
      <c r="J110" s="1543"/>
    </row>
    <row r="111" spans="1:10" s="1531" customFormat="1">
      <c r="A111" s="1817" t="s">
        <v>1774</v>
      </c>
      <c r="B111" s="313" t="s">
        <v>1693</v>
      </c>
      <c r="C111" s="1530"/>
      <c r="D111" s="1740"/>
      <c r="E111" s="332"/>
      <c r="F111" s="332"/>
      <c r="G111" s="332"/>
      <c r="H111" s="1563"/>
      <c r="I111" s="1859"/>
      <c r="J111" s="1543"/>
    </row>
    <row r="112" spans="1:10" s="1531" customFormat="1" ht="51.75" customHeight="1">
      <c r="A112" s="1818" t="s">
        <v>1775</v>
      </c>
      <c r="B112" s="1550" t="s">
        <v>1695</v>
      </c>
      <c r="C112" s="1530" t="s">
        <v>19</v>
      </c>
      <c r="D112" s="1542">
        <f>'M. Undersluice trashpassage'!J69</f>
        <v>324.89999999999998</v>
      </c>
      <c r="E112" s="332"/>
      <c r="F112" s="332"/>
      <c r="G112" s="332"/>
      <c r="H112" s="1563"/>
      <c r="I112" s="1859"/>
      <c r="J112" s="1543"/>
    </row>
    <row r="113" spans="1:11" s="1531" customFormat="1" ht="54">
      <c r="A113" s="1817" t="s">
        <v>1776</v>
      </c>
      <c r="B113" s="1538" t="s">
        <v>2857</v>
      </c>
      <c r="C113" s="1530"/>
      <c r="D113" s="1542"/>
      <c r="E113" s="332"/>
      <c r="F113" s="332"/>
      <c r="G113" s="332"/>
      <c r="H113" s="1563"/>
      <c r="I113" s="1859"/>
      <c r="J113" s="1543"/>
    </row>
    <row r="114" spans="1:11" s="1531" customFormat="1">
      <c r="A114" s="1818" t="s">
        <v>1777</v>
      </c>
      <c r="B114" s="669" t="s">
        <v>155</v>
      </c>
      <c r="C114" s="1530" t="s">
        <v>27</v>
      </c>
      <c r="D114" s="1542">
        <f>'M. Undersluice trashpassage'!J79</f>
        <v>11</v>
      </c>
      <c r="E114" s="332"/>
      <c r="F114" s="332"/>
      <c r="G114" s="332"/>
      <c r="H114" s="1563"/>
      <c r="I114" s="1859"/>
      <c r="J114" s="1543"/>
    </row>
    <row r="115" spans="1:11" s="1531" customFormat="1">
      <c r="A115" s="1818" t="s">
        <v>1778</v>
      </c>
      <c r="B115" s="669" t="s">
        <v>174</v>
      </c>
      <c r="C115" s="1530" t="s">
        <v>27</v>
      </c>
      <c r="D115" s="1542">
        <f>'M. Undersluice trashpassage'!J83</f>
        <v>11</v>
      </c>
      <c r="E115" s="332"/>
      <c r="F115" s="332"/>
      <c r="G115" s="332"/>
      <c r="H115" s="1563"/>
      <c r="I115" s="1859"/>
      <c r="J115" s="1543"/>
    </row>
    <row r="116" spans="1:11" s="1531" customFormat="1" ht="19.8">
      <c r="A116" s="1818" t="s">
        <v>1779</v>
      </c>
      <c r="B116" s="669" t="s">
        <v>2390</v>
      </c>
      <c r="C116" s="1530" t="s">
        <v>122</v>
      </c>
      <c r="D116" s="1542">
        <f>'M. Undersluice trashpassage'!J87</f>
        <v>66</v>
      </c>
      <c r="E116" s="332"/>
      <c r="F116" s="332"/>
      <c r="G116" s="332"/>
      <c r="H116" s="1563"/>
      <c r="I116" s="1859"/>
      <c r="J116" s="1543"/>
    </row>
    <row r="117" spans="1:11" s="1531" customFormat="1" ht="17.25" customHeight="1">
      <c r="A117" s="1722"/>
      <c r="B117" s="1529"/>
      <c r="C117" s="1530"/>
      <c r="D117" s="1686"/>
      <c r="E117" s="332"/>
      <c r="F117" s="1666" t="s">
        <v>1483</v>
      </c>
      <c r="G117" s="1694"/>
      <c r="H117" s="1563"/>
      <c r="I117" s="1858"/>
      <c r="J117" s="1717"/>
      <c r="K117" s="1764"/>
    </row>
    <row r="118" spans="1:11" s="1531" customFormat="1">
      <c r="A118" s="1814" t="s">
        <v>1781</v>
      </c>
      <c r="B118" s="1533" t="s">
        <v>3080</v>
      </c>
      <c r="C118" s="1551"/>
      <c r="D118" s="1738"/>
      <c r="E118" s="1699"/>
      <c r="F118" s="1536"/>
      <c r="G118" s="1699"/>
      <c r="H118" s="1534"/>
      <c r="I118" s="1857"/>
      <c r="J118" s="1543"/>
    </row>
    <row r="119" spans="1:11" s="1553" customFormat="1">
      <c r="A119" s="1817" t="s">
        <v>1783</v>
      </c>
      <c r="B119" s="1548" t="s">
        <v>18</v>
      </c>
      <c r="C119" s="1539"/>
      <c r="D119" s="1739"/>
      <c r="E119" s="1684"/>
      <c r="F119" s="1540"/>
      <c r="G119" s="1684"/>
      <c r="H119" s="1820"/>
      <c r="I119" s="1857"/>
      <c r="J119" s="1543"/>
    </row>
    <row r="120" spans="1:11" s="1531" customFormat="1" ht="72">
      <c r="A120" s="75" t="s">
        <v>1784</v>
      </c>
      <c r="B120" s="1555" t="s">
        <v>2847</v>
      </c>
      <c r="C120" s="1530" t="s">
        <v>19</v>
      </c>
      <c r="D120" s="1542">
        <f>'M. Intake Gtrap'!J15</f>
        <v>246</v>
      </c>
      <c r="E120" s="332"/>
      <c r="F120" s="332"/>
      <c r="G120" s="332"/>
      <c r="H120" s="1563"/>
      <c r="I120" s="1859"/>
      <c r="J120" s="1543"/>
    </row>
    <row r="121" spans="1:11" s="1531" customFormat="1" ht="72">
      <c r="A121" s="1817" t="s">
        <v>1785</v>
      </c>
      <c r="B121" s="1544" t="s">
        <v>2849</v>
      </c>
      <c r="C121" s="1530"/>
      <c r="D121" s="1542"/>
      <c r="E121" s="332"/>
      <c r="F121" s="332"/>
      <c r="G121" s="332"/>
      <c r="H121" s="1563"/>
      <c r="I121" s="1859"/>
      <c r="J121" s="1543"/>
    </row>
    <row r="122" spans="1:11">
      <c r="A122" s="75" t="s">
        <v>1786</v>
      </c>
      <c r="B122" s="220" t="s">
        <v>1632</v>
      </c>
      <c r="C122" s="1530" t="s">
        <v>21</v>
      </c>
      <c r="D122" s="1542">
        <f>'M. Intake Gtrap'!J21</f>
        <v>999.46</v>
      </c>
      <c r="E122" s="220"/>
      <c r="F122" s="220"/>
      <c r="G122" s="220"/>
      <c r="H122" s="1683"/>
      <c r="I122" s="1857"/>
      <c r="J122" s="1543"/>
    </row>
    <row r="123" spans="1:11">
      <c r="A123" s="75" t="s">
        <v>1787</v>
      </c>
      <c r="B123" s="220" t="s">
        <v>1634</v>
      </c>
      <c r="C123" s="1530" t="s">
        <v>21</v>
      </c>
      <c r="D123" s="1542">
        <f>'M. Intake Gtrap'!J22</f>
        <v>3997.84</v>
      </c>
      <c r="E123" s="220"/>
      <c r="F123" s="220"/>
      <c r="G123" s="220"/>
      <c r="H123" s="1683"/>
      <c r="I123" s="1857"/>
      <c r="J123" s="1543"/>
    </row>
    <row r="124" spans="1:11">
      <c r="A124" s="1817" t="s">
        <v>1788</v>
      </c>
      <c r="B124" s="313" t="s">
        <v>31</v>
      </c>
      <c r="C124" s="1530"/>
      <c r="D124" s="1542"/>
      <c r="E124" s="220"/>
      <c r="F124" s="220"/>
      <c r="G124" s="220"/>
      <c r="H124" s="1683"/>
      <c r="I124" s="1857"/>
      <c r="J124" s="1543"/>
    </row>
    <row r="125" spans="1:11" ht="54">
      <c r="A125" s="75" t="s">
        <v>1789</v>
      </c>
      <c r="B125" s="1545" t="s">
        <v>2862</v>
      </c>
      <c r="C125" s="1530" t="s">
        <v>21</v>
      </c>
      <c r="D125" s="1542">
        <f>'M. Intake Gtrap'!J27</f>
        <v>549.23</v>
      </c>
      <c r="E125" s="220"/>
      <c r="F125" s="220"/>
      <c r="G125" s="220"/>
      <c r="H125" s="1683"/>
      <c r="I125" s="1857"/>
      <c r="J125" s="1543"/>
    </row>
    <row r="126" spans="1:11" s="1531" customFormat="1" ht="54">
      <c r="A126" s="1817" t="s">
        <v>1790</v>
      </c>
      <c r="B126" s="1545" t="s">
        <v>2735</v>
      </c>
      <c r="C126" s="1530"/>
      <c r="D126" s="1542"/>
      <c r="E126" s="332"/>
      <c r="F126" s="332"/>
      <c r="G126" s="332"/>
      <c r="H126" s="1563"/>
      <c r="I126" s="1859"/>
      <c r="J126" s="1543"/>
    </row>
    <row r="127" spans="1:11" s="1531" customFormat="1">
      <c r="A127" s="75" t="s">
        <v>1791</v>
      </c>
      <c r="B127" s="1546" t="s">
        <v>1641</v>
      </c>
      <c r="C127" s="1530" t="s">
        <v>21</v>
      </c>
      <c r="D127" s="1542">
        <f>'M. Intake Gtrap'!J32</f>
        <v>15.375</v>
      </c>
      <c r="E127" s="332"/>
      <c r="F127" s="332"/>
      <c r="G127" s="332"/>
      <c r="H127" s="1563"/>
      <c r="I127" s="1859"/>
      <c r="J127" s="1543"/>
    </row>
    <row r="128" spans="1:11" s="1531" customFormat="1">
      <c r="A128" s="75" t="s">
        <v>2106</v>
      </c>
      <c r="B128" s="1546" t="s">
        <v>1645</v>
      </c>
      <c r="C128" s="1530" t="s">
        <v>21</v>
      </c>
      <c r="D128" s="1542">
        <f>'M. Intake Gtrap'!J50</f>
        <v>849.61959999999999</v>
      </c>
      <c r="E128" s="332"/>
      <c r="F128" s="332"/>
      <c r="G128" s="332"/>
      <c r="H128" s="1563"/>
      <c r="I128" s="1859"/>
      <c r="J128" s="1543"/>
    </row>
    <row r="129" spans="1:10" s="1531" customFormat="1">
      <c r="A129" s="75" t="s">
        <v>2107</v>
      </c>
      <c r="B129" s="1546" t="s">
        <v>2876</v>
      </c>
      <c r="C129" s="1530" t="s">
        <v>21</v>
      </c>
      <c r="D129" s="1542">
        <v>1</v>
      </c>
      <c r="E129" s="332"/>
      <c r="F129" s="332"/>
      <c r="G129" s="332"/>
      <c r="H129" s="1563"/>
      <c r="I129" s="1859"/>
      <c r="J129" s="1543"/>
    </row>
    <row r="130" spans="1:10" s="1531" customFormat="1">
      <c r="A130" s="1817" t="s">
        <v>1792</v>
      </c>
      <c r="B130" s="1548" t="s">
        <v>309</v>
      </c>
      <c r="C130" s="1530"/>
      <c r="D130" s="1542"/>
      <c r="E130" s="332"/>
      <c r="F130" s="332"/>
      <c r="G130" s="332"/>
      <c r="H130" s="1563"/>
      <c r="I130" s="1859"/>
      <c r="J130" s="1543"/>
    </row>
    <row r="131" spans="1:10" s="1531" customFormat="1" ht="54">
      <c r="A131" s="75" t="s">
        <v>1793</v>
      </c>
      <c r="B131" s="1549" t="s">
        <v>1637</v>
      </c>
      <c r="C131" s="1530" t="s">
        <v>19</v>
      </c>
      <c r="D131" s="1542">
        <f>'M. Intake Gtrap'!J72</f>
        <v>1168.45</v>
      </c>
      <c r="E131" s="332"/>
      <c r="F131" s="332"/>
      <c r="G131" s="332"/>
      <c r="H131" s="1563"/>
      <c r="I131" s="1859"/>
      <c r="J131" s="1543"/>
    </row>
    <row r="132" spans="1:10" s="1531" customFormat="1">
      <c r="A132" s="1817" t="s">
        <v>1796</v>
      </c>
      <c r="B132" s="313" t="s">
        <v>1649</v>
      </c>
      <c r="C132" s="1530"/>
      <c r="D132" s="1542"/>
      <c r="E132" s="332"/>
      <c r="F132" s="332"/>
      <c r="G132" s="332"/>
      <c r="H132" s="1563"/>
      <c r="I132" s="1859"/>
      <c r="J132" s="1543"/>
    </row>
    <row r="133" spans="1:10" s="1531" customFormat="1" ht="54">
      <c r="A133" s="75" t="s">
        <v>1797</v>
      </c>
      <c r="B133" s="1550" t="s">
        <v>1248</v>
      </c>
      <c r="C133" s="1530" t="s">
        <v>25</v>
      </c>
      <c r="D133" s="1740">
        <f>'M. Intake Gtrap'!J75</f>
        <v>66.695138599999993</v>
      </c>
      <c r="E133" s="332"/>
      <c r="F133" s="332"/>
      <c r="G133" s="332"/>
      <c r="H133" s="1563"/>
      <c r="I133" s="1859"/>
      <c r="J133" s="1543"/>
    </row>
    <row r="134" spans="1:10" s="1531" customFormat="1">
      <c r="A134" s="1817" t="s">
        <v>1798</v>
      </c>
      <c r="B134" s="313" t="s">
        <v>1693</v>
      </c>
      <c r="C134" s="1530"/>
      <c r="D134" s="1740"/>
      <c r="E134" s="332"/>
      <c r="F134" s="332"/>
      <c r="G134" s="332"/>
      <c r="H134" s="1563"/>
      <c r="I134" s="1859"/>
      <c r="J134" s="1543"/>
    </row>
    <row r="135" spans="1:10" s="1531" customFormat="1" ht="51.75" customHeight="1">
      <c r="A135" s="75" t="s">
        <v>1799</v>
      </c>
      <c r="B135" s="1550" t="s">
        <v>2601</v>
      </c>
      <c r="C135" s="1530" t="s">
        <v>19</v>
      </c>
      <c r="D135" s="1542">
        <f>'M. Intake Gtrap'!J79</f>
        <v>91.16</v>
      </c>
      <c r="E135" s="332"/>
      <c r="F135" s="332"/>
      <c r="G135" s="332"/>
      <c r="H135" s="1563"/>
      <c r="I135" s="1859"/>
      <c r="J135" s="1543"/>
    </row>
    <row r="136" spans="1:10" s="1531" customFormat="1" ht="54">
      <c r="A136" s="1817" t="s">
        <v>1805</v>
      </c>
      <c r="B136" s="1538" t="s">
        <v>2736</v>
      </c>
      <c r="C136" s="1530"/>
      <c r="D136" s="1542"/>
      <c r="E136" s="332"/>
      <c r="F136" s="332"/>
      <c r="G136" s="332"/>
      <c r="H136" s="1563"/>
      <c r="I136" s="1859"/>
      <c r="J136" s="1543"/>
    </row>
    <row r="137" spans="1:10" s="1531" customFormat="1">
      <c r="A137" s="1818" t="s">
        <v>1806</v>
      </c>
      <c r="B137" s="669" t="s">
        <v>155</v>
      </c>
      <c r="C137" s="1530" t="s">
        <v>27</v>
      </c>
      <c r="D137" s="1542">
        <f>'M. Intake Gtrap'!J83+'M. Intake Gtrap'!J92+'M. Intake Gtrap'!J100</f>
        <v>19.600000000000001</v>
      </c>
      <c r="E137" s="332"/>
      <c r="F137" s="332"/>
      <c r="G137" s="332"/>
      <c r="H137" s="1563"/>
      <c r="I137" s="1859"/>
      <c r="J137" s="1543"/>
    </row>
    <row r="138" spans="1:10" s="1531" customFormat="1">
      <c r="A138" s="1818" t="s">
        <v>2915</v>
      </c>
      <c r="B138" s="669" t="s">
        <v>174</v>
      </c>
      <c r="C138" s="1530" t="s">
        <v>27</v>
      </c>
      <c r="D138" s="1542">
        <f>'M. Intake Gtrap'!J86+'M. Intake Gtrap'!J95+'M. Intake Gtrap'!J104</f>
        <v>19.600000000000001</v>
      </c>
      <c r="E138" s="332"/>
      <c r="F138" s="332"/>
      <c r="G138" s="332"/>
      <c r="H138" s="1563"/>
      <c r="I138" s="1859"/>
      <c r="J138" s="1543"/>
    </row>
    <row r="139" spans="1:10" s="1531" customFormat="1" ht="19.8">
      <c r="A139" s="1818" t="s">
        <v>2916</v>
      </c>
      <c r="B139" s="669" t="s">
        <v>2390</v>
      </c>
      <c r="C139" s="1530" t="s">
        <v>122</v>
      </c>
      <c r="D139" s="1542">
        <f>'M. Intake Gtrap'!J88+'M. Intake Gtrap'!J97+'M. Intake Gtrap'!J107</f>
        <v>39.200000000000003</v>
      </c>
      <c r="E139" s="332"/>
      <c r="F139" s="332"/>
      <c r="G139" s="332"/>
      <c r="H139" s="1563"/>
      <c r="I139" s="1859"/>
      <c r="J139" s="1543"/>
    </row>
    <row r="140" spans="1:10" s="1531" customFormat="1" ht="17.25" customHeight="1">
      <c r="A140" s="1722"/>
      <c r="B140" s="1529"/>
      <c r="C140" s="1530"/>
      <c r="D140" s="1686"/>
      <c r="E140" s="332"/>
      <c r="F140" s="1666" t="s">
        <v>1483</v>
      </c>
      <c r="G140" s="1694"/>
      <c r="H140" s="1563"/>
      <c r="I140" s="1858"/>
      <c r="J140" s="1717"/>
    </row>
    <row r="141" spans="1:10" s="1531" customFormat="1">
      <c r="A141" s="1814" t="s">
        <v>1825</v>
      </c>
      <c r="B141" s="1533" t="s">
        <v>1601</v>
      </c>
      <c r="C141" s="1551"/>
      <c r="D141" s="1738"/>
      <c r="E141" s="1699"/>
      <c r="F141" s="1536"/>
      <c r="G141" s="1699"/>
      <c r="H141" s="1534"/>
      <c r="I141" s="1857"/>
      <c r="J141" s="1543"/>
    </row>
    <row r="142" spans="1:10" s="1531" customFormat="1" ht="108">
      <c r="A142" s="1817" t="s">
        <v>1827</v>
      </c>
      <c r="B142" s="1556" t="s">
        <v>2860</v>
      </c>
      <c r="C142" s="1757" t="s">
        <v>21</v>
      </c>
      <c r="D142" s="1542">
        <f>'Connecting Tunnel'!J27</f>
        <v>4725.1848791151424</v>
      </c>
      <c r="E142" s="332"/>
      <c r="F142" s="332"/>
      <c r="G142" s="332"/>
      <c r="H142" s="1563"/>
      <c r="I142" s="1859"/>
      <c r="J142" s="1543"/>
    </row>
    <row r="143" spans="1:10">
      <c r="A143" s="1817" t="s">
        <v>1829</v>
      </c>
      <c r="B143" s="1557" t="s">
        <v>1872</v>
      </c>
      <c r="C143" s="1757"/>
      <c r="D143" s="1542"/>
      <c r="E143" s="220"/>
      <c r="F143" s="220"/>
      <c r="G143" s="220"/>
      <c r="H143" s="1683"/>
      <c r="I143" s="1850"/>
      <c r="J143" s="1543"/>
    </row>
    <row r="144" spans="1:10" ht="54">
      <c r="A144" s="75" t="s">
        <v>1830</v>
      </c>
      <c r="B144" s="1550" t="s">
        <v>2637</v>
      </c>
      <c r="C144" s="1757" t="s">
        <v>19</v>
      </c>
      <c r="D144" s="1542">
        <v>12</v>
      </c>
      <c r="E144" s="220"/>
      <c r="F144" s="220"/>
      <c r="G144" s="220"/>
      <c r="H144" s="1683"/>
      <c r="I144" s="1859"/>
      <c r="J144" s="1543"/>
    </row>
    <row r="145" spans="1:10" ht="54">
      <c r="A145" s="75" t="s">
        <v>2113</v>
      </c>
      <c r="B145" s="1550" t="s">
        <v>1876</v>
      </c>
      <c r="C145" s="1757" t="s">
        <v>19</v>
      </c>
      <c r="D145" s="1542">
        <v>10</v>
      </c>
      <c r="E145" s="220"/>
      <c r="F145" s="220"/>
      <c r="G145" s="220"/>
      <c r="H145" s="1683"/>
      <c r="I145" s="1859"/>
      <c r="J145" s="1543"/>
    </row>
    <row r="146" spans="1:10" ht="54">
      <c r="A146" s="75" t="s">
        <v>2114</v>
      </c>
      <c r="B146" s="1550" t="s">
        <v>2638</v>
      </c>
      <c r="C146" s="1757" t="s">
        <v>19</v>
      </c>
      <c r="D146" s="1542">
        <v>10</v>
      </c>
      <c r="E146" s="220"/>
      <c r="F146" s="220"/>
      <c r="G146" s="220"/>
      <c r="H146" s="1683"/>
      <c r="I146" s="1857"/>
      <c r="J146" s="1543"/>
    </row>
    <row r="147" spans="1:10" ht="54">
      <c r="A147" s="75" t="s">
        <v>2115</v>
      </c>
      <c r="B147" s="1550" t="s">
        <v>2407</v>
      </c>
      <c r="C147" s="1757" t="s">
        <v>19</v>
      </c>
      <c r="D147" s="1542">
        <f>'Connecting Tunnel'!J28</f>
        <v>2039.474763421387</v>
      </c>
      <c r="E147" s="220"/>
      <c r="F147" s="220"/>
      <c r="G147" s="220"/>
      <c r="H147" s="1683"/>
      <c r="I147" s="1859"/>
      <c r="J147" s="1543"/>
    </row>
    <row r="148" spans="1:10" ht="54">
      <c r="A148" s="75" t="s">
        <v>2405</v>
      </c>
      <c r="B148" s="1550" t="s">
        <v>1881</v>
      </c>
      <c r="C148" s="1757" t="s">
        <v>19</v>
      </c>
      <c r="D148" s="1542">
        <f>'Connecting Tunnel'!J29</f>
        <v>1019.7373817106936</v>
      </c>
      <c r="E148" s="220"/>
      <c r="F148" s="220"/>
      <c r="G148" s="220"/>
      <c r="H148" s="1683"/>
      <c r="I148" s="1859"/>
      <c r="J148" s="1543"/>
    </row>
    <row r="149" spans="1:10" ht="54">
      <c r="A149" s="75" t="s">
        <v>2406</v>
      </c>
      <c r="B149" s="1550" t="s">
        <v>1883</v>
      </c>
      <c r="C149" s="1757" t="s">
        <v>19</v>
      </c>
      <c r="D149" s="1542">
        <f>'Connecting Tunnel'!J30</f>
        <v>339.91246057023119</v>
      </c>
      <c r="E149" s="220"/>
      <c r="F149" s="220"/>
      <c r="G149" s="220"/>
      <c r="H149" s="1683"/>
      <c r="I149" s="1859"/>
      <c r="J149" s="1543"/>
    </row>
    <row r="150" spans="1:10" ht="54">
      <c r="A150" s="1817" t="s">
        <v>1831</v>
      </c>
      <c r="B150" s="1545" t="s">
        <v>2735</v>
      </c>
      <c r="C150" s="1757"/>
      <c r="D150" s="1542"/>
      <c r="E150" s="220"/>
      <c r="F150" s="220"/>
      <c r="G150" s="220"/>
      <c r="H150" s="1683"/>
      <c r="I150" s="1857"/>
      <c r="J150" s="1543"/>
    </row>
    <row r="151" spans="1:10">
      <c r="A151" s="75" t="s">
        <v>1832</v>
      </c>
      <c r="B151" s="1546" t="s">
        <v>2116</v>
      </c>
      <c r="C151" s="1757" t="s">
        <v>21</v>
      </c>
      <c r="D151" s="1542">
        <f>'Connecting Tunnel'!J31</f>
        <v>287.31685035639447</v>
      </c>
      <c r="E151" s="220"/>
      <c r="F151" s="220"/>
      <c r="G151" s="220"/>
      <c r="H151" s="1683"/>
      <c r="I151" s="1857"/>
      <c r="J151" s="1543"/>
    </row>
    <row r="152" spans="1:10">
      <c r="A152" s="75" t="s">
        <v>2122</v>
      </c>
      <c r="B152" s="1558" t="s">
        <v>2117</v>
      </c>
      <c r="C152" s="1757" t="s">
        <v>21</v>
      </c>
      <c r="D152" s="1542">
        <f>'Connecting Tunnel'!J39</f>
        <v>245.57872500000002</v>
      </c>
      <c r="E152" s="220"/>
      <c r="F152" s="220"/>
      <c r="G152" s="220"/>
      <c r="H152" s="1683"/>
      <c r="I152" s="1859"/>
      <c r="J152" s="1543"/>
    </row>
    <row r="153" spans="1:10">
      <c r="A153" s="1817" t="s">
        <v>1833</v>
      </c>
      <c r="B153" s="1548" t="s">
        <v>309</v>
      </c>
      <c r="C153" s="1757"/>
      <c r="D153" s="1542"/>
      <c r="E153" s="220"/>
      <c r="F153" s="220"/>
      <c r="G153" s="220"/>
      <c r="H153" s="1683"/>
      <c r="I153" s="1857"/>
      <c r="J153" s="1543"/>
    </row>
    <row r="154" spans="1:10" ht="54">
      <c r="A154" s="75" t="s">
        <v>1834</v>
      </c>
      <c r="B154" s="1549" t="s">
        <v>1637</v>
      </c>
      <c r="C154" s="1757" t="s">
        <v>19</v>
      </c>
      <c r="D154" s="1542">
        <f>'Connecting Tunnel'!J32</f>
        <v>302.277908456185</v>
      </c>
      <c r="E154" s="220"/>
      <c r="F154" s="220"/>
      <c r="G154" s="220"/>
      <c r="H154" s="1683"/>
      <c r="I154" s="1857"/>
      <c r="J154" s="1543"/>
    </row>
    <row r="155" spans="1:10">
      <c r="A155" s="1817" t="s">
        <v>1835</v>
      </c>
      <c r="B155" s="313" t="s">
        <v>1649</v>
      </c>
      <c r="C155" s="1757"/>
      <c r="D155" s="1542"/>
      <c r="E155" s="220"/>
      <c r="F155" s="220"/>
      <c r="G155" s="220"/>
      <c r="H155" s="1683"/>
      <c r="I155" s="1857"/>
      <c r="J155" s="1543"/>
    </row>
    <row r="156" spans="1:10" s="1531" customFormat="1" ht="54">
      <c r="A156" s="75" t="s">
        <v>1836</v>
      </c>
      <c r="B156" s="1550" t="s">
        <v>1248</v>
      </c>
      <c r="C156" s="1757" t="str">
        <f>'Connecting Tunnel'!C33</f>
        <v>ton</v>
      </c>
      <c r="D156" s="1542">
        <f>'Connecting Tunnel'!J33</f>
        <v>16.915779564732723</v>
      </c>
      <c r="E156" s="332"/>
      <c r="F156" s="332"/>
      <c r="G156" s="332"/>
      <c r="H156" s="1563"/>
      <c r="I156" s="1859"/>
      <c r="J156" s="1543"/>
    </row>
    <row r="157" spans="1:10" s="1531" customFormat="1">
      <c r="A157" s="1817" t="s">
        <v>1838</v>
      </c>
      <c r="B157" s="313" t="s">
        <v>1929</v>
      </c>
      <c r="C157" s="1757"/>
      <c r="D157" s="1542"/>
      <c r="E157" s="332"/>
      <c r="F157" s="332"/>
      <c r="G157" s="332"/>
      <c r="H157" s="1563"/>
      <c r="I157" s="1859"/>
      <c r="J157" s="1543"/>
    </row>
    <row r="158" spans="1:10" s="1531" customFormat="1" ht="72">
      <c r="A158" s="75" t="s">
        <v>1839</v>
      </c>
      <c r="B158" s="1550" t="s">
        <v>2858</v>
      </c>
      <c r="C158" s="1757" t="s">
        <v>311</v>
      </c>
      <c r="D158" s="1542">
        <f>'Connecting Tunnel'!J34</f>
        <v>1465</v>
      </c>
      <c r="E158" s="332"/>
      <c r="F158" s="332"/>
      <c r="G158" s="332"/>
      <c r="H158" s="1563"/>
      <c r="I158" s="1862"/>
      <c r="J158" s="1543"/>
    </row>
    <row r="159" spans="1:10" s="1531" customFormat="1" ht="72">
      <c r="A159" s="75" t="s">
        <v>2752</v>
      </c>
      <c r="B159" s="1550" t="s">
        <v>2859</v>
      </c>
      <c r="C159" s="1757" t="str">
        <f>'Connecting Tunnel'!C34</f>
        <v>Nos.</v>
      </c>
      <c r="D159" s="1542">
        <f>'Connecting Tunnel'!J35</f>
        <v>577</v>
      </c>
      <c r="E159" s="332"/>
      <c r="F159" s="332"/>
      <c r="G159" s="332"/>
      <c r="H159" s="1563"/>
      <c r="I159" s="1859"/>
      <c r="J159" s="1543"/>
    </row>
    <row r="160" spans="1:10" s="1531" customFormat="1">
      <c r="A160" s="1817" t="s">
        <v>2118</v>
      </c>
      <c r="B160" s="1557" t="s">
        <v>2104</v>
      </c>
      <c r="C160" s="1757"/>
      <c r="D160" s="1542"/>
      <c r="E160" s="332"/>
      <c r="F160" s="332"/>
      <c r="G160" s="332"/>
      <c r="H160" s="1563"/>
      <c r="I160" s="1859"/>
      <c r="J160" s="1543"/>
    </row>
    <row r="161" spans="1:10" s="1531" customFormat="1" ht="54">
      <c r="A161" s="75" t="s">
        <v>2123</v>
      </c>
      <c r="B161" s="669" t="s">
        <v>2881</v>
      </c>
      <c r="C161" s="1757" t="s">
        <v>311</v>
      </c>
      <c r="D161" s="1542">
        <f>'Connecting Tunnel'!J36</f>
        <v>118</v>
      </c>
      <c r="E161" s="332"/>
      <c r="F161" s="332"/>
      <c r="G161" s="332"/>
      <c r="H161" s="1563"/>
      <c r="I161" s="1859"/>
      <c r="J161" s="1543"/>
    </row>
    <row r="162" spans="1:10" s="1531" customFormat="1">
      <c r="A162" s="1817" t="s">
        <v>2119</v>
      </c>
      <c r="B162" s="1557" t="s">
        <v>318</v>
      </c>
      <c r="C162" s="1757"/>
      <c r="D162" s="1542"/>
      <c r="E162" s="332"/>
      <c r="F162" s="332"/>
      <c r="G162" s="332"/>
      <c r="H162" s="1563"/>
      <c r="I162" s="1859"/>
      <c r="J162" s="1543"/>
    </row>
    <row r="163" spans="1:10" s="1531" customFormat="1" ht="54">
      <c r="A163" s="75" t="s">
        <v>2124</v>
      </c>
      <c r="B163" s="669" t="s">
        <v>2892</v>
      </c>
      <c r="C163" s="1757" t="str">
        <f>'Connecting Tunnel'!C37</f>
        <v>ton</v>
      </c>
      <c r="D163" s="1542">
        <f>'Connecting Tunnel'!J37</f>
        <v>8.4978115142557797</v>
      </c>
      <c r="E163" s="332"/>
      <c r="F163" s="332"/>
      <c r="G163" s="332"/>
      <c r="H163" s="1563"/>
      <c r="I163" s="1859"/>
      <c r="J163" s="1543"/>
    </row>
    <row r="164" spans="1:10" s="1531" customFormat="1" ht="36">
      <c r="A164" s="1817" t="s">
        <v>2120</v>
      </c>
      <c r="B164" s="1557" t="s">
        <v>2890</v>
      </c>
      <c r="C164" s="1758" t="str">
        <f>'Connecting Tunnel'!C38</f>
        <v>sqm</v>
      </c>
      <c r="D164" s="1542">
        <f>'Connecting Tunnel'!J38</f>
        <v>1197.9450000000002</v>
      </c>
      <c r="E164" s="332"/>
      <c r="F164" s="332"/>
      <c r="G164" s="332"/>
      <c r="H164" s="1563"/>
      <c r="I164" s="1859"/>
      <c r="J164" s="1543"/>
    </row>
    <row r="165" spans="1:10" s="1531" customFormat="1">
      <c r="A165" s="1817" t="s">
        <v>2121</v>
      </c>
      <c r="B165" s="313" t="s">
        <v>1649</v>
      </c>
      <c r="C165" s="1758"/>
      <c r="D165" s="1542"/>
      <c r="E165" s="332"/>
      <c r="F165" s="332"/>
      <c r="G165" s="332"/>
      <c r="H165" s="1563"/>
      <c r="I165" s="1859"/>
      <c r="J165" s="1543"/>
    </row>
    <row r="166" spans="1:10" s="1531" customFormat="1" ht="54">
      <c r="A166" s="75" t="s">
        <v>2125</v>
      </c>
      <c r="B166" s="1550" t="s">
        <v>1248</v>
      </c>
      <c r="C166" s="1757" t="str">
        <f>'Connecting Tunnel'!C40</f>
        <v>ton</v>
      </c>
      <c r="D166" s="1542">
        <f>'Connecting Tunnel'!J40</f>
        <v>14.458447434375</v>
      </c>
      <c r="E166" s="332"/>
      <c r="F166" s="332"/>
      <c r="G166" s="332"/>
      <c r="H166" s="1563"/>
      <c r="I166" s="1859"/>
      <c r="J166" s="1543"/>
    </row>
    <row r="167" spans="1:10" s="1531" customFormat="1">
      <c r="A167" s="1817" t="s">
        <v>1840</v>
      </c>
      <c r="B167" s="1557" t="s">
        <v>1486</v>
      </c>
      <c r="C167" s="1757"/>
      <c r="D167" s="1542"/>
      <c r="E167" s="332"/>
      <c r="F167" s="332"/>
      <c r="G167" s="332"/>
      <c r="H167" s="1563"/>
      <c r="I167" s="1859"/>
      <c r="J167" s="1543"/>
    </row>
    <row r="168" spans="1:10" s="1531" customFormat="1" ht="36">
      <c r="A168" s="75" t="s">
        <v>1841</v>
      </c>
      <c r="B168" s="669" t="s">
        <v>2393</v>
      </c>
      <c r="C168" s="1530" t="s">
        <v>19</v>
      </c>
      <c r="D168" s="1542">
        <v>50</v>
      </c>
      <c r="E168" s="332"/>
      <c r="F168" s="332"/>
      <c r="G168" s="332"/>
      <c r="H168" s="1563"/>
      <c r="I168" s="1859"/>
      <c r="J168" s="1543"/>
    </row>
    <row r="169" spans="1:10" s="1531" customFormat="1" ht="36">
      <c r="A169" s="75" t="s">
        <v>1842</v>
      </c>
      <c r="B169" s="669" t="s">
        <v>2408</v>
      </c>
      <c r="C169" s="1757" t="s">
        <v>19</v>
      </c>
      <c r="D169" s="1640">
        <f>'Connecting Tunnel'!J41</f>
        <v>339.91246057023113</v>
      </c>
      <c r="E169" s="332"/>
      <c r="F169" s="332"/>
      <c r="G169" s="332"/>
      <c r="H169" s="1563"/>
      <c r="I169" s="1859"/>
      <c r="J169" s="1543"/>
    </row>
    <row r="170" spans="1:10" s="1531" customFormat="1" ht="17.25" customHeight="1">
      <c r="A170" s="1722"/>
      <c r="B170" s="1538"/>
      <c r="C170" s="1563"/>
      <c r="D170" s="1688"/>
      <c r="E170" s="332"/>
      <c r="F170" s="1666" t="s">
        <v>1483</v>
      </c>
      <c r="G170" s="1694"/>
      <c r="H170" s="1563"/>
      <c r="I170" s="1858"/>
      <c r="J170" s="1717"/>
    </row>
    <row r="171" spans="1:10" s="1531" customFormat="1">
      <c r="A171" s="1814" t="s">
        <v>1845</v>
      </c>
      <c r="B171" s="1533" t="s">
        <v>1602</v>
      </c>
      <c r="C171" s="1551"/>
      <c r="D171" s="1738"/>
      <c r="E171" s="1699"/>
      <c r="F171" s="1560"/>
      <c r="G171" s="1699"/>
      <c r="H171" s="1534"/>
      <c r="I171" s="1863"/>
      <c r="J171" s="1542"/>
    </row>
    <row r="172" spans="1:10" s="1553" customFormat="1">
      <c r="A172" s="1817" t="s">
        <v>1846</v>
      </c>
      <c r="B172" s="1548" t="s">
        <v>18</v>
      </c>
      <c r="C172" s="1539"/>
      <c r="D172" s="1739"/>
      <c r="E172" s="1684"/>
      <c r="F172" s="1561"/>
      <c r="G172" s="1684"/>
      <c r="H172" s="1820"/>
      <c r="I172" s="1863"/>
      <c r="J172" s="1542"/>
    </row>
    <row r="173" spans="1:10" s="1531" customFormat="1" ht="72">
      <c r="A173" s="75" t="s">
        <v>1847</v>
      </c>
      <c r="B173" s="1555" t="s">
        <v>2847</v>
      </c>
      <c r="C173" s="1530" t="s">
        <v>19</v>
      </c>
      <c r="D173" s="1547">
        <f>'Inlet Portal Connecting Tunnel'!J13</f>
        <v>178</v>
      </c>
      <c r="E173" s="332"/>
      <c r="F173" s="332"/>
      <c r="G173" s="332"/>
      <c r="H173" s="1563"/>
      <c r="I173" s="1864"/>
      <c r="J173" s="1542"/>
    </row>
    <row r="174" spans="1:10" s="1531" customFormat="1" ht="72">
      <c r="A174" s="1817" t="s">
        <v>1848</v>
      </c>
      <c r="B174" s="1544" t="s">
        <v>2849</v>
      </c>
      <c r="C174" s="1530"/>
      <c r="D174" s="1547"/>
      <c r="E174" s="332"/>
      <c r="F174" s="332"/>
      <c r="G174" s="332"/>
      <c r="H174" s="1563"/>
      <c r="I174" s="1864"/>
      <c r="J174" s="1542"/>
    </row>
    <row r="175" spans="1:10" s="1531" customFormat="1">
      <c r="A175" s="75" t="s">
        <v>1849</v>
      </c>
      <c r="B175" s="220" t="s">
        <v>1632</v>
      </c>
      <c r="C175" s="1530" t="s">
        <v>21</v>
      </c>
      <c r="D175" s="1547">
        <f>'Inlet Portal Connecting Tunnel'!J16</f>
        <v>3779.9999999999995</v>
      </c>
      <c r="E175" s="332"/>
      <c r="F175" s="332"/>
      <c r="G175" s="332"/>
      <c r="H175" s="1563"/>
      <c r="I175" s="1864"/>
      <c r="J175" s="1542"/>
    </row>
    <row r="176" spans="1:10" s="1531" customFormat="1">
      <c r="A176" s="75" t="s">
        <v>1850</v>
      </c>
      <c r="B176" s="220" t="s">
        <v>1634</v>
      </c>
      <c r="C176" s="1530" t="s">
        <v>21</v>
      </c>
      <c r="D176" s="1547">
        <f>'Inlet Portal Connecting Tunnel'!J18</f>
        <v>1620</v>
      </c>
      <c r="E176" s="332"/>
      <c r="F176" s="332"/>
      <c r="G176" s="332"/>
      <c r="H176" s="1563"/>
      <c r="I176" s="1864"/>
      <c r="J176" s="1542"/>
    </row>
    <row r="177" spans="1:10" s="1531" customFormat="1">
      <c r="A177" s="1817" t="s">
        <v>1852</v>
      </c>
      <c r="B177" s="313" t="s">
        <v>1929</v>
      </c>
      <c r="C177" s="1530"/>
      <c r="D177" s="1547"/>
      <c r="E177" s="332"/>
      <c r="F177" s="332"/>
      <c r="G177" s="332"/>
      <c r="H177" s="1563"/>
      <c r="I177" s="1864"/>
      <c r="J177" s="1542"/>
    </row>
    <row r="178" spans="1:10" s="1531" customFormat="1" ht="54">
      <c r="A178" s="75" t="s">
        <v>1853</v>
      </c>
      <c r="B178" s="1550" t="s">
        <v>2863</v>
      </c>
      <c r="C178" s="1530" t="s">
        <v>311</v>
      </c>
      <c r="D178" s="1547">
        <f>'Inlet Portal Connecting Tunnel'!J22</f>
        <v>239</v>
      </c>
      <c r="E178" s="332"/>
      <c r="F178" s="332"/>
      <c r="G178" s="332"/>
      <c r="H178" s="1563"/>
      <c r="I178" s="1864"/>
      <c r="J178" s="1542"/>
    </row>
    <row r="179" spans="1:10" s="1531" customFormat="1">
      <c r="A179" s="1817" t="s">
        <v>1854</v>
      </c>
      <c r="B179" s="1685" t="s">
        <v>2409</v>
      </c>
      <c r="C179" s="1530"/>
      <c r="D179" s="1547"/>
      <c r="E179" s="332"/>
      <c r="F179" s="332"/>
      <c r="G179" s="332"/>
      <c r="H179" s="1563"/>
      <c r="I179" s="1864"/>
      <c r="J179" s="1542"/>
    </row>
    <row r="180" spans="1:10" s="1531" customFormat="1" ht="54">
      <c r="A180" s="75" t="s">
        <v>2126</v>
      </c>
      <c r="B180" s="1550" t="s">
        <v>2615</v>
      </c>
      <c r="C180" s="1530" t="s">
        <v>19</v>
      </c>
      <c r="D180" s="1547">
        <v>10</v>
      </c>
      <c r="E180" s="332"/>
      <c r="F180" s="332"/>
      <c r="G180" s="332"/>
      <c r="H180" s="1563"/>
      <c r="I180" s="1860"/>
      <c r="J180" s="1627"/>
    </row>
    <row r="181" spans="1:10" s="1531" customFormat="1" ht="54">
      <c r="A181" s="75" t="s">
        <v>2410</v>
      </c>
      <c r="B181" s="1550" t="s">
        <v>2640</v>
      </c>
      <c r="C181" s="1530" t="s">
        <v>19</v>
      </c>
      <c r="D181" s="1542">
        <v>12</v>
      </c>
      <c r="E181" s="332"/>
      <c r="F181" s="332"/>
      <c r="G181" s="332"/>
      <c r="H181" s="1563"/>
      <c r="I181" s="1864"/>
      <c r="J181" s="1627"/>
    </row>
    <row r="182" spans="1:10" s="315" customFormat="1" ht="54">
      <c r="A182" s="75" t="s">
        <v>2411</v>
      </c>
      <c r="B182" s="1550" t="s">
        <v>2412</v>
      </c>
      <c r="C182" s="1530" t="s">
        <v>19</v>
      </c>
      <c r="D182" s="1542">
        <f>'Inlet Portal Connecting Tunnel'!J27</f>
        <v>537.6</v>
      </c>
      <c r="E182" s="313"/>
      <c r="F182" s="313"/>
      <c r="G182" s="313"/>
      <c r="H182" s="1821"/>
      <c r="I182" s="1865"/>
      <c r="J182" s="1565"/>
    </row>
    <row r="183" spans="1:10" s="1531" customFormat="1">
      <c r="A183" s="1817" t="s">
        <v>1856</v>
      </c>
      <c r="B183" s="1557" t="s">
        <v>1486</v>
      </c>
      <c r="C183" s="1530"/>
      <c r="D183" s="1547"/>
      <c r="E183" s="332"/>
      <c r="F183" s="332"/>
      <c r="G183" s="332"/>
      <c r="H183" s="1563"/>
      <c r="I183" s="1864"/>
      <c r="J183" s="1542"/>
    </row>
    <row r="184" spans="1:10" s="1531" customFormat="1" ht="36">
      <c r="A184" s="75" t="s">
        <v>2127</v>
      </c>
      <c r="B184" s="669" t="s">
        <v>2391</v>
      </c>
      <c r="C184" s="1530" t="s">
        <v>19</v>
      </c>
      <c r="D184" s="1547">
        <f>'Inlet Portal Connecting Tunnel'!J31</f>
        <v>537.6</v>
      </c>
      <c r="E184" s="332"/>
      <c r="F184" s="332"/>
      <c r="G184" s="332"/>
      <c r="H184" s="1563"/>
      <c r="I184" s="1864"/>
      <c r="J184" s="1542"/>
    </row>
    <row r="185" spans="1:10" s="1531" customFormat="1" ht="36">
      <c r="A185" s="75" t="s">
        <v>2392</v>
      </c>
      <c r="B185" s="669" t="s">
        <v>2393</v>
      </c>
      <c r="C185" s="1530" t="s">
        <v>19</v>
      </c>
      <c r="D185" s="1547">
        <v>50</v>
      </c>
      <c r="E185" s="332"/>
      <c r="F185" s="332"/>
      <c r="G185" s="332"/>
      <c r="H185" s="1563"/>
      <c r="I185" s="1864"/>
      <c r="J185" s="1542"/>
    </row>
    <row r="186" spans="1:10" s="1531" customFormat="1">
      <c r="A186" s="1817" t="s">
        <v>1859</v>
      </c>
      <c r="B186" s="1538" t="s">
        <v>1484</v>
      </c>
      <c r="C186" s="1530" t="s">
        <v>311</v>
      </c>
      <c r="D186" s="1547">
        <f>'Inlet Portal Connecting Tunnel'!J35</f>
        <v>180</v>
      </c>
      <c r="E186" s="332"/>
      <c r="F186" s="332"/>
      <c r="G186" s="332"/>
      <c r="H186" s="1563"/>
      <c r="I186" s="1864"/>
      <c r="J186" s="1542"/>
    </row>
    <row r="187" spans="1:10" s="1531" customFormat="1" ht="17.25" customHeight="1">
      <c r="A187" s="1722"/>
      <c r="B187" s="1538"/>
      <c r="C187" s="1563"/>
      <c r="D187" s="1688"/>
      <c r="E187" s="332"/>
      <c r="F187" s="1666" t="s">
        <v>1483</v>
      </c>
      <c r="G187" s="1694"/>
      <c r="H187" s="1563"/>
      <c r="I187" s="1858"/>
      <c r="J187" s="1717"/>
    </row>
    <row r="188" spans="1:10" s="1531" customFormat="1">
      <c r="A188" s="1814" t="s">
        <v>1864</v>
      </c>
      <c r="B188" s="1533" t="s">
        <v>1603</v>
      </c>
      <c r="C188" s="1551"/>
      <c r="D188" s="1738"/>
      <c r="E188" s="1699"/>
      <c r="F188" s="1560"/>
      <c r="G188" s="1699"/>
      <c r="H188" s="1534"/>
      <c r="I188" s="1863"/>
      <c r="J188" s="1542"/>
    </row>
    <row r="189" spans="1:10" s="1553" customFormat="1">
      <c r="A189" s="1817" t="s">
        <v>1865</v>
      </c>
      <c r="B189" s="1548" t="s">
        <v>18</v>
      </c>
      <c r="C189" s="1539"/>
      <c r="D189" s="1739"/>
      <c r="E189" s="1684"/>
      <c r="F189" s="1561"/>
      <c r="G189" s="1684"/>
      <c r="H189" s="1820"/>
      <c r="I189" s="1863"/>
      <c r="J189" s="1542"/>
    </row>
    <row r="190" spans="1:10" s="1531" customFormat="1" ht="72">
      <c r="A190" s="75" t="s">
        <v>1867</v>
      </c>
      <c r="B190" s="1555" t="s">
        <v>2847</v>
      </c>
      <c r="C190" s="1530" t="s">
        <v>19</v>
      </c>
      <c r="D190" s="1547">
        <f>'Outlet Portal Connecting Tunnel'!J13</f>
        <v>125</v>
      </c>
      <c r="E190" s="332"/>
      <c r="F190" s="332"/>
      <c r="G190" s="332"/>
      <c r="H190" s="1563"/>
      <c r="I190" s="1864"/>
      <c r="J190" s="1542"/>
    </row>
    <row r="191" spans="1:10" s="1531" customFormat="1" ht="72">
      <c r="A191" s="1817" t="s">
        <v>1871</v>
      </c>
      <c r="B191" s="1544" t="s">
        <v>2849</v>
      </c>
      <c r="C191" s="1530"/>
      <c r="D191" s="1547"/>
      <c r="E191" s="332"/>
      <c r="F191" s="332"/>
      <c r="G191" s="332"/>
      <c r="H191" s="1563"/>
      <c r="I191" s="1864"/>
      <c r="J191" s="1542"/>
    </row>
    <row r="192" spans="1:10" s="1531" customFormat="1">
      <c r="A192" s="75" t="s">
        <v>1873</v>
      </c>
      <c r="B192" s="220" t="s">
        <v>1632</v>
      </c>
      <c r="C192" s="1530" t="s">
        <v>21</v>
      </c>
      <c r="D192" s="1547">
        <f>'Outlet Portal Connecting Tunnel'!J16</f>
        <v>700</v>
      </c>
      <c r="E192" s="332"/>
      <c r="F192" s="332"/>
      <c r="G192" s="332"/>
      <c r="H192" s="1563"/>
      <c r="I192" s="1864"/>
      <c r="J192" s="1542"/>
    </row>
    <row r="193" spans="1:10" s="1531" customFormat="1">
      <c r="A193" s="75" t="s">
        <v>1875</v>
      </c>
      <c r="B193" s="220" t="s">
        <v>1634</v>
      </c>
      <c r="C193" s="1530" t="s">
        <v>21</v>
      </c>
      <c r="D193" s="1547">
        <f>'Outlet Portal Connecting Tunnel'!J18</f>
        <v>300</v>
      </c>
      <c r="E193" s="332"/>
      <c r="F193" s="332"/>
      <c r="G193" s="332"/>
      <c r="H193" s="1563"/>
      <c r="I193" s="1864"/>
      <c r="J193" s="1542"/>
    </row>
    <row r="194" spans="1:10" s="1531" customFormat="1">
      <c r="A194" s="1817" t="s">
        <v>1884</v>
      </c>
      <c r="B194" s="313" t="s">
        <v>1929</v>
      </c>
      <c r="C194" s="1530"/>
      <c r="D194" s="1547"/>
      <c r="E194" s="332"/>
      <c r="F194" s="332"/>
      <c r="G194" s="332"/>
      <c r="H194" s="1563"/>
      <c r="I194" s="1864"/>
      <c r="J194" s="1542"/>
    </row>
    <row r="195" spans="1:10" s="1531" customFormat="1" ht="54">
      <c r="A195" s="75" t="s">
        <v>1885</v>
      </c>
      <c r="B195" s="1550" t="s">
        <v>2861</v>
      </c>
      <c r="C195" s="1530" t="s">
        <v>307</v>
      </c>
      <c r="D195" s="1547">
        <f>'Outlet Portal Connecting Tunnel'!J23</f>
        <v>76</v>
      </c>
      <c r="E195" s="332"/>
      <c r="F195" s="332"/>
      <c r="G195" s="332"/>
      <c r="H195" s="1563"/>
      <c r="I195" s="1864"/>
      <c r="J195" s="1542"/>
    </row>
    <row r="196" spans="1:10" s="1531" customFormat="1">
      <c r="A196" s="1817" t="s">
        <v>1886</v>
      </c>
      <c r="B196" s="1538" t="s">
        <v>2409</v>
      </c>
      <c r="C196" s="1530"/>
      <c r="D196" s="1547"/>
      <c r="E196" s="332"/>
      <c r="F196" s="332"/>
      <c r="G196" s="332"/>
      <c r="H196" s="1563"/>
      <c r="I196" s="1864"/>
      <c r="J196" s="1542"/>
    </row>
    <row r="197" spans="1:10" s="1531" customFormat="1" ht="54">
      <c r="A197" s="75" t="s">
        <v>1887</v>
      </c>
      <c r="B197" s="1550" t="s">
        <v>1876</v>
      </c>
      <c r="C197" s="1530" t="s">
        <v>19</v>
      </c>
      <c r="D197" s="1542">
        <v>10</v>
      </c>
      <c r="E197" s="332"/>
      <c r="F197" s="332"/>
      <c r="G197" s="332"/>
      <c r="H197" s="1563"/>
      <c r="I197" s="1865"/>
      <c r="J197" s="1542"/>
    </row>
    <row r="198" spans="1:10" s="1531" customFormat="1" ht="54">
      <c r="A198" s="75" t="s">
        <v>2413</v>
      </c>
      <c r="B198" s="1550" t="s">
        <v>2412</v>
      </c>
      <c r="C198" s="1530" t="s">
        <v>19</v>
      </c>
      <c r="D198" s="1547">
        <f>'Outlet Portal Connecting Tunnel'!J28</f>
        <v>169.2</v>
      </c>
      <c r="E198" s="332"/>
      <c r="F198" s="332"/>
      <c r="G198" s="332"/>
      <c r="H198" s="1563"/>
      <c r="I198" s="1864"/>
      <c r="J198" s="1542"/>
    </row>
    <row r="199" spans="1:10" s="1531" customFormat="1">
      <c r="A199" s="1817" t="s">
        <v>1888</v>
      </c>
      <c r="B199" s="1557" t="s">
        <v>2414</v>
      </c>
      <c r="C199" s="1530"/>
      <c r="D199" s="1547"/>
      <c r="E199" s="332"/>
      <c r="F199" s="332"/>
      <c r="G199" s="332"/>
      <c r="H199" s="1563"/>
      <c r="I199" s="1864"/>
      <c r="J199" s="1542"/>
    </row>
    <row r="200" spans="1:10" s="1531" customFormat="1" ht="36">
      <c r="A200" s="75" t="s">
        <v>1889</v>
      </c>
      <c r="B200" s="669" t="s">
        <v>2878</v>
      </c>
      <c r="C200" s="1530" t="s">
        <v>19</v>
      </c>
      <c r="D200" s="1547">
        <f>'Outlet Portal Connecting Tunnel'!J32</f>
        <v>169.2</v>
      </c>
      <c r="E200" s="332"/>
      <c r="F200" s="332"/>
      <c r="G200" s="332"/>
      <c r="H200" s="1563"/>
      <c r="I200" s="1864"/>
      <c r="J200" s="1542"/>
    </row>
    <row r="201" spans="1:10" s="1531" customFormat="1" ht="36">
      <c r="A201" s="75" t="s">
        <v>2753</v>
      </c>
      <c r="B201" s="669" t="s">
        <v>2877</v>
      </c>
      <c r="C201" s="1530" t="s">
        <v>19</v>
      </c>
      <c r="D201" s="1547">
        <v>20</v>
      </c>
      <c r="E201" s="332"/>
      <c r="F201" s="332"/>
      <c r="G201" s="332"/>
      <c r="H201" s="1563"/>
      <c r="I201" s="1864"/>
      <c r="J201" s="1542"/>
    </row>
    <row r="202" spans="1:10" s="1531" customFormat="1" ht="54">
      <c r="A202" s="1722" t="s">
        <v>1890</v>
      </c>
      <c r="B202" s="1538" t="s">
        <v>2899</v>
      </c>
      <c r="C202" s="1530" t="s">
        <v>311</v>
      </c>
      <c r="D202" s="1542">
        <f>'Outlet Portal Connecting Tunnel'!J36</f>
        <v>57</v>
      </c>
      <c r="E202" s="332"/>
      <c r="F202" s="332"/>
      <c r="G202" s="332"/>
      <c r="H202" s="1563"/>
      <c r="I202" s="1864"/>
      <c r="J202" s="1542"/>
    </row>
    <row r="203" spans="1:10" s="1531" customFormat="1">
      <c r="A203" s="1722"/>
      <c r="B203" s="1538"/>
      <c r="C203" s="1563"/>
      <c r="D203" s="1688"/>
      <c r="E203" s="332"/>
      <c r="F203" s="1666" t="s">
        <v>1483</v>
      </c>
      <c r="G203" s="1694"/>
      <c r="H203" s="1563"/>
      <c r="I203" s="1858"/>
      <c r="J203" s="1717"/>
    </row>
    <row r="204" spans="1:10" s="1531" customFormat="1">
      <c r="A204" s="1814" t="s">
        <v>1904</v>
      </c>
      <c r="B204" s="1533" t="s">
        <v>2925</v>
      </c>
      <c r="C204" s="1534"/>
      <c r="D204" s="1736"/>
      <c r="E204" s="1699"/>
      <c r="F204" s="1566"/>
      <c r="G204" s="1699"/>
      <c r="H204" s="1534"/>
      <c r="I204" s="1863"/>
      <c r="J204" s="1542"/>
    </row>
    <row r="205" spans="1:10" s="1567" customFormat="1">
      <c r="A205" s="1817" t="s">
        <v>1906</v>
      </c>
      <c r="B205" s="1548" t="s">
        <v>18</v>
      </c>
      <c r="C205" s="1572"/>
      <c r="D205" s="1640"/>
      <c r="E205" s="1642"/>
      <c r="F205" s="1642"/>
      <c r="G205" s="1642"/>
      <c r="H205" s="1816"/>
      <c r="I205" s="1863"/>
      <c r="J205" s="1542"/>
    </row>
    <row r="206" spans="1:10" s="1531" customFormat="1" ht="72">
      <c r="A206" s="75" t="s">
        <v>1907</v>
      </c>
      <c r="B206" s="1555" t="s">
        <v>2847</v>
      </c>
      <c r="C206" s="1530" t="s">
        <v>19</v>
      </c>
      <c r="D206" s="1547">
        <f>'Syphon and Culvert'!J13</f>
        <v>550</v>
      </c>
      <c r="E206" s="332"/>
      <c r="F206" s="332"/>
      <c r="G206" s="332"/>
      <c r="H206" s="1563"/>
      <c r="I206" s="1864"/>
      <c r="J206" s="1542"/>
    </row>
    <row r="207" spans="1:10" s="1531" customFormat="1" ht="72">
      <c r="A207" s="1817" t="s">
        <v>1908</v>
      </c>
      <c r="B207" s="1544" t="s">
        <v>2849</v>
      </c>
      <c r="C207" s="1530"/>
      <c r="D207" s="1547"/>
      <c r="E207" s="332"/>
      <c r="F207" s="332"/>
      <c r="G207" s="332"/>
      <c r="H207" s="1563"/>
      <c r="I207" s="1864"/>
      <c r="J207" s="1542"/>
    </row>
    <row r="208" spans="1:10" s="1531" customFormat="1">
      <c r="A208" s="75" t="s">
        <v>1909</v>
      </c>
      <c r="B208" s="220" t="s">
        <v>1632</v>
      </c>
      <c r="C208" s="1530" t="s">
        <v>21</v>
      </c>
      <c r="D208" s="1547">
        <f>'Syphon and Culvert'!J17</f>
        <v>2748.2327568000001</v>
      </c>
      <c r="E208" s="332"/>
      <c r="F208" s="332"/>
      <c r="G208" s="332"/>
      <c r="H208" s="1563"/>
      <c r="I208" s="1864"/>
      <c r="J208" s="1542"/>
    </row>
    <row r="209" spans="1:10" s="1531" customFormat="1">
      <c r="A209" s="75" t="s">
        <v>1911</v>
      </c>
      <c r="B209" s="220" t="s">
        <v>1634</v>
      </c>
      <c r="C209" s="1530" t="s">
        <v>21</v>
      </c>
      <c r="D209" s="1547">
        <f>'Syphon and Culvert'!J18</f>
        <v>687.05818920000002</v>
      </c>
      <c r="E209" s="332"/>
      <c r="F209" s="332"/>
      <c r="G209" s="332"/>
      <c r="H209" s="1563"/>
      <c r="I209" s="1864"/>
      <c r="J209" s="1542"/>
    </row>
    <row r="210" spans="1:10" s="1531" customFormat="1">
      <c r="A210" s="1817" t="s">
        <v>1917</v>
      </c>
      <c r="B210" s="313" t="s">
        <v>31</v>
      </c>
      <c r="C210" s="1530" t="s">
        <v>21</v>
      </c>
      <c r="D210" s="1547"/>
      <c r="E210" s="332"/>
      <c r="F210" s="332"/>
      <c r="G210" s="332"/>
      <c r="H210" s="1563"/>
      <c r="I210" s="1864"/>
      <c r="J210" s="1542"/>
    </row>
    <row r="211" spans="1:10" s="1531" customFormat="1" ht="54">
      <c r="A211" s="75" t="s">
        <v>1918</v>
      </c>
      <c r="B211" s="1545" t="s">
        <v>2862</v>
      </c>
      <c r="C211" s="1530" t="s">
        <v>21</v>
      </c>
      <c r="D211" s="1547">
        <f>'Syphon and Culvert'!J20</f>
        <v>324.79790299999996</v>
      </c>
      <c r="E211" s="332"/>
      <c r="F211" s="332"/>
      <c r="G211" s="332"/>
      <c r="H211" s="1563"/>
      <c r="I211" s="1864"/>
      <c r="J211" s="1542"/>
    </row>
    <row r="212" spans="1:10" s="1531" customFormat="1" ht="54">
      <c r="A212" s="1817" t="s">
        <v>1919</v>
      </c>
      <c r="B212" s="1545" t="s">
        <v>2735</v>
      </c>
      <c r="C212" s="1530"/>
      <c r="D212" s="1547"/>
      <c r="E212" s="332"/>
      <c r="F212" s="332"/>
      <c r="G212" s="332"/>
      <c r="H212" s="1563"/>
      <c r="I212" s="1864"/>
      <c r="J212" s="1542"/>
    </row>
    <row r="213" spans="1:10" s="1531" customFormat="1">
      <c r="A213" s="75" t="s">
        <v>1920</v>
      </c>
      <c r="B213" s="1546" t="s">
        <v>1641</v>
      </c>
      <c r="C213" s="1530" t="s">
        <v>21</v>
      </c>
      <c r="D213" s="1547">
        <f>'Syphon and Culvert'!J24</f>
        <v>24.151049999999994</v>
      </c>
      <c r="E213" s="332"/>
      <c r="F213" s="332"/>
      <c r="G213" s="332"/>
      <c r="H213" s="1563"/>
      <c r="I213" s="1864"/>
      <c r="J213" s="1542"/>
    </row>
    <row r="214" spans="1:10" s="1531" customFormat="1">
      <c r="A214" s="75" t="s">
        <v>2129</v>
      </c>
      <c r="B214" s="1546" t="s">
        <v>1645</v>
      </c>
      <c r="C214" s="1530" t="s">
        <v>21</v>
      </c>
      <c r="D214" s="1547">
        <f>'Syphon and Culvert'!J27</f>
        <v>511.43399999999991</v>
      </c>
      <c r="E214" s="332"/>
      <c r="F214" s="332"/>
      <c r="G214" s="332"/>
      <c r="H214" s="1563"/>
      <c r="I214" s="1864"/>
      <c r="J214" s="1542"/>
    </row>
    <row r="215" spans="1:10" s="1531" customFormat="1" ht="36">
      <c r="A215" s="1722" t="s">
        <v>1921</v>
      </c>
      <c r="B215" s="1568" t="s">
        <v>1723</v>
      </c>
      <c r="C215" s="1530" t="s">
        <v>21</v>
      </c>
      <c r="D215" s="1542">
        <f>'Culvert (Connecting Tunnel Alt)'!J27</f>
        <v>74.738</v>
      </c>
      <c r="E215" s="332"/>
      <c r="F215" s="332"/>
      <c r="G215" s="332"/>
      <c r="H215" s="1563"/>
      <c r="I215" s="1864"/>
      <c r="J215" s="1542"/>
    </row>
    <row r="216" spans="1:10" s="1531" customFormat="1" ht="54">
      <c r="A216" s="1722" t="s">
        <v>1924</v>
      </c>
      <c r="B216" s="1538" t="s">
        <v>2902</v>
      </c>
      <c r="C216" s="1530" t="str">
        <f>'Culvert (Connecting Tunnel Alt)'!C31</f>
        <v>rm</v>
      </c>
      <c r="D216" s="1542">
        <f>'Syphon and Culvert'!J29</f>
        <v>59.958999999999996</v>
      </c>
      <c r="E216" s="332"/>
      <c r="F216" s="332"/>
      <c r="G216" s="332"/>
      <c r="H216" s="1563"/>
      <c r="I216" s="1864"/>
      <c r="J216" s="1542"/>
    </row>
    <row r="217" spans="1:10" s="1531" customFormat="1">
      <c r="A217" s="1817" t="s">
        <v>1928</v>
      </c>
      <c r="B217" s="1548" t="s">
        <v>309</v>
      </c>
      <c r="C217" s="1530"/>
      <c r="D217" s="1547"/>
      <c r="E217" s="332"/>
      <c r="F217" s="332"/>
      <c r="G217" s="332"/>
      <c r="H217" s="1563"/>
      <c r="I217" s="1864"/>
      <c r="J217" s="1542"/>
    </row>
    <row r="218" spans="1:10" s="1531" customFormat="1" ht="54">
      <c r="A218" s="75" t="s">
        <v>1930</v>
      </c>
      <c r="B218" s="1549" t="s">
        <v>1637</v>
      </c>
      <c r="C218" s="1530" t="s">
        <v>19</v>
      </c>
      <c r="D218" s="1547">
        <f>'Syphon and Culvert'!J35</f>
        <v>1325.94</v>
      </c>
      <c r="E218" s="332"/>
      <c r="F218" s="332"/>
      <c r="G218" s="332"/>
      <c r="H218" s="1563"/>
      <c r="I218" s="1864"/>
      <c r="J218" s="1542"/>
    </row>
    <row r="219" spans="1:10" s="1531" customFormat="1">
      <c r="A219" s="1817" t="s">
        <v>1934</v>
      </c>
      <c r="B219" s="313" t="s">
        <v>1649</v>
      </c>
      <c r="C219" s="1530"/>
      <c r="D219" s="1547"/>
      <c r="E219" s="332"/>
      <c r="F219" s="332"/>
      <c r="G219" s="332"/>
      <c r="H219" s="1563"/>
      <c r="I219" s="1864"/>
      <c r="J219" s="1542"/>
    </row>
    <row r="220" spans="1:10" s="1531" customFormat="1" ht="54">
      <c r="A220" s="75" t="s">
        <v>1935</v>
      </c>
      <c r="B220" s="1550" t="s">
        <v>1248</v>
      </c>
      <c r="C220" s="1530" t="str">
        <f>'Culvert (Connecting Tunnel Alt)'!C43</f>
        <v>ton</v>
      </c>
      <c r="D220" s="1547">
        <f>'Syphon and Culvert'!J38</f>
        <v>40.147568999999997</v>
      </c>
      <c r="E220" s="332"/>
      <c r="F220" s="332"/>
      <c r="G220" s="332"/>
      <c r="H220" s="1563"/>
      <c r="I220" s="1864"/>
      <c r="J220" s="1542"/>
    </row>
    <row r="221" spans="1:10" s="1531" customFormat="1" ht="51.75" customHeight="1">
      <c r="A221" s="1817" t="s">
        <v>2128</v>
      </c>
      <c r="B221" s="1626" t="s">
        <v>2900</v>
      </c>
      <c r="C221" s="1530"/>
      <c r="D221" s="1547"/>
      <c r="E221" s="332"/>
      <c r="F221" s="332"/>
      <c r="G221" s="332"/>
      <c r="H221" s="1563"/>
      <c r="I221" s="1864"/>
      <c r="J221" s="1542"/>
    </row>
    <row r="222" spans="1:10" s="1531" customFormat="1">
      <c r="A222" s="75" t="s">
        <v>2754</v>
      </c>
      <c r="B222" s="1569" t="s">
        <v>155</v>
      </c>
      <c r="C222" s="1530" t="s">
        <v>27</v>
      </c>
      <c r="D222" s="1547">
        <f>'Syphon and Culvert'!J41</f>
        <v>40</v>
      </c>
      <c r="E222" s="332"/>
      <c r="F222" s="332"/>
      <c r="G222" s="332"/>
      <c r="H222" s="1563"/>
      <c r="I222" s="1864"/>
      <c r="J222" s="1542"/>
    </row>
    <row r="223" spans="1:10" s="1531" customFormat="1">
      <c r="A223" s="75" t="s">
        <v>2755</v>
      </c>
      <c r="B223" s="1569" t="s">
        <v>174</v>
      </c>
      <c r="C223" s="1530" t="s">
        <v>502</v>
      </c>
      <c r="D223" s="1547">
        <f>'Syphon and Culvert'!J44</f>
        <v>40</v>
      </c>
      <c r="E223" s="332"/>
      <c r="F223" s="332"/>
      <c r="G223" s="332"/>
      <c r="H223" s="1563"/>
      <c r="I223" s="1864"/>
      <c r="J223" s="1542"/>
    </row>
    <row r="224" spans="1:10" s="1531" customFormat="1">
      <c r="A224" s="75" t="s">
        <v>2756</v>
      </c>
      <c r="B224" s="1570" t="s">
        <v>741</v>
      </c>
      <c r="C224" s="1530" t="s">
        <v>85</v>
      </c>
      <c r="D224" s="1547">
        <f>'Syphon and Culvert'!J47</f>
        <v>80</v>
      </c>
      <c r="E224" s="332"/>
      <c r="F224" s="332"/>
      <c r="G224" s="332"/>
      <c r="H224" s="1563"/>
      <c r="I224" s="1864"/>
      <c r="J224" s="1542"/>
    </row>
    <row r="225" spans="1:11" s="1531" customFormat="1" ht="17.25" customHeight="1">
      <c r="A225" s="1722"/>
      <c r="B225" s="1538"/>
      <c r="C225" s="1563"/>
      <c r="D225" s="1688"/>
      <c r="E225" s="332"/>
      <c r="F225" s="1666" t="s">
        <v>1483</v>
      </c>
      <c r="G225" s="1694"/>
      <c r="H225" s="1563"/>
      <c r="I225" s="1858"/>
      <c r="J225" s="1717"/>
    </row>
    <row r="226" spans="1:11" s="1531" customFormat="1">
      <c r="A226" s="1814" t="s">
        <v>1938</v>
      </c>
      <c r="B226" s="1533" t="s">
        <v>3081</v>
      </c>
      <c r="C226" s="1534"/>
      <c r="D226" s="1736"/>
      <c r="E226" s="1699"/>
      <c r="F226" s="1566"/>
      <c r="G226" s="1699"/>
      <c r="H226" s="1534"/>
      <c r="I226" s="1863"/>
      <c r="J226" s="1542"/>
    </row>
    <row r="227" spans="1:11" s="1567" customFormat="1">
      <c r="A227" s="1817" t="s">
        <v>1940</v>
      </c>
      <c r="B227" s="1548" t="s">
        <v>18</v>
      </c>
      <c r="C227" s="1572"/>
      <c r="D227" s="1737"/>
      <c r="E227" s="1642"/>
      <c r="F227" s="1559"/>
      <c r="G227" s="1642"/>
      <c r="H227" s="1816"/>
      <c r="I227" s="1863"/>
      <c r="J227" s="1542"/>
    </row>
    <row r="228" spans="1:11" s="1531" customFormat="1" ht="72">
      <c r="A228" s="75" t="s">
        <v>1942</v>
      </c>
      <c r="B228" s="1555" t="s">
        <v>2847</v>
      </c>
      <c r="C228" s="1530" t="s">
        <v>19</v>
      </c>
      <c r="D228" s="1640">
        <f>'Access Road'!J11</f>
        <v>3627.2</v>
      </c>
      <c r="E228" s="332"/>
      <c r="F228" s="332"/>
      <c r="G228" s="332"/>
      <c r="H228" s="1563"/>
      <c r="I228" s="1866"/>
      <c r="J228" s="1542"/>
    </row>
    <row r="229" spans="1:11" s="1531" customFormat="1" ht="72">
      <c r="A229" s="1817" t="s">
        <v>1946</v>
      </c>
      <c r="B229" s="1544" t="s">
        <v>2849</v>
      </c>
      <c r="C229" s="1530"/>
      <c r="D229" s="1640"/>
      <c r="E229" s="332"/>
      <c r="F229" s="332"/>
      <c r="G229" s="332"/>
      <c r="H229" s="1563"/>
      <c r="I229" s="1866"/>
      <c r="J229" s="1542"/>
    </row>
    <row r="230" spans="1:11" s="1567" customFormat="1">
      <c r="A230" s="75" t="s">
        <v>1947</v>
      </c>
      <c r="B230" s="220" t="s">
        <v>1632</v>
      </c>
      <c r="C230" s="1572" t="s">
        <v>21</v>
      </c>
      <c r="D230" s="1640">
        <f>'Access Road'!J20</f>
        <v>981.16000000000008</v>
      </c>
      <c r="E230" s="1642"/>
      <c r="F230" s="1642"/>
      <c r="G230" s="1642"/>
      <c r="H230" s="1816"/>
      <c r="I230" s="1866"/>
      <c r="J230" s="1542"/>
    </row>
    <row r="231" spans="1:11" s="1531" customFormat="1">
      <c r="A231" s="75" t="s">
        <v>2130</v>
      </c>
      <c r="B231" s="220" t="s">
        <v>1634</v>
      </c>
      <c r="C231" s="1530" t="s">
        <v>21</v>
      </c>
      <c r="D231" s="1640">
        <f>'Access Road'!J21</f>
        <v>981.16000000000008</v>
      </c>
      <c r="E231" s="332"/>
      <c r="F231" s="332"/>
      <c r="G231" s="332"/>
      <c r="H231" s="1563"/>
      <c r="I231" s="1866"/>
      <c r="J231" s="1542"/>
    </row>
    <row r="232" spans="1:11" s="1531" customFormat="1" ht="36">
      <c r="A232" s="1722" t="s">
        <v>1948</v>
      </c>
      <c r="B232" s="1568" t="s">
        <v>1723</v>
      </c>
      <c r="C232" s="1530" t="s">
        <v>21</v>
      </c>
      <c r="D232" s="1683">
        <f>'Access Road'!J25</f>
        <v>1813.6</v>
      </c>
      <c r="E232" s="332"/>
      <c r="F232" s="332"/>
      <c r="G232" s="332"/>
      <c r="H232" s="1563"/>
      <c r="I232" s="1866"/>
      <c r="J232" s="1542"/>
    </row>
    <row r="233" spans="1:11" s="1531" customFormat="1" ht="54">
      <c r="A233" s="1817" t="s">
        <v>1950</v>
      </c>
      <c r="B233" s="1538" t="s">
        <v>2902</v>
      </c>
      <c r="C233" s="1530" t="s">
        <v>46</v>
      </c>
      <c r="D233" s="1640">
        <f>'Access Road'!J29</f>
        <v>453.4</v>
      </c>
      <c r="E233" s="332"/>
      <c r="F233" s="332"/>
      <c r="G233" s="332"/>
      <c r="H233" s="1563"/>
      <c r="I233" s="1866"/>
      <c r="J233" s="1542"/>
    </row>
    <row r="234" spans="1:11" s="1531" customFormat="1">
      <c r="A234" s="1817" t="s">
        <v>1952</v>
      </c>
      <c r="B234" s="313" t="s">
        <v>1929</v>
      </c>
      <c r="C234" s="1530"/>
      <c r="D234" s="1640"/>
      <c r="E234" s="332"/>
      <c r="F234" s="332"/>
      <c r="G234" s="332"/>
      <c r="H234" s="1563"/>
      <c r="I234" s="1866"/>
      <c r="J234" s="1542"/>
    </row>
    <row r="235" spans="1:11" s="1531" customFormat="1" ht="54">
      <c r="A235" s="75" t="s">
        <v>2131</v>
      </c>
      <c r="B235" s="1550" t="s">
        <v>2864</v>
      </c>
      <c r="C235" s="1530" t="s">
        <v>311</v>
      </c>
      <c r="D235" s="1640">
        <f>'Access Road'!J32</f>
        <v>200</v>
      </c>
      <c r="E235" s="332"/>
      <c r="F235" s="332"/>
      <c r="G235" s="332"/>
      <c r="H235" s="1563"/>
      <c r="I235" s="1866"/>
      <c r="J235" s="1542"/>
    </row>
    <row r="236" spans="1:11" s="1531" customFormat="1" ht="17.25" customHeight="1">
      <c r="A236" s="1722"/>
      <c r="B236" s="1538"/>
      <c r="C236" s="1563"/>
      <c r="D236" s="1688"/>
      <c r="E236" s="332"/>
      <c r="F236" s="1666" t="s">
        <v>1483</v>
      </c>
      <c r="G236" s="1694"/>
      <c r="H236" s="1563"/>
      <c r="I236" s="1858"/>
      <c r="J236" s="1542"/>
    </row>
    <row r="237" spans="1:11" s="1531" customFormat="1" ht="17.25" customHeight="1">
      <c r="A237" s="1722"/>
      <c r="B237" s="1538"/>
      <c r="C237" s="1563"/>
      <c r="D237" s="1688"/>
      <c r="E237" s="332"/>
      <c r="F237" s="1666" t="s">
        <v>1557</v>
      </c>
      <c r="G237" s="1694"/>
      <c r="H237" s="1563"/>
      <c r="I237" s="1858"/>
      <c r="J237" s="1542"/>
    </row>
    <row r="238" spans="1:11" s="1531" customFormat="1" ht="18" customHeight="1">
      <c r="A238" s="1722"/>
      <c r="B238" s="1529"/>
      <c r="C238" s="1530"/>
      <c r="D238" s="1686"/>
      <c r="E238" s="332"/>
      <c r="G238" s="332"/>
      <c r="H238" s="1563"/>
      <c r="I238" s="1858"/>
      <c r="J238" s="1717"/>
      <c r="K238" s="1764"/>
    </row>
    <row r="239" spans="1:11" s="315" customFormat="1">
      <c r="A239" s="1813"/>
      <c r="B239" s="1704" t="s">
        <v>2910</v>
      </c>
      <c r="C239" s="1701"/>
      <c r="D239" s="1735"/>
      <c r="E239" s="1705"/>
      <c r="F239" s="1706"/>
      <c r="G239" s="1705"/>
      <c r="H239" s="1701"/>
      <c r="I239" s="1857"/>
      <c r="J239" s="1543"/>
    </row>
    <row r="240" spans="1:11" s="1531" customFormat="1">
      <c r="A240" s="1814" t="s">
        <v>2004</v>
      </c>
      <c r="B240" s="1761" t="s">
        <v>3082</v>
      </c>
      <c r="C240" s="1551"/>
      <c r="D240" s="1738"/>
      <c r="E240" s="1699"/>
      <c r="F240" s="1536"/>
      <c r="G240" s="1699"/>
      <c r="H240" s="1534"/>
      <c r="I240" s="1857"/>
      <c r="J240" s="1543"/>
    </row>
    <row r="241" spans="1:10" s="1567" customFormat="1">
      <c r="A241" s="1815" t="s">
        <v>2006</v>
      </c>
      <c r="B241" s="1548" t="s">
        <v>18</v>
      </c>
      <c r="C241" s="1572"/>
      <c r="D241" s="1547"/>
      <c r="E241" s="1642"/>
      <c r="F241" s="1642"/>
      <c r="G241" s="1642"/>
      <c r="H241" s="1816"/>
      <c r="I241" s="1859"/>
      <c r="J241" s="1543"/>
    </row>
    <row r="242" spans="1:10" ht="72">
      <c r="A242" s="75" t="s">
        <v>2007</v>
      </c>
      <c r="B242" s="1555" t="s">
        <v>2847</v>
      </c>
      <c r="C242" s="1530" t="s">
        <v>19</v>
      </c>
      <c r="D242" s="1542">
        <f>'K.Headworks river protection'!J14</f>
        <v>935</v>
      </c>
      <c r="E242" s="220"/>
      <c r="F242" s="220"/>
      <c r="G242" s="220"/>
      <c r="H242" s="1683"/>
      <c r="I242" s="1857"/>
      <c r="J242" s="1543"/>
    </row>
    <row r="243" spans="1:10" ht="72">
      <c r="A243" s="1815" t="s">
        <v>2009</v>
      </c>
      <c r="B243" s="1544" t="s">
        <v>2849</v>
      </c>
      <c r="C243" s="1530"/>
      <c r="D243" s="1542"/>
      <c r="E243" s="220"/>
      <c r="F243" s="220"/>
      <c r="G243" s="220"/>
      <c r="H243" s="1683"/>
      <c r="I243" s="1857"/>
      <c r="J243" s="1543"/>
    </row>
    <row r="244" spans="1:10">
      <c r="A244" s="75" t="s">
        <v>2010</v>
      </c>
      <c r="B244" s="220" t="s">
        <v>1632</v>
      </c>
      <c r="C244" s="1530" t="s">
        <v>21</v>
      </c>
      <c r="D244" s="1542">
        <f>'K.Headworks river protection'!J19</f>
        <v>5701.8</v>
      </c>
      <c r="E244" s="220"/>
      <c r="F244" s="220"/>
      <c r="G244" s="220"/>
      <c r="H244" s="1683"/>
      <c r="I244" s="1857"/>
      <c r="J244" s="1543"/>
    </row>
    <row r="245" spans="1:10">
      <c r="A245" s="75" t="s">
        <v>2012</v>
      </c>
      <c r="B245" s="220" t="s">
        <v>1634</v>
      </c>
      <c r="C245" s="1530" t="s">
        <v>21</v>
      </c>
      <c r="D245" s="1542">
        <f>'K.Headworks river protection'!J20</f>
        <v>1425.45</v>
      </c>
      <c r="E245" s="220"/>
      <c r="F245" s="220"/>
      <c r="G245" s="220"/>
      <c r="H245" s="1683"/>
      <c r="I245" s="1857"/>
      <c r="J245" s="1543"/>
    </row>
    <row r="246" spans="1:10">
      <c r="A246" s="1815" t="s">
        <v>2014</v>
      </c>
      <c r="B246" s="313" t="s">
        <v>31</v>
      </c>
      <c r="C246" s="1530"/>
      <c r="D246" s="1542"/>
      <c r="E246" s="220"/>
      <c r="F246" s="220"/>
      <c r="G246" s="220"/>
      <c r="H246" s="1683"/>
      <c r="I246" s="1857"/>
      <c r="J246" s="1543"/>
    </row>
    <row r="247" spans="1:10" ht="54">
      <c r="A247" s="75" t="s">
        <v>2015</v>
      </c>
      <c r="B247" s="1545" t="s">
        <v>2862</v>
      </c>
      <c r="C247" s="1530" t="s">
        <v>19</v>
      </c>
      <c r="D247" s="1542">
        <f>'K.Headworks river protection'!J24</f>
        <v>7261.41</v>
      </c>
      <c r="E247" s="220"/>
      <c r="F247" s="220"/>
      <c r="G247" s="220"/>
      <c r="H247" s="1683"/>
      <c r="I247" s="1857"/>
      <c r="J247" s="1543"/>
    </row>
    <row r="248" spans="1:10" ht="54">
      <c r="A248" s="1815" t="s">
        <v>2016</v>
      </c>
      <c r="B248" s="1545" t="s">
        <v>2735</v>
      </c>
      <c r="C248" s="1530"/>
      <c r="D248" s="1542"/>
      <c r="E248" s="220"/>
      <c r="F248" s="220"/>
      <c r="G248" s="220"/>
      <c r="H248" s="1683"/>
      <c r="I248" s="1857"/>
      <c r="J248" s="1543"/>
    </row>
    <row r="249" spans="1:10">
      <c r="A249" s="75" t="s">
        <v>2017</v>
      </c>
      <c r="B249" s="669" t="s">
        <v>2922</v>
      </c>
      <c r="C249" s="1530" t="s">
        <v>21</v>
      </c>
      <c r="D249" s="1542">
        <f>'K.Headworks river protection'!J30</f>
        <v>58.05</v>
      </c>
      <c r="E249" s="220"/>
      <c r="F249" s="220"/>
      <c r="G249" s="220"/>
      <c r="H249" s="1687"/>
      <c r="I249" s="1867"/>
      <c r="J249" s="1543"/>
    </row>
    <row r="250" spans="1:10">
      <c r="A250" s="75" t="s">
        <v>2660</v>
      </c>
      <c r="B250" s="1546" t="s">
        <v>1645</v>
      </c>
      <c r="C250" s="1530" t="s">
        <v>21</v>
      </c>
      <c r="D250" s="1542">
        <f>'K.Headworks river protection'!J34</f>
        <v>1451.25</v>
      </c>
      <c r="E250" s="220"/>
      <c r="F250" s="220"/>
      <c r="G250" s="220"/>
      <c r="H250" s="1687"/>
      <c r="I250" s="1867"/>
      <c r="J250" s="1543"/>
    </row>
    <row r="251" spans="1:10">
      <c r="A251" s="1815" t="s">
        <v>2018</v>
      </c>
      <c r="B251" s="313" t="s">
        <v>1649</v>
      </c>
      <c r="C251" s="1530"/>
      <c r="D251" s="1542"/>
      <c r="E251" s="220"/>
      <c r="F251" s="220"/>
      <c r="G251" s="220"/>
      <c r="H251" s="1687"/>
      <c r="I251" s="1867"/>
      <c r="J251" s="1543"/>
    </row>
    <row r="252" spans="1:10" ht="54">
      <c r="A252" s="75" t="s">
        <v>2661</v>
      </c>
      <c r="B252" s="1550" t="s">
        <v>1248</v>
      </c>
      <c r="C252" s="1530" t="s">
        <v>25</v>
      </c>
      <c r="D252" s="1542">
        <f>'K.Headworks river protection'!J37</f>
        <v>113.923125</v>
      </c>
      <c r="E252" s="1612"/>
      <c r="F252" s="1613"/>
      <c r="G252" s="1613"/>
      <c r="H252" s="1608"/>
      <c r="I252" s="1857"/>
      <c r="J252" s="1543"/>
    </row>
    <row r="253" spans="1:10" ht="54">
      <c r="A253" s="1815" t="s">
        <v>2019</v>
      </c>
      <c r="B253" s="1545" t="s">
        <v>2737</v>
      </c>
      <c r="C253" s="1530"/>
      <c r="D253" s="1542"/>
      <c r="E253" s="1612"/>
      <c r="F253" s="1613"/>
      <c r="G253" s="1613"/>
      <c r="H253" s="1608"/>
      <c r="I253" s="1857"/>
      <c r="J253" s="1543"/>
    </row>
    <row r="254" spans="1:10">
      <c r="A254" s="75" t="s">
        <v>2662</v>
      </c>
      <c r="B254" s="1546" t="s">
        <v>1654</v>
      </c>
      <c r="C254" s="1530" t="s">
        <v>21</v>
      </c>
      <c r="D254" s="1542">
        <f>'K.Headworks river protection'!J41</f>
        <v>1750</v>
      </c>
      <c r="E254" s="1612"/>
      <c r="F254" s="1613"/>
      <c r="G254" s="1613"/>
      <c r="H254" s="1608"/>
      <c r="I254" s="1857"/>
      <c r="J254" s="1543"/>
    </row>
    <row r="255" spans="1:10" ht="17.25" customHeight="1">
      <c r="A255" s="1722"/>
      <c r="B255" s="1557"/>
      <c r="C255" s="1563"/>
      <c r="D255" s="1688"/>
      <c r="E255" s="1612"/>
      <c r="F255" s="1666" t="s">
        <v>1483</v>
      </c>
      <c r="G255" s="1691"/>
      <c r="H255" s="1822"/>
      <c r="I255" s="1868"/>
      <c r="J255" s="1717"/>
    </row>
    <row r="256" spans="1:10" s="1531" customFormat="1">
      <c r="A256" s="1814" t="s">
        <v>2025</v>
      </c>
      <c r="B256" s="1533" t="s">
        <v>3083</v>
      </c>
      <c r="C256" s="1551"/>
      <c r="D256" s="1738"/>
      <c r="E256" s="1699"/>
      <c r="F256" s="1575"/>
      <c r="G256" s="1699"/>
      <c r="H256" s="1551"/>
      <c r="I256" s="1857"/>
      <c r="J256" s="1543"/>
    </row>
    <row r="257" spans="1:10" s="1567" customFormat="1">
      <c r="A257" s="1815" t="s">
        <v>2026</v>
      </c>
      <c r="B257" s="1548" t="s">
        <v>18</v>
      </c>
      <c r="C257" s="1572"/>
      <c r="D257" s="1547"/>
      <c r="E257" s="1642"/>
      <c r="F257" s="1642"/>
      <c r="G257" s="1642"/>
      <c r="H257" s="1816"/>
      <c r="I257" s="1859"/>
      <c r="J257" s="1543"/>
    </row>
    <row r="258" spans="1:10" s="315" customFormat="1" ht="72">
      <c r="A258" s="75" t="s">
        <v>2027</v>
      </c>
      <c r="B258" s="1555" t="s">
        <v>2847</v>
      </c>
      <c r="C258" s="1576" t="s">
        <v>19</v>
      </c>
      <c r="D258" s="1542">
        <f>'Boulder Weir (Kunban Updated)'!J13</f>
        <v>2416.37</v>
      </c>
      <c r="E258" s="313"/>
      <c r="F258" s="313"/>
      <c r="G258" s="313"/>
      <c r="H258" s="1686"/>
      <c r="I258" s="1867"/>
      <c r="J258" s="1543"/>
    </row>
    <row r="259" spans="1:10" s="315" customFormat="1" ht="72">
      <c r="A259" s="1722" t="s">
        <v>2029</v>
      </c>
      <c r="B259" s="1544" t="s">
        <v>2849</v>
      </c>
      <c r="C259" s="1576"/>
      <c r="D259" s="1542"/>
      <c r="E259" s="313"/>
      <c r="F259" s="313"/>
      <c r="G259" s="313"/>
      <c r="H259" s="1686"/>
      <c r="I259" s="1867"/>
      <c r="J259" s="1543"/>
    </row>
    <row r="260" spans="1:10" s="315" customFormat="1">
      <c r="A260" s="75" t="s">
        <v>2030</v>
      </c>
      <c r="B260" s="220" t="s">
        <v>1632</v>
      </c>
      <c r="C260" s="1530" t="s">
        <v>21</v>
      </c>
      <c r="D260" s="1542">
        <f>'Boulder Weir (Kunban Updated)'!J19</f>
        <v>4001.4</v>
      </c>
      <c r="E260" s="313"/>
      <c r="F260" s="313"/>
      <c r="G260" s="313"/>
      <c r="H260" s="1686"/>
      <c r="I260" s="1867"/>
      <c r="J260" s="1543"/>
    </row>
    <row r="261" spans="1:10" s="315" customFormat="1">
      <c r="A261" s="75" t="s">
        <v>2134</v>
      </c>
      <c r="B261" s="220" t="s">
        <v>1634</v>
      </c>
      <c r="C261" s="1530" t="s">
        <v>21</v>
      </c>
      <c r="D261" s="1542">
        <f>'Boulder Weir (Kunban Updated)'!J20</f>
        <v>1000.35</v>
      </c>
      <c r="E261" s="313"/>
      <c r="F261" s="313"/>
      <c r="G261" s="313"/>
      <c r="H261" s="1687"/>
      <c r="I261" s="1867"/>
      <c r="J261" s="1543"/>
    </row>
    <row r="262" spans="1:10" s="315" customFormat="1">
      <c r="A262" s="1722" t="s">
        <v>2032</v>
      </c>
      <c r="B262" s="313" t="s">
        <v>31</v>
      </c>
      <c r="C262" s="1530"/>
      <c r="D262" s="1542"/>
      <c r="E262" s="313"/>
      <c r="F262" s="313"/>
      <c r="G262" s="313"/>
      <c r="H262" s="1687"/>
      <c r="I262" s="1867"/>
      <c r="J262" s="1543"/>
    </row>
    <row r="263" spans="1:10" s="315" customFormat="1" ht="54">
      <c r="A263" s="75" t="s">
        <v>2033</v>
      </c>
      <c r="B263" s="1545" t="s">
        <v>2862</v>
      </c>
      <c r="C263" s="1530" t="s">
        <v>21</v>
      </c>
      <c r="D263" s="1542">
        <f>'Boulder Weir (Kunban Updated)'!J22</f>
        <v>4157.9250000000002</v>
      </c>
      <c r="E263" s="313"/>
      <c r="F263" s="313"/>
      <c r="G263" s="313"/>
      <c r="H263" s="1687"/>
      <c r="I263" s="1867"/>
      <c r="J263" s="1543"/>
    </row>
    <row r="264" spans="1:10" s="315" customFormat="1">
      <c r="A264" s="1722" t="s">
        <v>2034</v>
      </c>
      <c r="B264" s="1548" t="s">
        <v>309</v>
      </c>
      <c r="C264" s="1530"/>
      <c r="D264" s="1542"/>
      <c r="E264" s="313"/>
      <c r="F264" s="313"/>
      <c r="G264" s="313"/>
      <c r="H264" s="1687"/>
      <c r="I264" s="1867"/>
      <c r="J264" s="1543"/>
    </row>
    <row r="265" spans="1:10" ht="54">
      <c r="A265" s="75" t="s">
        <v>2035</v>
      </c>
      <c r="B265" s="1549" t="s">
        <v>1637</v>
      </c>
      <c r="C265" s="1530" t="s">
        <v>21</v>
      </c>
      <c r="D265" s="1542">
        <f>'Boulder Weir (Kunban Updated)'!J45</f>
        <v>1282.8124</v>
      </c>
      <c r="E265" s="1612"/>
      <c r="F265" s="1613"/>
      <c r="G265" s="1613"/>
      <c r="H265" s="1608"/>
      <c r="I265" s="1860"/>
      <c r="J265" s="1543"/>
    </row>
    <row r="266" spans="1:10" ht="54">
      <c r="A266" s="1815" t="s">
        <v>2036</v>
      </c>
      <c r="B266" s="1545" t="s">
        <v>2735</v>
      </c>
      <c r="C266" s="1530"/>
      <c r="D266" s="1542"/>
      <c r="E266" s="1612"/>
      <c r="F266" s="1613"/>
      <c r="G266" s="1613"/>
      <c r="H266" s="1608"/>
      <c r="I266" s="1860"/>
      <c r="J266" s="1543"/>
    </row>
    <row r="267" spans="1:10">
      <c r="A267" s="75" t="s">
        <v>2037</v>
      </c>
      <c r="B267" s="1546" t="s">
        <v>1641</v>
      </c>
      <c r="C267" s="1530" t="s">
        <v>21</v>
      </c>
      <c r="D267" s="1542">
        <f>'Boulder Weir (Kunban Updated)'!J48</f>
        <v>30.572804999999999</v>
      </c>
      <c r="E267" s="1612"/>
      <c r="F267" s="1613"/>
      <c r="G267" s="1613"/>
      <c r="H267" s="1608"/>
      <c r="I267" s="1860"/>
      <c r="J267" s="1543"/>
    </row>
    <row r="268" spans="1:10">
      <c r="A268" s="75" t="s">
        <v>2757</v>
      </c>
      <c r="B268" s="1546" t="s">
        <v>1645</v>
      </c>
      <c r="C268" s="1530" t="s">
        <v>21</v>
      </c>
      <c r="D268" s="1542">
        <f>'Boulder Weir (Kunban Updated)'!J63</f>
        <v>822.54071599999997</v>
      </c>
      <c r="E268" s="1612"/>
      <c r="F268" s="1613"/>
      <c r="G268" s="1613"/>
      <c r="H268" s="1608"/>
      <c r="I268" s="1860"/>
      <c r="J268" s="1543"/>
    </row>
    <row r="269" spans="1:10" ht="54">
      <c r="A269" s="1815" t="s">
        <v>2039</v>
      </c>
      <c r="B269" s="1545" t="s">
        <v>2875</v>
      </c>
      <c r="C269" s="1530"/>
      <c r="D269" s="1542"/>
      <c r="E269" s="1612"/>
      <c r="F269" s="1613"/>
      <c r="G269" s="1613"/>
      <c r="H269" s="1608"/>
      <c r="I269" s="1860"/>
      <c r="J269" s="1543"/>
    </row>
    <row r="270" spans="1:10">
      <c r="A270" s="75" t="s">
        <v>2135</v>
      </c>
      <c r="B270" s="1545" t="s">
        <v>2625</v>
      </c>
      <c r="C270" s="1530" t="s">
        <v>21</v>
      </c>
      <c r="D270" s="1542">
        <f>'Boulder Weir (Kunban Updated)'!J51+'Boulder Weir (Kunban Updated)'!J52</f>
        <v>1081.6385</v>
      </c>
      <c r="E270" s="1612"/>
      <c r="F270" s="1613"/>
      <c r="G270" s="1613"/>
      <c r="H270" s="1608"/>
      <c r="I270" s="1861"/>
      <c r="J270" s="1543"/>
    </row>
    <row r="271" spans="1:10">
      <c r="A271" s="75" t="s">
        <v>2663</v>
      </c>
      <c r="B271" s="1545" t="s">
        <v>3103</v>
      </c>
      <c r="C271" s="1530" t="s">
        <v>21</v>
      </c>
      <c r="D271" s="1542">
        <f>'Boulder Weir (Kunban Updated)'!J53</f>
        <v>2362.0115000000001</v>
      </c>
      <c r="E271" s="1612"/>
      <c r="F271" s="1613"/>
      <c r="G271" s="1613"/>
      <c r="H271" s="1608"/>
      <c r="I271" s="1861"/>
      <c r="J271" s="1543"/>
    </row>
    <row r="272" spans="1:10" ht="36">
      <c r="A272" s="1815" t="s">
        <v>2041</v>
      </c>
      <c r="B272" s="1545" t="s">
        <v>2738</v>
      </c>
      <c r="C272" s="1530"/>
      <c r="D272" s="1542"/>
      <c r="E272" s="1612"/>
      <c r="F272" s="1613"/>
      <c r="G272" s="1613"/>
      <c r="H272" s="1608"/>
      <c r="I272" s="1861"/>
      <c r="J272" s="1543"/>
    </row>
    <row r="273" spans="1:10">
      <c r="A273" s="1894" t="s">
        <v>2664</v>
      </c>
      <c r="B273" s="1895" t="s">
        <v>2627</v>
      </c>
      <c r="C273" s="1896" t="s">
        <v>21</v>
      </c>
      <c r="D273" s="1897">
        <f>'Boulder Weir (Kunban Updated)'!J74</f>
        <v>1974.28745</v>
      </c>
      <c r="E273" s="1612"/>
      <c r="F273" s="1613"/>
      <c r="G273" s="1613"/>
      <c r="H273" s="1608"/>
      <c r="I273" s="1861"/>
      <c r="J273" s="1543"/>
    </row>
    <row r="274" spans="1:10" ht="36">
      <c r="A274" s="1815" t="s">
        <v>2665</v>
      </c>
      <c r="B274" s="1545" t="s">
        <v>2739</v>
      </c>
      <c r="C274" s="1530"/>
      <c r="D274" s="1542"/>
      <c r="E274" s="1612"/>
      <c r="F274" s="1613"/>
      <c r="G274" s="1613"/>
      <c r="H274" s="1608"/>
      <c r="I274" s="1861"/>
      <c r="J274" s="1543"/>
    </row>
    <row r="275" spans="1:10">
      <c r="A275" s="1894" t="s">
        <v>2666</v>
      </c>
      <c r="B275" s="1895" t="s">
        <v>2628</v>
      </c>
      <c r="C275" s="1896" t="s">
        <v>21</v>
      </c>
      <c r="D275" s="1897">
        <f>'Boulder Weir (Kunban Updated)'!J67</f>
        <v>250.17955000000001</v>
      </c>
      <c r="E275" s="1612"/>
      <c r="F275" s="1613"/>
      <c r="G275" s="1613"/>
      <c r="H275" s="1608"/>
      <c r="I275" s="1861"/>
      <c r="J275" s="1543"/>
    </row>
    <row r="276" spans="1:10">
      <c r="A276" s="1815" t="s">
        <v>2667</v>
      </c>
      <c r="B276" s="313" t="s">
        <v>1649</v>
      </c>
      <c r="C276" s="1576"/>
      <c r="D276" s="1542"/>
      <c r="E276" s="1612"/>
      <c r="F276" s="1613"/>
      <c r="G276" s="1613"/>
      <c r="H276" s="1608"/>
      <c r="I276" s="1860"/>
      <c r="J276" s="1543"/>
    </row>
    <row r="277" spans="1:10" ht="54">
      <c r="A277" s="75" t="s">
        <v>2670</v>
      </c>
      <c r="B277" s="1550" t="s">
        <v>1248</v>
      </c>
      <c r="C277" s="1530" t="s">
        <v>25</v>
      </c>
      <c r="D277" s="1542">
        <f>'Boulder Weir (Kunban Updated)'!J77</f>
        <v>48.43</v>
      </c>
      <c r="E277" s="1612"/>
      <c r="F277" s="1613"/>
      <c r="G277" s="1613"/>
      <c r="H277" s="1608"/>
      <c r="I277" s="1860"/>
      <c r="J277" s="1543"/>
    </row>
    <row r="278" spans="1:10" ht="54">
      <c r="A278" s="1815" t="s">
        <v>2668</v>
      </c>
      <c r="B278" s="1550" t="s">
        <v>2740</v>
      </c>
      <c r="C278" s="1530"/>
      <c r="D278" s="1542"/>
      <c r="E278" s="1612"/>
      <c r="F278" s="1613"/>
      <c r="G278" s="1613"/>
      <c r="H278" s="1608"/>
      <c r="I278" s="1860"/>
      <c r="J278" s="1543"/>
    </row>
    <row r="279" spans="1:10">
      <c r="A279" s="75" t="s">
        <v>2786</v>
      </c>
      <c r="B279" s="669" t="s">
        <v>155</v>
      </c>
      <c r="C279" s="1530" t="s">
        <v>27</v>
      </c>
      <c r="D279" s="1542">
        <f>'Boulder Weir (Kunban Updated)'!J82</f>
        <v>92</v>
      </c>
      <c r="E279" s="1612"/>
      <c r="F279" s="1613"/>
      <c r="G279" s="1613"/>
      <c r="H279" s="1608"/>
      <c r="I279" s="1860"/>
      <c r="J279" s="1543"/>
    </row>
    <row r="280" spans="1:10">
      <c r="A280" s="75" t="s">
        <v>2787</v>
      </c>
      <c r="B280" s="669" t="s">
        <v>174</v>
      </c>
      <c r="C280" s="1530" t="s">
        <v>27</v>
      </c>
      <c r="D280" s="1542">
        <f>'Boulder Weir (Kunban Updated)'!J86</f>
        <v>92</v>
      </c>
      <c r="E280" s="1612"/>
      <c r="F280" s="1613"/>
      <c r="G280" s="1613"/>
      <c r="H280" s="1608"/>
      <c r="I280" s="1860"/>
      <c r="J280" s="1543"/>
    </row>
    <row r="281" spans="1:10" ht="19.8">
      <c r="A281" s="75" t="s">
        <v>2788</v>
      </c>
      <c r="B281" s="669" t="str">
        <f>B87</f>
        <v>Hydroseal/joint filler</v>
      </c>
      <c r="C281" s="1530" t="s">
        <v>122</v>
      </c>
      <c r="D281" s="1542">
        <f>'Boulder Weir (Kunban Updated)'!J90</f>
        <v>40</v>
      </c>
      <c r="E281" s="1612"/>
      <c r="F281" s="1613"/>
      <c r="G281" s="1613"/>
      <c r="H281" s="1608"/>
      <c r="I281" s="1860"/>
      <c r="J281" s="1543"/>
    </row>
    <row r="282" spans="1:10" ht="54">
      <c r="A282" s="1815" t="s">
        <v>2669</v>
      </c>
      <c r="B282" s="1579" t="s">
        <v>2785</v>
      </c>
      <c r="C282" s="1530"/>
      <c r="D282" s="1542"/>
      <c r="E282" s="1612"/>
      <c r="F282" s="1613"/>
      <c r="G282" s="1613"/>
      <c r="H282" s="1608"/>
      <c r="I282" s="1860"/>
      <c r="J282" s="1543"/>
    </row>
    <row r="283" spans="1:10" s="1531" customFormat="1">
      <c r="A283" s="75" t="s">
        <v>2789</v>
      </c>
      <c r="B283" s="669" t="s">
        <v>2397</v>
      </c>
      <c r="C283" s="1530" t="s">
        <v>25</v>
      </c>
      <c r="D283" s="1542">
        <v>10</v>
      </c>
      <c r="E283" s="332"/>
      <c r="F283" s="332"/>
      <c r="G283" s="332"/>
      <c r="H283" s="1563"/>
      <c r="I283" s="1859"/>
      <c r="J283" s="1543"/>
    </row>
    <row r="284" spans="1:10" s="1531" customFormat="1">
      <c r="A284" s="75" t="s">
        <v>2790</v>
      </c>
      <c r="B284" s="669" t="s">
        <v>2398</v>
      </c>
      <c r="C284" s="1530" t="s">
        <v>25</v>
      </c>
      <c r="D284" s="1542">
        <v>2</v>
      </c>
      <c r="E284" s="332"/>
      <c r="F284" s="332"/>
      <c r="G284" s="332"/>
      <c r="H284" s="1563"/>
      <c r="I284" s="1859"/>
      <c r="J284" s="1543"/>
    </row>
    <row r="285" spans="1:10" s="1531" customFormat="1">
      <c r="A285" s="75" t="s">
        <v>2791</v>
      </c>
      <c r="B285" s="669" t="s">
        <v>2399</v>
      </c>
      <c r="C285" s="1530" t="s">
        <v>47</v>
      </c>
      <c r="D285" s="1542">
        <v>150</v>
      </c>
      <c r="E285" s="332"/>
      <c r="F285" s="332"/>
      <c r="G285" s="332"/>
      <c r="H285" s="1563"/>
      <c r="I285" s="1859"/>
      <c r="J285" s="1543"/>
    </row>
    <row r="286" spans="1:10" s="1531" customFormat="1">
      <c r="A286" s="75" t="s">
        <v>2792</v>
      </c>
      <c r="B286" s="669" t="s">
        <v>1902</v>
      </c>
      <c r="C286" s="1530" t="s">
        <v>27</v>
      </c>
      <c r="D286" s="1542">
        <v>100</v>
      </c>
      <c r="E286" s="332"/>
      <c r="F286" s="332"/>
      <c r="G286" s="332"/>
      <c r="H286" s="1563"/>
      <c r="I286" s="1859"/>
      <c r="J286" s="1543"/>
    </row>
    <row r="287" spans="1:10" ht="17.25" customHeight="1">
      <c r="A287" s="1722"/>
      <c r="B287" s="220"/>
      <c r="C287" s="1563"/>
      <c r="D287" s="1688"/>
      <c r="E287" s="1612"/>
      <c r="F287" s="1666" t="s">
        <v>1483</v>
      </c>
      <c r="G287" s="1691"/>
      <c r="H287" s="1822"/>
      <c r="I287" s="1868"/>
      <c r="J287" s="1717"/>
    </row>
    <row r="288" spans="1:10" s="1531" customFormat="1">
      <c r="A288" s="1814" t="s">
        <v>2044</v>
      </c>
      <c r="B288" s="1761" t="s">
        <v>3084</v>
      </c>
      <c r="C288" s="1551"/>
      <c r="D288" s="1738"/>
      <c r="E288" s="1699"/>
      <c r="F288" s="1536"/>
      <c r="G288" s="1699"/>
      <c r="H288" s="1534"/>
      <c r="I288" s="1857"/>
      <c r="J288" s="1543"/>
    </row>
    <row r="289" spans="1:10" s="1567" customFormat="1">
      <c r="A289" s="1815" t="s">
        <v>2045</v>
      </c>
      <c r="B289" s="1548" t="s">
        <v>18</v>
      </c>
      <c r="C289" s="1572"/>
      <c r="D289" s="1737"/>
      <c r="E289" s="1642"/>
      <c r="F289" s="1573"/>
      <c r="G289" s="1642"/>
      <c r="H289" s="1816"/>
      <c r="I289" s="1857"/>
      <c r="J289" s="1543"/>
    </row>
    <row r="290" spans="1:10" ht="72">
      <c r="A290" s="75" t="s">
        <v>2046</v>
      </c>
      <c r="B290" s="1555" t="s">
        <v>2847</v>
      </c>
      <c r="C290" s="1576" t="s">
        <v>19</v>
      </c>
      <c r="D290" s="1542">
        <f>'Undersluice, T.passage,Fish (Up'!J14</f>
        <v>976.45570000000009</v>
      </c>
      <c r="E290" s="220"/>
      <c r="F290" s="220"/>
      <c r="G290" s="220"/>
      <c r="H290" s="1608"/>
      <c r="I290" s="1860"/>
      <c r="J290" s="1543"/>
    </row>
    <row r="291" spans="1:10" ht="72">
      <c r="A291" s="1815" t="s">
        <v>2047</v>
      </c>
      <c r="B291" s="1544" t="s">
        <v>2849</v>
      </c>
      <c r="C291" s="1576"/>
      <c r="D291" s="1542"/>
      <c r="E291" s="220"/>
      <c r="F291" s="220"/>
      <c r="G291" s="220"/>
      <c r="H291" s="1608"/>
      <c r="I291" s="1860"/>
      <c r="J291" s="1543"/>
    </row>
    <row r="292" spans="1:10">
      <c r="A292" s="75" t="s">
        <v>2048</v>
      </c>
      <c r="B292" s="220" t="s">
        <v>1632</v>
      </c>
      <c r="C292" s="1530" t="s">
        <v>21</v>
      </c>
      <c r="D292" s="1542">
        <f>'Undersluice, T.passage,Fish (Up'!J23</f>
        <v>3477.6579199999996</v>
      </c>
      <c r="E292" s="1612"/>
      <c r="F292" s="1613"/>
      <c r="G292" s="1613"/>
      <c r="H292" s="1608"/>
      <c r="I292" s="1860"/>
      <c r="J292" s="1543"/>
    </row>
    <row r="293" spans="1:10">
      <c r="A293" s="75" t="s">
        <v>2049</v>
      </c>
      <c r="B293" s="220" t="s">
        <v>63</v>
      </c>
      <c r="C293" s="1530" t="s">
        <v>21</v>
      </c>
      <c r="D293" s="1542">
        <f>'Undersluice, T.passage,Fish (Up'!J22</f>
        <v>869.41447999999991</v>
      </c>
      <c r="E293" s="1612"/>
      <c r="F293" s="1613"/>
      <c r="G293" s="1613"/>
      <c r="H293" s="1608"/>
      <c r="I293" s="1860"/>
      <c r="J293" s="1543"/>
    </row>
    <row r="294" spans="1:10">
      <c r="A294" s="1815" t="s">
        <v>2050</v>
      </c>
      <c r="B294" s="313" t="s">
        <v>31</v>
      </c>
      <c r="C294" s="1530"/>
      <c r="D294" s="1542"/>
      <c r="E294" s="1612"/>
      <c r="F294" s="1613"/>
      <c r="G294" s="1613"/>
      <c r="H294" s="1608"/>
      <c r="I294" s="1860"/>
      <c r="J294" s="1543"/>
    </row>
    <row r="295" spans="1:10" ht="54">
      <c r="A295" s="75" t="s">
        <v>2051</v>
      </c>
      <c r="B295" s="1545" t="s">
        <v>2862</v>
      </c>
      <c r="C295" s="1530" t="s">
        <v>21</v>
      </c>
      <c r="D295" s="1542">
        <f>'Undersluice, T.passage,Fish (Up'!J29</f>
        <v>326.89659999999992</v>
      </c>
      <c r="E295" s="1612"/>
      <c r="F295" s="1613"/>
      <c r="G295" s="1613"/>
      <c r="H295" s="1823"/>
      <c r="I295" s="1860"/>
      <c r="J295" s="1543"/>
    </row>
    <row r="296" spans="1:10">
      <c r="A296" s="1815" t="s">
        <v>2052</v>
      </c>
      <c r="B296" s="1548" t="s">
        <v>309</v>
      </c>
      <c r="C296" s="1530"/>
      <c r="D296" s="1542"/>
      <c r="E296" s="1612"/>
      <c r="F296" s="1613"/>
      <c r="G296" s="1613"/>
      <c r="H296" s="1823"/>
      <c r="I296" s="1859"/>
      <c r="J296" s="1543"/>
    </row>
    <row r="297" spans="1:10" ht="54">
      <c r="A297" s="75" t="s">
        <v>2053</v>
      </c>
      <c r="B297" s="1580" t="s">
        <v>1637</v>
      </c>
      <c r="C297" s="1576" t="s">
        <v>19</v>
      </c>
      <c r="D297" s="1542">
        <f>'Undersluice, T.passage,Fish (Up'!J46</f>
        <v>4842.1691000000001</v>
      </c>
      <c r="E297" s="1612"/>
      <c r="F297" s="1613"/>
      <c r="G297" s="1613"/>
      <c r="H297" s="1823"/>
      <c r="I297" s="1859"/>
      <c r="J297" s="1543"/>
    </row>
    <row r="298" spans="1:10" ht="54">
      <c r="A298" s="1815" t="s">
        <v>2054</v>
      </c>
      <c r="B298" s="1529" t="s">
        <v>2735</v>
      </c>
      <c r="C298" s="1576"/>
      <c r="D298" s="1542"/>
      <c r="E298" s="1612"/>
      <c r="F298" s="1613"/>
      <c r="G298" s="1613"/>
      <c r="H298" s="1823"/>
      <c r="I298" s="1859"/>
      <c r="J298" s="1543"/>
    </row>
    <row r="299" spans="1:10">
      <c r="A299" s="75" t="s">
        <v>2055</v>
      </c>
      <c r="B299" s="1546" t="s">
        <v>2105</v>
      </c>
      <c r="C299" s="1530" t="s">
        <v>21</v>
      </c>
      <c r="D299" s="1542">
        <f>'Undersluice, T.passage,Fish (Up'!J51</f>
        <v>61.204739999999994</v>
      </c>
      <c r="E299" s="1612"/>
      <c r="F299" s="1613"/>
      <c r="G299" s="1613"/>
      <c r="H299" s="1608"/>
      <c r="I299" s="1860"/>
      <c r="J299" s="1543"/>
    </row>
    <row r="300" spans="1:10">
      <c r="A300" s="75" t="s">
        <v>2671</v>
      </c>
      <c r="B300" s="1546" t="s">
        <v>1645</v>
      </c>
      <c r="C300" s="1530" t="s">
        <v>21</v>
      </c>
      <c r="D300" s="1542">
        <f>'Undersluice, T.passage,Fish (Up'!J64</f>
        <v>3455.1588499999998</v>
      </c>
      <c r="E300" s="1612"/>
      <c r="F300" s="1613"/>
      <c r="G300" s="1613"/>
      <c r="H300" s="1608"/>
      <c r="I300" s="1860"/>
      <c r="J300" s="1543"/>
    </row>
    <row r="301" spans="1:10">
      <c r="A301" s="1815" t="s">
        <v>2056</v>
      </c>
      <c r="B301" s="313" t="s">
        <v>1649</v>
      </c>
      <c r="C301" s="1530"/>
      <c r="D301" s="1542"/>
      <c r="E301" s="1612"/>
      <c r="F301" s="1613"/>
      <c r="G301" s="1613"/>
      <c r="H301" s="1608"/>
      <c r="I301" s="1860"/>
      <c r="J301" s="1543"/>
    </row>
    <row r="302" spans="1:10" ht="54">
      <c r="A302" s="75" t="s">
        <v>2137</v>
      </c>
      <c r="B302" s="1550" t="s">
        <v>1248</v>
      </c>
      <c r="C302" s="1530" t="s">
        <v>25</v>
      </c>
      <c r="D302" s="1542">
        <f>'Undersluice, T.passage,Fish (Up'!J67</f>
        <v>271.22996972499999</v>
      </c>
      <c r="E302" s="1612"/>
      <c r="F302" s="1613"/>
      <c r="G302" s="1613"/>
      <c r="H302" s="1608"/>
      <c r="I302" s="1860"/>
      <c r="J302" s="1543"/>
    </row>
    <row r="303" spans="1:10">
      <c r="A303" s="1815" t="s">
        <v>2057</v>
      </c>
      <c r="B303" s="313" t="s">
        <v>1693</v>
      </c>
      <c r="C303" s="1530"/>
      <c r="D303" s="1542"/>
      <c r="E303" s="1612"/>
      <c r="F303" s="1613"/>
      <c r="G303" s="1613"/>
      <c r="H303" s="1608"/>
      <c r="I303" s="1860"/>
      <c r="J303" s="1543"/>
    </row>
    <row r="304" spans="1:10" ht="51.75" customHeight="1">
      <c r="A304" s="75" t="s">
        <v>2058</v>
      </c>
      <c r="B304" s="1550" t="s">
        <v>1695</v>
      </c>
      <c r="C304" s="1530" t="s">
        <v>21</v>
      </c>
      <c r="D304" s="1542">
        <f>'Undersluice, T.passage,Fish (Up'!J70</f>
        <v>119.925</v>
      </c>
      <c r="E304" s="1612"/>
      <c r="F304" s="1613"/>
      <c r="G304" s="1613"/>
      <c r="H304" s="1608"/>
      <c r="I304" s="1860"/>
      <c r="J304" s="1543"/>
    </row>
    <row r="305" spans="1:10" ht="54">
      <c r="A305" s="1815" t="s">
        <v>2136</v>
      </c>
      <c r="B305" s="1550" t="s">
        <v>2740</v>
      </c>
      <c r="C305" s="1530"/>
      <c r="D305" s="1542"/>
      <c r="E305" s="1612"/>
      <c r="F305" s="1613"/>
      <c r="G305" s="1613"/>
      <c r="H305" s="1608"/>
      <c r="I305" s="1860"/>
      <c r="J305" s="1543"/>
    </row>
    <row r="306" spans="1:10">
      <c r="A306" s="75" t="s">
        <v>2366</v>
      </c>
      <c r="B306" s="669" t="s">
        <v>155</v>
      </c>
      <c r="C306" s="1530" t="s">
        <v>27</v>
      </c>
      <c r="D306" s="1542">
        <f>'Undersluice, T.passage,Fish (Up'!J77</f>
        <v>60</v>
      </c>
      <c r="E306" s="1612"/>
      <c r="F306" s="1613"/>
      <c r="G306" s="1613"/>
      <c r="H306" s="1608"/>
      <c r="I306" s="1860"/>
      <c r="J306" s="1543"/>
    </row>
    <row r="307" spans="1:10">
      <c r="A307" s="75" t="s">
        <v>2400</v>
      </c>
      <c r="B307" s="669" t="s">
        <v>174</v>
      </c>
      <c r="C307" s="1530" t="s">
        <v>27</v>
      </c>
      <c r="D307" s="1542">
        <f>'Undersluice, T.passage,Fish (Up'!J81</f>
        <v>60</v>
      </c>
      <c r="E307" s="1612"/>
      <c r="F307" s="1613"/>
      <c r="G307" s="1613"/>
      <c r="H307" s="1608"/>
      <c r="I307" s="1860"/>
      <c r="J307" s="1543"/>
    </row>
    <row r="308" spans="1:10" ht="19.8">
      <c r="A308" s="75" t="s">
        <v>2401</v>
      </c>
      <c r="B308" s="669" t="s">
        <v>2390</v>
      </c>
      <c r="C308" s="1530" t="s">
        <v>122</v>
      </c>
      <c r="D308" s="1542">
        <f>'Undersluice, T.passage,Fish (Up'!J85</f>
        <v>120</v>
      </c>
      <c r="E308" s="1612"/>
      <c r="F308" s="1613"/>
      <c r="G308" s="1613"/>
      <c r="H308" s="1608"/>
      <c r="I308" s="1860"/>
      <c r="J308" s="1543"/>
    </row>
    <row r="309" spans="1:10" ht="17.25" customHeight="1">
      <c r="A309" s="1722"/>
      <c r="B309" s="1557"/>
      <c r="C309" s="1563"/>
      <c r="D309" s="1688"/>
      <c r="E309" s="1612"/>
      <c r="F309" s="1666" t="s">
        <v>1483</v>
      </c>
      <c r="G309" s="1691"/>
      <c r="H309" s="1822"/>
      <c r="I309" s="1868"/>
      <c r="J309" s="1717"/>
    </row>
    <row r="310" spans="1:10" s="1531" customFormat="1">
      <c r="A310" s="1814" t="s">
        <v>2060</v>
      </c>
      <c r="B310" s="1533" t="s">
        <v>3085</v>
      </c>
      <c r="C310" s="1551"/>
      <c r="D310" s="1738"/>
      <c r="E310" s="1699"/>
      <c r="F310" s="1536"/>
      <c r="G310" s="1699"/>
      <c r="H310" s="1534"/>
      <c r="I310" s="1857"/>
      <c r="J310" s="1543"/>
    </row>
    <row r="311" spans="1:10" s="1567" customFormat="1">
      <c r="A311" s="1815" t="s">
        <v>2138</v>
      </c>
      <c r="B311" s="1548" t="s">
        <v>18</v>
      </c>
      <c r="C311" s="1572"/>
      <c r="D311" s="1737"/>
      <c r="E311" s="1642"/>
      <c r="F311" s="1573"/>
      <c r="G311" s="1642"/>
      <c r="H311" s="1816"/>
      <c r="I311" s="1857"/>
      <c r="J311" s="1543"/>
    </row>
    <row r="312" spans="1:10" s="315" customFormat="1" ht="72">
      <c r="A312" s="75" t="s">
        <v>2062</v>
      </c>
      <c r="B312" s="1555" t="s">
        <v>2847</v>
      </c>
      <c r="C312" s="1576" t="s">
        <v>19</v>
      </c>
      <c r="D312" s="1542">
        <f>'Intake, Gravel Trap and C.  (Up'!J12</f>
        <v>830.85200000000009</v>
      </c>
      <c r="E312" s="313"/>
      <c r="F312" s="313"/>
      <c r="G312" s="313"/>
      <c r="H312" s="1530"/>
      <c r="I312" s="1859"/>
      <c r="J312" s="1543"/>
    </row>
    <row r="313" spans="1:10" s="315" customFormat="1" ht="72">
      <c r="A313" s="1815" t="s">
        <v>2139</v>
      </c>
      <c r="B313" s="1544" t="s">
        <v>2849</v>
      </c>
      <c r="C313" s="1576"/>
      <c r="D313" s="1542"/>
      <c r="E313" s="313"/>
      <c r="F313" s="313"/>
      <c r="G313" s="313"/>
      <c r="H313" s="1530"/>
      <c r="I313" s="1859"/>
      <c r="J313" s="1543"/>
    </row>
    <row r="314" spans="1:10" s="315" customFormat="1">
      <c r="A314" s="75" t="s">
        <v>2146</v>
      </c>
      <c r="B314" s="220" t="s">
        <v>1632</v>
      </c>
      <c r="C314" s="1530" t="s">
        <v>21</v>
      </c>
      <c r="D314" s="1542">
        <f>'Intake, Gravel Trap and C.  (Up'!J19</f>
        <v>4214.0337600000003</v>
      </c>
      <c r="E314" s="313"/>
      <c r="F314" s="313"/>
      <c r="G314" s="313"/>
      <c r="H314" s="1530"/>
      <c r="I314" s="1859"/>
      <c r="J314" s="1543"/>
    </row>
    <row r="315" spans="1:10">
      <c r="A315" s="75" t="s">
        <v>2147</v>
      </c>
      <c r="B315" s="220" t="s">
        <v>63</v>
      </c>
      <c r="C315" s="1530" t="s">
        <v>21</v>
      </c>
      <c r="D315" s="1542">
        <f>'Intake, Gravel Trap and C.  (Up'!J20</f>
        <v>1053.5084400000001</v>
      </c>
      <c r="E315" s="1612"/>
      <c r="F315" s="1613"/>
      <c r="G315" s="1613"/>
      <c r="H315" s="1823"/>
      <c r="I315" s="1859"/>
      <c r="J315" s="1543"/>
    </row>
    <row r="316" spans="1:10">
      <c r="A316" s="1815" t="s">
        <v>2140</v>
      </c>
      <c r="B316" s="313" t="s">
        <v>31</v>
      </c>
      <c r="C316" s="1530"/>
      <c r="D316" s="1542"/>
      <c r="E316" s="1612"/>
      <c r="F316" s="1613"/>
      <c r="G316" s="1613"/>
      <c r="H316" s="1823"/>
      <c r="I316" s="1859"/>
      <c r="J316" s="1543"/>
    </row>
    <row r="317" spans="1:10" ht="54">
      <c r="A317" s="75" t="s">
        <v>2148</v>
      </c>
      <c r="B317" s="1545" t="s">
        <v>2862</v>
      </c>
      <c r="C317" s="1530" t="s">
        <v>21</v>
      </c>
      <c r="D317" s="1542">
        <f>'Intake, Gravel Trap and C.  (Up'!J24</f>
        <v>48.658799999999999</v>
      </c>
      <c r="E317" s="1612"/>
      <c r="F317" s="1613"/>
      <c r="G317" s="1613"/>
      <c r="H317" s="1823"/>
      <c r="I317" s="1859"/>
      <c r="J317" s="1543"/>
    </row>
    <row r="318" spans="1:10" ht="54">
      <c r="A318" s="1815" t="s">
        <v>2141</v>
      </c>
      <c r="B318" s="1545" t="s">
        <v>2735</v>
      </c>
      <c r="C318" s="1530"/>
      <c r="D318" s="1542"/>
      <c r="E318" s="1612"/>
      <c r="F318" s="1613"/>
      <c r="G318" s="1613"/>
      <c r="H318" s="1823"/>
      <c r="I318" s="1859"/>
      <c r="J318" s="1543"/>
    </row>
    <row r="319" spans="1:10">
      <c r="A319" s="75" t="s">
        <v>2149</v>
      </c>
      <c r="B319" s="1546" t="s">
        <v>1641</v>
      </c>
      <c r="C319" s="1530" t="s">
        <v>21</v>
      </c>
      <c r="D319" s="1542">
        <f>'Intake, Gravel Trap and C.  (Up'!J30</f>
        <v>35.285429999999998</v>
      </c>
      <c r="E319" s="1612"/>
      <c r="F319" s="1613"/>
      <c r="G319" s="1613"/>
      <c r="H319" s="1823"/>
      <c r="I319" s="1859"/>
      <c r="J319" s="1543"/>
    </row>
    <row r="320" spans="1:10">
      <c r="A320" s="75" t="s">
        <v>2672</v>
      </c>
      <c r="B320" s="1546" t="s">
        <v>1645</v>
      </c>
      <c r="C320" s="1530" t="s">
        <v>21</v>
      </c>
      <c r="D320" s="1542">
        <f>'Intake, Gravel Trap and C.  (Up'!J41</f>
        <v>854.06943000000001</v>
      </c>
      <c r="E320" s="1612"/>
      <c r="F320" s="1613"/>
      <c r="G320" s="1613"/>
      <c r="H320" s="1823"/>
      <c r="I320" s="1859"/>
      <c r="J320" s="1543"/>
    </row>
    <row r="321" spans="1:10">
      <c r="A321" s="75" t="s">
        <v>2673</v>
      </c>
      <c r="B321" s="1546" t="s">
        <v>2876</v>
      </c>
      <c r="C321" s="1530" t="s">
        <v>21</v>
      </c>
      <c r="D321" s="1542">
        <f>'Intake, Gravel Trap and C.  (Up'!J44</f>
        <v>116.91</v>
      </c>
      <c r="E321" s="1612"/>
      <c r="F321" s="1613"/>
      <c r="G321" s="1613"/>
      <c r="H321" s="1823"/>
      <c r="I321" s="1859"/>
      <c r="J321" s="1543"/>
    </row>
    <row r="322" spans="1:10">
      <c r="A322" s="1815" t="s">
        <v>2142</v>
      </c>
      <c r="B322" s="1548" t="s">
        <v>309</v>
      </c>
      <c r="C322" s="1530"/>
      <c r="D322" s="1542"/>
      <c r="E322" s="1612"/>
      <c r="F322" s="1613"/>
      <c r="G322" s="1613"/>
      <c r="H322" s="1823"/>
      <c r="I322" s="1859"/>
      <c r="J322" s="1543"/>
    </row>
    <row r="323" spans="1:10" ht="54">
      <c r="A323" s="75" t="s">
        <v>2150</v>
      </c>
      <c r="B323" s="1549" t="s">
        <v>1637</v>
      </c>
      <c r="C323" s="1530" t="s">
        <v>311</v>
      </c>
      <c r="D323" s="1542">
        <f>'Intake, Gravel Trap and C.  (Up'!J54</f>
        <v>658.34460000000001</v>
      </c>
      <c r="E323" s="220"/>
      <c r="F323" s="220"/>
      <c r="G323" s="220"/>
      <c r="H323" s="1823"/>
      <c r="I323" s="1859"/>
      <c r="J323" s="1543"/>
    </row>
    <row r="324" spans="1:10">
      <c r="A324" s="1815" t="s">
        <v>2143</v>
      </c>
      <c r="B324" s="313" t="s">
        <v>1649</v>
      </c>
      <c r="C324" s="1530"/>
      <c r="D324" s="1542"/>
      <c r="E324" s="220"/>
      <c r="F324" s="220"/>
      <c r="G324" s="220"/>
      <c r="H324" s="1823"/>
      <c r="I324" s="1859"/>
      <c r="J324" s="1543"/>
    </row>
    <row r="325" spans="1:10" ht="54">
      <c r="A325" s="75" t="s">
        <v>2151</v>
      </c>
      <c r="B325" s="1550" t="s">
        <v>1248</v>
      </c>
      <c r="C325" s="1530" t="s">
        <v>25</v>
      </c>
      <c r="D325" s="1542">
        <f>'Intake, Gravel Trap and C.  (Up'!J57</f>
        <v>67.044450255000001</v>
      </c>
      <c r="E325" s="220"/>
      <c r="F325" s="220"/>
      <c r="G325" s="220"/>
      <c r="H325" s="1823"/>
      <c r="I325" s="1859"/>
      <c r="J325" s="1543"/>
    </row>
    <row r="326" spans="1:10">
      <c r="A326" s="1722" t="s">
        <v>2144</v>
      </c>
      <c r="B326" s="313" t="s">
        <v>1693</v>
      </c>
      <c r="C326" s="1530"/>
      <c r="D326" s="1542"/>
      <c r="E326" s="220"/>
      <c r="F326" s="220"/>
      <c r="G326" s="220"/>
      <c r="H326" s="1823"/>
      <c r="I326" s="1859"/>
      <c r="J326" s="1543"/>
    </row>
    <row r="327" spans="1:10" ht="51.75" customHeight="1">
      <c r="A327" s="75" t="s">
        <v>2152</v>
      </c>
      <c r="B327" s="1550" t="s">
        <v>2601</v>
      </c>
      <c r="C327" s="1576" t="s">
        <v>19</v>
      </c>
      <c r="D327" s="1542">
        <f>'Intake, Gravel Trap and C.  (Up'!J62</f>
        <v>180.83159999999998</v>
      </c>
      <c r="E327" s="220"/>
      <c r="F327" s="220"/>
      <c r="G327" s="220"/>
      <c r="H327" s="1823"/>
      <c r="I327" s="1859"/>
      <c r="J327" s="1543"/>
    </row>
    <row r="328" spans="1:10" ht="54">
      <c r="A328" s="1815" t="s">
        <v>2145</v>
      </c>
      <c r="B328" s="1550" t="s">
        <v>2740</v>
      </c>
      <c r="C328" s="1576"/>
      <c r="D328" s="1542"/>
      <c r="E328" s="220"/>
      <c r="F328" s="220"/>
      <c r="G328" s="220"/>
      <c r="H328" s="1823"/>
      <c r="I328" s="1859"/>
      <c r="J328" s="1543"/>
    </row>
    <row r="329" spans="1:10">
      <c r="A329" s="75" t="s">
        <v>2153</v>
      </c>
      <c r="B329" s="669" t="s">
        <v>155</v>
      </c>
      <c r="C329" s="1530" t="s">
        <v>27</v>
      </c>
      <c r="D329" s="1542">
        <f>'Intake, Gravel Trap and C.  (Up'!J65</f>
        <v>40</v>
      </c>
      <c r="E329" s="220"/>
      <c r="F329" s="220"/>
      <c r="G329" s="220"/>
      <c r="H329" s="1823"/>
      <c r="I329" s="1859"/>
      <c r="J329" s="1543"/>
    </row>
    <row r="330" spans="1:10">
      <c r="A330" s="75" t="s">
        <v>2674</v>
      </c>
      <c r="B330" s="669" t="s">
        <v>174</v>
      </c>
      <c r="C330" s="1530" t="s">
        <v>27</v>
      </c>
      <c r="D330" s="1542">
        <f>'Intake, Gravel Trap and C.  (Up'!J68</f>
        <v>40</v>
      </c>
      <c r="E330" s="220"/>
      <c r="F330" s="220"/>
      <c r="G330" s="220"/>
      <c r="H330" s="1823"/>
      <c r="I330" s="1859"/>
      <c r="J330" s="1543"/>
    </row>
    <row r="331" spans="1:10" ht="19.8">
      <c r="A331" s="75" t="s">
        <v>2675</v>
      </c>
      <c r="B331" s="669" t="s">
        <v>2390</v>
      </c>
      <c r="C331" s="1576" t="s">
        <v>122</v>
      </c>
      <c r="D331" s="1542">
        <f>'Intake, Gravel Trap and C.  (Up'!J71</f>
        <v>80</v>
      </c>
      <c r="E331" s="220"/>
      <c r="F331" s="220"/>
      <c r="G331" s="220"/>
      <c r="H331" s="1823"/>
      <c r="I331" s="1859"/>
      <c r="J331" s="1543"/>
    </row>
    <row r="332" spans="1:10" ht="17.25" customHeight="1">
      <c r="A332" s="1722"/>
      <c r="B332" s="1557"/>
      <c r="C332" s="1581"/>
      <c r="D332" s="1741"/>
      <c r="E332" s="220"/>
      <c r="F332" s="1666" t="s">
        <v>1483</v>
      </c>
      <c r="G332" s="1695"/>
      <c r="H332" s="1824"/>
      <c r="I332" s="1850"/>
      <c r="J332" s="1717"/>
    </row>
    <row r="333" spans="1:10" s="315" customFormat="1">
      <c r="A333" s="1814" t="s">
        <v>2065</v>
      </c>
      <c r="B333" s="1533" t="s">
        <v>2602</v>
      </c>
      <c r="C333" s="1534"/>
      <c r="D333" s="1736"/>
      <c r="E333" s="1697"/>
      <c r="F333" s="1536"/>
      <c r="G333" s="1697"/>
      <c r="H333" s="1534"/>
      <c r="I333" s="1857"/>
      <c r="J333" s="1543"/>
    </row>
    <row r="334" spans="1:10" s="1582" customFormat="1">
      <c r="A334" s="1815" t="s">
        <v>2067</v>
      </c>
      <c r="B334" s="1548" t="s">
        <v>18</v>
      </c>
      <c r="C334" s="1572"/>
      <c r="D334" s="1547"/>
      <c r="E334" s="1506"/>
      <c r="F334" s="1506"/>
      <c r="G334" s="1506"/>
      <c r="H334" s="1816"/>
      <c r="I334" s="1859"/>
      <c r="J334" s="1543"/>
    </row>
    <row r="335" spans="1:10" ht="72">
      <c r="A335" s="75" t="s">
        <v>2069</v>
      </c>
      <c r="B335" s="1555" t="s">
        <v>2847</v>
      </c>
      <c r="C335" s="1576" t="s">
        <v>19</v>
      </c>
      <c r="D335" s="1542">
        <f>'S.basin,HP&amp;Spillway'!J15</f>
        <v>5280.55</v>
      </c>
      <c r="E335" s="220"/>
      <c r="F335" s="220"/>
      <c r="G335" s="220"/>
      <c r="H335" s="1530"/>
      <c r="I335" s="1859"/>
      <c r="J335" s="1543"/>
    </row>
    <row r="336" spans="1:10" ht="72">
      <c r="A336" s="1815" t="s">
        <v>2079</v>
      </c>
      <c r="B336" s="1544" t="s">
        <v>2849</v>
      </c>
      <c r="C336" s="1576"/>
      <c r="D336" s="1542"/>
      <c r="E336" s="220"/>
      <c r="F336" s="220"/>
      <c r="G336" s="220"/>
      <c r="H336" s="1530"/>
      <c r="I336" s="1859"/>
      <c r="J336" s="1543"/>
    </row>
    <row r="337" spans="1:16">
      <c r="A337" s="75" t="s">
        <v>2081</v>
      </c>
      <c r="B337" s="220" t="s">
        <v>1632</v>
      </c>
      <c r="C337" s="1530" t="s">
        <v>21</v>
      </c>
      <c r="D337" s="1542">
        <f>'S.basin,HP&amp;Spillway'!J23</f>
        <v>23056.314999999999</v>
      </c>
      <c r="E337" s="220"/>
      <c r="F337" s="220"/>
      <c r="G337" s="220"/>
      <c r="H337" s="1530"/>
      <c r="I337" s="1859"/>
      <c r="J337" s="1543"/>
    </row>
    <row r="338" spans="1:16">
      <c r="A338" s="75" t="s">
        <v>2083</v>
      </c>
      <c r="B338" s="220" t="s">
        <v>1634</v>
      </c>
      <c r="C338" s="1530" t="s">
        <v>21</v>
      </c>
      <c r="D338" s="1542">
        <f>'S.basin,HP&amp;Spillway'!J24</f>
        <v>23056.314999999999</v>
      </c>
      <c r="E338" s="220"/>
      <c r="F338" s="220"/>
      <c r="G338" s="220"/>
      <c r="H338" s="1823"/>
      <c r="I338" s="1859"/>
      <c r="J338" s="1543"/>
    </row>
    <row r="339" spans="1:16">
      <c r="A339" s="1815" t="s">
        <v>2086</v>
      </c>
      <c r="B339" s="313" t="s">
        <v>31</v>
      </c>
      <c r="C339" s="1530"/>
      <c r="D339" s="1542"/>
      <c r="E339" s="220"/>
      <c r="F339" s="220"/>
      <c r="G339" s="220"/>
      <c r="H339" s="1823"/>
      <c r="I339" s="1859"/>
      <c r="J339" s="1543"/>
    </row>
    <row r="340" spans="1:16" ht="54">
      <c r="A340" s="75" t="s">
        <v>2088</v>
      </c>
      <c r="B340" s="1545" t="s">
        <v>2862</v>
      </c>
      <c r="C340" s="1530" t="s">
        <v>21</v>
      </c>
      <c r="D340" s="1542">
        <f>'S.basin,HP&amp;Spillway'!J33</f>
        <v>16906.806</v>
      </c>
      <c r="E340" s="220"/>
      <c r="F340" s="220"/>
      <c r="G340" s="220"/>
      <c r="H340" s="1823"/>
      <c r="I340" s="1859"/>
      <c r="J340" s="1543"/>
    </row>
    <row r="341" spans="1:16" ht="54">
      <c r="A341" s="1815" t="s">
        <v>2094</v>
      </c>
      <c r="B341" s="1545" t="s">
        <v>2735</v>
      </c>
      <c r="C341" s="1530"/>
      <c r="D341" s="1542"/>
      <c r="E341" s="220"/>
      <c r="F341" s="220"/>
      <c r="G341" s="220"/>
      <c r="H341" s="1823"/>
      <c r="I341" s="1859"/>
      <c r="J341" s="1543"/>
    </row>
    <row r="342" spans="1:16">
      <c r="A342" s="75" t="s">
        <v>2096</v>
      </c>
      <c r="B342" s="1546" t="s">
        <v>1641</v>
      </c>
      <c r="C342" s="1530" t="s">
        <v>21</v>
      </c>
      <c r="D342" s="1542">
        <f>'S.basin,HP&amp;Spillway'!J40</f>
        <v>299.1225</v>
      </c>
      <c r="E342" s="220"/>
      <c r="F342" s="220"/>
      <c r="G342" s="220"/>
      <c r="H342" s="1823"/>
      <c r="I342" s="1859"/>
      <c r="J342" s="1543"/>
    </row>
    <row r="343" spans="1:16">
      <c r="A343" s="75" t="s">
        <v>2098</v>
      </c>
      <c r="B343" s="1546" t="s">
        <v>1645</v>
      </c>
      <c r="C343" s="1530" t="s">
        <v>21</v>
      </c>
      <c r="D343" s="1542">
        <f>'S.basin,HP&amp;Spillway'!J64</f>
        <v>8000.4820299999983</v>
      </c>
      <c r="E343" s="220"/>
      <c r="F343" s="220"/>
      <c r="G343" s="220"/>
      <c r="H343" s="1823"/>
      <c r="I343" s="1859"/>
      <c r="J343" s="1543"/>
    </row>
    <row r="344" spans="1:16">
      <c r="A344" s="1815" t="s">
        <v>2154</v>
      </c>
      <c r="B344" s="1548" t="s">
        <v>309</v>
      </c>
      <c r="C344" s="1530"/>
      <c r="D344" s="1542"/>
      <c r="E344" s="220"/>
      <c r="F344" s="220"/>
      <c r="G344" s="220"/>
      <c r="H344" s="1823"/>
      <c r="I344" s="1859"/>
      <c r="J344" s="1543"/>
    </row>
    <row r="345" spans="1:16" ht="54">
      <c r="A345" s="75" t="s">
        <v>2161</v>
      </c>
      <c r="B345" s="1549" t="s">
        <v>1637</v>
      </c>
      <c r="C345" s="1576" t="s">
        <v>19</v>
      </c>
      <c r="D345" s="1542">
        <f>'S.basin,HP&amp;Spillway'!J91</f>
        <v>9713.8601999999992</v>
      </c>
      <c r="E345" s="220"/>
      <c r="F345" s="220"/>
      <c r="G345" s="220"/>
      <c r="H345" s="1823"/>
      <c r="I345" s="1859"/>
      <c r="J345" s="1543"/>
    </row>
    <row r="346" spans="1:16">
      <c r="A346" s="1815" t="s">
        <v>2155</v>
      </c>
      <c r="B346" s="313" t="s">
        <v>1649</v>
      </c>
      <c r="C346" s="1576"/>
      <c r="D346" s="1542"/>
      <c r="E346" s="220"/>
      <c r="F346" s="220"/>
      <c r="G346" s="220"/>
      <c r="H346" s="1823"/>
      <c r="I346" s="1859"/>
      <c r="J346" s="1543"/>
    </row>
    <row r="347" spans="1:16" ht="54">
      <c r="A347" s="75" t="s">
        <v>2160</v>
      </c>
      <c r="B347" s="1550" t="s">
        <v>1248</v>
      </c>
      <c r="C347" s="1530" t="s">
        <v>25</v>
      </c>
      <c r="D347" s="1542">
        <f>'S.basin,HP&amp;Spillway'!J95</f>
        <v>628.03783935499996</v>
      </c>
      <c r="E347" s="220"/>
      <c r="F347" s="220"/>
      <c r="G347" s="220"/>
      <c r="H347" s="1823"/>
      <c r="I347" s="1859"/>
      <c r="J347" s="1543"/>
      <c r="N347" s="1592"/>
    </row>
    <row r="348" spans="1:16">
      <c r="A348" s="1815" t="s">
        <v>2156</v>
      </c>
      <c r="B348" s="313" t="s">
        <v>1702</v>
      </c>
      <c r="C348" s="1530"/>
      <c r="D348" s="1542"/>
      <c r="E348" s="220"/>
      <c r="F348" s="220"/>
      <c r="G348" s="220"/>
      <c r="H348" s="1823"/>
      <c r="I348" s="1859"/>
      <c r="J348" s="1543"/>
      <c r="N348" s="1592"/>
    </row>
    <row r="349" spans="1:16" ht="36">
      <c r="A349" s="75" t="s">
        <v>2159</v>
      </c>
      <c r="B349" s="1529" t="s">
        <v>1704</v>
      </c>
      <c r="C349" s="1530" t="s">
        <v>21</v>
      </c>
      <c r="D349" s="1542">
        <f>'S.basin,HP&amp;Spillway'!J101</f>
        <v>1320.2941999999998</v>
      </c>
      <c r="E349" s="220"/>
      <c r="F349" s="220"/>
      <c r="G349" s="220"/>
      <c r="H349" s="1823"/>
      <c r="I349" s="1859"/>
      <c r="J349" s="1543"/>
      <c r="N349" s="1592"/>
      <c r="P349" s="1592"/>
    </row>
    <row r="350" spans="1:16">
      <c r="A350" s="1722" t="s">
        <v>2157</v>
      </c>
      <c r="B350" s="313" t="s">
        <v>1706</v>
      </c>
      <c r="C350" s="1530"/>
      <c r="D350" s="1542"/>
      <c r="E350" s="220"/>
      <c r="F350" s="220"/>
      <c r="G350" s="220"/>
      <c r="H350" s="1823"/>
      <c r="I350" s="1859"/>
      <c r="J350" s="1543"/>
      <c r="N350" s="1592"/>
      <c r="P350" s="1592"/>
    </row>
    <row r="351" spans="1:16" ht="36">
      <c r="A351" s="75" t="s">
        <v>2158</v>
      </c>
      <c r="B351" s="1529" t="s">
        <v>1710</v>
      </c>
      <c r="C351" s="1530" t="s">
        <v>21</v>
      </c>
      <c r="D351" s="1542">
        <f>'S.basin,HP&amp;Spillway'!J106</f>
        <v>6363.1643599999998</v>
      </c>
      <c r="E351" s="220"/>
      <c r="F351" s="220"/>
      <c r="G351" s="220"/>
      <c r="H351" s="1823"/>
      <c r="I351" s="1859"/>
      <c r="J351" s="1543"/>
    </row>
    <row r="352" spans="1:16">
      <c r="A352" s="1815" t="s">
        <v>2676</v>
      </c>
      <c r="B352" s="1557" t="s">
        <v>2654</v>
      </c>
      <c r="C352" s="1565"/>
      <c r="D352" s="1542"/>
      <c r="E352" s="220"/>
      <c r="F352" s="220"/>
      <c r="G352" s="220"/>
      <c r="H352" s="1823"/>
      <c r="I352" s="1859"/>
      <c r="J352" s="1543"/>
    </row>
    <row r="353" spans="1:76" ht="36">
      <c r="A353" s="75" t="s">
        <v>2677</v>
      </c>
      <c r="B353" s="669" t="s">
        <v>2926</v>
      </c>
      <c r="C353" s="1576" t="s">
        <v>367</v>
      </c>
      <c r="D353" s="1542">
        <f>'S.basin,HP&amp;Spillway'!J109</f>
        <v>199</v>
      </c>
      <c r="E353" s="220"/>
      <c r="F353" s="220"/>
      <c r="G353" s="220"/>
      <c r="H353" s="1823"/>
      <c r="I353" s="1859"/>
      <c r="J353" s="1543"/>
    </row>
    <row r="354" spans="1:76">
      <c r="A354" s="1815" t="s">
        <v>2678</v>
      </c>
      <c r="B354" s="1557" t="s">
        <v>2653</v>
      </c>
      <c r="C354" s="1530"/>
      <c r="D354" s="1542"/>
      <c r="E354" s="220"/>
      <c r="F354" s="220"/>
      <c r="G354" s="220"/>
      <c r="H354" s="1823"/>
      <c r="I354" s="1859"/>
      <c r="J354" s="1543"/>
    </row>
    <row r="355" spans="1:76" ht="54">
      <c r="A355" s="75" t="s">
        <v>2679</v>
      </c>
      <c r="B355" s="1538" t="s">
        <v>2902</v>
      </c>
      <c r="C355" s="1530" t="s">
        <v>46</v>
      </c>
      <c r="D355" s="1542">
        <f>'S.basin,HP&amp;Spillway'!J112</f>
        <v>161.479906</v>
      </c>
      <c r="E355" s="220"/>
      <c r="F355" s="220"/>
      <c r="G355" s="220"/>
      <c r="H355" s="1823"/>
      <c r="I355" s="1859"/>
      <c r="J355" s="1543"/>
    </row>
    <row r="356" spans="1:76">
      <c r="A356" s="1722" t="s">
        <v>2680</v>
      </c>
      <c r="B356" s="1611" t="s">
        <v>1229</v>
      </c>
      <c r="C356" s="1530"/>
      <c r="D356" s="1542"/>
      <c r="E356" s="220"/>
      <c r="F356" s="220"/>
      <c r="G356" s="220"/>
      <c r="H356" s="1823"/>
      <c r="I356" s="1859"/>
      <c r="J356" s="1543"/>
    </row>
    <row r="357" spans="1:76">
      <c r="A357" s="75" t="s">
        <v>2758</v>
      </c>
      <c r="B357" s="220" t="s">
        <v>1235</v>
      </c>
      <c r="C357" s="1530" t="s">
        <v>46</v>
      </c>
      <c r="D357" s="1542">
        <f>'S.basin,HP&amp;Spillway'!J115</f>
        <v>127.33</v>
      </c>
      <c r="E357" s="220"/>
      <c r="F357" s="220"/>
      <c r="G357" s="220"/>
      <c r="H357" s="1823"/>
      <c r="I357" s="1859"/>
      <c r="J357" s="1543"/>
    </row>
    <row r="358" spans="1:76" ht="54">
      <c r="A358" s="1722" t="s">
        <v>2681</v>
      </c>
      <c r="B358" s="1546" t="s">
        <v>2741</v>
      </c>
      <c r="C358" s="1530"/>
      <c r="D358" s="1542"/>
      <c r="E358" s="220"/>
      <c r="F358" s="220"/>
      <c r="G358" s="220"/>
      <c r="H358" s="1823"/>
      <c r="I358" s="1859"/>
      <c r="J358" s="1543"/>
    </row>
    <row r="359" spans="1:76">
      <c r="A359" s="75" t="s">
        <v>2682</v>
      </c>
      <c r="B359" s="669" t="str">
        <f>'S.basin,HP&amp;Spillway'!B117</f>
        <v>Water Bar</v>
      </c>
      <c r="C359" s="1576" t="s">
        <v>27</v>
      </c>
      <c r="D359" s="1542">
        <f>'S.basin,HP&amp;Spillway'!J119</f>
        <v>350</v>
      </c>
      <c r="E359" s="220"/>
      <c r="F359" s="220"/>
      <c r="G359" s="220"/>
      <c r="H359" s="1823"/>
      <c r="I359" s="1859"/>
      <c r="J359" s="1543"/>
    </row>
    <row r="360" spans="1:76">
      <c r="A360" s="75" t="s">
        <v>2683</v>
      </c>
      <c r="B360" s="669" t="str">
        <f>'S.basin,HP&amp;Spillway'!B121</f>
        <v>Sealant</v>
      </c>
      <c r="C360" s="1576" t="s">
        <v>27</v>
      </c>
      <c r="D360" s="1542">
        <f>'S.basin,HP&amp;Spillway'!J123</f>
        <v>350</v>
      </c>
      <c r="E360" s="220"/>
      <c r="F360" s="220"/>
      <c r="G360" s="220"/>
      <c r="H360" s="1823"/>
      <c r="I360" s="1859"/>
      <c r="J360" s="1543"/>
    </row>
    <row r="361" spans="1:76" ht="19.8">
      <c r="A361" s="75" t="s">
        <v>2684</v>
      </c>
      <c r="B361" s="669" t="s">
        <v>2390</v>
      </c>
      <c r="C361" s="1530" t="s">
        <v>122</v>
      </c>
      <c r="D361" s="1542">
        <f>'S.basin,HP&amp;Spillway'!J126</f>
        <v>700</v>
      </c>
      <c r="E361" s="220"/>
      <c r="F361" s="220"/>
      <c r="G361" s="220"/>
      <c r="H361" s="1823"/>
      <c r="I361" s="1859"/>
      <c r="J361" s="1543"/>
    </row>
    <row r="362" spans="1:76">
      <c r="A362" s="1722"/>
      <c r="B362" s="1557"/>
      <c r="C362" s="1530"/>
      <c r="D362" s="1542"/>
      <c r="E362" s="220"/>
      <c r="F362" s="220"/>
      <c r="G362" s="220"/>
      <c r="H362" s="1823"/>
      <c r="I362" s="1859"/>
      <c r="J362" s="1543"/>
    </row>
    <row r="363" spans="1:76" ht="17.25" customHeight="1">
      <c r="A363" s="1722"/>
      <c r="B363" s="1557"/>
      <c r="C363" s="1563"/>
      <c r="D363" s="1688"/>
      <c r="E363" s="220"/>
      <c r="F363" s="1666" t="s">
        <v>1483</v>
      </c>
      <c r="G363" s="1695"/>
      <c r="H363" s="1824"/>
      <c r="I363" s="1850"/>
      <c r="J363" s="1717"/>
    </row>
    <row r="364" spans="1:76" ht="18" customHeight="1">
      <c r="A364" s="75"/>
      <c r="B364" s="669"/>
      <c r="C364" s="1530"/>
      <c r="D364" s="1686"/>
      <c r="E364" s="220"/>
      <c r="F364" s="1666" t="s">
        <v>1557</v>
      </c>
      <c r="G364" s="1695"/>
      <c r="H364" s="1823"/>
      <c r="I364" s="1850"/>
      <c r="J364" s="1717"/>
      <c r="L364" s="1653"/>
    </row>
    <row r="365" spans="1:76" s="1654" customFormat="1" ht="17.25" customHeight="1">
      <c r="A365" s="1813"/>
      <c r="B365" s="2334" t="s">
        <v>2911</v>
      </c>
      <c r="C365" s="2334"/>
      <c r="D365" s="2334"/>
      <c r="E365" s="2334"/>
      <c r="F365" s="2334"/>
      <c r="G365" s="2334"/>
      <c r="H365" s="2334"/>
      <c r="I365" s="1850"/>
      <c r="J365" s="220"/>
      <c r="K365" s="315"/>
      <c r="L365" s="315"/>
      <c r="M365" s="315"/>
      <c r="N365" s="315"/>
      <c r="O365" s="315"/>
      <c r="P365" s="315"/>
      <c r="Q365" s="315"/>
      <c r="R365" s="315"/>
      <c r="S365" s="315"/>
      <c r="T365" s="315"/>
      <c r="U365" s="315"/>
      <c r="V365" s="315"/>
      <c r="W365" s="315"/>
      <c r="X365" s="315"/>
      <c r="Y365" s="315"/>
      <c r="Z365" s="315"/>
      <c r="AA365" s="315"/>
      <c r="AB365" s="315"/>
      <c r="AC365" s="315"/>
      <c r="AD365" s="315"/>
      <c r="AE365" s="315"/>
      <c r="AF365" s="315"/>
      <c r="AG365" s="315"/>
      <c r="AH365" s="315"/>
      <c r="AI365" s="315"/>
      <c r="AJ365" s="315"/>
      <c r="AK365" s="315"/>
      <c r="AL365" s="315"/>
      <c r="AM365" s="315"/>
      <c r="AN365" s="315"/>
      <c r="AO365" s="315"/>
      <c r="AP365" s="315"/>
      <c r="AQ365" s="315"/>
      <c r="AR365" s="315"/>
      <c r="AS365" s="315"/>
      <c r="AT365" s="315"/>
      <c r="AU365" s="315"/>
      <c r="AV365" s="315"/>
      <c r="AW365" s="315"/>
      <c r="AX365" s="315"/>
      <c r="AY365" s="315"/>
      <c r="AZ365" s="315"/>
      <c r="BA365" s="315"/>
      <c r="BB365" s="315"/>
      <c r="BC365" s="315"/>
      <c r="BD365" s="315"/>
      <c r="BE365" s="315"/>
      <c r="BF365" s="315"/>
      <c r="BG365" s="315"/>
      <c r="BH365" s="315"/>
      <c r="BI365" s="315"/>
      <c r="BJ365" s="315"/>
      <c r="BK365" s="315"/>
      <c r="BL365" s="315"/>
      <c r="BM365" s="315"/>
      <c r="BN365" s="315"/>
      <c r="BO365" s="315"/>
      <c r="BP365" s="315"/>
      <c r="BQ365" s="315"/>
      <c r="BR365" s="315"/>
      <c r="BS365" s="315"/>
      <c r="BT365" s="315"/>
      <c r="BU365" s="315"/>
      <c r="BV365" s="315"/>
      <c r="BW365" s="315"/>
      <c r="BX365" s="315"/>
    </row>
    <row r="366" spans="1:76" s="315" customFormat="1">
      <c r="A366" s="1814" t="s">
        <v>2162</v>
      </c>
      <c r="B366" s="1533" t="s">
        <v>736</v>
      </c>
      <c r="C366" s="1534"/>
      <c r="D366" s="1736"/>
      <c r="E366" s="1697"/>
      <c r="F366" s="1536"/>
      <c r="G366" s="1697"/>
      <c r="H366" s="1534"/>
      <c r="I366" s="1857"/>
      <c r="J366" s="1543"/>
    </row>
    <row r="367" spans="1:76">
      <c r="A367" s="1722" t="s">
        <v>2163</v>
      </c>
      <c r="B367" s="1548" t="s">
        <v>18</v>
      </c>
      <c r="C367" s="1530"/>
      <c r="D367" s="1686"/>
      <c r="E367" s="220"/>
      <c r="F367" s="1587"/>
      <c r="G367" s="220"/>
      <c r="H367" s="1563"/>
      <c r="I367" s="1857"/>
      <c r="J367" s="1543"/>
    </row>
    <row r="368" spans="1:76" ht="72">
      <c r="A368" s="75" t="s">
        <v>2171</v>
      </c>
      <c r="B368" s="1555" t="s">
        <v>2386</v>
      </c>
      <c r="C368" s="1576" t="s">
        <v>19</v>
      </c>
      <c r="D368" s="1542">
        <f>'Headrace Pipe '!J12</f>
        <v>5000</v>
      </c>
      <c r="E368" s="220"/>
      <c r="F368" s="220"/>
      <c r="G368" s="220"/>
      <c r="H368" s="1530"/>
      <c r="I368" s="1859"/>
      <c r="J368" s="1543"/>
    </row>
    <row r="369" spans="1:23" ht="72">
      <c r="A369" s="1815" t="s">
        <v>2164</v>
      </c>
      <c r="B369" s="1544" t="s">
        <v>2849</v>
      </c>
      <c r="C369" s="1576"/>
      <c r="D369" s="1542"/>
      <c r="E369" s="220"/>
      <c r="F369" s="220"/>
      <c r="G369" s="220"/>
      <c r="H369" s="1530"/>
      <c r="I369" s="1859"/>
      <c r="J369" s="1543"/>
    </row>
    <row r="370" spans="1:23">
      <c r="A370" s="75" t="s">
        <v>2172</v>
      </c>
      <c r="B370" s="220" t="s">
        <v>1851</v>
      </c>
      <c r="C370" s="1530" t="s">
        <v>21</v>
      </c>
      <c r="D370" s="1542">
        <f>'Headrace Pipe '!J22</f>
        <v>37916.533847999992</v>
      </c>
      <c r="E370" s="220"/>
      <c r="F370" s="220"/>
      <c r="G370" s="220"/>
      <c r="H370" s="1530"/>
      <c r="I370" s="1859"/>
      <c r="J370" s="1543"/>
    </row>
    <row r="371" spans="1:23">
      <c r="A371" s="75" t="s">
        <v>2179</v>
      </c>
      <c r="B371" s="220" t="s">
        <v>63</v>
      </c>
      <c r="C371" s="1530" t="s">
        <v>21</v>
      </c>
      <c r="D371" s="1542">
        <f>'Headrace Pipe '!J23</f>
        <v>6691.1530319999993</v>
      </c>
      <c r="E371" s="220"/>
      <c r="F371" s="220"/>
      <c r="G371" s="220"/>
      <c r="H371" s="1823"/>
      <c r="I371" s="1859"/>
      <c r="J371" s="1543"/>
    </row>
    <row r="372" spans="1:23">
      <c r="A372" s="1815" t="s">
        <v>2165</v>
      </c>
      <c r="B372" s="313" t="s">
        <v>31</v>
      </c>
      <c r="C372" s="1530"/>
      <c r="D372" s="1542"/>
      <c r="E372" s="220"/>
      <c r="F372" s="220"/>
      <c r="G372" s="220"/>
      <c r="H372" s="1823"/>
      <c r="I372" s="1859"/>
      <c r="J372" s="1543"/>
    </row>
    <row r="373" spans="1:23" s="315" customFormat="1" ht="54">
      <c r="A373" s="75" t="s">
        <v>2173</v>
      </c>
      <c r="B373" s="1545" t="s">
        <v>2862</v>
      </c>
      <c r="C373" s="1530" t="s">
        <v>21</v>
      </c>
      <c r="D373" s="1542">
        <f>'Headrace Pipe '!J32</f>
        <v>13696.852756</v>
      </c>
      <c r="E373" s="313"/>
      <c r="F373" s="313"/>
      <c r="G373" s="313"/>
      <c r="H373" s="1823"/>
      <c r="I373" s="1859"/>
      <c r="J373" s="1543"/>
      <c r="L373" s="1651"/>
      <c r="M373" s="1610"/>
      <c r="W373" s="1610"/>
    </row>
    <row r="374" spans="1:23" s="315" customFormat="1">
      <c r="A374" s="75" t="s">
        <v>2686</v>
      </c>
      <c r="B374" s="669" t="s">
        <v>2416</v>
      </c>
      <c r="C374" s="1530" t="s">
        <v>21</v>
      </c>
      <c r="D374" s="1542">
        <f>'Headrace Pipe '!J35</f>
        <v>1400</v>
      </c>
      <c r="E374" s="313"/>
      <c r="F374" s="313"/>
      <c r="G374" s="313"/>
      <c r="H374" s="1823"/>
      <c r="I374" s="1859"/>
      <c r="J374" s="1543"/>
    </row>
    <row r="375" spans="1:23" s="315" customFormat="1" ht="54">
      <c r="A375" s="1722" t="s">
        <v>2166</v>
      </c>
      <c r="B375" s="1545" t="s">
        <v>2735</v>
      </c>
      <c r="C375" s="1530"/>
      <c r="D375" s="1542"/>
      <c r="E375" s="313"/>
      <c r="F375" s="313"/>
      <c r="G375" s="313"/>
      <c r="H375" s="1823"/>
      <c r="I375" s="1859"/>
      <c r="J375" s="1543"/>
    </row>
    <row r="376" spans="1:23" s="315" customFormat="1">
      <c r="A376" s="75" t="s">
        <v>2174</v>
      </c>
      <c r="B376" s="1546" t="s">
        <v>1641</v>
      </c>
      <c r="C376" s="1530" t="s">
        <v>21</v>
      </c>
      <c r="D376" s="1542">
        <f>'Headrace Pipe '!J40</f>
        <v>566.65</v>
      </c>
      <c r="E376" s="313"/>
      <c r="F376" s="313"/>
      <c r="G376" s="313"/>
      <c r="H376" s="1823"/>
      <c r="I376" s="1859"/>
      <c r="J376" s="1543"/>
      <c r="L376" s="1652"/>
    </row>
    <row r="377" spans="1:23">
      <c r="A377" s="75" t="s">
        <v>2180</v>
      </c>
      <c r="B377" s="1546" t="s">
        <v>2620</v>
      </c>
      <c r="C377" s="1530" t="s">
        <v>21</v>
      </c>
      <c r="D377" s="1542">
        <f>'Headrace Pipe '!J48+'Headrace Pipe '!J70</f>
        <v>1384.6369999999999</v>
      </c>
      <c r="E377" s="1612"/>
      <c r="F377" s="1613"/>
      <c r="G377" s="1613"/>
      <c r="H377" s="1823"/>
      <c r="I377" s="1859"/>
      <c r="J377" s="1543"/>
      <c r="L377" s="1653"/>
    </row>
    <row r="378" spans="1:23">
      <c r="A378" s="1815" t="s">
        <v>2167</v>
      </c>
      <c r="B378" s="313" t="s">
        <v>1706</v>
      </c>
      <c r="C378" s="1530"/>
      <c r="D378" s="1542"/>
      <c r="E378" s="1612"/>
      <c r="F378" s="1613"/>
      <c r="G378" s="1613"/>
      <c r="H378" s="1823"/>
      <c r="I378" s="1859"/>
      <c r="J378" s="1543"/>
      <c r="L378" s="1653"/>
    </row>
    <row r="379" spans="1:23" ht="36">
      <c r="A379" s="75" t="s">
        <v>2175</v>
      </c>
      <c r="B379" s="1529" t="s">
        <v>1710</v>
      </c>
      <c r="C379" s="1530" t="s">
        <v>21</v>
      </c>
      <c r="D379" s="1542">
        <f>'Headrace Pipe '!J51+'Headrace Pipe '!J73</f>
        <v>149.71699999999998</v>
      </c>
      <c r="E379" s="1612"/>
      <c r="F379" s="1613"/>
      <c r="G379" s="1613"/>
      <c r="H379" s="1823"/>
      <c r="I379" s="1859"/>
      <c r="J379" s="1543"/>
      <c r="L379" s="1653"/>
    </row>
    <row r="380" spans="1:23">
      <c r="A380" s="1815" t="s">
        <v>2168</v>
      </c>
      <c r="B380" s="1548" t="s">
        <v>309</v>
      </c>
      <c r="C380" s="1530"/>
      <c r="D380" s="1542"/>
      <c r="E380" s="1612"/>
      <c r="F380" s="1613"/>
      <c r="G380" s="1613"/>
      <c r="H380" s="1823"/>
      <c r="I380" s="1859"/>
      <c r="J380" s="1543"/>
      <c r="L380" s="1653"/>
    </row>
    <row r="381" spans="1:23" ht="57.75" customHeight="1">
      <c r="A381" s="75" t="s">
        <v>2176</v>
      </c>
      <c r="B381" s="1549" t="s">
        <v>1637</v>
      </c>
      <c r="C381" s="1576" t="s">
        <v>19</v>
      </c>
      <c r="D381" s="1542">
        <f>'Headrace Pipe '!J58</f>
        <v>770.85</v>
      </c>
      <c r="E381" s="1612"/>
      <c r="F381" s="1613"/>
      <c r="G381" s="1613"/>
      <c r="H381" s="1823"/>
      <c r="I381" s="1859"/>
      <c r="J381" s="1543"/>
      <c r="L381" s="1653"/>
    </row>
    <row r="382" spans="1:23">
      <c r="A382" s="1815" t="s">
        <v>2169</v>
      </c>
      <c r="B382" s="313" t="s">
        <v>1649</v>
      </c>
      <c r="C382" s="1576"/>
      <c r="D382" s="1542"/>
      <c r="E382" s="1612"/>
      <c r="F382" s="1613"/>
      <c r="G382" s="1613"/>
      <c r="H382" s="1823"/>
      <c r="I382" s="1859"/>
      <c r="J382" s="1543"/>
      <c r="L382" s="1653"/>
    </row>
    <row r="383" spans="1:23" ht="54">
      <c r="A383" s="75" t="s">
        <v>2177</v>
      </c>
      <c r="B383" s="1550" t="s">
        <v>1248</v>
      </c>
      <c r="C383" s="1530" t="s">
        <v>25</v>
      </c>
      <c r="D383" s="1542">
        <f>'Headrace Pipe '!J61</f>
        <v>101.62900449999999</v>
      </c>
      <c r="E383" s="1612"/>
      <c r="F383" s="1613"/>
      <c r="G383" s="1613"/>
      <c r="H383" s="1823"/>
      <c r="I383" s="1859"/>
      <c r="J383" s="1543"/>
      <c r="L383" s="1653"/>
    </row>
    <row r="384" spans="1:23">
      <c r="A384" s="1815" t="s">
        <v>2170</v>
      </c>
      <c r="B384" s="313" t="s">
        <v>1702</v>
      </c>
      <c r="C384" s="1530"/>
      <c r="D384" s="1542"/>
      <c r="E384" s="1612"/>
      <c r="F384" s="1613"/>
      <c r="G384" s="1613"/>
      <c r="H384" s="1823"/>
      <c r="I384" s="1859"/>
      <c r="J384" s="1543"/>
      <c r="L384" s="1653"/>
    </row>
    <row r="385" spans="1:12" ht="36">
      <c r="A385" s="75" t="s">
        <v>2178</v>
      </c>
      <c r="B385" s="1529" t="s">
        <v>1704</v>
      </c>
      <c r="C385" s="1530" t="s">
        <v>21</v>
      </c>
      <c r="D385" s="1542">
        <f>'Headrace Pipe '!J67</f>
        <v>280</v>
      </c>
      <c r="E385" s="1612"/>
      <c r="F385" s="1613"/>
      <c r="G385" s="1613"/>
      <c r="H385" s="1823"/>
      <c r="I385" s="1859"/>
      <c r="J385" s="1543"/>
      <c r="L385" s="1653"/>
    </row>
    <row r="386" spans="1:12" ht="17.25" customHeight="1">
      <c r="A386" s="1722"/>
      <c r="B386" s="1557"/>
      <c r="C386" s="1563"/>
      <c r="D386" s="1688"/>
      <c r="E386" s="220"/>
      <c r="F386" s="1666" t="s">
        <v>1483</v>
      </c>
      <c r="G386" s="1695"/>
      <c r="H386" s="1824"/>
      <c r="I386" s="1850"/>
      <c r="J386" s="1542"/>
      <c r="L386" s="1653"/>
    </row>
    <row r="387" spans="1:12">
      <c r="A387" s="1814" t="s">
        <v>2181</v>
      </c>
      <c r="B387" s="1533" t="s">
        <v>795</v>
      </c>
      <c r="C387" s="1534"/>
      <c r="D387" s="1736"/>
      <c r="E387" s="1535"/>
      <c r="F387" s="1536"/>
      <c r="G387" s="1536"/>
      <c r="H387" s="1534"/>
      <c r="I387" s="1850"/>
      <c r="J387" s="220"/>
      <c r="L387" s="1653"/>
    </row>
    <row r="388" spans="1:12">
      <c r="A388" s="1722" t="s">
        <v>2182</v>
      </c>
      <c r="B388" s="1548" t="s">
        <v>18</v>
      </c>
      <c r="C388" s="1530"/>
      <c r="D388" s="1686"/>
      <c r="E388" s="220"/>
      <c r="F388" s="1587"/>
      <c r="G388" s="1587"/>
      <c r="H388" s="1563"/>
      <c r="I388" s="1857"/>
      <c r="J388" s="220"/>
      <c r="L388" s="1653"/>
    </row>
    <row r="389" spans="1:12" ht="72">
      <c r="A389" s="75" t="s">
        <v>2183</v>
      </c>
      <c r="B389" s="1555" t="s">
        <v>2847</v>
      </c>
      <c r="C389" s="1530" t="s">
        <v>19</v>
      </c>
      <c r="D389" s="1542">
        <f>'Inlet Portal'!J13</f>
        <v>1000</v>
      </c>
      <c r="E389" s="220"/>
      <c r="F389" s="220"/>
      <c r="G389" s="220"/>
      <c r="H389" s="1608"/>
      <c r="I389" s="1860"/>
      <c r="J389" s="1543"/>
    </row>
    <row r="390" spans="1:12" ht="72">
      <c r="A390" s="1815" t="s">
        <v>2184</v>
      </c>
      <c r="B390" s="1544" t="s">
        <v>2849</v>
      </c>
      <c r="C390" s="1530"/>
      <c r="D390" s="1542"/>
      <c r="E390" s="220"/>
      <c r="F390" s="220"/>
      <c r="G390" s="220"/>
      <c r="H390" s="1608"/>
      <c r="I390" s="1860"/>
      <c r="J390" s="1543"/>
    </row>
    <row r="391" spans="1:12">
      <c r="A391" s="75" t="s">
        <v>2187</v>
      </c>
      <c r="B391" s="220" t="s">
        <v>1851</v>
      </c>
      <c r="C391" s="1530" t="s">
        <v>21</v>
      </c>
      <c r="D391" s="1542">
        <f>'Inlet Portal'!J16</f>
        <v>5096</v>
      </c>
      <c r="E391" s="220"/>
      <c r="F391" s="220"/>
      <c r="G391" s="220"/>
      <c r="H391" s="1608"/>
      <c r="I391" s="1860"/>
      <c r="J391" s="1543"/>
    </row>
    <row r="392" spans="1:12">
      <c r="A392" s="75" t="s">
        <v>2188</v>
      </c>
      <c r="B392" s="220" t="s">
        <v>63</v>
      </c>
      <c r="C392" s="1530" t="s">
        <v>21</v>
      </c>
      <c r="D392" s="1542">
        <f>'Inlet Portal'!J18</f>
        <v>2184</v>
      </c>
      <c r="E392" s="220"/>
      <c r="F392" s="220"/>
      <c r="G392" s="220"/>
      <c r="H392" s="1608"/>
      <c r="I392" s="1860"/>
      <c r="J392" s="1543"/>
    </row>
    <row r="393" spans="1:12">
      <c r="A393" s="1815" t="s">
        <v>2185</v>
      </c>
      <c r="B393" s="313" t="s">
        <v>1929</v>
      </c>
      <c r="C393" s="1530"/>
      <c r="D393" s="1542"/>
      <c r="E393" s="220"/>
      <c r="F393" s="220"/>
      <c r="G393" s="220"/>
      <c r="H393" s="1608"/>
      <c r="I393" s="1860"/>
      <c r="J393" s="1543"/>
    </row>
    <row r="394" spans="1:12" ht="54">
      <c r="A394" s="75" t="s">
        <v>2189</v>
      </c>
      <c r="B394" s="1550" t="s">
        <v>2865</v>
      </c>
      <c r="C394" s="1530" t="s">
        <v>307</v>
      </c>
      <c r="D394" s="1542">
        <f>'Inlet Portal'!J22</f>
        <v>400</v>
      </c>
      <c r="E394" s="220"/>
      <c r="F394" s="220"/>
      <c r="G394" s="220"/>
      <c r="H394" s="1608"/>
      <c r="I394" s="1860"/>
      <c r="J394" s="1543"/>
    </row>
    <row r="395" spans="1:12">
      <c r="A395" s="1815" t="s">
        <v>2186</v>
      </c>
      <c r="B395" s="313" t="s">
        <v>1872</v>
      </c>
      <c r="C395" s="66"/>
      <c r="D395" s="1732"/>
      <c r="E395" s="220"/>
      <c r="F395" s="220"/>
      <c r="G395" s="220"/>
      <c r="H395" s="1608"/>
      <c r="I395" s="1850"/>
      <c r="J395" s="220"/>
    </row>
    <row r="396" spans="1:12" ht="54">
      <c r="A396" s="75" t="s">
        <v>2190</v>
      </c>
      <c r="B396" s="1550" t="s">
        <v>2750</v>
      </c>
      <c r="C396" s="66" t="s">
        <v>19</v>
      </c>
      <c r="D396" s="1732">
        <v>50</v>
      </c>
      <c r="E396" s="220"/>
      <c r="F396" s="220"/>
      <c r="G396" s="220"/>
      <c r="H396" s="1608"/>
      <c r="I396" s="1853"/>
      <c r="J396" s="1593"/>
    </row>
    <row r="397" spans="1:12" ht="54">
      <c r="A397" s="75" t="s">
        <v>2759</v>
      </c>
      <c r="B397" s="1550" t="s">
        <v>1807</v>
      </c>
      <c r="C397" s="1530" t="s">
        <v>19</v>
      </c>
      <c r="D397" s="1542">
        <f>'Inlet Portal'!J26</f>
        <v>90</v>
      </c>
      <c r="E397" s="220"/>
      <c r="F397" s="220"/>
      <c r="G397" s="220"/>
      <c r="H397" s="1608"/>
      <c r="I397" s="1860"/>
      <c r="J397" s="1543"/>
    </row>
    <row r="398" spans="1:12">
      <c r="A398" s="1815" t="s">
        <v>2191</v>
      </c>
      <c r="B398" s="1557" t="s">
        <v>1486</v>
      </c>
      <c r="C398" s="1530"/>
      <c r="D398" s="1542"/>
      <c r="E398" s="220"/>
      <c r="F398" s="220"/>
      <c r="G398" s="220"/>
      <c r="H398" s="1608"/>
      <c r="I398" s="1860"/>
      <c r="J398" s="1543"/>
    </row>
    <row r="399" spans="1:12" ht="36">
      <c r="A399" s="75" t="s">
        <v>2193</v>
      </c>
      <c r="B399" s="669" t="s">
        <v>2877</v>
      </c>
      <c r="C399" s="1530" t="s">
        <v>19</v>
      </c>
      <c r="D399" s="1542">
        <v>300</v>
      </c>
      <c r="E399" s="220"/>
      <c r="F399" s="220"/>
      <c r="G399" s="220"/>
      <c r="H399" s="1608"/>
      <c r="I399" s="1860"/>
      <c r="J399" s="1543"/>
    </row>
    <row r="400" spans="1:12" ht="36">
      <c r="A400" s="75" t="s">
        <v>2760</v>
      </c>
      <c r="B400" s="669" t="s">
        <v>2878</v>
      </c>
      <c r="C400" s="1530" t="s">
        <v>19</v>
      </c>
      <c r="D400" s="1542">
        <f>'Inlet Portal'!J29</f>
        <v>900</v>
      </c>
      <c r="E400" s="220"/>
      <c r="F400" s="220"/>
      <c r="G400" s="220"/>
      <c r="H400" s="1608"/>
      <c r="I400" s="1860"/>
      <c r="J400" s="1543"/>
    </row>
    <row r="401" spans="1:10">
      <c r="A401" s="1722" t="s">
        <v>2192</v>
      </c>
      <c r="B401" s="1557" t="s">
        <v>1484</v>
      </c>
      <c r="C401" s="1530" t="s">
        <v>311</v>
      </c>
      <c r="D401" s="1542">
        <f>'Inlet Portal'!J33</f>
        <v>300</v>
      </c>
      <c r="E401" s="220"/>
      <c r="F401" s="220"/>
      <c r="G401" s="220"/>
      <c r="H401" s="1608"/>
      <c r="I401" s="1860"/>
      <c r="J401" s="1543"/>
    </row>
    <row r="402" spans="1:10" ht="17.25" customHeight="1">
      <c r="A402" s="1722"/>
      <c r="B402" s="1557"/>
      <c r="C402" s="1563"/>
      <c r="D402" s="1688"/>
      <c r="E402" s="220"/>
      <c r="F402" s="1666" t="s">
        <v>1483</v>
      </c>
      <c r="G402" s="1695"/>
      <c r="H402" s="1822"/>
      <c r="I402" s="1850"/>
      <c r="J402" s="1717"/>
    </row>
    <row r="403" spans="1:10" s="315" customFormat="1">
      <c r="A403" s="1814" t="s">
        <v>2194</v>
      </c>
      <c r="B403" s="1533" t="s">
        <v>1485</v>
      </c>
      <c r="C403" s="1534"/>
      <c r="D403" s="1736"/>
      <c r="E403" s="1697"/>
      <c r="F403" s="1536"/>
      <c r="G403" s="1697"/>
      <c r="H403" s="1534"/>
      <c r="I403" s="1857"/>
      <c r="J403" s="1543"/>
    </row>
    <row r="404" spans="1:10" ht="108">
      <c r="A404" s="1815" t="s">
        <v>2195</v>
      </c>
      <c r="B404" s="1556" t="s">
        <v>3116</v>
      </c>
      <c r="C404" s="1530"/>
      <c r="D404" s="1686"/>
      <c r="E404" s="220"/>
      <c r="F404" s="1577"/>
      <c r="G404" s="220"/>
      <c r="H404" s="1608"/>
      <c r="I404" s="1857"/>
      <c r="J404" s="1543"/>
    </row>
    <row r="405" spans="1:10">
      <c r="A405" s="75" t="s">
        <v>2200</v>
      </c>
      <c r="B405" s="1545" t="s">
        <v>2903</v>
      </c>
      <c r="C405" s="1530" t="s">
        <v>21</v>
      </c>
      <c r="D405" s="1542">
        <f>'HRT  (Alt.)'!H35+'HRT  (Alt.)'!F35</f>
        <v>11462.360781727642</v>
      </c>
      <c r="E405" s="220"/>
      <c r="F405" s="220"/>
      <c r="G405" s="220"/>
      <c r="H405" s="1608"/>
      <c r="I405" s="1860"/>
      <c r="J405" s="1543" t="s">
        <v>3265</v>
      </c>
    </row>
    <row r="406" spans="1:10">
      <c r="A406" s="75" t="s">
        <v>2687</v>
      </c>
      <c r="B406" s="1545" t="s">
        <v>2904</v>
      </c>
      <c r="C406" s="1530" t="s">
        <v>21</v>
      </c>
      <c r="D406" s="1542">
        <f>'HRT  (Alt.)'!J35+'HRT  (Alt.)'!K35</f>
        <v>22407.653292109317</v>
      </c>
      <c r="E406" s="220"/>
      <c r="F406" s="220"/>
      <c r="G406" s="220"/>
      <c r="H406" s="1608"/>
      <c r="I406" s="1860"/>
      <c r="J406" s="1543" t="s">
        <v>84</v>
      </c>
    </row>
    <row r="407" spans="1:10">
      <c r="A407" s="1815" t="s">
        <v>2196</v>
      </c>
      <c r="B407" s="313" t="s">
        <v>1872</v>
      </c>
      <c r="C407" s="1530"/>
      <c r="D407" s="1542"/>
      <c r="E407" s="220"/>
      <c r="F407" s="220"/>
      <c r="G407" s="220"/>
      <c r="H407" s="1608"/>
      <c r="I407" s="1850"/>
      <c r="J407" s="1543"/>
    </row>
    <row r="408" spans="1:10" ht="54">
      <c r="A408" s="75" t="s">
        <v>2201</v>
      </c>
      <c r="B408" s="669" t="s">
        <v>2606</v>
      </c>
      <c r="C408" s="1530" t="s">
        <v>19</v>
      </c>
      <c r="D408" s="1542">
        <v>50</v>
      </c>
      <c r="E408" s="220"/>
      <c r="F408" s="220"/>
      <c r="G408" s="220"/>
      <c r="H408" s="1608"/>
      <c r="I408" s="1860"/>
      <c r="J408" s="1543"/>
    </row>
    <row r="409" spans="1:10" ht="54">
      <c r="A409" s="75" t="s">
        <v>2202</v>
      </c>
      <c r="B409" s="669" t="s">
        <v>2607</v>
      </c>
      <c r="C409" s="1530" t="s">
        <v>19</v>
      </c>
      <c r="D409" s="1542">
        <v>50</v>
      </c>
      <c r="E409" s="220"/>
      <c r="F409" s="220"/>
      <c r="G409" s="220"/>
      <c r="H409" s="1608"/>
      <c r="I409" s="1860"/>
      <c r="J409" s="1543"/>
    </row>
    <row r="410" spans="1:10" ht="54">
      <c r="A410" s="75" t="s">
        <v>2688</v>
      </c>
      <c r="B410" s="669" t="s">
        <v>2412</v>
      </c>
      <c r="C410" s="1530" t="s">
        <v>19</v>
      </c>
      <c r="D410" s="1542">
        <v>50</v>
      </c>
      <c r="E410" s="220"/>
      <c r="F410" s="220"/>
      <c r="G410" s="220"/>
      <c r="H410" s="1608"/>
      <c r="I410" s="1860"/>
      <c r="J410" s="1543"/>
    </row>
    <row r="411" spans="1:10" ht="54">
      <c r="A411" s="75" t="s">
        <v>2689</v>
      </c>
      <c r="B411" s="669" t="s">
        <v>1862</v>
      </c>
      <c r="C411" s="1530" t="s">
        <v>19</v>
      </c>
      <c r="D411" s="1542">
        <f>'HRT  (Alt.)'!L36</f>
        <v>24661.688826399928</v>
      </c>
      <c r="E411" s="220"/>
      <c r="F411" s="220"/>
      <c r="G411" s="220"/>
      <c r="H411" s="1608"/>
      <c r="I411" s="1860"/>
      <c r="J411" s="1543" t="s">
        <v>84</v>
      </c>
    </row>
    <row r="412" spans="1:10" ht="54">
      <c r="A412" s="75" t="s">
        <v>2690</v>
      </c>
      <c r="B412" s="669" t="s">
        <v>1881</v>
      </c>
      <c r="C412" s="1530" t="s">
        <v>19</v>
      </c>
      <c r="D412" s="1542">
        <f>'HRT  (Alt.)'!L37</f>
        <v>21693.522236018885</v>
      </c>
      <c r="E412" s="220"/>
      <c r="F412" s="220"/>
      <c r="G412" s="220"/>
      <c r="H412" s="1608"/>
      <c r="I412" s="1860"/>
      <c r="J412" s="1543" t="s">
        <v>84</v>
      </c>
    </row>
    <row r="413" spans="1:10" ht="54">
      <c r="A413" s="75" t="s">
        <v>2783</v>
      </c>
      <c r="B413" s="669" t="s">
        <v>1883</v>
      </c>
      <c r="C413" s="1530" t="s">
        <v>19</v>
      </c>
      <c r="D413" s="1542">
        <f>'HRT  (Alt.)'!L38</f>
        <v>11035.868577846293</v>
      </c>
      <c r="E413" s="220"/>
      <c r="F413" s="220"/>
      <c r="G413" s="220"/>
      <c r="H413" s="1608"/>
      <c r="I413" s="1860"/>
      <c r="J413" s="1543" t="s">
        <v>84</v>
      </c>
    </row>
    <row r="414" spans="1:10" ht="54">
      <c r="A414" s="1874" t="s">
        <v>3217</v>
      </c>
      <c r="B414" s="1873" t="s">
        <v>1878</v>
      </c>
      <c r="C414" s="1876" t="s">
        <v>19</v>
      </c>
      <c r="D414" s="1877">
        <v>150</v>
      </c>
      <c r="E414" s="220"/>
      <c r="F414" s="220"/>
      <c r="G414" s="220"/>
      <c r="H414" s="1608"/>
      <c r="I414" s="1860"/>
      <c r="J414" s="1543"/>
    </row>
    <row r="415" spans="1:10">
      <c r="A415" s="1815" t="s">
        <v>2882</v>
      </c>
      <c r="B415" s="1557" t="s">
        <v>1486</v>
      </c>
      <c r="C415" s="1530"/>
      <c r="D415" s="1542"/>
      <c r="E415" s="220"/>
      <c r="F415" s="220"/>
      <c r="G415" s="220"/>
      <c r="H415" s="1608"/>
      <c r="I415" s="1860"/>
      <c r="J415" s="1543"/>
    </row>
    <row r="416" spans="1:10" ht="36">
      <c r="A416" s="75" t="s">
        <v>2883</v>
      </c>
      <c r="B416" s="669" t="s">
        <v>2879</v>
      </c>
      <c r="C416" s="1530" t="s">
        <v>19</v>
      </c>
      <c r="D416" s="1542">
        <f>'HRT  (Alt.)'!L49-D417</f>
        <v>31883.427481891256</v>
      </c>
      <c r="E416" s="220"/>
      <c r="F416" s="220"/>
      <c r="G416" s="220"/>
      <c r="H416" s="1608"/>
      <c r="I416" s="1860"/>
      <c r="J416" s="1543"/>
    </row>
    <row r="417" spans="1:10" ht="36">
      <c r="A417" s="75" t="s">
        <v>2884</v>
      </c>
      <c r="B417" s="669" t="s">
        <v>2877</v>
      </c>
      <c r="C417" s="1530" t="s">
        <v>19</v>
      </c>
      <c r="D417" s="1542">
        <v>100</v>
      </c>
      <c r="E417" s="220"/>
      <c r="F417" s="220"/>
      <c r="G417" s="220"/>
      <c r="H417" s="1608"/>
      <c r="I417" s="1860"/>
      <c r="J417" s="1543"/>
    </row>
    <row r="418" spans="1:10">
      <c r="A418" s="1815" t="s">
        <v>2197</v>
      </c>
      <c r="B418" s="313" t="s">
        <v>1929</v>
      </c>
      <c r="C418" s="1530"/>
      <c r="D418" s="1542"/>
      <c r="E418" s="220"/>
      <c r="F418" s="220"/>
      <c r="G418" s="220"/>
      <c r="H418" s="1608"/>
      <c r="I418" s="1860"/>
      <c r="J418" s="1543"/>
    </row>
    <row r="419" spans="1:10" ht="54">
      <c r="A419" s="75" t="s">
        <v>2203</v>
      </c>
      <c r="B419" s="1570" t="s">
        <v>3220</v>
      </c>
      <c r="C419" s="1530" t="s">
        <v>311</v>
      </c>
      <c r="D419" s="1542">
        <f>'HRT  (Alt.)'!L42</f>
        <v>11194</v>
      </c>
      <c r="E419" s="220"/>
      <c r="F419" s="220"/>
      <c r="G419" s="220"/>
      <c r="H419" s="1608"/>
      <c r="I419" s="1860"/>
      <c r="J419" s="1543" t="s">
        <v>3265</v>
      </c>
    </row>
    <row r="420" spans="1:10" ht="54">
      <c r="A420" s="75" t="s">
        <v>2691</v>
      </c>
      <c r="B420" s="1570" t="s">
        <v>3221</v>
      </c>
      <c r="C420" s="1530" t="s">
        <v>311</v>
      </c>
      <c r="D420" s="1542">
        <f>'HRT  (Alt.)'!L43</f>
        <v>15046</v>
      </c>
      <c r="E420" s="220"/>
      <c r="F420" s="220"/>
      <c r="G420" s="220"/>
      <c r="H420" s="1608"/>
      <c r="I420" s="1860"/>
      <c r="J420" s="1543" t="s">
        <v>3266</v>
      </c>
    </row>
    <row r="421" spans="1:10" ht="76.8">
      <c r="A421" s="1874" t="s">
        <v>3218</v>
      </c>
      <c r="B421" s="1875" t="s">
        <v>3222</v>
      </c>
      <c r="C421" s="1530" t="s">
        <v>311</v>
      </c>
      <c r="D421" s="1877">
        <v>55</v>
      </c>
      <c r="E421" s="220"/>
      <c r="F421" s="220"/>
      <c r="G421" s="220"/>
      <c r="H421" s="1608"/>
      <c r="I421" s="1860"/>
      <c r="J421" s="1543"/>
    </row>
    <row r="422" spans="1:10" ht="76.8">
      <c r="A422" s="1874" t="s">
        <v>3219</v>
      </c>
      <c r="B422" s="1875" t="s">
        <v>3223</v>
      </c>
      <c r="C422" s="1530" t="s">
        <v>311</v>
      </c>
      <c r="D422" s="1877">
        <v>35</v>
      </c>
      <c r="E422" s="220"/>
      <c r="F422" s="220"/>
      <c r="G422" s="220"/>
      <c r="H422" s="1608"/>
      <c r="I422" s="1860"/>
      <c r="J422" s="1543"/>
    </row>
    <row r="423" spans="1:10">
      <c r="A423" s="75"/>
      <c r="B423" s="1570"/>
      <c r="C423" s="1530"/>
      <c r="D423" s="1542"/>
      <c r="E423" s="220"/>
      <c r="F423" s="220"/>
      <c r="G423" s="220"/>
      <c r="H423" s="1608"/>
      <c r="I423" s="1860"/>
      <c r="J423" s="1543"/>
    </row>
    <row r="424" spans="1:10">
      <c r="A424" s="1815" t="s">
        <v>2198</v>
      </c>
      <c r="B424" s="313" t="s">
        <v>2784</v>
      </c>
      <c r="C424" s="1530"/>
      <c r="D424" s="1542"/>
      <c r="E424" s="220"/>
      <c r="F424" s="220"/>
      <c r="G424" s="220"/>
      <c r="H424" s="1608"/>
      <c r="I424" s="1860"/>
      <c r="J424" s="1543"/>
    </row>
    <row r="425" spans="1:10" ht="54">
      <c r="A425" s="75" t="s">
        <v>2204</v>
      </c>
      <c r="B425" s="669" t="s">
        <v>2881</v>
      </c>
      <c r="C425" s="1530" t="s">
        <v>311</v>
      </c>
      <c r="D425" s="1542">
        <f>'HRT  (Alt.)'!L44</f>
        <v>1427</v>
      </c>
      <c r="E425" s="220"/>
      <c r="F425" s="220"/>
      <c r="G425" s="220"/>
      <c r="H425" s="1608"/>
      <c r="I425" s="1860"/>
      <c r="J425" s="1543"/>
    </row>
    <row r="426" spans="1:10" ht="54">
      <c r="A426" s="1815" t="s">
        <v>2199</v>
      </c>
      <c r="B426" s="1578" t="s">
        <v>2742</v>
      </c>
      <c r="C426" s="1530"/>
      <c r="D426" s="1542"/>
      <c r="E426" s="220"/>
      <c r="F426" s="220"/>
      <c r="G426" s="220"/>
      <c r="H426" s="1608"/>
      <c r="I426" s="1860"/>
      <c r="J426" s="1543"/>
    </row>
    <row r="427" spans="1:10">
      <c r="A427" s="75" t="s">
        <v>2885</v>
      </c>
      <c r="B427" s="1429" t="s">
        <v>2397</v>
      </c>
      <c r="C427" s="1530" t="s">
        <v>322</v>
      </c>
      <c r="D427" s="1542">
        <v>500</v>
      </c>
      <c r="E427" s="220"/>
      <c r="F427" s="220"/>
      <c r="G427" s="220"/>
      <c r="H427" s="1608"/>
      <c r="I427" s="1860"/>
      <c r="J427" s="1577"/>
    </row>
    <row r="428" spans="1:10">
      <c r="A428" s="75" t="s">
        <v>2886</v>
      </c>
      <c r="B428" s="1429" t="s">
        <v>2398</v>
      </c>
      <c r="C428" s="1530" t="s">
        <v>322</v>
      </c>
      <c r="D428" s="1542">
        <v>45</v>
      </c>
      <c r="E428" s="220"/>
      <c r="F428" s="220"/>
      <c r="G428" s="220"/>
      <c r="H428" s="1608"/>
      <c r="I428" s="1860"/>
      <c r="J428" s="1577"/>
    </row>
    <row r="429" spans="1:10">
      <c r="A429" s="75" t="s">
        <v>2887</v>
      </c>
      <c r="B429" s="1429" t="s">
        <v>2399</v>
      </c>
      <c r="C429" s="66" t="s">
        <v>47</v>
      </c>
      <c r="D429" s="1742">
        <v>50</v>
      </c>
      <c r="E429" s="220"/>
      <c r="F429" s="220"/>
      <c r="G429" s="220"/>
      <c r="H429" s="1608"/>
      <c r="I429" s="1860"/>
      <c r="J429" s="1577"/>
    </row>
    <row r="430" spans="1:10">
      <c r="A430" s="75" t="s">
        <v>2888</v>
      </c>
      <c r="B430" s="1586" t="s">
        <v>1902</v>
      </c>
      <c r="C430" s="1530" t="s">
        <v>27</v>
      </c>
      <c r="D430" s="1542">
        <v>7476.18</v>
      </c>
      <c r="E430" s="220"/>
      <c r="F430" s="220"/>
      <c r="G430" s="220"/>
      <c r="H430" s="1608"/>
      <c r="I430" s="1860"/>
      <c r="J430" s="1577"/>
    </row>
    <row r="431" spans="1:10" s="1996" customFormat="1">
      <c r="A431" s="1988" t="s">
        <v>3330</v>
      </c>
      <c r="B431" s="1989" t="s">
        <v>3331</v>
      </c>
      <c r="C431" s="1990" t="s">
        <v>47</v>
      </c>
      <c r="D431" s="1991">
        <v>50</v>
      </c>
      <c r="E431" s="1992"/>
      <c r="F431" s="1992"/>
      <c r="G431" s="1992"/>
      <c r="H431" s="1993"/>
      <c r="I431" s="1994"/>
      <c r="J431" s="1995"/>
    </row>
    <row r="432" spans="1:10" s="1996" customFormat="1">
      <c r="A432" s="1988" t="s">
        <v>3332</v>
      </c>
      <c r="B432" s="1989" t="s">
        <v>3333</v>
      </c>
      <c r="C432" s="1990" t="s">
        <v>47</v>
      </c>
      <c r="D432" s="1991">
        <v>100</v>
      </c>
      <c r="E432" s="1992"/>
      <c r="F432" s="1992"/>
      <c r="G432" s="1992"/>
      <c r="H432" s="1993"/>
      <c r="I432" s="1994"/>
      <c r="J432" s="1995"/>
    </row>
    <row r="433" spans="1:10" ht="54">
      <c r="A433" s="1722" t="s">
        <v>2692</v>
      </c>
      <c r="B433" s="1545" t="s">
        <v>2735</v>
      </c>
      <c r="C433" s="1530"/>
      <c r="D433" s="1542"/>
      <c r="E433" s="220"/>
      <c r="F433" s="220"/>
      <c r="G433" s="220"/>
      <c r="H433" s="1608"/>
      <c r="I433" s="1860"/>
      <c r="J433" s="1577"/>
    </row>
    <row r="434" spans="1:10">
      <c r="A434" s="1899" t="s">
        <v>2947</v>
      </c>
      <c r="B434" s="1878" t="s">
        <v>2214</v>
      </c>
      <c r="C434" s="1900" t="s">
        <v>21</v>
      </c>
      <c r="D434" s="1901">
        <f>'HRT  (Alt.)'!L39</f>
        <v>3997.097874072032</v>
      </c>
      <c r="E434" s="220"/>
      <c r="F434" s="220"/>
      <c r="G434" s="220"/>
      <c r="H434" s="1608"/>
      <c r="I434" s="1860"/>
      <c r="J434" s="1577"/>
    </row>
    <row r="435" spans="1:10">
      <c r="A435" s="1899" t="s">
        <v>2948</v>
      </c>
      <c r="B435" s="1878" t="s">
        <v>3254</v>
      </c>
      <c r="C435" s="1900" t="s">
        <v>21</v>
      </c>
      <c r="D435" s="1901">
        <f>'HRT  (Alt.)'!L47</f>
        <v>3056.3681280000005</v>
      </c>
      <c r="E435" s="220"/>
      <c r="F435" s="220"/>
      <c r="G435" s="220"/>
      <c r="H435" s="1608"/>
      <c r="I435" s="1860"/>
      <c r="J435" s="1577"/>
    </row>
    <row r="436" spans="1:10">
      <c r="A436" s="1722" t="s">
        <v>2693</v>
      </c>
      <c r="B436" s="313" t="s">
        <v>1649</v>
      </c>
      <c r="C436" s="1530"/>
      <c r="D436" s="1542"/>
      <c r="E436" s="220"/>
      <c r="F436" s="220"/>
      <c r="G436" s="220"/>
      <c r="H436" s="1608"/>
      <c r="I436" s="1860"/>
      <c r="J436" s="1577"/>
    </row>
    <row r="437" spans="1:10" ht="54">
      <c r="A437" s="1899" t="s">
        <v>2949</v>
      </c>
      <c r="B437" s="1903" t="s">
        <v>1248</v>
      </c>
      <c r="C437" s="1900" t="s">
        <v>322</v>
      </c>
      <c r="D437" s="1901">
        <f>'HRT  (Alt.)'!J51</f>
        <v>339.60297720425814</v>
      </c>
      <c r="E437" s="220"/>
      <c r="F437" s="220"/>
      <c r="G437" s="220"/>
      <c r="H437" s="1608"/>
      <c r="I437" s="1860"/>
      <c r="J437" s="1577"/>
    </row>
    <row r="438" spans="1:10">
      <c r="A438" s="1815" t="s">
        <v>2943</v>
      </c>
      <c r="B438" s="1548" t="s">
        <v>309</v>
      </c>
      <c r="C438" s="1530"/>
      <c r="D438" s="1542"/>
      <c r="E438" s="1612"/>
      <c r="F438" s="1613"/>
      <c r="G438" s="1613"/>
      <c r="H438" s="1608"/>
      <c r="I438" s="1860"/>
      <c r="J438" s="1543"/>
    </row>
    <row r="439" spans="1:10" ht="54">
      <c r="A439" s="1899" t="s">
        <v>2950</v>
      </c>
      <c r="B439" s="1902" t="s">
        <v>2038</v>
      </c>
      <c r="C439" s="1900" t="s">
        <v>19</v>
      </c>
      <c r="D439" s="1901">
        <f>'HRT  (Alt.)'!L40</f>
        <v>10481.278780734105</v>
      </c>
      <c r="E439" s="1612"/>
      <c r="F439" s="1613"/>
      <c r="G439" s="1613"/>
      <c r="H439" s="1608"/>
      <c r="I439" s="1860"/>
      <c r="J439" s="1543"/>
    </row>
    <row r="440" spans="1:10">
      <c r="A440" s="1722" t="s">
        <v>2694</v>
      </c>
      <c r="B440" s="1557" t="s">
        <v>318</v>
      </c>
      <c r="C440" s="1530"/>
      <c r="D440" s="1542"/>
      <c r="E440" s="220"/>
      <c r="F440" s="220"/>
      <c r="G440" s="220"/>
      <c r="H440" s="1608"/>
      <c r="I440" s="1860"/>
      <c r="J440" s="1577"/>
    </row>
    <row r="441" spans="1:10" ht="54">
      <c r="A441" s="1899" t="s">
        <v>2695</v>
      </c>
      <c r="B441" s="1878" t="s">
        <v>2892</v>
      </c>
      <c r="C441" s="1900" t="s">
        <v>322</v>
      </c>
      <c r="D441" s="1901">
        <f>'HRT  (Alt.)'!L45</f>
        <v>170.66131033145385</v>
      </c>
      <c r="E441" s="220"/>
      <c r="F441" s="220"/>
      <c r="G441" s="220"/>
      <c r="H441" s="1608"/>
      <c r="I441" s="1860"/>
      <c r="J441" s="1577"/>
    </row>
    <row r="442" spans="1:10" ht="54">
      <c r="A442" s="75" t="s">
        <v>2889</v>
      </c>
      <c r="B442" s="669" t="s">
        <v>3224</v>
      </c>
      <c r="C442" s="1530" t="s">
        <v>322</v>
      </c>
      <c r="D442" s="1542">
        <v>5</v>
      </c>
      <c r="E442" s="220"/>
      <c r="F442" s="220"/>
      <c r="G442" s="220"/>
      <c r="H442" s="1608"/>
      <c r="I442" s="1860"/>
      <c r="J442" s="1577"/>
    </row>
    <row r="443" spans="1:10" ht="54">
      <c r="A443" s="1722" t="s">
        <v>2696</v>
      </c>
      <c r="B443" s="1557" t="s">
        <v>2418</v>
      </c>
      <c r="C443" s="1530" t="s">
        <v>47</v>
      </c>
      <c r="D443" s="1542">
        <v>20814.41</v>
      </c>
      <c r="E443" s="220"/>
      <c r="F443" s="220"/>
      <c r="G443" s="220"/>
      <c r="H443" s="1608"/>
      <c r="I443" s="1860"/>
      <c r="J443" s="1577"/>
    </row>
    <row r="444" spans="1:10" ht="36">
      <c r="A444" s="1722" t="s">
        <v>2697</v>
      </c>
      <c r="B444" s="1557" t="s">
        <v>2890</v>
      </c>
      <c r="C444" s="1530" t="s">
        <v>19</v>
      </c>
      <c r="D444" s="1542">
        <f>'HRT  (Alt.)'!L46</f>
        <v>19536</v>
      </c>
      <c r="E444" s="220"/>
      <c r="F444" s="220"/>
      <c r="G444" s="220"/>
      <c r="H444" s="1608"/>
      <c r="I444" s="1860"/>
      <c r="J444" s="1577"/>
    </row>
    <row r="445" spans="1:10">
      <c r="A445" s="1815" t="s">
        <v>2951</v>
      </c>
      <c r="B445" s="1557" t="s">
        <v>2419</v>
      </c>
      <c r="C445" s="1530"/>
      <c r="D445" s="1732"/>
      <c r="E445" s="220"/>
      <c r="F445" s="220"/>
      <c r="G445" s="220"/>
      <c r="H445" s="1608"/>
      <c r="I445" s="1860"/>
      <c r="J445" s="1577"/>
    </row>
    <row r="446" spans="1:10">
      <c r="A446" s="75" t="s">
        <v>2952</v>
      </c>
      <c r="B446" s="669" t="s">
        <v>2420</v>
      </c>
      <c r="C446" s="1530" t="s">
        <v>21</v>
      </c>
      <c r="D446" s="1542">
        <f>5%*D406</f>
        <v>1120.3826646054658</v>
      </c>
      <c r="E446" s="220"/>
      <c r="F446" s="220"/>
      <c r="G446" s="220"/>
      <c r="H446" s="1608"/>
      <c r="I446" s="1860"/>
      <c r="J446" s="1577"/>
    </row>
    <row r="447" spans="1:10">
      <c r="A447" s="1907" t="s">
        <v>3245</v>
      </c>
      <c r="B447" s="1908" t="s">
        <v>3252</v>
      </c>
      <c r="C447" s="1909" t="s">
        <v>311</v>
      </c>
      <c r="D447" s="1910">
        <v>210</v>
      </c>
      <c r="E447" s="1904"/>
      <c r="F447" s="1904"/>
      <c r="G447" s="1904"/>
      <c r="H447" s="1905"/>
      <c r="I447" s="1860"/>
      <c r="J447" s="1906"/>
    </row>
    <row r="448" spans="1:10">
      <c r="A448" s="1907" t="s">
        <v>3248</v>
      </c>
      <c r="B448" s="1898" t="s">
        <v>3246</v>
      </c>
      <c r="C448" s="1879" t="s">
        <v>46</v>
      </c>
      <c r="D448" s="1880">
        <v>180</v>
      </c>
      <c r="E448" s="220"/>
      <c r="F448" s="220"/>
      <c r="G448" s="220"/>
      <c r="H448" s="1608"/>
      <c r="I448" s="1860"/>
      <c r="J448" s="1577"/>
    </row>
    <row r="449" spans="1:10">
      <c r="A449" s="1907" t="s">
        <v>3249</v>
      </c>
      <c r="B449" s="1908" t="s">
        <v>3247</v>
      </c>
      <c r="C449" s="1879" t="s">
        <v>46</v>
      </c>
      <c r="D449" s="1911">
        <v>40</v>
      </c>
      <c r="E449" s="1904"/>
      <c r="F449" s="1904"/>
      <c r="G449" s="1904"/>
      <c r="H449" s="1905"/>
      <c r="I449" s="1860"/>
      <c r="J449" s="1906"/>
    </row>
    <row r="450" spans="1:10">
      <c r="A450" s="1907" t="s">
        <v>3250</v>
      </c>
      <c r="B450" s="1908" t="s">
        <v>3251</v>
      </c>
      <c r="C450" s="1909" t="s">
        <v>305</v>
      </c>
      <c r="D450" s="1911">
        <v>1</v>
      </c>
      <c r="E450" s="1904"/>
      <c r="F450" s="1904"/>
      <c r="G450" s="1904"/>
      <c r="H450" s="1905"/>
      <c r="I450" s="1860"/>
      <c r="J450" s="1906"/>
    </row>
    <row r="451" spans="1:10" ht="17.25" customHeight="1">
      <c r="A451" s="1722"/>
      <c r="B451" s="1557"/>
      <c r="C451" s="1563"/>
      <c r="D451" s="1688"/>
      <c r="E451" s="1612"/>
      <c r="F451" s="1666" t="s">
        <v>1483</v>
      </c>
      <c r="G451" s="1691"/>
      <c r="H451" s="1822"/>
      <c r="I451" s="1868"/>
      <c r="J451" s="1717"/>
    </row>
    <row r="452" spans="1:10" s="315" customFormat="1">
      <c r="A452" s="1814" t="s">
        <v>2205</v>
      </c>
      <c r="B452" s="1533" t="s">
        <v>2931</v>
      </c>
      <c r="C452" s="1534"/>
      <c r="D452" s="1736"/>
      <c r="E452" s="1697"/>
      <c r="F452" s="1536"/>
      <c r="G452" s="1697"/>
      <c r="H452" s="1534"/>
      <c r="I452" s="1857"/>
      <c r="J452" s="1543"/>
    </row>
    <row r="453" spans="1:10" s="1595" customFormat="1" ht="108">
      <c r="A453" s="1722" t="s">
        <v>2779</v>
      </c>
      <c r="B453" s="1556" t="s">
        <v>2880</v>
      </c>
      <c r="C453" s="1530" t="s">
        <v>21</v>
      </c>
      <c r="D453" s="1542">
        <f>'Adit Tunnel'!J22</f>
        <v>3404.9489855974825</v>
      </c>
      <c r="E453" s="1655"/>
      <c r="F453" s="1655"/>
      <c r="G453" s="1655"/>
      <c r="H453" s="1608"/>
      <c r="I453" s="1860"/>
      <c r="J453" s="1543"/>
    </row>
    <row r="454" spans="1:10">
      <c r="A454" s="1815" t="s">
        <v>2206</v>
      </c>
      <c r="B454" s="1557" t="s">
        <v>1872</v>
      </c>
      <c r="C454" s="66"/>
      <c r="D454" s="1612"/>
      <c r="E454" s="1612"/>
      <c r="F454" s="1613"/>
      <c r="G454" s="1613"/>
      <c r="H454" s="1608"/>
      <c r="I454" s="1869"/>
      <c r="J454" s="1613"/>
    </row>
    <row r="455" spans="1:10" ht="54">
      <c r="A455" s="75" t="s">
        <v>2936</v>
      </c>
      <c r="B455" s="669" t="s">
        <v>1862</v>
      </c>
      <c r="C455" s="1530" t="s">
        <v>19</v>
      </c>
      <c r="D455" s="1542">
        <f>'Adit Tunnel'!J23</f>
        <v>1778.6275726812112</v>
      </c>
      <c r="E455" s="1612"/>
      <c r="F455" s="1613"/>
      <c r="G455" s="1613"/>
      <c r="H455" s="1608"/>
      <c r="I455" s="1860"/>
      <c r="J455" s="1543"/>
    </row>
    <row r="456" spans="1:10" ht="54">
      <c r="A456" s="75" t="s">
        <v>2937</v>
      </c>
      <c r="B456" s="669" t="s">
        <v>1881</v>
      </c>
      <c r="C456" s="1530" t="s">
        <v>19</v>
      </c>
      <c r="D456" s="1542">
        <f>'Adit Tunnel'!J24</f>
        <v>1061.0636326233714</v>
      </c>
      <c r="E456" s="1612"/>
      <c r="F456" s="1613"/>
      <c r="G456" s="1613"/>
      <c r="H456" s="1608"/>
      <c r="I456" s="1860"/>
      <c r="J456" s="1543"/>
    </row>
    <row r="457" spans="1:10" ht="54">
      <c r="A457" s="75" t="s">
        <v>2938</v>
      </c>
      <c r="B457" s="669" t="s">
        <v>1883</v>
      </c>
      <c r="C457" s="1530" t="s">
        <v>19</v>
      </c>
      <c r="D457" s="1542">
        <f>'Adit Tunnel'!J25</f>
        <v>701.26284409689288</v>
      </c>
      <c r="E457" s="1612"/>
      <c r="F457" s="1613"/>
      <c r="G457" s="1613"/>
      <c r="H457" s="1608"/>
      <c r="I457" s="1860"/>
      <c r="J457" s="1543"/>
    </row>
    <row r="458" spans="1:10">
      <c r="A458" s="1815" t="s">
        <v>2698</v>
      </c>
      <c r="B458" s="1557" t="s">
        <v>2414</v>
      </c>
      <c r="C458" s="1530"/>
      <c r="D458" s="1542"/>
      <c r="E458" s="1612"/>
      <c r="F458" s="1613"/>
      <c r="G458" s="1613"/>
      <c r="H458" s="1608"/>
      <c r="I458" s="1860"/>
      <c r="J458" s="1543"/>
    </row>
    <row r="459" spans="1:10" ht="36">
      <c r="A459" s="75" t="s">
        <v>2780</v>
      </c>
      <c r="B459" s="669" t="s">
        <v>2879</v>
      </c>
      <c r="C459" s="1530" t="s">
        <v>19</v>
      </c>
      <c r="D459" s="1542">
        <f>'Adit Tunnel'!J35</f>
        <v>1416.3816197605902</v>
      </c>
      <c r="E459" s="1612"/>
      <c r="F459" s="1613"/>
      <c r="G459" s="1613"/>
      <c r="H459" s="1608"/>
      <c r="I459" s="1860"/>
      <c r="J459" s="1543"/>
    </row>
    <row r="460" spans="1:10" ht="36">
      <c r="A460" s="75" t="s">
        <v>2781</v>
      </c>
      <c r="B460" s="669" t="s">
        <v>2891</v>
      </c>
      <c r="C460" s="1530" t="s">
        <v>19</v>
      </c>
      <c r="D460" s="1542">
        <v>50</v>
      </c>
      <c r="E460" s="1612"/>
      <c r="F460" s="1613"/>
      <c r="G460" s="1613"/>
      <c r="H460" s="1608"/>
      <c r="I460" s="1860"/>
      <c r="J460" s="1543"/>
    </row>
    <row r="461" spans="1:10">
      <c r="A461" s="1815" t="s">
        <v>2207</v>
      </c>
      <c r="B461" s="313" t="s">
        <v>1929</v>
      </c>
      <c r="C461" s="1530"/>
      <c r="D461" s="1542"/>
      <c r="E461" s="1612"/>
      <c r="F461" s="1613"/>
      <c r="G461" s="1613"/>
      <c r="H461" s="1608"/>
      <c r="I461" s="1860"/>
      <c r="J461" s="1543"/>
    </row>
    <row r="462" spans="1:10" ht="54">
      <c r="A462" s="75" t="s">
        <v>2211</v>
      </c>
      <c r="B462" s="1550" t="s">
        <v>2868</v>
      </c>
      <c r="C462" s="1530" t="s">
        <v>307</v>
      </c>
      <c r="D462" s="1542">
        <f>'Adit Tunnel'!J28</f>
        <v>1369</v>
      </c>
      <c r="E462" s="1612"/>
      <c r="F462" s="1613"/>
      <c r="G462" s="1613"/>
      <c r="H462" s="1608"/>
      <c r="I462" s="1860"/>
      <c r="J462" s="1577"/>
    </row>
    <row r="463" spans="1:10" ht="54">
      <c r="A463" s="75" t="s">
        <v>2417</v>
      </c>
      <c r="B463" s="1550" t="s">
        <v>2867</v>
      </c>
      <c r="C463" s="1530" t="s">
        <v>307</v>
      </c>
      <c r="D463" s="1542">
        <f>'Adit Tunnel'!J29</f>
        <v>1414</v>
      </c>
      <c r="E463" s="1612"/>
      <c r="F463" s="1613"/>
      <c r="G463" s="1613"/>
      <c r="H463" s="1608"/>
      <c r="I463" s="1860"/>
      <c r="J463" s="1577"/>
    </row>
    <row r="464" spans="1:10">
      <c r="A464" s="1815" t="s">
        <v>2208</v>
      </c>
      <c r="B464" s="1557" t="s">
        <v>318</v>
      </c>
      <c r="C464" s="1530"/>
      <c r="D464" s="1542"/>
      <c r="E464" s="1612"/>
      <c r="F464" s="1613"/>
      <c r="G464" s="1613"/>
      <c r="H464" s="1608"/>
      <c r="I464" s="1860"/>
      <c r="J464" s="1577"/>
    </row>
    <row r="465" spans="1:10" ht="54">
      <c r="A465" s="75" t="s">
        <v>2212</v>
      </c>
      <c r="B465" s="669" t="s">
        <v>2892</v>
      </c>
      <c r="C465" s="1530" t="s">
        <v>322</v>
      </c>
      <c r="D465" s="1542">
        <v>3</v>
      </c>
      <c r="E465" s="1612"/>
      <c r="F465" s="1613"/>
      <c r="G465" s="1613"/>
      <c r="H465" s="1608"/>
      <c r="I465" s="1860"/>
      <c r="J465" s="1577"/>
    </row>
    <row r="466" spans="1:10" ht="72">
      <c r="A466" s="75" t="s">
        <v>2778</v>
      </c>
      <c r="B466" s="669" t="s">
        <v>2893</v>
      </c>
      <c r="C466" s="1530" t="s">
        <v>322</v>
      </c>
      <c r="D466" s="1542">
        <v>1</v>
      </c>
      <c r="E466" s="1612"/>
      <c r="F466" s="1613"/>
      <c r="G466" s="1613"/>
      <c r="H466" s="1608"/>
      <c r="I466" s="1860"/>
      <c r="J466" s="1577"/>
    </row>
    <row r="467" spans="1:10" ht="36">
      <c r="A467" s="1815" t="s">
        <v>2209</v>
      </c>
      <c r="B467" s="1557" t="s">
        <v>2890</v>
      </c>
      <c r="C467" s="1530" t="s">
        <v>19</v>
      </c>
      <c r="D467" s="1542">
        <f>'Adit Tunnel'!J34</f>
        <v>830.20799999999997</v>
      </c>
      <c r="E467" s="1612"/>
      <c r="F467" s="1613"/>
      <c r="G467" s="1613"/>
      <c r="H467" s="1608"/>
      <c r="I467" s="1860"/>
      <c r="J467" s="1543"/>
    </row>
    <row r="468" spans="1:10" ht="54">
      <c r="A468" s="1815" t="s">
        <v>2210</v>
      </c>
      <c r="B468" s="1545" t="s">
        <v>2735</v>
      </c>
      <c r="C468" s="1530"/>
      <c r="D468" s="1542"/>
      <c r="E468" s="1612"/>
      <c r="F468" s="1613"/>
      <c r="G468" s="1613"/>
      <c r="H468" s="1608"/>
      <c r="I468" s="1860"/>
      <c r="J468" s="1543"/>
    </row>
    <row r="469" spans="1:10">
      <c r="A469" s="75" t="s">
        <v>2939</v>
      </c>
      <c r="B469" s="669" t="s">
        <v>2221</v>
      </c>
      <c r="C469" s="1530" t="s">
        <v>21</v>
      </c>
      <c r="D469" s="1542">
        <f>'Adit Tunnel'!J32</f>
        <v>166.04160000000002</v>
      </c>
      <c r="E469" s="1612"/>
      <c r="F469" s="1613"/>
      <c r="G469" s="1613"/>
      <c r="H469" s="1608"/>
      <c r="I469" s="1860"/>
      <c r="J469" s="1543"/>
    </row>
    <row r="470" spans="1:10">
      <c r="A470" s="1815" t="s">
        <v>2213</v>
      </c>
      <c r="B470" s="313" t="s">
        <v>1649</v>
      </c>
      <c r="C470" s="1530"/>
      <c r="D470" s="1542"/>
      <c r="E470" s="1612"/>
      <c r="F470" s="1613"/>
      <c r="G470" s="1613"/>
      <c r="H470" s="1608"/>
      <c r="I470" s="1860"/>
      <c r="J470" s="1543"/>
    </row>
    <row r="471" spans="1:10" s="331" customFormat="1" ht="54">
      <c r="A471" s="75" t="s">
        <v>2782</v>
      </c>
      <c r="B471" s="1550" t="s">
        <v>1248</v>
      </c>
      <c r="C471" s="1530" t="s">
        <v>322</v>
      </c>
      <c r="D471" s="1542">
        <f>'Adit Tunnel'!J33</f>
        <v>13.498246022773753</v>
      </c>
      <c r="E471" s="88"/>
      <c r="F471" s="88"/>
      <c r="G471" s="88"/>
      <c r="H471" s="1608"/>
      <c r="I471" s="1860"/>
      <c r="J471" s="1543"/>
    </row>
    <row r="472" spans="1:10" ht="54">
      <c r="A472" s="1815" t="s">
        <v>2940</v>
      </c>
      <c r="B472" s="1557" t="s">
        <v>2418</v>
      </c>
      <c r="C472" s="1530" t="s">
        <v>438</v>
      </c>
      <c r="D472" s="1542">
        <v>681.23</v>
      </c>
      <c r="E472" s="1612"/>
      <c r="F472" s="1613"/>
      <c r="G472" s="1613"/>
      <c r="H472" s="1608"/>
      <c r="I472" s="1860"/>
      <c r="J472" s="1543"/>
    </row>
    <row r="473" spans="1:10" s="315" customFormat="1" ht="17.25" customHeight="1">
      <c r="A473" s="1722"/>
      <c r="B473" s="1557"/>
      <c r="C473" s="1563"/>
      <c r="D473" s="1688"/>
      <c r="E473" s="313"/>
      <c r="F473" s="1666" t="s">
        <v>1483</v>
      </c>
      <c r="G473" s="1696"/>
      <c r="H473" s="1822"/>
      <c r="I473" s="1850"/>
      <c r="J473" s="1717"/>
    </row>
    <row r="474" spans="1:10" ht="17.25" customHeight="1">
      <c r="A474" s="1814" t="s">
        <v>2215</v>
      </c>
      <c r="B474" s="1533" t="s">
        <v>2927</v>
      </c>
      <c r="C474" s="1534"/>
      <c r="D474" s="1534"/>
      <c r="E474" s="1697"/>
      <c r="F474" s="1536"/>
      <c r="G474" s="1697"/>
      <c r="H474" s="1534"/>
      <c r="I474" s="1868"/>
      <c r="J474" s="1717"/>
    </row>
    <row r="475" spans="1:10">
      <c r="A475" s="1815" t="s">
        <v>2699</v>
      </c>
      <c r="B475" s="1548" t="s">
        <v>18</v>
      </c>
      <c r="C475" s="1572"/>
      <c r="D475" s="1572"/>
      <c r="E475" s="1689"/>
      <c r="F475" s="1573"/>
      <c r="G475" s="1689"/>
      <c r="H475" s="1816"/>
      <c r="I475" s="1868"/>
      <c r="J475" s="1717"/>
    </row>
    <row r="476" spans="1:10" s="315" customFormat="1" ht="72">
      <c r="A476" s="75" t="s">
        <v>2932</v>
      </c>
      <c r="B476" s="1555" t="s">
        <v>2942</v>
      </c>
      <c r="C476" s="1530" t="s">
        <v>19</v>
      </c>
      <c r="D476" s="1542">
        <f>'HRT Adit Portal 1'!J13+'HRT Adit Portal 2'!J13</f>
        <v>340</v>
      </c>
      <c r="E476" s="220"/>
      <c r="F476" s="220"/>
      <c r="G476" s="220"/>
      <c r="H476" s="1608"/>
      <c r="I476" s="1860"/>
      <c r="J476" s="1543"/>
    </row>
    <row r="477" spans="1:10" s="315" customFormat="1" ht="72">
      <c r="A477" s="1815" t="s">
        <v>2216</v>
      </c>
      <c r="B477" s="1544" t="s">
        <v>2928</v>
      </c>
      <c r="C477" s="1530"/>
      <c r="D477" s="1542"/>
      <c r="E477" s="220"/>
      <c r="F477" s="220"/>
      <c r="G477" s="220"/>
      <c r="H477" s="1608"/>
      <c r="I477" s="1857"/>
      <c r="J477" s="1543"/>
    </row>
    <row r="478" spans="1:10" s="315" customFormat="1">
      <c r="A478" s="75" t="s">
        <v>2761</v>
      </c>
      <c r="B478" s="220" t="s">
        <v>63</v>
      </c>
      <c r="C478" s="1530" t="s">
        <v>21</v>
      </c>
      <c r="D478" s="1542">
        <f>'HRT Adit Portal 1'!J16+'HRT Adit Portal 2'!J16</f>
        <v>7578.2</v>
      </c>
      <c r="E478" s="1612"/>
      <c r="F478" s="1613"/>
      <c r="G478" s="1613"/>
      <c r="H478" s="1823"/>
      <c r="I478" s="1859"/>
      <c r="J478" s="1543"/>
    </row>
    <row r="479" spans="1:10" s="1595" customFormat="1">
      <c r="A479" s="1815" t="s">
        <v>2217</v>
      </c>
      <c r="B479" s="313" t="s">
        <v>1929</v>
      </c>
      <c r="C479" s="1530"/>
      <c r="D479" s="1542"/>
      <c r="E479" s="1612"/>
      <c r="F479" s="1613"/>
      <c r="G479" s="1613"/>
      <c r="H479" s="1823"/>
      <c r="I479" s="1870"/>
      <c r="J479" s="1543"/>
    </row>
    <row r="480" spans="1:10" s="1595" customFormat="1" ht="54">
      <c r="A480" s="75" t="s">
        <v>2700</v>
      </c>
      <c r="B480" s="1550" t="s">
        <v>2929</v>
      </c>
      <c r="C480" s="1530" t="s">
        <v>307</v>
      </c>
      <c r="D480" s="1542">
        <f>'HRT Adit Portal 1'!J20+'HRT Adit Portal 2'!J20</f>
        <v>523</v>
      </c>
      <c r="E480" s="1612"/>
      <c r="F480" s="1613"/>
      <c r="G480" s="1613"/>
      <c r="H480" s="1608"/>
      <c r="I480" s="1860"/>
      <c r="J480" s="1543"/>
    </row>
    <row r="481" spans="1:76">
      <c r="A481" s="1815" t="s">
        <v>2218</v>
      </c>
      <c r="B481" s="313" t="s">
        <v>1872</v>
      </c>
      <c r="C481" s="1530"/>
      <c r="D481" s="1542"/>
      <c r="E481" s="1612"/>
      <c r="F481" s="1613"/>
      <c r="G481" s="1613"/>
      <c r="H481" s="1608"/>
      <c r="I481" s="1850"/>
      <c r="J481" s="1543"/>
    </row>
    <row r="482" spans="1:76" ht="54">
      <c r="A482" s="75" t="s">
        <v>2224</v>
      </c>
      <c r="B482" s="1550" t="s">
        <v>2606</v>
      </c>
      <c r="C482" s="1530" t="s">
        <v>19</v>
      </c>
      <c r="D482" s="1542">
        <v>50</v>
      </c>
      <c r="E482" s="1612"/>
      <c r="F482" s="1613"/>
      <c r="G482" s="1613"/>
      <c r="H482" s="1608"/>
      <c r="I482" s="1860"/>
      <c r="J482" s="1543"/>
    </row>
    <row r="483" spans="1:76" ht="54">
      <c r="A483" s="75" t="s">
        <v>2934</v>
      </c>
      <c r="B483" s="1550" t="s">
        <v>2607</v>
      </c>
      <c r="C483" s="1530" t="s">
        <v>19</v>
      </c>
      <c r="D483" s="1542">
        <v>50</v>
      </c>
      <c r="E483" s="1612"/>
      <c r="F483" s="1613"/>
      <c r="G483" s="1613"/>
      <c r="H483" s="1608"/>
      <c r="I483" s="1860"/>
      <c r="J483" s="1543"/>
    </row>
    <row r="484" spans="1:76" ht="54">
      <c r="A484" s="75" t="s">
        <v>2933</v>
      </c>
      <c r="B484" s="1550" t="s">
        <v>2412</v>
      </c>
      <c r="C484" s="1530" t="s">
        <v>19</v>
      </c>
      <c r="D484" s="1542">
        <f>'HRT Adit Portal 1'!J24+'HRT Adit Portal 2'!J24</f>
        <v>1173.95</v>
      </c>
      <c r="E484" s="1612"/>
      <c r="F484" s="1613"/>
      <c r="G484" s="1613"/>
      <c r="H484" s="1608"/>
      <c r="I484" s="1860"/>
      <c r="J484" s="1543"/>
    </row>
    <row r="485" spans="1:76">
      <c r="A485" s="1815" t="s">
        <v>2219</v>
      </c>
      <c r="B485" s="1557" t="s">
        <v>1484</v>
      </c>
      <c r="C485" s="1530" t="s">
        <v>307</v>
      </c>
      <c r="D485" s="1542">
        <f>'HRT Adit Portal 1'!J32+'HRT Adit Portal 2'!J32</f>
        <v>392</v>
      </c>
      <c r="E485" s="1612"/>
      <c r="F485" s="1613"/>
      <c r="G485" s="1613"/>
      <c r="H485" s="1823"/>
      <c r="I485" s="1859"/>
      <c r="J485" s="1543"/>
    </row>
    <row r="486" spans="1:76">
      <c r="A486" s="1815" t="s">
        <v>2220</v>
      </c>
      <c r="B486" s="1557" t="s">
        <v>1486</v>
      </c>
      <c r="C486" s="1530"/>
      <c r="D486" s="1542"/>
      <c r="E486" s="1612"/>
      <c r="F486" s="1613"/>
      <c r="G486" s="1613"/>
      <c r="H486" s="1823"/>
      <c r="I486" s="1859"/>
      <c r="J486" s="1543"/>
    </row>
    <row r="487" spans="1:76" ht="36">
      <c r="A487" s="75" t="s">
        <v>2777</v>
      </c>
      <c r="B487" s="669" t="s">
        <v>2657</v>
      </c>
      <c r="C487" s="1530" t="s">
        <v>19</v>
      </c>
      <c r="D487" s="1542">
        <v>100</v>
      </c>
      <c r="E487" s="1612"/>
      <c r="F487" s="1613"/>
      <c r="G487" s="1613"/>
      <c r="H487" s="1823"/>
      <c r="I487" s="1859"/>
      <c r="J487" s="1543"/>
    </row>
    <row r="488" spans="1:76" ht="36">
      <c r="A488" s="75" t="s">
        <v>2935</v>
      </c>
      <c r="B488" s="669" t="s">
        <v>2422</v>
      </c>
      <c r="C488" s="1530" t="s">
        <v>19</v>
      </c>
      <c r="D488" s="1542">
        <f>'HRT Adit Portal 1'!J28+'HRT Adit Portal 2'!J28</f>
        <v>1173.95</v>
      </c>
      <c r="E488" s="1612"/>
      <c r="F488" s="1613"/>
      <c r="G488" s="1613"/>
      <c r="H488" s="1823"/>
      <c r="I488" s="1859"/>
      <c r="J488" s="1543"/>
    </row>
    <row r="489" spans="1:76">
      <c r="A489" s="1722"/>
      <c r="B489" s="1557"/>
      <c r="C489" s="1563"/>
      <c r="D489" s="1563"/>
      <c r="E489" s="1612"/>
      <c r="F489" s="1666" t="s">
        <v>1483</v>
      </c>
      <c r="G489" s="1691"/>
      <c r="H489" s="1822"/>
      <c r="I489" s="1850"/>
      <c r="J489" s="1770"/>
    </row>
    <row r="490" spans="1:76" s="1654" customFormat="1">
      <c r="A490" s="1814" t="s">
        <v>2222</v>
      </c>
      <c r="B490" s="1533" t="s">
        <v>1487</v>
      </c>
      <c r="C490" s="1551"/>
      <c r="D490" s="1738"/>
      <c r="E490" s="1552"/>
      <c r="F490" s="1536"/>
      <c r="G490" s="1697"/>
      <c r="H490" s="1534"/>
      <c r="I490" s="1850"/>
      <c r="J490" s="1543"/>
      <c r="K490" s="315"/>
      <c r="L490" s="315"/>
      <c r="M490" s="315"/>
      <c r="N490" s="315"/>
      <c r="O490" s="315"/>
      <c r="P490" s="315"/>
      <c r="Q490" s="315"/>
      <c r="R490" s="315"/>
      <c r="S490" s="315"/>
      <c r="T490" s="315"/>
      <c r="U490" s="315"/>
      <c r="V490" s="315"/>
      <c r="W490" s="315"/>
      <c r="X490" s="315"/>
      <c r="Y490" s="315"/>
      <c r="Z490" s="315"/>
      <c r="AA490" s="315"/>
      <c r="AB490" s="315"/>
      <c r="AC490" s="315"/>
      <c r="AD490" s="315"/>
      <c r="AE490" s="315"/>
      <c r="AF490" s="315"/>
      <c r="AG490" s="315"/>
      <c r="AH490" s="315"/>
      <c r="AI490" s="315"/>
      <c r="AJ490" s="315"/>
      <c r="AK490" s="315"/>
      <c r="AL490" s="315"/>
      <c r="AM490" s="315"/>
      <c r="AN490" s="315"/>
      <c r="AO490" s="315"/>
      <c r="AP490" s="315"/>
      <c r="AQ490" s="315"/>
      <c r="AR490" s="315"/>
      <c r="AS490" s="315"/>
      <c r="AT490" s="315"/>
      <c r="AU490" s="315"/>
      <c r="AV490" s="315"/>
      <c r="AW490" s="315"/>
      <c r="AX490" s="315"/>
      <c r="AY490" s="315"/>
      <c r="AZ490" s="315"/>
      <c r="BA490" s="315"/>
      <c r="BB490" s="315"/>
      <c r="BC490" s="315"/>
      <c r="BD490" s="315"/>
      <c r="BE490" s="315"/>
      <c r="BF490" s="315"/>
      <c r="BG490" s="315"/>
      <c r="BH490" s="315"/>
      <c r="BI490" s="315"/>
      <c r="BJ490" s="315"/>
      <c r="BK490" s="315"/>
      <c r="BL490" s="315"/>
      <c r="BM490" s="315"/>
      <c r="BN490" s="315"/>
      <c r="BO490" s="315"/>
      <c r="BP490" s="315"/>
      <c r="BQ490" s="315"/>
      <c r="BR490" s="315"/>
      <c r="BS490" s="315"/>
      <c r="BT490" s="315"/>
      <c r="BU490" s="315"/>
      <c r="BV490" s="315"/>
      <c r="BW490" s="315"/>
      <c r="BX490" s="315"/>
    </row>
    <row r="491" spans="1:76" ht="90">
      <c r="A491" s="1815" t="s">
        <v>2223</v>
      </c>
      <c r="B491" s="1556" t="s">
        <v>1866</v>
      </c>
      <c r="C491" s="1530" t="s">
        <v>21</v>
      </c>
      <c r="D491" s="1542">
        <f>'Aeration tunnel (Alt.)'!J29</f>
        <v>395.22365676192737</v>
      </c>
      <c r="E491" s="1612"/>
      <c r="F491" s="1613"/>
      <c r="G491" s="1613"/>
      <c r="H491" s="1823"/>
      <c r="I491" s="1859"/>
      <c r="J491" s="1543"/>
    </row>
    <row r="492" spans="1:76" s="315" customFormat="1">
      <c r="A492" s="1815" t="s">
        <v>2225</v>
      </c>
      <c r="B492" s="1557" t="s">
        <v>2621</v>
      </c>
      <c r="C492" s="1759"/>
      <c r="D492" s="1743"/>
      <c r="E492" s="313"/>
      <c r="F492" s="313"/>
      <c r="G492" s="313"/>
      <c r="H492" s="1824"/>
      <c r="I492" s="1850"/>
      <c r="J492" s="220"/>
    </row>
    <row r="493" spans="1:76" s="315" customFormat="1" ht="54">
      <c r="A493" s="75" t="s">
        <v>2701</v>
      </c>
      <c r="B493" s="669" t="s">
        <v>2606</v>
      </c>
      <c r="C493" s="66" t="s">
        <v>19</v>
      </c>
      <c r="D493" s="1732">
        <v>10</v>
      </c>
      <c r="E493" s="313"/>
      <c r="F493" s="313"/>
      <c r="G493" s="313"/>
      <c r="H493" s="1824"/>
      <c r="I493" s="1853"/>
      <c r="J493" s="220"/>
    </row>
    <row r="494" spans="1:76" s="315" customFormat="1" ht="54">
      <c r="A494" s="75" t="s">
        <v>2953</v>
      </c>
      <c r="B494" s="669" t="s">
        <v>2607</v>
      </c>
      <c r="C494" s="66" t="s">
        <v>19</v>
      </c>
      <c r="D494" s="1732">
        <v>20</v>
      </c>
      <c r="E494" s="313"/>
      <c r="F494" s="313"/>
      <c r="G494" s="313"/>
      <c r="H494" s="1824"/>
      <c r="I494" s="1853"/>
      <c r="J494" s="220"/>
    </row>
    <row r="495" spans="1:76" ht="54">
      <c r="A495" s="75" t="s">
        <v>2954</v>
      </c>
      <c r="B495" s="669" t="s">
        <v>1862</v>
      </c>
      <c r="C495" s="1530" t="s">
        <v>19</v>
      </c>
      <c r="D495" s="1542">
        <f>'Aeration tunnel (Alt.)'!J31</f>
        <v>252.96635855661785</v>
      </c>
      <c r="E495" s="1612"/>
      <c r="F495" s="1613"/>
      <c r="G495" s="1613"/>
      <c r="H495" s="1823"/>
      <c r="I495" s="1859"/>
      <c r="J495" s="1543"/>
    </row>
    <row r="496" spans="1:76" ht="54">
      <c r="A496" s="75" t="s">
        <v>2955</v>
      </c>
      <c r="B496" s="669" t="s">
        <v>1881</v>
      </c>
      <c r="C496" s="1530" t="s">
        <v>19</v>
      </c>
      <c r="D496" s="1542">
        <v>25</v>
      </c>
      <c r="E496" s="1612"/>
      <c r="F496" s="1613"/>
      <c r="G496" s="1613"/>
      <c r="H496" s="1823"/>
      <c r="I496" s="1859"/>
      <c r="J496" s="1543"/>
    </row>
    <row r="497" spans="1:76" ht="54">
      <c r="A497" s="75" t="s">
        <v>2956</v>
      </c>
      <c r="B497" s="669" t="s">
        <v>1883</v>
      </c>
      <c r="C497" s="1530" t="s">
        <v>19</v>
      </c>
      <c r="D497" s="1542">
        <f>'Aeration tunnel (Alt.)'!J32</f>
        <v>63.241589639154462</v>
      </c>
      <c r="E497" s="1612"/>
      <c r="F497" s="1613"/>
      <c r="G497" s="1613"/>
      <c r="H497" s="1823"/>
      <c r="I497" s="1859"/>
      <c r="J497" s="1543"/>
    </row>
    <row r="498" spans="1:76">
      <c r="A498" s="1815" t="s">
        <v>2226</v>
      </c>
      <c r="B498" s="1557" t="s">
        <v>1486</v>
      </c>
      <c r="C498" s="1530"/>
      <c r="D498" s="1542"/>
      <c r="E498" s="1612"/>
      <c r="F498" s="1613"/>
      <c r="G498" s="1613"/>
      <c r="H498" s="1823"/>
      <c r="I498" s="1859"/>
      <c r="J498" s="1543"/>
    </row>
    <row r="499" spans="1:76" ht="36">
      <c r="A499" s="75" t="s">
        <v>2231</v>
      </c>
      <c r="B499" s="669" t="s">
        <v>2749</v>
      </c>
      <c r="C499" s="1530" t="s">
        <v>19</v>
      </c>
      <c r="D499" s="1542">
        <v>10</v>
      </c>
      <c r="E499" s="1612"/>
      <c r="F499" s="1613"/>
      <c r="G499" s="1613"/>
      <c r="H499" s="1823"/>
      <c r="I499" s="1859"/>
      <c r="J499" s="1543"/>
    </row>
    <row r="500" spans="1:76" ht="36">
      <c r="A500" s="75" t="s">
        <v>2957</v>
      </c>
      <c r="B500" s="669" t="s">
        <v>2421</v>
      </c>
      <c r="C500" s="1530" t="s">
        <v>19</v>
      </c>
      <c r="D500" s="1708">
        <f>'Aeration tunnel (Alt.)'!J35</f>
        <v>31.620794819577231</v>
      </c>
      <c r="E500" s="1612"/>
      <c r="F500" s="1613"/>
      <c r="G500" s="1613"/>
      <c r="H500" s="1608"/>
      <c r="I500" s="1860"/>
      <c r="J500" s="1543"/>
    </row>
    <row r="501" spans="1:76">
      <c r="A501" s="1815" t="s">
        <v>2227</v>
      </c>
      <c r="B501" s="313" t="s">
        <v>92</v>
      </c>
      <c r="C501" s="1530"/>
      <c r="D501" s="1542"/>
      <c r="E501" s="1612"/>
      <c r="F501" s="1613"/>
      <c r="G501" s="1613"/>
      <c r="H501" s="1608"/>
      <c r="I501" s="1860"/>
      <c r="J501" s="1543"/>
    </row>
    <row r="502" spans="1:76" ht="54">
      <c r="A502" s="75" t="s">
        <v>2232</v>
      </c>
      <c r="B502" s="1550" t="s">
        <v>2867</v>
      </c>
      <c r="C502" s="1530" t="s">
        <v>307</v>
      </c>
      <c r="D502" s="1542">
        <f>'Aeration tunnel (Alt.)'!J39</f>
        <v>220</v>
      </c>
      <c r="E502" s="1612"/>
      <c r="F502" s="1613"/>
      <c r="G502" s="1613"/>
      <c r="H502" s="1608"/>
      <c r="I502" s="1860"/>
      <c r="J502" s="1543"/>
    </row>
    <row r="503" spans="1:76">
      <c r="A503" s="1815" t="s">
        <v>2228</v>
      </c>
      <c r="B503" s="313" t="s">
        <v>2773</v>
      </c>
      <c r="C503" s="1530"/>
      <c r="D503" s="1542"/>
      <c r="E503" s="1612"/>
      <c r="F503" s="1613"/>
      <c r="G503" s="1613"/>
      <c r="H503" s="1608"/>
      <c r="I503" s="1860"/>
      <c r="J503" s="1543"/>
    </row>
    <row r="504" spans="1:76" ht="54">
      <c r="A504" s="75" t="s">
        <v>2230</v>
      </c>
      <c r="B504" s="669" t="s">
        <v>2881</v>
      </c>
      <c r="C504" s="1530" t="s">
        <v>307</v>
      </c>
      <c r="D504" s="1542">
        <f>'Aeration tunnel (Alt.)'!J42</f>
        <v>25</v>
      </c>
      <c r="E504" s="1612"/>
      <c r="F504" s="1613"/>
      <c r="G504" s="1613"/>
      <c r="H504" s="1608"/>
      <c r="I504" s="1859"/>
      <c r="J504" s="1577"/>
    </row>
    <row r="505" spans="1:76">
      <c r="A505" s="1815" t="s">
        <v>2229</v>
      </c>
      <c r="B505" s="1557" t="s">
        <v>318</v>
      </c>
      <c r="C505" s="1530"/>
      <c r="D505" s="1542"/>
      <c r="E505" s="1612"/>
      <c r="F505" s="1613"/>
      <c r="G505" s="1613"/>
      <c r="H505" s="1608"/>
      <c r="I505" s="1860"/>
      <c r="J505" s="1543"/>
    </row>
    <row r="506" spans="1:76" ht="54">
      <c r="A506" s="75" t="s">
        <v>2702</v>
      </c>
      <c r="B506" s="669" t="s">
        <v>2892</v>
      </c>
      <c r="C506" s="1530" t="s">
        <v>322</v>
      </c>
      <c r="D506" s="1542">
        <f>'Aeration tunnel (Alt.)'!J41</f>
        <v>0.94862384458731686</v>
      </c>
      <c r="E506" s="1612"/>
      <c r="F506" s="1613"/>
      <c r="G506" s="1613"/>
      <c r="H506" s="1823"/>
      <c r="I506" s="1859"/>
      <c r="J506" s="1577"/>
    </row>
    <row r="507" spans="1:76" ht="36">
      <c r="A507" s="1815" t="s">
        <v>2958</v>
      </c>
      <c r="B507" s="1557" t="s">
        <v>2890</v>
      </c>
      <c r="C507" s="1530" t="s">
        <v>19</v>
      </c>
      <c r="D507" s="1542">
        <f>'Aeration tunnel (Alt.)'!J37</f>
        <v>123</v>
      </c>
      <c r="E507" s="1612"/>
      <c r="F507" s="1613"/>
      <c r="G507" s="1613"/>
      <c r="H507" s="1823"/>
      <c r="I507" s="1859"/>
      <c r="J507" s="1543"/>
    </row>
    <row r="508" spans="1:76" ht="54">
      <c r="A508" s="1815" t="s">
        <v>2959</v>
      </c>
      <c r="B508" s="1557" t="s">
        <v>2418</v>
      </c>
      <c r="C508" s="1530" t="s">
        <v>438</v>
      </c>
      <c r="D508" s="1542">
        <f>0.1*D506*1000</f>
        <v>94.862384458731682</v>
      </c>
      <c r="E508" s="1612"/>
      <c r="F508" s="1613"/>
      <c r="G508" s="1613"/>
      <c r="H508" s="1823"/>
      <c r="I508" s="1859"/>
      <c r="J508" s="1543"/>
    </row>
    <row r="509" spans="1:76" ht="17.25" customHeight="1">
      <c r="A509" s="1722"/>
      <c r="B509" s="1557"/>
      <c r="C509" s="1563"/>
      <c r="D509" s="1688"/>
      <c r="E509" s="1612"/>
      <c r="F509" s="1666" t="s">
        <v>1483</v>
      </c>
      <c r="G509" s="1691"/>
      <c r="H509" s="1824"/>
      <c r="I509" s="1868"/>
      <c r="J509" s="1717"/>
    </row>
    <row r="510" spans="1:76" s="1654" customFormat="1">
      <c r="A510" s="1814" t="s">
        <v>2233</v>
      </c>
      <c r="B510" s="1533" t="s">
        <v>298</v>
      </c>
      <c r="C510" s="1551"/>
      <c r="D510" s="1738"/>
      <c r="E510" s="1697"/>
      <c r="F510" s="1536"/>
      <c r="G510" s="1697"/>
      <c r="H510" s="1534"/>
      <c r="I510" s="1857"/>
      <c r="J510" s="1543"/>
      <c r="K510" s="315"/>
      <c r="L510" s="315"/>
      <c r="M510" s="315"/>
      <c r="N510" s="315"/>
      <c r="O510" s="315"/>
      <c r="P510" s="315"/>
      <c r="Q510" s="315"/>
      <c r="R510" s="315"/>
      <c r="S510" s="315"/>
      <c r="T510" s="315"/>
      <c r="U510" s="315"/>
      <c r="V510" s="315"/>
      <c r="W510" s="315"/>
      <c r="X510" s="315"/>
      <c r="Y510" s="315"/>
      <c r="Z510" s="315"/>
      <c r="AA510" s="315"/>
      <c r="AB510" s="315"/>
      <c r="AC510" s="315"/>
      <c r="AD510" s="315"/>
      <c r="AE510" s="315"/>
      <c r="AF510" s="315"/>
      <c r="AG510" s="315"/>
      <c r="AH510" s="315"/>
      <c r="AI510" s="315"/>
      <c r="AJ510" s="315"/>
      <c r="AK510" s="315"/>
      <c r="AL510" s="315"/>
      <c r="AM510" s="315"/>
      <c r="AN510" s="315"/>
      <c r="AO510" s="315"/>
      <c r="AP510" s="315"/>
      <c r="AQ510" s="315"/>
      <c r="AR510" s="315"/>
      <c r="AS510" s="315"/>
      <c r="AT510" s="315"/>
      <c r="AU510" s="315"/>
      <c r="AV510" s="315"/>
      <c r="AW510" s="315"/>
      <c r="AX510" s="315"/>
      <c r="AY510" s="315"/>
      <c r="AZ510" s="315"/>
      <c r="BA510" s="315"/>
      <c r="BB510" s="315"/>
      <c r="BC510" s="315"/>
      <c r="BD510" s="315"/>
      <c r="BE510" s="315"/>
      <c r="BF510" s="315"/>
      <c r="BG510" s="315"/>
      <c r="BH510" s="315"/>
      <c r="BI510" s="315"/>
      <c r="BJ510" s="315"/>
      <c r="BK510" s="315"/>
      <c r="BL510" s="315"/>
      <c r="BM510" s="315"/>
      <c r="BN510" s="315"/>
      <c r="BO510" s="315"/>
      <c r="BP510" s="315"/>
      <c r="BQ510" s="315"/>
      <c r="BR510" s="315"/>
      <c r="BS510" s="315"/>
      <c r="BT510" s="315"/>
      <c r="BU510" s="315"/>
      <c r="BV510" s="315"/>
      <c r="BW510" s="315"/>
      <c r="BX510" s="315"/>
    </row>
    <row r="511" spans="1:76" ht="90">
      <c r="A511" s="1815" t="s">
        <v>2234</v>
      </c>
      <c r="B511" s="1556" t="s">
        <v>2941</v>
      </c>
      <c r="C511" s="1530" t="s">
        <v>21</v>
      </c>
      <c r="D511" s="1542">
        <f>'Surge '!J15</f>
        <v>4257.301795576489</v>
      </c>
      <c r="E511" s="1612"/>
      <c r="F511" s="1613"/>
      <c r="G511" s="1613"/>
      <c r="H511" s="1823"/>
      <c r="I511" s="1859"/>
      <c r="J511" s="1543"/>
    </row>
    <row r="512" spans="1:76" ht="54">
      <c r="A512" s="1815" t="s">
        <v>2235</v>
      </c>
      <c r="B512" s="1545" t="s">
        <v>2735</v>
      </c>
      <c r="C512" s="1530"/>
      <c r="D512" s="1542"/>
      <c r="E512" s="1612"/>
      <c r="F512" s="1613"/>
      <c r="G512" s="1613"/>
      <c r="H512" s="1823"/>
      <c r="I512" s="1859"/>
      <c r="J512" s="1543"/>
    </row>
    <row r="513" spans="1:76">
      <c r="A513" s="75" t="s">
        <v>2618</v>
      </c>
      <c r="B513" s="1562" t="s">
        <v>1553</v>
      </c>
      <c r="C513" s="1530" t="s">
        <v>21</v>
      </c>
      <c r="D513" s="1542">
        <f>'Surge '!J29</f>
        <v>1465.3046366141657</v>
      </c>
      <c r="E513" s="1612"/>
      <c r="F513" s="1613"/>
      <c r="G513" s="1613"/>
      <c r="H513" s="1823"/>
      <c r="I513" s="1859"/>
      <c r="J513" s="1543"/>
    </row>
    <row r="514" spans="1:76">
      <c r="A514" s="1815" t="s">
        <v>2236</v>
      </c>
      <c r="B514" s="313" t="s">
        <v>1649</v>
      </c>
      <c r="C514" s="1530"/>
      <c r="D514" s="1542"/>
      <c r="E514" s="1612"/>
      <c r="F514" s="1613"/>
      <c r="G514" s="1613"/>
      <c r="H514" s="1823"/>
      <c r="I514" s="1859"/>
      <c r="J514" s="1543"/>
    </row>
    <row r="515" spans="1:76" ht="54">
      <c r="A515" s="75" t="s">
        <v>2242</v>
      </c>
      <c r="B515" s="1550" t="s">
        <v>1248</v>
      </c>
      <c r="C515" s="1530" t="s">
        <v>322</v>
      </c>
      <c r="D515" s="1542">
        <f>'Surge '!J36</f>
        <v>164.00056129534795</v>
      </c>
      <c r="E515" s="1612"/>
      <c r="F515" s="1613"/>
      <c r="G515" s="1613"/>
      <c r="H515" s="1608"/>
      <c r="I515" s="1860"/>
      <c r="J515" s="1543"/>
    </row>
    <row r="516" spans="1:76">
      <c r="A516" s="1815" t="s">
        <v>2237</v>
      </c>
      <c r="B516" s="1548" t="s">
        <v>309</v>
      </c>
      <c r="C516" s="1530"/>
      <c r="D516" s="1542"/>
      <c r="E516" s="1612"/>
      <c r="F516" s="1613"/>
      <c r="G516" s="1613"/>
      <c r="H516" s="1608"/>
      <c r="I516" s="1860"/>
      <c r="J516" s="1543"/>
    </row>
    <row r="517" spans="1:76" ht="54">
      <c r="A517" s="75" t="s">
        <v>2241</v>
      </c>
      <c r="B517" s="1549" t="s">
        <v>2038</v>
      </c>
      <c r="C517" s="1530" t="s">
        <v>19</v>
      </c>
      <c r="D517" s="1542">
        <f>'Surge '!J33</f>
        <v>1758.3655639369988</v>
      </c>
      <c r="E517" s="1612"/>
      <c r="F517" s="1613"/>
      <c r="G517" s="1613"/>
      <c r="H517" s="1608"/>
      <c r="I517" s="1860"/>
      <c r="J517" s="1543"/>
    </row>
    <row r="518" spans="1:76">
      <c r="A518" s="1815" t="s">
        <v>2238</v>
      </c>
      <c r="B518" s="313" t="s">
        <v>1929</v>
      </c>
      <c r="C518" s="1530"/>
      <c r="D518" s="1542"/>
      <c r="E518" s="1612"/>
      <c r="F518" s="1613"/>
      <c r="G518" s="1613"/>
      <c r="H518" s="1608"/>
      <c r="I518" s="1860"/>
      <c r="J518" s="1543"/>
    </row>
    <row r="519" spans="1:76" ht="51.75" customHeight="1">
      <c r="A519" s="75" t="s">
        <v>2960</v>
      </c>
      <c r="B519" s="1550" t="s">
        <v>2869</v>
      </c>
      <c r="C519" s="1530" t="s">
        <v>311</v>
      </c>
      <c r="D519" s="1542">
        <f>'Surge '!J40</f>
        <v>690</v>
      </c>
      <c r="E519" s="1612"/>
      <c r="F519" s="1613"/>
      <c r="G519" s="1613"/>
      <c r="H519" s="1823"/>
      <c r="I519" s="1859"/>
      <c r="J519" s="1577"/>
    </row>
    <row r="520" spans="1:76">
      <c r="A520" s="1815" t="s">
        <v>2239</v>
      </c>
      <c r="B520" s="313" t="s">
        <v>1872</v>
      </c>
      <c r="C520" s="1530"/>
      <c r="D520" s="1542"/>
      <c r="E520" s="1612"/>
      <c r="F520" s="1613"/>
      <c r="G520" s="1613"/>
      <c r="H520" s="1823"/>
      <c r="I520" s="1859"/>
      <c r="J520" s="1577"/>
    </row>
    <row r="521" spans="1:76" ht="54">
      <c r="A521" s="75" t="s">
        <v>2240</v>
      </c>
      <c r="B521" s="1570" t="s">
        <v>1862</v>
      </c>
      <c r="C521" s="1530" t="s">
        <v>19</v>
      </c>
      <c r="D521" s="1542">
        <f>'Surge '!J31</f>
        <v>1640.0056129534796</v>
      </c>
      <c r="E521" s="1612"/>
      <c r="F521" s="1613"/>
      <c r="G521" s="1613"/>
      <c r="H521" s="1823"/>
      <c r="I521" s="1859"/>
      <c r="J521" s="1577"/>
    </row>
    <row r="522" spans="1:76" ht="54">
      <c r="A522" s="75" t="s">
        <v>2619</v>
      </c>
      <c r="B522" s="1570" t="s">
        <v>1883</v>
      </c>
      <c r="C522" s="1530" t="s">
        <v>19</v>
      </c>
      <c r="D522" s="1547">
        <v>20</v>
      </c>
      <c r="E522" s="1612"/>
      <c r="F522" s="1613"/>
      <c r="G522" s="1613"/>
      <c r="H522" s="1823"/>
      <c r="I522" s="1859"/>
      <c r="J522" s="1577"/>
    </row>
    <row r="523" spans="1:76" ht="17.25" customHeight="1">
      <c r="A523" s="1722"/>
      <c r="B523" s="1557"/>
      <c r="C523" s="1563"/>
      <c r="D523" s="1688"/>
      <c r="E523" s="1612"/>
      <c r="F523" s="1666" t="s">
        <v>1483</v>
      </c>
      <c r="G523" s="1691"/>
      <c r="H523" s="1824"/>
      <c r="I523" s="1868"/>
      <c r="J523" s="1717"/>
    </row>
    <row r="524" spans="1:76" s="1654" customFormat="1">
      <c r="A524" s="1814" t="s">
        <v>2244</v>
      </c>
      <c r="B524" s="1533" t="s">
        <v>829</v>
      </c>
      <c r="C524" s="1551"/>
      <c r="D524" s="1738"/>
      <c r="E524" s="1697"/>
      <c r="F524" s="1536"/>
      <c r="G524" s="1697"/>
      <c r="H524" s="1534"/>
      <c r="I524" s="1857"/>
      <c r="J524" s="1543"/>
      <c r="K524" s="315"/>
      <c r="L524" s="315"/>
      <c r="M524" s="315"/>
      <c r="N524" s="315"/>
      <c r="O524" s="315"/>
      <c r="P524" s="315"/>
      <c r="Q524" s="315"/>
      <c r="R524" s="315"/>
      <c r="S524" s="315"/>
      <c r="T524" s="315"/>
      <c r="U524" s="315"/>
      <c r="V524" s="315"/>
      <c r="W524" s="315"/>
      <c r="X524" s="315"/>
      <c r="Y524" s="315"/>
      <c r="Z524" s="315"/>
      <c r="AA524" s="315"/>
      <c r="AB524" s="315"/>
      <c r="AC524" s="315"/>
      <c r="AD524" s="315"/>
      <c r="AE524" s="315"/>
      <c r="AF524" s="315"/>
      <c r="AG524" s="315"/>
      <c r="AH524" s="315"/>
      <c r="AI524" s="315"/>
      <c r="AJ524" s="315"/>
      <c r="AK524" s="315"/>
      <c r="AL524" s="315"/>
      <c r="AM524" s="315"/>
      <c r="AN524" s="315"/>
      <c r="AO524" s="315"/>
      <c r="AP524" s="315"/>
      <c r="AQ524" s="315"/>
      <c r="AR524" s="315"/>
      <c r="AS524" s="315"/>
      <c r="AT524" s="315"/>
      <c r="AU524" s="315"/>
      <c r="AV524" s="315"/>
      <c r="AW524" s="315"/>
      <c r="AX524" s="315"/>
      <c r="AY524" s="315"/>
      <c r="AZ524" s="315"/>
      <c r="BA524" s="315"/>
      <c r="BB524" s="315"/>
      <c r="BC524" s="315"/>
      <c r="BD524" s="315"/>
      <c r="BE524" s="315"/>
      <c r="BF524" s="315"/>
      <c r="BG524" s="315"/>
      <c r="BH524" s="315"/>
      <c r="BI524" s="315"/>
      <c r="BJ524" s="315"/>
      <c r="BK524" s="315"/>
      <c r="BL524" s="315"/>
      <c r="BM524" s="315"/>
      <c r="BN524" s="315"/>
      <c r="BO524" s="315"/>
      <c r="BP524" s="315"/>
      <c r="BQ524" s="315"/>
      <c r="BR524" s="315"/>
      <c r="BS524" s="315"/>
      <c r="BT524" s="315"/>
      <c r="BU524" s="315"/>
      <c r="BV524" s="315"/>
      <c r="BW524" s="315"/>
      <c r="BX524" s="315"/>
    </row>
    <row r="525" spans="1:76" s="1590" customFormat="1">
      <c r="A525" s="1815" t="s">
        <v>2274</v>
      </c>
      <c r="B525" s="1548" t="s">
        <v>18</v>
      </c>
      <c r="C525" s="1572"/>
      <c r="D525" s="1737"/>
      <c r="E525" s="1689"/>
      <c r="F525" s="1573"/>
      <c r="G525" s="1689"/>
      <c r="H525" s="1816"/>
      <c r="I525" s="1857"/>
      <c r="J525" s="1543"/>
    </row>
    <row r="526" spans="1:76" ht="72">
      <c r="A526" s="75" t="s">
        <v>2961</v>
      </c>
      <c r="B526" s="1555" t="s">
        <v>2847</v>
      </c>
      <c r="C526" s="1530" t="s">
        <v>19</v>
      </c>
      <c r="D526" s="1542">
        <f>3*'DS1'!J13</f>
        <v>1500</v>
      </c>
      <c r="E526" s="220"/>
      <c r="F526" s="220"/>
      <c r="G526" s="220"/>
      <c r="H526" s="1608"/>
      <c r="I526" s="1860"/>
      <c r="J526" s="1543"/>
    </row>
    <row r="527" spans="1:76" ht="72">
      <c r="A527" s="1815" t="s">
        <v>2275</v>
      </c>
      <c r="B527" s="1544" t="s">
        <v>2849</v>
      </c>
      <c r="C527" s="1530"/>
      <c r="D527" s="1542"/>
      <c r="E527" s="220"/>
      <c r="F527" s="220"/>
      <c r="G527" s="220"/>
      <c r="H527" s="1608"/>
      <c r="I527" s="1860"/>
      <c r="J527" s="1543"/>
    </row>
    <row r="528" spans="1:76">
      <c r="A528" s="75" t="s">
        <v>2276</v>
      </c>
      <c r="B528" s="220" t="s">
        <v>63</v>
      </c>
      <c r="C528" s="1530" t="s">
        <v>21</v>
      </c>
      <c r="D528" s="1542">
        <f>3*'DS1'!J16</f>
        <v>4824</v>
      </c>
      <c r="E528" s="1612"/>
      <c r="F528" s="1613"/>
      <c r="G528" s="1613"/>
      <c r="H528" s="1823"/>
      <c r="I528" s="1859"/>
      <c r="J528" s="1543"/>
    </row>
    <row r="529" spans="1:11">
      <c r="A529" s="1815" t="s">
        <v>2277</v>
      </c>
      <c r="B529" s="313" t="s">
        <v>1929</v>
      </c>
      <c r="C529" s="1530"/>
      <c r="D529" s="1542"/>
      <c r="E529" s="1612"/>
      <c r="F529" s="1613"/>
      <c r="G529" s="1613"/>
      <c r="H529" s="1823"/>
      <c r="I529" s="1859"/>
      <c r="J529" s="1543"/>
    </row>
    <row r="530" spans="1:11" ht="54">
      <c r="A530" s="75" t="s">
        <v>2278</v>
      </c>
      <c r="B530" s="1550" t="s">
        <v>2865</v>
      </c>
      <c r="C530" s="1530" t="s">
        <v>307</v>
      </c>
      <c r="D530" s="1542">
        <f>3*'DS1'!J20</f>
        <v>576</v>
      </c>
      <c r="E530" s="1612"/>
      <c r="F530" s="1613"/>
      <c r="G530" s="1613"/>
      <c r="H530" s="1608"/>
      <c r="I530" s="1860"/>
      <c r="J530" s="1543"/>
    </row>
    <row r="531" spans="1:11">
      <c r="A531" s="1815" t="s">
        <v>2279</v>
      </c>
      <c r="B531" s="313" t="s">
        <v>1872</v>
      </c>
      <c r="C531" s="1530"/>
      <c r="D531" s="1542"/>
      <c r="E531" s="1612"/>
      <c r="F531" s="1613"/>
      <c r="G531" s="1613"/>
      <c r="H531" s="1608"/>
      <c r="I531" s="1860"/>
      <c r="J531" s="1543"/>
    </row>
    <row r="532" spans="1:11" ht="54">
      <c r="A532" s="75" t="s">
        <v>2962</v>
      </c>
      <c r="B532" s="1550" t="s">
        <v>2412</v>
      </c>
      <c r="C532" s="1530" t="s">
        <v>19</v>
      </c>
      <c r="D532" s="1542">
        <f>'DS1'!J24</f>
        <v>432</v>
      </c>
      <c r="E532" s="1612"/>
      <c r="F532" s="1613"/>
      <c r="G532" s="1613"/>
      <c r="H532" s="1608"/>
      <c r="I532" s="1860"/>
      <c r="J532" s="1543"/>
    </row>
    <row r="533" spans="1:11" ht="54">
      <c r="A533" s="75" t="s">
        <v>2963</v>
      </c>
      <c r="B533" s="1550" t="s">
        <v>2607</v>
      </c>
      <c r="C533" s="1530" t="s">
        <v>19</v>
      </c>
      <c r="D533" s="1542">
        <v>50</v>
      </c>
      <c r="E533" s="1612"/>
      <c r="F533" s="1613"/>
      <c r="G533" s="1613"/>
      <c r="H533" s="1608"/>
      <c r="I533" s="1860"/>
      <c r="J533" s="1543"/>
    </row>
    <row r="534" spans="1:11" ht="54">
      <c r="A534" s="75" t="s">
        <v>2964</v>
      </c>
      <c r="B534" s="1550" t="s">
        <v>2606</v>
      </c>
      <c r="C534" s="1530" t="s">
        <v>19</v>
      </c>
      <c r="D534" s="1542">
        <v>100</v>
      </c>
      <c r="E534" s="1612"/>
      <c r="F534" s="1613"/>
      <c r="G534" s="1613"/>
      <c r="H534" s="1608"/>
      <c r="I534" s="1860"/>
      <c r="J534" s="1543"/>
    </row>
    <row r="535" spans="1:11">
      <c r="A535" s="1815" t="s">
        <v>2280</v>
      </c>
      <c r="B535" s="1557" t="s">
        <v>1484</v>
      </c>
      <c r="C535" s="1530" t="s">
        <v>307</v>
      </c>
      <c r="D535" s="1542">
        <f>3*'DS1'!J32</f>
        <v>432</v>
      </c>
      <c r="E535" s="1612"/>
      <c r="F535" s="1613"/>
      <c r="G535" s="1613"/>
      <c r="H535" s="1823"/>
      <c r="I535" s="1859"/>
      <c r="J535" s="1577"/>
    </row>
    <row r="536" spans="1:11">
      <c r="A536" s="1815" t="s">
        <v>2281</v>
      </c>
      <c r="B536" s="1557" t="s">
        <v>1486</v>
      </c>
      <c r="C536" s="1530"/>
      <c r="D536" s="1542"/>
      <c r="E536" s="1612"/>
      <c r="F536" s="1613"/>
      <c r="G536" s="1613"/>
      <c r="H536" s="1823"/>
      <c r="I536" s="1859"/>
      <c r="J536" s="1577"/>
    </row>
    <row r="537" spans="1:11" ht="36">
      <c r="A537" s="75" t="s">
        <v>2282</v>
      </c>
      <c r="B537" s="669" t="s">
        <v>2749</v>
      </c>
      <c r="C537" s="1530" t="s">
        <v>19</v>
      </c>
      <c r="D537" s="1542">
        <v>100</v>
      </c>
      <c r="E537" s="1612"/>
      <c r="F537" s="1613"/>
      <c r="G537" s="1613"/>
      <c r="H537" s="1823"/>
      <c r="I537" s="1859"/>
      <c r="J537" s="1577"/>
    </row>
    <row r="538" spans="1:11" ht="36">
      <c r="A538" s="75" t="s">
        <v>2763</v>
      </c>
      <c r="B538" s="669" t="s">
        <v>2421</v>
      </c>
      <c r="C538" s="1530" t="s">
        <v>19</v>
      </c>
      <c r="D538" s="1542">
        <f>3*'DS1'!J28</f>
        <v>1296</v>
      </c>
      <c r="E538" s="1612"/>
      <c r="F538" s="1613"/>
      <c r="G538" s="1613"/>
      <c r="H538" s="1823"/>
      <c r="I538" s="1859"/>
      <c r="J538" s="1577"/>
    </row>
    <row r="539" spans="1:11" ht="17.25" customHeight="1">
      <c r="A539" s="1722"/>
      <c r="B539" s="1557"/>
      <c r="C539" s="1563"/>
      <c r="D539" s="1688"/>
      <c r="E539" s="1612"/>
      <c r="F539" s="1666" t="s">
        <v>1483</v>
      </c>
      <c r="G539" s="1691"/>
      <c r="H539" s="1824"/>
      <c r="I539" s="1868"/>
      <c r="J539" s="1717"/>
    </row>
    <row r="540" spans="1:11" s="315" customFormat="1">
      <c r="A540" s="1814" t="s">
        <v>2245</v>
      </c>
      <c r="B540" s="1533" t="s">
        <v>3268</v>
      </c>
      <c r="C540" s="1551"/>
      <c r="D540" s="1738"/>
      <c r="E540" s="1697"/>
      <c r="F540" s="1536"/>
      <c r="G540" s="1697"/>
      <c r="H540" s="1534"/>
      <c r="I540" s="1857"/>
      <c r="J540" s="1543"/>
    </row>
    <row r="541" spans="1:11" s="315" customFormat="1" ht="54">
      <c r="A541" s="1825" t="s">
        <v>3274</v>
      </c>
      <c r="B541" s="1951" t="s">
        <v>3275</v>
      </c>
      <c r="C541" s="1938" t="s">
        <v>21</v>
      </c>
      <c r="D541" s="1924">
        <f>'DS1'!J16+'DS2'!J16+'DS 3'!J16</f>
        <v>7368</v>
      </c>
      <c r="E541" s="1948"/>
      <c r="F541" s="1949"/>
      <c r="G541" s="1948"/>
      <c r="H541" s="1950"/>
      <c r="I541" s="1857"/>
      <c r="J541" s="1922"/>
      <c r="K541" s="1610"/>
    </row>
    <row r="542" spans="1:11" ht="108">
      <c r="A542" s="1935" t="s">
        <v>2283</v>
      </c>
      <c r="B542" s="1928" t="s">
        <v>2243</v>
      </c>
      <c r="C542" s="1929" t="s">
        <v>21</v>
      </c>
      <c r="D542" s="1897">
        <f>'Vertical Shaft'!J14</f>
        <v>5576.7349901757316</v>
      </c>
      <c r="E542" s="1930"/>
      <c r="F542" s="1930"/>
      <c r="G542" s="1930"/>
      <c r="H542" s="1936"/>
      <c r="I542" s="1860"/>
      <c r="J542" s="1543"/>
    </row>
    <row r="543" spans="1:11">
      <c r="A543" s="1944"/>
      <c r="B543" s="1945"/>
      <c r="C543" s="1941"/>
      <c r="D543" s="1942"/>
      <c r="E543" s="1946"/>
      <c r="F543" s="1946"/>
      <c r="G543" s="1946"/>
      <c r="H543" s="1947"/>
      <c r="I543" s="1860"/>
      <c r="J543" s="1922"/>
    </row>
    <row r="544" spans="1:11">
      <c r="A544" s="1815" t="s">
        <v>2284</v>
      </c>
      <c r="B544" s="313" t="s">
        <v>1929</v>
      </c>
      <c r="C544" s="1576"/>
      <c r="D544" s="1542"/>
      <c r="E544" s="220"/>
      <c r="F544" s="220"/>
      <c r="G544" s="220"/>
      <c r="H544" s="1608"/>
      <c r="I544" s="1860"/>
      <c r="J544" s="1543"/>
    </row>
    <row r="545" spans="1:10" ht="54">
      <c r="A545" s="75" t="s">
        <v>2285</v>
      </c>
      <c r="B545" s="1550" t="s">
        <v>2870</v>
      </c>
      <c r="C545" s="1576" t="s">
        <v>307</v>
      </c>
      <c r="D545" s="1542">
        <f>'Vertical Shaft'!D16</f>
        <v>2894</v>
      </c>
      <c r="E545" s="220"/>
      <c r="F545" s="220"/>
      <c r="G545" s="220"/>
      <c r="H545" s="1608"/>
      <c r="I545" s="1860"/>
      <c r="J545" s="1543"/>
    </row>
    <row r="546" spans="1:10" ht="54">
      <c r="A546" s="1874" t="s">
        <v>3267</v>
      </c>
      <c r="B546" s="1937" t="s">
        <v>2866</v>
      </c>
      <c r="C546" s="1938" t="s">
        <v>307</v>
      </c>
      <c r="D546" s="1924">
        <v>1200</v>
      </c>
      <c r="E546" s="1904"/>
      <c r="F546" s="1904"/>
      <c r="G546" s="1904"/>
      <c r="H546" s="1905"/>
      <c r="I546" s="1860"/>
      <c r="J546" s="1922"/>
    </row>
    <row r="547" spans="1:10">
      <c r="A547" s="1815" t="s">
        <v>2288</v>
      </c>
      <c r="B547" s="313" t="s">
        <v>1872</v>
      </c>
      <c r="C547" s="1576"/>
      <c r="D547" s="1542"/>
      <c r="E547" s="220"/>
      <c r="F547" s="220"/>
      <c r="G547" s="220"/>
      <c r="H547" s="1608"/>
      <c r="I547" s="1860"/>
      <c r="J547" s="1543"/>
    </row>
    <row r="548" spans="1:10" ht="54">
      <c r="A548" s="75" t="s">
        <v>2295</v>
      </c>
      <c r="B548" s="1550" t="s">
        <v>1862</v>
      </c>
      <c r="C548" s="1530" t="s">
        <v>19</v>
      </c>
      <c r="D548" s="1542">
        <v>50</v>
      </c>
      <c r="E548" s="220"/>
      <c r="F548" s="220"/>
      <c r="G548" s="220"/>
      <c r="H548" s="1608"/>
      <c r="I548" s="1860"/>
      <c r="J548" s="1543"/>
    </row>
    <row r="549" spans="1:10" ht="54">
      <c r="A549" s="75" t="s">
        <v>2762</v>
      </c>
      <c r="B549" s="1550" t="s">
        <v>1881</v>
      </c>
      <c r="C549" s="1530" t="s">
        <v>19</v>
      </c>
      <c r="D549" s="1542">
        <f>'Vertical Shaft'!J17</f>
        <v>3680.5793688843951</v>
      </c>
      <c r="E549" s="220"/>
      <c r="F549" s="220"/>
      <c r="G549" s="220"/>
      <c r="H549" s="1608"/>
      <c r="I549" s="1860"/>
      <c r="J549" s="1543"/>
    </row>
    <row r="550" spans="1:10" ht="54">
      <c r="A550" s="75" t="s">
        <v>2965</v>
      </c>
      <c r="B550" s="1550" t="s">
        <v>1883</v>
      </c>
      <c r="C550" s="1530" t="s">
        <v>19</v>
      </c>
      <c r="D550" s="1542">
        <f>'Vertical Shaft'!J18</f>
        <v>1577.391158093312</v>
      </c>
      <c r="E550" s="220"/>
      <c r="F550" s="220"/>
      <c r="G550" s="220"/>
      <c r="H550" s="1608"/>
      <c r="I550" s="1860"/>
      <c r="J550" s="1543"/>
    </row>
    <row r="551" spans="1:10" ht="54">
      <c r="A551" s="75" t="s">
        <v>2966</v>
      </c>
      <c r="B551" s="1550" t="s">
        <v>2412</v>
      </c>
      <c r="C551" s="1530" t="s">
        <v>19</v>
      </c>
      <c r="D551" s="1542">
        <v>20</v>
      </c>
      <c r="E551" s="220"/>
      <c r="F551" s="220"/>
      <c r="G551" s="220"/>
      <c r="H551" s="1608"/>
      <c r="I551" s="1860"/>
      <c r="J551" s="1543"/>
    </row>
    <row r="552" spans="1:10">
      <c r="A552" s="1935"/>
      <c r="B552" s="1934"/>
      <c r="C552" s="1929"/>
      <c r="D552" s="1897"/>
      <c r="E552" s="1930"/>
      <c r="F552" s="220"/>
      <c r="G552" s="220"/>
      <c r="H552" s="1608"/>
      <c r="I552" s="1860"/>
      <c r="J552" s="1577"/>
    </row>
    <row r="553" spans="1:10">
      <c r="A553" s="1815" t="s">
        <v>2290</v>
      </c>
      <c r="B553" s="1557" t="s">
        <v>318</v>
      </c>
      <c r="C553" s="1576"/>
      <c r="D553" s="1542"/>
      <c r="E553" s="220"/>
      <c r="F553" s="220"/>
      <c r="G553" s="220"/>
      <c r="H553" s="1608"/>
      <c r="I553" s="1860"/>
      <c r="J553" s="1577"/>
    </row>
    <row r="554" spans="1:10" ht="54">
      <c r="A554" s="75" t="s">
        <v>2967</v>
      </c>
      <c r="B554" s="669" t="s">
        <v>2892</v>
      </c>
      <c r="C554" s="1576" t="s">
        <v>25</v>
      </c>
      <c r="D554" s="1542">
        <f>'Vertical Shaft'!J20</f>
        <v>15.77391158093312</v>
      </c>
      <c r="E554" s="220"/>
      <c r="F554" s="220"/>
      <c r="G554" s="220"/>
      <c r="H554" s="1608"/>
      <c r="I554" s="1860"/>
      <c r="J554" s="1577"/>
    </row>
    <row r="555" spans="1:10">
      <c r="A555" s="1815" t="s">
        <v>2291</v>
      </c>
      <c r="B555" s="1557" t="s">
        <v>1486</v>
      </c>
      <c r="C555" s="1576"/>
      <c r="D555" s="1542"/>
      <c r="E555" s="220"/>
      <c r="F555" s="220"/>
      <c r="G555" s="220"/>
      <c r="H555" s="1608"/>
      <c r="I555" s="1860"/>
      <c r="J555" s="1577"/>
    </row>
    <row r="556" spans="1:10" ht="36">
      <c r="A556" s="75" t="s">
        <v>2771</v>
      </c>
      <c r="B556" s="669" t="s">
        <v>2423</v>
      </c>
      <c r="C556" s="1576" t="s">
        <v>19</v>
      </c>
      <c r="D556" s="1542">
        <f>'Vertical Shaft'!J19</f>
        <v>1314.4926317444269</v>
      </c>
      <c r="E556" s="220"/>
      <c r="F556" s="220"/>
      <c r="G556" s="220"/>
      <c r="H556" s="1608"/>
      <c r="I556" s="1860"/>
      <c r="J556" s="1577"/>
    </row>
    <row r="557" spans="1:10" ht="36">
      <c r="A557" s="75" t="s">
        <v>2894</v>
      </c>
      <c r="B557" s="669" t="s">
        <v>2748</v>
      </c>
      <c r="C557" s="1576" t="s">
        <v>19</v>
      </c>
      <c r="D557" s="1542">
        <f>'Vertical Shaft'!J20</f>
        <v>15.77391158093312</v>
      </c>
      <c r="E557" s="220"/>
      <c r="F557" s="220"/>
      <c r="G557" s="220"/>
      <c r="H557" s="1608"/>
      <c r="I557" s="1860"/>
      <c r="J557" s="1577"/>
    </row>
    <row r="558" spans="1:10" ht="54">
      <c r="A558" s="1815" t="s">
        <v>2292</v>
      </c>
      <c r="B558" s="1545" t="s">
        <v>2735</v>
      </c>
      <c r="C558" s="1576"/>
      <c r="D558" s="1542"/>
      <c r="E558" s="220"/>
      <c r="F558" s="220"/>
      <c r="G558" s="220"/>
      <c r="H558" s="1608"/>
      <c r="I558" s="1860"/>
      <c r="J558" s="1577"/>
    </row>
    <row r="559" spans="1:10">
      <c r="A559" s="1894" t="s">
        <v>2968</v>
      </c>
      <c r="B559" s="1928" t="s">
        <v>2286</v>
      </c>
      <c r="C559" s="1929" t="s">
        <v>21</v>
      </c>
      <c r="D559" s="1897">
        <f>'Vertical Shaft'!J22</f>
        <v>3333</v>
      </c>
      <c r="E559" s="220"/>
      <c r="F559" s="220"/>
      <c r="G559" s="220"/>
      <c r="H559" s="1608"/>
      <c r="I559" s="1860"/>
      <c r="J559" s="1577"/>
    </row>
    <row r="560" spans="1:10">
      <c r="A560" s="75" t="s">
        <v>2969</v>
      </c>
      <c r="B560" s="669" t="s">
        <v>2287</v>
      </c>
      <c r="C560" s="1576" t="s">
        <v>21</v>
      </c>
      <c r="D560" s="1542">
        <f>'Vertical Shaft'!J15</f>
        <v>2563.2606319016327</v>
      </c>
      <c r="E560" s="220"/>
      <c r="F560" s="220"/>
      <c r="G560" s="220"/>
      <c r="H560" s="1608"/>
      <c r="I560" s="1860"/>
      <c r="J560" s="1543"/>
    </row>
    <row r="561" spans="1:10">
      <c r="A561" s="1815" t="s">
        <v>2293</v>
      </c>
      <c r="B561" s="1548" t="s">
        <v>309</v>
      </c>
      <c r="C561" s="1576"/>
      <c r="D561" s="1542"/>
      <c r="E561" s="220"/>
      <c r="F561" s="220"/>
      <c r="G561" s="220"/>
      <c r="H561" s="1608"/>
      <c r="I561" s="1860"/>
      <c r="J561" s="1543"/>
    </row>
    <row r="562" spans="1:10" ht="54">
      <c r="A562" s="75" t="s">
        <v>2296</v>
      </c>
      <c r="B562" s="1549" t="s">
        <v>2038</v>
      </c>
      <c r="C562" s="1576" t="s">
        <v>19</v>
      </c>
      <c r="D562" s="1542">
        <f>'Vertical Shaft'!J23</f>
        <v>270</v>
      </c>
      <c r="E562" s="220"/>
      <c r="F562" s="220"/>
      <c r="G562" s="220"/>
      <c r="H562" s="1608"/>
      <c r="I562" s="1860"/>
      <c r="J562" s="1577"/>
    </row>
    <row r="563" spans="1:10">
      <c r="A563" s="1815" t="s">
        <v>2294</v>
      </c>
      <c r="B563" s="313" t="s">
        <v>1649</v>
      </c>
      <c r="C563" s="1576"/>
      <c r="D563" s="1542"/>
      <c r="E563" s="220"/>
      <c r="F563" s="220"/>
      <c r="G563" s="220"/>
      <c r="H563" s="1608"/>
      <c r="I563" s="1860"/>
      <c r="J563" s="1577"/>
    </row>
    <row r="564" spans="1:10" ht="54">
      <c r="A564" s="1894" t="s">
        <v>2772</v>
      </c>
      <c r="B564" s="1940" t="s">
        <v>1248</v>
      </c>
      <c r="C564" s="1929" t="s">
        <v>322</v>
      </c>
      <c r="D564" s="1897">
        <f>'Vertical Shaft'!J24</f>
        <v>130.82024999999999</v>
      </c>
      <c r="E564" s="220"/>
      <c r="F564" s="220"/>
      <c r="G564" s="220"/>
      <c r="H564" s="1608"/>
      <c r="I564" s="1860"/>
      <c r="J564" s="1577"/>
    </row>
    <row r="565" spans="1:10">
      <c r="A565" s="1815" t="s">
        <v>3270</v>
      </c>
      <c r="B565" s="1557" t="s">
        <v>3228</v>
      </c>
      <c r="C565" s="1530"/>
      <c r="D565" s="1542"/>
      <c r="E565" s="1904"/>
      <c r="F565" s="1904"/>
      <c r="G565" s="1904"/>
      <c r="H565" s="1905"/>
      <c r="I565" s="1860"/>
      <c r="J565" s="1906"/>
    </row>
    <row r="566" spans="1:10" ht="72">
      <c r="A566" s="1874" t="s">
        <v>3271</v>
      </c>
      <c r="B566" s="1873" t="s">
        <v>3272</v>
      </c>
      <c r="C566" s="1876" t="s">
        <v>46</v>
      </c>
      <c r="D566" s="1877">
        <f>(10*10)/(1.5*1.5)*4</f>
        <v>177.77777777777777</v>
      </c>
      <c r="E566" s="1904"/>
      <c r="F566" s="1904"/>
      <c r="G566" s="1904"/>
      <c r="H566" s="1905"/>
      <c r="I566" s="1860"/>
      <c r="J566" s="1906"/>
    </row>
    <row r="567" spans="1:10" ht="17.25" customHeight="1">
      <c r="A567" s="1722"/>
      <c r="B567" s="1557"/>
      <c r="C567" s="1581"/>
      <c r="D567" s="1741"/>
      <c r="E567" s="220"/>
      <c r="F567" s="1666" t="s">
        <v>1483</v>
      </c>
      <c r="G567" s="1695"/>
      <c r="H567" s="1822"/>
      <c r="I567" s="1850"/>
      <c r="J567" s="1717"/>
    </row>
    <row r="568" spans="1:10" s="315" customFormat="1">
      <c r="A568" s="1814" t="s">
        <v>2246</v>
      </c>
      <c r="B568" s="1533" t="s">
        <v>1513</v>
      </c>
      <c r="C568" s="1534"/>
      <c r="D568" s="1736"/>
      <c r="E568" s="1697"/>
      <c r="F568" s="1536"/>
      <c r="G568" s="1697"/>
      <c r="H568" s="1534"/>
      <c r="I568" s="1857"/>
      <c r="J568" s="1543"/>
    </row>
    <row r="569" spans="1:10" ht="108">
      <c r="A569" s="1815" t="s">
        <v>2297</v>
      </c>
      <c r="B569" s="669" t="s">
        <v>2944</v>
      </c>
      <c r="C569" s="1530" t="s">
        <v>21</v>
      </c>
      <c r="D569" s="1542">
        <f>'Valve House'!D20</f>
        <v>1655.3586032832375</v>
      </c>
      <c r="E569" s="220"/>
      <c r="F569" s="220"/>
      <c r="G569" s="220"/>
      <c r="H569" s="1823"/>
      <c r="I569" s="1859"/>
      <c r="J569" s="1543"/>
    </row>
    <row r="570" spans="1:10">
      <c r="A570" s="1815" t="s">
        <v>2298</v>
      </c>
      <c r="B570" s="313" t="s">
        <v>1872</v>
      </c>
      <c r="C570" s="1530"/>
      <c r="D570" s="1542"/>
      <c r="E570" s="220"/>
      <c r="F570" s="220"/>
      <c r="G570" s="220"/>
      <c r="H570" s="1823"/>
      <c r="I570" s="1859"/>
      <c r="J570" s="1543"/>
    </row>
    <row r="571" spans="1:10" ht="54">
      <c r="A571" s="75" t="s">
        <v>2617</v>
      </c>
      <c r="B571" s="1550" t="s">
        <v>2747</v>
      </c>
      <c r="C571" s="1530" t="s">
        <v>19</v>
      </c>
      <c r="D571" s="1542">
        <v>60</v>
      </c>
      <c r="E571" s="220"/>
      <c r="F571" s="220"/>
      <c r="G571" s="220"/>
      <c r="H571" s="1823"/>
      <c r="I571" s="1859"/>
      <c r="J571" s="1543"/>
    </row>
    <row r="572" spans="1:10" ht="54">
      <c r="A572" s="75" t="s">
        <v>2970</v>
      </c>
      <c r="B572" s="1550" t="s">
        <v>2746</v>
      </c>
      <c r="C572" s="1530" t="s">
        <v>19</v>
      </c>
      <c r="D572" s="1542">
        <v>30</v>
      </c>
      <c r="E572" s="220"/>
      <c r="F572" s="220"/>
      <c r="G572" s="220"/>
      <c r="H572" s="1823"/>
      <c r="I572" s="1859"/>
      <c r="J572" s="1543"/>
    </row>
    <row r="573" spans="1:10" ht="54">
      <c r="A573" s="75" t="s">
        <v>2971</v>
      </c>
      <c r="B573" s="1550" t="s">
        <v>2612</v>
      </c>
      <c r="C573" s="1530" t="s">
        <v>19</v>
      </c>
      <c r="D573" s="1542">
        <f>'Valve House'!D21</f>
        <v>491.27493479255008</v>
      </c>
      <c r="E573" s="220"/>
      <c r="F573" s="220"/>
      <c r="G573" s="220"/>
      <c r="H573" s="1823"/>
      <c r="I573" s="1859"/>
      <c r="J573" s="1543"/>
    </row>
    <row r="574" spans="1:10">
      <c r="A574" s="1815" t="s">
        <v>2299</v>
      </c>
      <c r="B574" s="1557" t="s">
        <v>1486</v>
      </c>
      <c r="C574" s="1530"/>
      <c r="D574" s="1542"/>
      <c r="E574" s="220"/>
      <c r="F574" s="220"/>
      <c r="G574" s="220"/>
      <c r="H574" s="1823"/>
      <c r="I574" s="1859"/>
      <c r="J574" s="1543"/>
    </row>
    <row r="575" spans="1:10" ht="36">
      <c r="A575" s="75" t="s">
        <v>2303</v>
      </c>
      <c r="B575" s="669" t="s">
        <v>2655</v>
      </c>
      <c r="C575" s="1530" t="s">
        <v>19</v>
      </c>
      <c r="D575" s="1542">
        <v>50</v>
      </c>
      <c r="E575" s="220"/>
      <c r="F575" s="220"/>
      <c r="G575" s="220"/>
      <c r="H575" s="1823"/>
      <c r="I575" s="1859"/>
      <c r="J575" s="1543"/>
    </row>
    <row r="576" spans="1:10" ht="36">
      <c r="A576" s="75" t="s">
        <v>2972</v>
      </c>
      <c r="B576" s="669" t="s">
        <v>2656</v>
      </c>
      <c r="C576" s="1530" t="s">
        <v>19</v>
      </c>
      <c r="D576" s="1542">
        <f>'Valve House'!D22</f>
        <v>196.50997391702003</v>
      </c>
      <c r="E576" s="220"/>
      <c r="F576" s="220"/>
      <c r="G576" s="220"/>
      <c r="H576" s="1608"/>
      <c r="I576" s="1860"/>
      <c r="J576" s="1543"/>
    </row>
    <row r="577" spans="1:10">
      <c r="A577" s="1815" t="s">
        <v>2300</v>
      </c>
      <c r="B577" s="313" t="s">
        <v>92</v>
      </c>
      <c r="C577" s="1530"/>
      <c r="D577" s="1542"/>
      <c r="E577" s="220"/>
      <c r="F577" s="220"/>
      <c r="G577" s="220"/>
      <c r="H577" s="1608"/>
      <c r="I577" s="1860"/>
      <c r="J577" s="1543"/>
    </row>
    <row r="578" spans="1:10" ht="54">
      <c r="A578" s="75" t="s">
        <v>2304</v>
      </c>
      <c r="B578" s="1550" t="s">
        <v>2865</v>
      </c>
      <c r="C578" s="1530" t="s">
        <v>367</v>
      </c>
      <c r="D578" s="1542">
        <f>'Valve House'!D23</f>
        <v>492</v>
      </c>
      <c r="E578" s="220"/>
      <c r="F578" s="220"/>
      <c r="G578" s="220"/>
      <c r="H578" s="1608"/>
      <c r="I578" s="1860"/>
      <c r="J578" s="1543"/>
    </row>
    <row r="579" spans="1:10">
      <c r="A579" s="1815" t="s">
        <v>2301</v>
      </c>
      <c r="B579" s="313" t="s">
        <v>2770</v>
      </c>
      <c r="C579" s="1530"/>
      <c r="D579" s="1542"/>
      <c r="E579" s="220"/>
      <c r="F579" s="220"/>
      <c r="G579" s="220"/>
      <c r="H579" s="1608"/>
      <c r="I579" s="1860"/>
      <c r="J579" s="1543"/>
    </row>
    <row r="580" spans="1:10" ht="54">
      <c r="A580" s="75" t="s">
        <v>2973</v>
      </c>
      <c r="B580" s="669" t="s">
        <v>2881</v>
      </c>
      <c r="C580" s="1530" t="s">
        <v>307</v>
      </c>
      <c r="D580" s="1542">
        <f>'Valve House'!D24</f>
        <v>151</v>
      </c>
      <c r="E580" s="220"/>
      <c r="F580" s="220"/>
      <c r="G580" s="220"/>
      <c r="H580" s="1608"/>
      <c r="I580" s="1860"/>
      <c r="J580" s="1577"/>
    </row>
    <row r="581" spans="1:10">
      <c r="A581" s="1815" t="s">
        <v>2302</v>
      </c>
      <c r="B581" s="1557" t="s">
        <v>318</v>
      </c>
      <c r="C581" s="1530"/>
      <c r="D581" s="1542"/>
      <c r="E581" s="220"/>
      <c r="F581" s="220"/>
      <c r="G581" s="220"/>
      <c r="H581" s="1608"/>
      <c r="I581" s="1860"/>
      <c r="J581" s="1577"/>
    </row>
    <row r="582" spans="1:10" ht="54">
      <c r="A582" s="75" t="s">
        <v>2703</v>
      </c>
      <c r="B582" s="669" t="s">
        <v>2892</v>
      </c>
      <c r="C582" s="1530" t="s">
        <v>322</v>
      </c>
      <c r="D582" s="1542">
        <f>'Valve House'!D25</f>
        <v>7.3849775699942883</v>
      </c>
      <c r="E582" s="220"/>
      <c r="F582" s="220"/>
      <c r="G582" s="220"/>
      <c r="H582" s="1608"/>
      <c r="I582" s="1860"/>
      <c r="J582" s="1543"/>
    </row>
    <row r="583" spans="1:10" ht="54">
      <c r="A583" s="75" t="s">
        <v>2974</v>
      </c>
      <c r="B583" s="669" t="s">
        <v>3229</v>
      </c>
      <c r="C583" s="1530" t="s">
        <v>322</v>
      </c>
      <c r="D583" s="1542">
        <v>1</v>
      </c>
      <c r="E583" s="220"/>
      <c r="F583" s="220"/>
      <c r="G583" s="220"/>
      <c r="H583" s="1608"/>
      <c r="I583" s="1860"/>
      <c r="J583" s="1543"/>
    </row>
    <row r="584" spans="1:10" ht="36">
      <c r="A584" s="1815" t="s">
        <v>2975</v>
      </c>
      <c r="B584" s="1557" t="s">
        <v>2890</v>
      </c>
      <c r="C584" s="1530" t="s">
        <v>19</v>
      </c>
      <c r="D584" s="1542">
        <f>'Valve House'!D26</f>
        <v>148.41</v>
      </c>
      <c r="E584" s="220"/>
      <c r="F584" s="220"/>
      <c r="G584" s="220"/>
      <c r="H584" s="1608"/>
      <c r="I584" s="1860"/>
      <c r="J584" s="1543"/>
    </row>
    <row r="585" spans="1:10" ht="54">
      <c r="A585" s="1815" t="s">
        <v>2976</v>
      </c>
      <c r="B585" s="1545" t="s">
        <v>2735</v>
      </c>
      <c r="C585" s="1530"/>
      <c r="D585" s="1542"/>
      <c r="E585" s="220"/>
      <c r="F585" s="220"/>
      <c r="G585" s="220"/>
      <c r="H585" s="1608"/>
      <c r="I585" s="1860"/>
      <c r="J585" s="1543"/>
    </row>
    <row r="586" spans="1:10">
      <c r="A586" s="75" t="s">
        <v>2977</v>
      </c>
      <c r="B586" s="669" t="s">
        <v>2221</v>
      </c>
      <c r="C586" s="1530" t="s">
        <v>21</v>
      </c>
      <c r="D586" s="1542">
        <f>'Valve House'!D28</f>
        <v>30.729600000000005</v>
      </c>
      <c r="E586" s="220"/>
      <c r="F586" s="220"/>
      <c r="G586" s="220"/>
      <c r="H586" s="1823"/>
      <c r="I586" s="1859"/>
      <c r="J586" s="1543"/>
    </row>
    <row r="587" spans="1:10">
      <c r="A587" s="75" t="s">
        <v>2978</v>
      </c>
      <c r="B587" s="669" t="s">
        <v>2305</v>
      </c>
      <c r="C587" s="1530" t="s">
        <v>21</v>
      </c>
      <c r="D587" s="1542">
        <f>'Valve House'!D35</f>
        <v>461.68</v>
      </c>
      <c r="E587" s="220"/>
      <c r="F587" s="220"/>
      <c r="G587" s="220"/>
      <c r="H587" s="1823"/>
      <c r="I587" s="1859"/>
      <c r="J587" s="1543"/>
    </row>
    <row r="588" spans="1:10">
      <c r="A588" s="1815" t="s">
        <v>2979</v>
      </c>
      <c r="B588" s="313" t="s">
        <v>1649</v>
      </c>
      <c r="C588" s="1530"/>
      <c r="D588" s="1542"/>
      <c r="E588" s="220"/>
      <c r="F588" s="220"/>
      <c r="G588" s="220"/>
      <c r="H588" s="1823"/>
      <c r="I588" s="1859"/>
      <c r="J588" s="1543"/>
    </row>
    <row r="589" spans="1:10" ht="54">
      <c r="A589" s="75" t="s">
        <v>2980</v>
      </c>
      <c r="B589" s="1550" t="s">
        <v>2306</v>
      </c>
      <c r="C589" s="1530" t="s">
        <v>322</v>
      </c>
      <c r="D589" s="1542">
        <f>'Valve House'!D27+'Valve House'!D36</f>
        <v>28.990615200000001</v>
      </c>
      <c r="E589" s="220"/>
      <c r="F589" s="220"/>
      <c r="G589" s="220"/>
      <c r="H589" s="1823"/>
      <c r="I589" s="1859"/>
      <c r="J589" s="1543"/>
    </row>
    <row r="590" spans="1:10" ht="54">
      <c r="A590" s="1815" t="s">
        <v>2981</v>
      </c>
      <c r="B590" s="1557" t="s">
        <v>2418</v>
      </c>
      <c r="C590" s="1530" t="s">
        <v>438</v>
      </c>
      <c r="D590" s="1542">
        <f>0.1*1000*D582</f>
        <v>738.49775699942882</v>
      </c>
      <c r="E590" s="220"/>
      <c r="F590" s="220"/>
      <c r="G590" s="220"/>
      <c r="H590" s="1823"/>
      <c r="I590" s="1859"/>
      <c r="J590" s="1543"/>
    </row>
    <row r="591" spans="1:10">
      <c r="A591" s="1815" t="s">
        <v>3230</v>
      </c>
      <c r="B591" s="315" t="s">
        <v>309</v>
      </c>
      <c r="C591" s="1530"/>
      <c r="D591" s="1542"/>
      <c r="E591" s="220"/>
      <c r="F591" s="220"/>
      <c r="G591" s="220"/>
      <c r="H591" s="1823"/>
      <c r="I591" s="1859"/>
      <c r="J591" s="1543"/>
    </row>
    <row r="592" spans="1:10" ht="54">
      <c r="A592" s="1874" t="s">
        <v>3276</v>
      </c>
      <c r="B592" s="1943" t="s">
        <v>1249</v>
      </c>
      <c r="C592" s="1876" t="s">
        <v>19</v>
      </c>
      <c r="D592" s="1877">
        <f>9*12*1.3</f>
        <v>140.4</v>
      </c>
      <c r="E592" s="220"/>
      <c r="F592" s="220"/>
      <c r="G592" s="220"/>
      <c r="H592" s="1823"/>
      <c r="I592" s="1859"/>
      <c r="J592" s="1543"/>
    </row>
    <row r="593" spans="1:10" ht="144">
      <c r="A593" s="1977" t="s">
        <v>3314</v>
      </c>
      <c r="B593" s="1997" t="s">
        <v>3334</v>
      </c>
      <c r="C593" s="1976" t="s">
        <v>322</v>
      </c>
      <c r="D593" s="1924">
        <v>10</v>
      </c>
      <c r="E593" s="1904"/>
      <c r="F593" s="1904"/>
      <c r="G593" s="1904"/>
      <c r="H593" s="1921"/>
      <c r="I593" s="1859"/>
      <c r="J593" s="1922"/>
    </row>
    <row r="594" spans="1:10" ht="17.25" customHeight="1">
      <c r="A594" s="1722"/>
      <c r="B594" s="1557"/>
      <c r="C594" s="1563"/>
      <c r="D594" s="1688"/>
      <c r="E594" s="220"/>
      <c r="F594" s="1666" t="s">
        <v>1483</v>
      </c>
      <c r="G594" s="1695"/>
      <c r="H594" s="1824"/>
      <c r="I594" s="1850"/>
      <c r="J594" s="1717"/>
    </row>
    <row r="595" spans="1:10">
      <c r="A595" s="1814" t="s">
        <v>2247</v>
      </c>
      <c r="B595" s="1533" t="s">
        <v>1521</v>
      </c>
      <c r="C595" s="1551"/>
      <c r="D595" s="1738"/>
      <c r="E595" s="1698"/>
      <c r="F595" s="1536"/>
      <c r="G595" s="1698"/>
      <c r="H595" s="1534"/>
      <c r="I595" s="1857"/>
      <c r="J595" s="1543"/>
    </row>
    <row r="596" spans="1:10" s="1582" customFormat="1">
      <c r="A596" s="1815" t="s">
        <v>2321</v>
      </c>
      <c r="B596" s="1548" t="s">
        <v>18</v>
      </c>
      <c r="C596" s="1572"/>
      <c r="D596" s="1737"/>
      <c r="E596" s="1506"/>
      <c r="F596" s="1573"/>
      <c r="G596" s="1506"/>
      <c r="H596" s="1816"/>
      <c r="I596" s="1857"/>
      <c r="J596" s="1543"/>
    </row>
    <row r="597" spans="1:10" ht="72">
      <c r="A597" s="75" t="s">
        <v>2322</v>
      </c>
      <c r="B597" s="1555" t="s">
        <v>2847</v>
      </c>
      <c r="C597" s="1530" t="s">
        <v>19</v>
      </c>
      <c r="D597" s="1542">
        <f>'Valve House Access Portal'!J13</f>
        <v>350</v>
      </c>
      <c r="E597" s="220"/>
      <c r="F597" s="220"/>
      <c r="G597" s="220"/>
      <c r="H597" s="1823"/>
      <c r="I597" s="1860"/>
      <c r="J597" s="1542"/>
    </row>
    <row r="598" spans="1:10" ht="72">
      <c r="A598" s="1815" t="s">
        <v>2323</v>
      </c>
      <c r="B598" s="1544" t="s">
        <v>2849</v>
      </c>
      <c r="C598" s="1530"/>
      <c r="D598" s="1542"/>
      <c r="E598" s="220"/>
      <c r="F598" s="220"/>
      <c r="G598" s="220"/>
      <c r="H598" s="1823"/>
      <c r="I598" s="1860"/>
      <c r="J598" s="1542"/>
    </row>
    <row r="599" spans="1:10">
      <c r="A599" s="75" t="s">
        <v>2324</v>
      </c>
      <c r="B599" s="220" t="s">
        <v>63</v>
      </c>
      <c r="C599" s="1530" t="s">
        <v>21</v>
      </c>
      <c r="D599" s="1542">
        <f>'Valve House Access Portal'!J16</f>
        <v>5714.58</v>
      </c>
      <c r="E599" s="220"/>
      <c r="F599" s="220"/>
      <c r="G599" s="220"/>
      <c r="H599" s="1823"/>
      <c r="I599" s="1859"/>
      <c r="J599" s="1542"/>
    </row>
    <row r="600" spans="1:10">
      <c r="A600" s="1815" t="s">
        <v>2325</v>
      </c>
      <c r="B600" s="313" t="s">
        <v>92</v>
      </c>
      <c r="C600" s="1530"/>
      <c r="D600" s="1542"/>
      <c r="E600" s="220"/>
      <c r="F600" s="220"/>
      <c r="G600" s="220"/>
      <c r="H600" s="1823"/>
      <c r="I600" s="1859"/>
      <c r="J600" s="1542"/>
    </row>
    <row r="601" spans="1:10" ht="54">
      <c r="A601" s="75" t="s">
        <v>2329</v>
      </c>
      <c r="B601" s="1550" t="s">
        <v>2865</v>
      </c>
      <c r="C601" s="1530" t="s">
        <v>307</v>
      </c>
      <c r="D601" s="1542">
        <f>'Valve House Access Portal'!J20</f>
        <v>445</v>
      </c>
      <c r="E601" s="220"/>
      <c r="F601" s="220"/>
      <c r="G601" s="220"/>
      <c r="H601" s="1823"/>
      <c r="I601" s="1860"/>
      <c r="J601" s="1542"/>
    </row>
    <row r="602" spans="1:10">
      <c r="A602" s="1815" t="s">
        <v>2326</v>
      </c>
      <c r="B602" s="313" t="s">
        <v>1872</v>
      </c>
      <c r="C602" s="1530"/>
      <c r="D602" s="1542"/>
      <c r="E602" s="220"/>
      <c r="F602" s="220"/>
      <c r="G602" s="220"/>
      <c r="H602" s="1823"/>
      <c r="I602" s="1860"/>
      <c r="J602" s="1542"/>
    </row>
    <row r="603" spans="1:10" ht="54">
      <c r="A603" s="75" t="s">
        <v>2330</v>
      </c>
      <c r="B603" s="1550" t="s">
        <v>1874</v>
      </c>
      <c r="C603" s="1530" t="s">
        <v>19</v>
      </c>
      <c r="D603" s="1542">
        <v>20</v>
      </c>
      <c r="E603" s="220"/>
      <c r="F603" s="220"/>
      <c r="G603" s="220"/>
      <c r="H603" s="1823"/>
      <c r="I603" s="1860"/>
      <c r="J603" s="1542"/>
    </row>
    <row r="604" spans="1:10" ht="54">
      <c r="A604" s="75" t="s">
        <v>2982</v>
      </c>
      <c r="B604" s="1550" t="s">
        <v>1876</v>
      </c>
      <c r="C604" s="1530" t="s">
        <v>19</v>
      </c>
      <c r="D604" s="1542">
        <v>50</v>
      </c>
      <c r="E604" s="220"/>
      <c r="F604" s="220"/>
      <c r="G604" s="220"/>
      <c r="H604" s="1823"/>
      <c r="I604" s="1860"/>
      <c r="J604" s="1542"/>
    </row>
    <row r="605" spans="1:10" ht="54">
      <c r="A605" s="75" t="s">
        <v>2983</v>
      </c>
      <c r="B605" s="1550" t="s">
        <v>1807</v>
      </c>
      <c r="C605" s="1530" t="s">
        <v>19</v>
      </c>
      <c r="D605" s="1542">
        <f>'Valve House Access Portal'!J24</f>
        <v>1000</v>
      </c>
      <c r="E605" s="220"/>
      <c r="F605" s="220"/>
      <c r="G605" s="220"/>
      <c r="H605" s="1823"/>
      <c r="I605" s="1860"/>
      <c r="J605" s="1542"/>
    </row>
    <row r="606" spans="1:10">
      <c r="A606" s="1815" t="s">
        <v>2327</v>
      </c>
      <c r="B606" s="1557" t="s">
        <v>1484</v>
      </c>
      <c r="C606" s="1530" t="s">
        <v>307</v>
      </c>
      <c r="D606" s="1542">
        <f>'Valve House Access Portal'!J32</f>
        <v>334</v>
      </c>
      <c r="E606" s="220"/>
      <c r="F606" s="220"/>
      <c r="G606" s="220"/>
      <c r="H606" s="1823"/>
      <c r="I606" s="1859"/>
      <c r="J606" s="1542"/>
    </row>
    <row r="607" spans="1:10">
      <c r="A607" s="1815" t="s">
        <v>2328</v>
      </c>
      <c r="B607" s="1557" t="s">
        <v>1486</v>
      </c>
      <c r="C607" s="1530"/>
      <c r="D607" s="1542"/>
      <c r="E607" s="220"/>
      <c r="F607" s="220"/>
      <c r="G607" s="220"/>
      <c r="H607" s="1823"/>
      <c r="I607" s="1859"/>
      <c r="J607" s="1542"/>
    </row>
    <row r="608" spans="1:10" ht="36">
      <c r="A608" s="75" t="s">
        <v>2331</v>
      </c>
      <c r="B608" s="669" t="s">
        <v>2395</v>
      </c>
      <c r="C608" s="1607" t="s">
        <v>19</v>
      </c>
      <c r="D608" s="1542">
        <v>20</v>
      </c>
      <c r="E608" s="220"/>
      <c r="F608" s="220"/>
      <c r="G608" s="220"/>
      <c r="H608" s="1823"/>
      <c r="I608" s="1859"/>
      <c r="J608" s="1542"/>
    </row>
    <row r="609" spans="1:10" ht="36">
      <c r="A609" s="75" t="s">
        <v>2331</v>
      </c>
      <c r="B609" s="669" t="s">
        <v>2769</v>
      </c>
      <c r="C609" s="1530" t="s">
        <v>19</v>
      </c>
      <c r="D609" s="1542">
        <f>'Valve House Access Portal'!J28</f>
        <v>1000</v>
      </c>
      <c r="E609" s="220"/>
      <c r="F609" s="220"/>
      <c r="G609" s="220"/>
      <c r="H609" s="1823"/>
      <c r="I609" s="1859"/>
      <c r="J609" s="1542"/>
    </row>
    <row r="610" spans="1:10" ht="17.25" customHeight="1">
      <c r="A610" s="1722"/>
      <c r="B610" s="1557"/>
      <c r="C610" s="1563"/>
      <c r="D610" s="1688"/>
      <c r="E610" s="220"/>
      <c r="F610" s="1666" t="s">
        <v>1483</v>
      </c>
      <c r="G610" s="1695"/>
      <c r="H610" s="1824"/>
      <c r="I610" s="1850"/>
      <c r="J610" s="1717"/>
    </row>
    <row r="611" spans="1:10">
      <c r="A611" s="1814" t="s">
        <v>2248</v>
      </c>
      <c r="B611" s="1533" t="s">
        <v>1526</v>
      </c>
      <c r="C611" s="1551"/>
      <c r="D611" s="1738"/>
      <c r="E611" s="1698"/>
      <c r="F611" s="1536"/>
      <c r="G611" s="1698"/>
      <c r="H611" s="1534"/>
      <c r="I611" s="1857"/>
      <c r="J611" s="1543"/>
    </row>
    <row r="612" spans="1:10" s="1582" customFormat="1">
      <c r="A612" s="1815" t="s">
        <v>2332</v>
      </c>
      <c r="B612" s="1548" t="s">
        <v>1961</v>
      </c>
      <c r="C612" s="1572"/>
      <c r="D612" s="1737"/>
      <c r="E612" s="1506"/>
      <c r="F612" s="1573"/>
      <c r="G612" s="1506"/>
      <c r="H612" s="1816"/>
      <c r="I612" s="1857"/>
      <c r="J612" s="1543"/>
    </row>
    <row r="613" spans="1:10" ht="108">
      <c r="A613" s="75" t="s">
        <v>2333</v>
      </c>
      <c r="B613" s="1556" t="s">
        <v>2008</v>
      </c>
      <c r="C613" s="1607" t="s">
        <v>21</v>
      </c>
      <c r="D613" s="1542">
        <f>'Valve house Access Tunnel'!J22</f>
        <v>1035.3929477761615</v>
      </c>
      <c r="E613" s="220"/>
      <c r="F613" s="220"/>
      <c r="G613" s="220"/>
      <c r="H613" s="1823"/>
      <c r="I613" s="1859"/>
      <c r="J613" s="1542"/>
    </row>
    <row r="614" spans="1:10">
      <c r="A614" s="1815" t="s">
        <v>2367</v>
      </c>
      <c r="B614" s="313" t="s">
        <v>1872</v>
      </c>
      <c r="C614" s="1607"/>
      <c r="D614" s="1542"/>
      <c r="E614" s="220"/>
      <c r="F614" s="220"/>
      <c r="G614" s="220"/>
      <c r="H614" s="1823"/>
      <c r="I614" s="1859"/>
      <c r="J614" s="1542"/>
    </row>
    <row r="615" spans="1:10" ht="54">
      <c r="A615" s="75" t="s">
        <v>2375</v>
      </c>
      <c r="B615" s="1550" t="s">
        <v>2606</v>
      </c>
      <c r="C615" s="1607" t="s">
        <v>19</v>
      </c>
      <c r="D615" s="1542">
        <v>10</v>
      </c>
      <c r="E615" s="220"/>
      <c r="F615" s="220"/>
      <c r="G615" s="220"/>
      <c r="H615" s="1823"/>
      <c r="I615" s="1859"/>
      <c r="J615" s="1542"/>
    </row>
    <row r="616" spans="1:10" ht="54">
      <c r="A616" s="75" t="s">
        <v>2704</v>
      </c>
      <c r="B616" s="1550" t="s">
        <v>2607</v>
      </c>
      <c r="C616" s="1607" t="s">
        <v>19</v>
      </c>
      <c r="D616" s="1542">
        <v>12</v>
      </c>
      <c r="E616" s="220"/>
      <c r="F616" s="220"/>
      <c r="G616" s="220"/>
      <c r="H616" s="1823"/>
      <c r="I616" s="1859"/>
      <c r="J616" s="1542"/>
    </row>
    <row r="617" spans="1:10" ht="54">
      <c r="A617" s="75" t="s">
        <v>2705</v>
      </c>
      <c r="B617" s="1550" t="s">
        <v>2412</v>
      </c>
      <c r="C617" s="1607" t="s">
        <v>19</v>
      </c>
      <c r="D617" s="1542">
        <v>10</v>
      </c>
      <c r="E617" s="220"/>
      <c r="F617" s="220"/>
      <c r="G617" s="220"/>
      <c r="H617" s="1823"/>
      <c r="I617" s="1859"/>
      <c r="J617" s="1542"/>
    </row>
    <row r="618" spans="1:10" ht="54">
      <c r="A618" s="75" t="s">
        <v>2706</v>
      </c>
      <c r="B618" s="1550" t="s">
        <v>1862</v>
      </c>
      <c r="C618" s="1607" t="s">
        <v>19</v>
      </c>
      <c r="D618" s="1542">
        <f>'Valve house Access Tunnel'!J23</f>
        <v>388.5246460415525</v>
      </c>
      <c r="E618" s="220"/>
      <c r="F618" s="220"/>
      <c r="G618" s="220"/>
      <c r="H618" s="1823"/>
      <c r="I618" s="1859"/>
      <c r="J618" s="1542"/>
    </row>
    <row r="619" spans="1:10" ht="54">
      <c r="A619" s="75" t="s">
        <v>2764</v>
      </c>
      <c r="B619" s="1550" t="s">
        <v>1881</v>
      </c>
      <c r="C619" s="1607" t="s">
        <v>2614</v>
      </c>
      <c r="D619" s="1542">
        <f>'Valve house Access Tunnel'!J24</f>
        <v>231.72708331798782</v>
      </c>
      <c r="E619" s="220"/>
      <c r="F619" s="220"/>
      <c r="G619" s="220"/>
      <c r="H619" s="1823"/>
      <c r="I619" s="1859"/>
      <c r="J619" s="1542"/>
    </row>
    <row r="620" spans="1:10" ht="54">
      <c r="A620" s="75" t="s">
        <v>2765</v>
      </c>
      <c r="B620" s="1550" t="s">
        <v>1883</v>
      </c>
      <c r="C620" s="1607" t="s">
        <v>19</v>
      </c>
      <c r="D620" s="1542">
        <f>'Valve house Access Tunnel'!J25</f>
        <v>153.0970179050482</v>
      </c>
      <c r="E620" s="220"/>
      <c r="F620" s="220"/>
      <c r="G620" s="220"/>
      <c r="H620" s="1823"/>
      <c r="I620" s="1859"/>
      <c r="J620" s="1542"/>
    </row>
    <row r="621" spans="1:10" ht="54">
      <c r="A621" s="1815" t="s">
        <v>2368</v>
      </c>
      <c r="B621" s="1545" t="s">
        <v>2735</v>
      </c>
      <c r="C621" s="1607"/>
      <c r="D621" s="1542"/>
      <c r="E621" s="220"/>
      <c r="F621" s="220"/>
      <c r="G621" s="220"/>
      <c r="H621" s="1823"/>
      <c r="I621" s="1859"/>
      <c r="J621" s="1542"/>
    </row>
    <row r="622" spans="1:10">
      <c r="A622" s="75" t="s">
        <v>2376</v>
      </c>
      <c r="B622" s="669" t="s">
        <v>2334</v>
      </c>
      <c r="C622" s="1607" t="s">
        <v>21</v>
      </c>
      <c r="D622" s="1542">
        <f>'Valve house Access Tunnel'!J26</f>
        <v>38.852464604155251</v>
      </c>
      <c r="E622" s="220"/>
      <c r="F622" s="220"/>
      <c r="G622" s="220"/>
      <c r="H622" s="1823"/>
      <c r="I622" s="1859"/>
      <c r="J622" s="1542"/>
    </row>
    <row r="623" spans="1:10">
      <c r="A623" s="75" t="s">
        <v>2377</v>
      </c>
      <c r="B623" s="669" t="s">
        <v>2335</v>
      </c>
      <c r="C623" s="1607" t="s">
        <v>19</v>
      </c>
      <c r="D623" s="1542">
        <f>'Valve house Access Tunnel'!J32</f>
        <v>44.760960000000004</v>
      </c>
      <c r="E623" s="220"/>
      <c r="F623" s="220"/>
      <c r="G623" s="220"/>
      <c r="H623" s="1823"/>
      <c r="I623" s="1859"/>
      <c r="J623" s="1542"/>
    </row>
    <row r="624" spans="1:10">
      <c r="A624" s="1815" t="s">
        <v>2369</v>
      </c>
      <c r="B624" s="1548" t="s">
        <v>309</v>
      </c>
      <c r="C624" s="1607"/>
      <c r="D624" s="1542"/>
      <c r="E624" s="220"/>
      <c r="F624" s="220"/>
      <c r="G624" s="220"/>
      <c r="H624" s="1823"/>
      <c r="I624" s="1859"/>
      <c r="J624" s="1542"/>
    </row>
    <row r="625" spans="1:10" ht="54">
      <c r="A625" s="75" t="s">
        <v>2378</v>
      </c>
      <c r="B625" s="1549" t="s">
        <v>2038</v>
      </c>
      <c r="C625" s="1607" t="s">
        <v>19</v>
      </c>
      <c r="D625" s="1542">
        <f>'Valve house Access Tunnel'!J27</f>
        <v>155.40985841662101</v>
      </c>
      <c r="E625" s="220"/>
      <c r="F625" s="220"/>
      <c r="G625" s="220"/>
      <c r="H625" s="1823"/>
      <c r="I625" s="1859"/>
      <c r="J625" s="1542"/>
    </row>
    <row r="626" spans="1:10">
      <c r="A626" s="1815" t="s">
        <v>2370</v>
      </c>
      <c r="B626" s="313" t="s">
        <v>1649</v>
      </c>
      <c r="C626" s="1607"/>
      <c r="D626" s="1542"/>
      <c r="E626" s="220"/>
      <c r="F626" s="220"/>
      <c r="G626" s="220"/>
      <c r="H626" s="1823"/>
      <c r="I626" s="1859"/>
      <c r="J626" s="1542"/>
    </row>
    <row r="627" spans="1:10" ht="54">
      <c r="A627" s="75" t="s">
        <v>2984</v>
      </c>
      <c r="B627" s="1550" t="s">
        <v>2306</v>
      </c>
      <c r="C627" s="1607" t="s">
        <v>25</v>
      </c>
      <c r="D627" s="1542">
        <f>'Valve house Access Tunnel'!J33</f>
        <v>2.6353015200000001</v>
      </c>
      <c r="E627" s="220"/>
      <c r="F627" s="220"/>
      <c r="G627" s="220"/>
      <c r="H627" s="1823"/>
      <c r="I627" s="1859"/>
      <c r="J627" s="1542"/>
    </row>
    <row r="628" spans="1:10">
      <c r="A628" s="1815" t="s">
        <v>2371</v>
      </c>
      <c r="B628" s="313" t="s">
        <v>92</v>
      </c>
      <c r="C628" s="1607"/>
      <c r="D628" s="1542"/>
      <c r="E628" s="220"/>
      <c r="F628" s="220"/>
      <c r="G628" s="220"/>
      <c r="H628" s="1823"/>
      <c r="I628" s="1859"/>
      <c r="J628" s="1542"/>
    </row>
    <row r="629" spans="1:10" ht="54">
      <c r="A629" s="75" t="s">
        <v>2774</v>
      </c>
      <c r="B629" s="1550" t="s">
        <v>2867</v>
      </c>
      <c r="C629" s="1607" t="s">
        <v>367</v>
      </c>
      <c r="D629" s="1542">
        <f>'Valve house Access Tunnel'!J29</f>
        <v>1212</v>
      </c>
      <c r="E629" s="220"/>
      <c r="F629" s="220"/>
      <c r="G629" s="220"/>
      <c r="H629" s="1823"/>
      <c r="I629" s="1859"/>
      <c r="J629" s="1542"/>
    </row>
    <row r="630" spans="1:10">
      <c r="A630" s="1815" t="s">
        <v>2372</v>
      </c>
      <c r="B630" s="1557" t="s">
        <v>2104</v>
      </c>
      <c r="C630" s="1607"/>
      <c r="D630" s="1542"/>
      <c r="E630" s="220"/>
      <c r="F630" s="220"/>
      <c r="G630" s="220"/>
      <c r="H630" s="1823"/>
      <c r="I630" s="1859"/>
      <c r="J630" s="1542"/>
    </row>
    <row r="631" spans="1:10" ht="54">
      <c r="A631" s="75" t="s">
        <v>2985</v>
      </c>
      <c r="B631" s="669" t="s">
        <v>2871</v>
      </c>
      <c r="C631" s="1607" t="s">
        <v>367</v>
      </c>
      <c r="D631" s="1542">
        <f>'Valve house Access Tunnel'!J30</f>
        <v>114</v>
      </c>
      <c r="E631" s="220"/>
      <c r="F631" s="220"/>
      <c r="G631" s="220"/>
      <c r="H631" s="1823"/>
      <c r="I631" s="1859"/>
      <c r="J631" s="1542"/>
    </row>
    <row r="632" spans="1:10" ht="36">
      <c r="A632" s="1815" t="s">
        <v>2373</v>
      </c>
      <c r="B632" s="1557" t="s">
        <v>2890</v>
      </c>
      <c r="C632" s="1607" t="s">
        <v>19</v>
      </c>
      <c r="D632" s="1542">
        <f>'Valve house Access Tunnel'!J34</f>
        <v>1053.6897929747397</v>
      </c>
      <c r="E632" s="220"/>
      <c r="F632" s="220"/>
      <c r="G632" s="220"/>
      <c r="H632" s="1823"/>
      <c r="I632" s="1859"/>
      <c r="J632" s="1542"/>
    </row>
    <row r="633" spans="1:10">
      <c r="A633" s="1815" t="s">
        <v>2374</v>
      </c>
      <c r="B633" s="1557" t="s">
        <v>2424</v>
      </c>
      <c r="C633" s="1607"/>
      <c r="D633" s="1542"/>
      <c r="E633" s="220"/>
      <c r="F633" s="220"/>
      <c r="G633" s="220"/>
      <c r="H633" s="1823"/>
      <c r="I633" s="1859"/>
      <c r="J633" s="1542"/>
    </row>
    <row r="634" spans="1:10" ht="36">
      <c r="A634" s="75" t="s">
        <v>2379</v>
      </c>
      <c r="B634" s="669" t="s">
        <v>2395</v>
      </c>
      <c r="C634" s="1607" t="s">
        <v>19</v>
      </c>
      <c r="D634" s="1542">
        <v>10</v>
      </c>
      <c r="E634" s="220"/>
      <c r="F634" s="220"/>
      <c r="G634" s="220"/>
      <c r="H634" s="1823"/>
      <c r="I634" s="1859"/>
      <c r="J634" s="1542"/>
    </row>
    <row r="635" spans="1:10" ht="36">
      <c r="A635" s="75" t="s">
        <v>2775</v>
      </c>
      <c r="B635" s="669" t="s">
        <v>2394</v>
      </c>
      <c r="C635" s="1607" t="s">
        <v>19</v>
      </c>
      <c r="D635" s="1542">
        <f>'Valve house Access Tunnel'!J35</f>
        <v>84.082571182731883</v>
      </c>
      <c r="E635" s="220"/>
      <c r="F635" s="220"/>
      <c r="G635" s="220"/>
      <c r="H635" s="1823"/>
      <c r="I635" s="1859"/>
      <c r="J635" s="1542"/>
    </row>
    <row r="636" spans="1:10">
      <c r="A636" s="1815" t="s">
        <v>2986</v>
      </c>
      <c r="B636" s="1557" t="s">
        <v>318</v>
      </c>
      <c r="C636" s="1607"/>
      <c r="D636" s="1542"/>
      <c r="E636" s="220"/>
      <c r="F636" s="220"/>
      <c r="G636" s="220"/>
      <c r="H636" s="1823"/>
      <c r="I636" s="1859"/>
      <c r="J636" s="1542"/>
    </row>
    <row r="637" spans="1:10" ht="54">
      <c r="A637" s="75" t="s">
        <v>2776</v>
      </c>
      <c r="B637" s="669" t="s">
        <v>2892</v>
      </c>
      <c r="C637" s="1607" t="s">
        <v>25</v>
      </c>
      <c r="D637" s="1542">
        <f>'Valve house Access Tunnel'!I31</f>
        <v>1.5832300164692437</v>
      </c>
      <c r="E637" s="220"/>
      <c r="F637" s="220"/>
      <c r="G637" s="220"/>
      <c r="H637" s="1823"/>
      <c r="I637" s="1859"/>
      <c r="J637" s="1542"/>
    </row>
    <row r="638" spans="1:10" ht="17.25" customHeight="1">
      <c r="A638" s="1722"/>
      <c r="B638" s="1557"/>
      <c r="C638" s="1563"/>
      <c r="D638" s="1688"/>
      <c r="E638" s="220"/>
      <c r="F638" s="1666" t="s">
        <v>1483</v>
      </c>
      <c r="G638" s="1695"/>
      <c r="H638" s="1824"/>
      <c r="I638" s="1850"/>
      <c r="J638" s="1717"/>
    </row>
    <row r="639" spans="1:10">
      <c r="A639" s="1814" t="s">
        <v>2249</v>
      </c>
      <c r="B639" s="1533" t="s">
        <v>3086</v>
      </c>
      <c r="C639" s="1551"/>
      <c r="D639" s="1738"/>
      <c r="E639" s="1698"/>
      <c r="F639" s="1536"/>
      <c r="G639" s="1698"/>
      <c r="H639" s="1534"/>
      <c r="I639" s="1857"/>
      <c r="J639" s="1543"/>
    </row>
    <row r="640" spans="1:10">
      <c r="A640" s="1815" t="s">
        <v>2336</v>
      </c>
      <c r="B640" s="1548" t="s">
        <v>1961</v>
      </c>
      <c r="C640" s="1530"/>
      <c r="D640" s="1686"/>
      <c r="E640" s="220"/>
      <c r="F640" s="1577"/>
      <c r="G640" s="220"/>
      <c r="H640" s="1608"/>
      <c r="I640" s="1857"/>
      <c r="J640" s="1543"/>
    </row>
    <row r="641" spans="1:10" ht="108">
      <c r="A641" s="75" t="s">
        <v>2337</v>
      </c>
      <c r="B641" s="1591" t="s">
        <v>2008</v>
      </c>
      <c r="C641" s="1530" t="s">
        <v>21</v>
      </c>
      <c r="D641" s="1542">
        <f>'Horizontal Shaft Tunnel-IV'!D20+'Horizontal Shaft Tunnel-II'!D20+'Horizontal Shaft Tunnel-III'!D20+'Horizontal Shaft Tunnel-I'!D20</f>
        <v>6999.7922070581335</v>
      </c>
      <c r="E641" s="220"/>
      <c r="F641" s="220"/>
      <c r="G641" s="220"/>
      <c r="H641" s="1823"/>
      <c r="I641" s="1859"/>
      <c r="J641" s="1577"/>
    </row>
    <row r="642" spans="1:10">
      <c r="A642" s="1815" t="s">
        <v>2338</v>
      </c>
      <c r="B642" s="313" t="s">
        <v>1872</v>
      </c>
      <c r="C642" s="1530"/>
      <c r="D642" s="1542"/>
      <c r="E642" s="220"/>
      <c r="F642" s="220"/>
      <c r="G642" s="220"/>
      <c r="H642" s="1823"/>
      <c r="I642" s="1859"/>
      <c r="J642" s="1577"/>
    </row>
    <row r="643" spans="1:10" ht="54">
      <c r="A643" s="75" t="s">
        <v>2343</v>
      </c>
      <c r="B643" s="1550" t="s">
        <v>2606</v>
      </c>
      <c r="C643" s="1530" t="s">
        <v>19</v>
      </c>
      <c r="D643" s="1542">
        <v>20</v>
      </c>
      <c r="E643" s="220"/>
      <c r="F643" s="220"/>
      <c r="G643" s="220"/>
      <c r="H643" s="1823"/>
      <c r="I643" s="1859"/>
      <c r="J643" s="1577"/>
    </row>
    <row r="644" spans="1:10" ht="54">
      <c r="A644" s="75" t="s">
        <v>2987</v>
      </c>
      <c r="B644" s="1550" t="s">
        <v>2607</v>
      </c>
      <c r="C644" s="1530" t="s">
        <v>19</v>
      </c>
      <c r="D644" s="1542">
        <v>20</v>
      </c>
      <c r="E644" s="220"/>
      <c r="F644" s="220"/>
      <c r="G644" s="220"/>
      <c r="H644" s="1823"/>
      <c r="I644" s="1859"/>
      <c r="J644" s="1577"/>
    </row>
    <row r="645" spans="1:10" ht="54">
      <c r="A645" s="75" t="s">
        <v>2988</v>
      </c>
      <c r="B645" s="1550" t="s">
        <v>2412</v>
      </c>
      <c r="C645" s="1530" t="s">
        <v>19</v>
      </c>
      <c r="D645" s="1542">
        <v>20</v>
      </c>
      <c r="E645" s="220"/>
      <c r="F645" s="220"/>
      <c r="G645" s="220"/>
      <c r="H645" s="1823"/>
      <c r="I645" s="1859"/>
      <c r="J645" s="1543"/>
    </row>
    <row r="646" spans="1:10" ht="54">
      <c r="A646" s="75" t="s">
        <v>2989</v>
      </c>
      <c r="B646" s="1550" t="s">
        <v>2745</v>
      </c>
      <c r="C646" s="1530" t="s">
        <v>19</v>
      </c>
      <c r="D646" s="1542">
        <v>20</v>
      </c>
      <c r="E646" s="220"/>
      <c r="F646" s="220"/>
      <c r="G646" s="220"/>
      <c r="H646" s="1823"/>
      <c r="I646" s="1859"/>
      <c r="J646" s="1543"/>
    </row>
    <row r="647" spans="1:10" ht="54">
      <c r="A647" s="75" t="s">
        <v>2990</v>
      </c>
      <c r="B647" s="1550" t="s">
        <v>1881</v>
      </c>
      <c r="C647" s="1530" t="s">
        <v>19</v>
      </c>
      <c r="D647" s="1542">
        <f>'Horizontal Shaft Tunnel-IV'!D21+'Horizontal Shaft Tunnel-III'!D21+'Horizontal Shaft Tunnel-II'!D21+'Horizontal Shaft Tunnel-IV'!D21</f>
        <v>4689.711035053976</v>
      </c>
      <c r="E647" s="220"/>
      <c r="F647" s="220"/>
      <c r="G647" s="220"/>
      <c r="H647" s="1823"/>
      <c r="I647" s="1859"/>
      <c r="J647" s="1577"/>
    </row>
    <row r="648" spans="1:10" ht="54">
      <c r="A648" s="75" t="s">
        <v>2991</v>
      </c>
      <c r="B648" s="1550" t="s">
        <v>1883</v>
      </c>
      <c r="C648" s="1530" t="s">
        <v>19</v>
      </c>
      <c r="D648" s="1542">
        <f>'Horizontal Shaft Tunnel-I'!D22+'Horizontal Shaft Tunnel-III'!D22+'Horizontal Shaft Tunnel-II'!D22+'Horizontal Shaft Tunnel-IV'!D22</f>
        <v>1797.1612966087528</v>
      </c>
      <c r="E648" s="220"/>
      <c r="F648" s="220"/>
      <c r="G648" s="220"/>
      <c r="H648" s="1823"/>
      <c r="I648" s="1859"/>
      <c r="J648" s="1543"/>
    </row>
    <row r="649" spans="1:10">
      <c r="A649" s="1815" t="s">
        <v>2339</v>
      </c>
      <c r="B649" s="1557" t="s">
        <v>1518</v>
      </c>
      <c r="C649" s="1530"/>
      <c r="D649" s="1542"/>
      <c r="E649" s="220"/>
      <c r="F649" s="220"/>
      <c r="G649" s="220"/>
      <c r="H649" s="1823"/>
      <c r="I649" s="1859"/>
      <c r="J649" s="1543"/>
    </row>
    <row r="650" spans="1:10" ht="36">
      <c r="A650" s="75" t="s">
        <v>2344</v>
      </c>
      <c r="B650" s="669" t="s">
        <v>2394</v>
      </c>
      <c r="C650" s="1530" t="s">
        <v>19</v>
      </c>
      <c r="D650" s="1542">
        <f>'Horizontal Shaft Tunnel-I'!D23+'Horizontal Shaft Tunnel-III'!D23+'Horizontal Shaft Tunnel-II'!D23+'Horizontal Shaft Tunnel-IV'!D23</f>
        <v>599.05376553625092</v>
      </c>
      <c r="E650" s="220"/>
      <c r="F650" s="220"/>
      <c r="G650" s="220"/>
      <c r="H650" s="1823"/>
      <c r="I650" s="1860"/>
      <c r="J650" s="1543"/>
    </row>
    <row r="651" spans="1:10" ht="36">
      <c r="A651" s="75" t="s">
        <v>2992</v>
      </c>
      <c r="B651" s="669" t="s">
        <v>2395</v>
      </c>
      <c r="C651" s="1530" t="s">
        <v>19</v>
      </c>
      <c r="D651" s="1742">
        <v>42</v>
      </c>
      <c r="E651" s="220"/>
      <c r="F651" s="220"/>
      <c r="G651" s="220"/>
      <c r="H651" s="1608"/>
      <c r="I651" s="1860"/>
      <c r="J651" s="1593"/>
    </row>
    <row r="652" spans="1:10">
      <c r="A652" s="1815" t="s">
        <v>2340</v>
      </c>
      <c r="B652" s="313" t="s">
        <v>1929</v>
      </c>
      <c r="C652" s="1530"/>
      <c r="D652" s="1542"/>
      <c r="E652" s="220"/>
      <c r="F652" s="220"/>
      <c r="G652" s="220"/>
      <c r="H652" s="1608"/>
      <c r="I652" s="1860"/>
      <c r="J652" s="1543"/>
    </row>
    <row r="653" spans="1:10" ht="51.75" customHeight="1">
      <c r="A653" s="75" t="s">
        <v>2345</v>
      </c>
      <c r="B653" s="1550" t="s">
        <v>2872</v>
      </c>
      <c r="C653" s="1530" t="s">
        <v>307</v>
      </c>
      <c r="D653" s="1542">
        <f>'Horizontal Shaft Tunnel-I'!D24+'Horizontal Shaft Tunnel-III'!D24+'Horizontal Shaft Tunnel-II'!D24+'Horizontal Shaft Tunnel-IV'!D24</f>
        <v>3115</v>
      </c>
      <c r="E653" s="220"/>
      <c r="F653" s="220"/>
      <c r="G653" s="220"/>
      <c r="H653" s="1608"/>
      <c r="I653" s="1860"/>
      <c r="J653" s="1543"/>
    </row>
    <row r="654" spans="1:10">
      <c r="A654" s="1815" t="s">
        <v>2341</v>
      </c>
      <c r="B654" s="313" t="s">
        <v>2773</v>
      </c>
      <c r="C654" s="1530"/>
      <c r="D654" s="1542"/>
      <c r="E654" s="220"/>
      <c r="F654" s="220"/>
      <c r="G654" s="220"/>
      <c r="H654" s="1608"/>
      <c r="I654" s="1860"/>
      <c r="J654" s="1543"/>
    </row>
    <row r="655" spans="1:10" ht="54">
      <c r="A655" s="75" t="s">
        <v>2993</v>
      </c>
      <c r="B655" s="669" t="s">
        <v>2881</v>
      </c>
      <c r="C655" s="1530" t="s">
        <v>307</v>
      </c>
      <c r="D655" s="1542">
        <f>'Horizontal Shaft Tunnel-I'!D25+'Horizontal Shaft Tunnel-III'!D25+'Horizontal Shaft Tunnel-II'!D25+'Horizontal Shaft Tunnel-IV'!D25</f>
        <v>673</v>
      </c>
      <c r="E655" s="220"/>
      <c r="F655" s="220"/>
      <c r="G655" s="220"/>
      <c r="H655" s="1608"/>
      <c r="I655" s="1860"/>
      <c r="J655" s="1543"/>
    </row>
    <row r="656" spans="1:10">
      <c r="A656" s="1815" t="s">
        <v>2342</v>
      </c>
      <c r="B656" s="1557" t="s">
        <v>318</v>
      </c>
      <c r="C656" s="1530"/>
      <c r="D656" s="1542"/>
      <c r="E656" s="220"/>
      <c r="F656" s="220"/>
      <c r="G656" s="220"/>
      <c r="H656" s="1608"/>
      <c r="I656" s="1860"/>
      <c r="J656" s="1543"/>
    </row>
    <row r="657" spans="1:10" ht="54">
      <c r="A657" s="75" t="s">
        <v>2707</v>
      </c>
      <c r="B657" s="669" t="s">
        <v>2892</v>
      </c>
      <c r="C657" s="1530" t="s">
        <v>322</v>
      </c>
      <c r="D657" s="1542">
        <f>'Horizontal Shaft Tunnel-I'!D29+'Horizontal Shaft Tunnel-III'!D29+'Horizontal Shaft Tunnel-II'!D29+'Horizontal Shaft Tunnel-IV'!D29</f>
        <v>18.191706998648641</v>
      </c>
      <c r="E657" s="220"/>
      <c r="F657" s="220"/>
      <c r="G657" s="220"/>
      <c r="H657" s="1608"/>
      <c r="I657" s="1860"/>
      <c r="J657" s="1543"/>
    </row>
    <row r="658" spans="1:10" ht="36">
      <c r="A658" s="1815" t="s">
        <v>2994</v>
      </c>
      <c r="B658" s="1557" t="s">
        <v>2890</v>
      </c>
      <c r="C658" s="1530" t="s">
        <v>19</v>
      </c>
      <c r="D658" s="1542">
        <f>'Horizontal Shaft Tunnel-I'!D26+'Horizontal Shaft Tunnel-III'!D26+'Horizontal Shaft Tunnel-II'!D26+'Horizontal Shaft Tunnel-IV'!D26</f>
        <v>2412.8504000000003</v>
      </c>
      <c r="E658" s="220"/>
      <c r="F658" s="220"/>
      <c r="G658" s="220"/>
      <c r="H658" s="1608"/>
      <c r="I658" s="1860"/>
      <c r="J658" s="1543"/>
    </row>
    <row r="659" spans="1:10" ht="54">
      <c r="A659" s="1815" t="s">
        <v>2995</v>
      </c>
      <c r="B659" s="1557" t="s">
        <v>2418</v>
      </c>
      <c r="C659" s="1530" t="s">
        <v>438</v>
      </c>
      <c r="D659" s="1542">
        <f>0.2*1000*D657</f>
        <v>3638.3413997297284</v>
      </c>
      <c r="E659" s="220"/>
      <c r="F659" s="220"/>
      <c r="G659" s="220"/>
      <c r="H659" s="1823"/>
      <c r="I659" s="1859"/>
      <c r="J659" s="1543"/>
    </row>
    <row r="660" spans="1:10" ht="54">
      <c r="A660" s="1815" t="s">
        <v>2996</v>
      </c>
      <c r="B660" s="1545" t="s">
        <v>2735</v>
      </c>
      <c r="C660" s="1530"/>
      <c r="D660" s="1542"/>
      <c r="E660" s="220"/>
      <c r="F660" s="220"/>
      <c r="G660" s="220"/>
      <c r="H660" s="1823"/>
      <c r="I660" s="1859"/>
      <c r="J660" s="1543"/>
    </row>
    <row r="661" spans="1:10" ht="36">
      <c r="A661" s="1894" t="s">
        <v>2997</v>
      </c>
      <c r="B661" s="1928" t="s">
        <v>3269</v>
      </c>
      <c r="C661" s="1896" t="s">
        <v>21</v>
      </c>
      <c r="D661" s="1897">
        <f>'Horizontal Shaft Tunnel-I'!D30+'Horizontal Shaft Tunnel-III'!D30+'Horizontal Shaft Tunnel-II'!D30+'Horizontal Shaft Tunnel-IV'!D30</f>
        <v>4796.2477039037167</v>
      </c>
      <c r="E661" s="220"/>
      <c r="F661" s="220"/>
      <c r="G661" s="220"/>
      <c r="H661" s="1823" t="s">
        <v>3273</v>
      </c>
      <c r="I661" s="1859"/>
      <c r="J661" s="1543"/>
    </row>
    <row r="662" spans="1:10">
      <c r="A662" s="75" t="s">
        <v>2998</v>
      </c>
      <c r="B662" s="669" t="s">
        <v>2610</v>
      </c>
      <c r="C662" s="1530" t="s">
        <v>21</v>
      </c>
      <c r="D662" s="1542">
        <f>'Horizontal Shaft Tunnel-I'!D27+'Horizontal Shaft Tunnel-III'!D27+'Horizontal Shaft Tunnel-II'!D27+'Horizontal Shaft Tunnel-IV'!D27</f>
        <v>134.67072000000002</v>
      </c>
      <c r="E662" s="220"/>
      <c r="F662" s="220"/>
      <c r="G662" s="220"/>
      <c r="H662" s="1823"/>
      <c r="I662" s="1859"/>
      <c r="J662" s="1543"/>
    </row>
    <row r="663" spans="1:10">
      <c r="A663" s="1815" t="s">
        <v>2999</v>
      </c>
      <c r="B663" s="313" t="s">
        <v>1649</v>
      </c>
      <c r="C663" s="1530"/>
      <c r="D663" s="1542"/>
      <c r="E663" s="220"/>
      <c r="F663" s="220"/>
      <c r="G663" s="220"/>
      <c r="H663" s="1823"/>
      <c r="I663" s="1859"/>
      <c r="J663" s="1543"/>
    </row>
    <row r="664" spans="1:10" ht="54">
      <c r="A664" s="75" t="s">
        <v>2999</v>
      </c>
      <c r="B664" s="1550" t="s">
        <v>1248</v>
      </c>
      <c r="C664" s="1530" t="s">
        <v>25</v>
      </c>
      <c r="D664" s="1542">
        <f>'Horizontal Shaft Tunnel-I'!D28+'Horizontal Shaft Tunnel-II'!D28+'Horizontal Shaft Tunnel-III'!D28+'Horizontal Shaft Tunnel-I'!D28</f>
        <v>0.59365440000000003</v>
      </c>
      <c r="E664" s="220"/>
      <c r="F664" s="220"/>
      <c r="G664" s="220"/>
      <c r="H664" s="1823"/>
      <c r="I664" s="1859"/>
      <c r="J664" s="1543"/>
    </row>
    <row r="665" spans="1:10" ht="17.25" customHeight="1">
      <c r="A665" s="1722"/>
      <c r="B665" s="1557"/>
      <c r="C665" s="1563"/>
      <c r="D665" s="1688"/>
      <c r="E665" s="220"/>
      <c r="F665" s="1666" t="s">
        <v>1483</v>
      </c>
      <c r="G665" s="1695"/>
      <c r="H665" s="1824"/>
      <c r="I665" s="1850"/>
      <c r="J665" s="1717"/>
    </row>
    <row r="666" spans="1:10">
      <c r="A666" s="1814" t="s">
        <v>2250</v>
      </c>
      <c r="B666" s="1533" t="s">
        <v>1528</v>
      </c>
      <c r="C666" s="1551"/>
      <c r="D666" s="1738"/>
      <c r="E666" s="1698"/>
      <c r="F666" s="1536"/>
      <c r="G666" s="1698"/>
      <c r="H666" s="1534"/>
      <c r="I666" s="1857"/>
      <c r="J666" s="1543"/>
    </row>
    <row r="667" spans="1:10" s="1582" customFormat="1">
      <c r="A667" s="1815" t="s">
        <v>2346</v>
      </c>
      <c r="B667" s="1548" t="s">
        <v>18</v>
      </c>
      <c r="C667" s="1572"/>
      <c r="D667" s="1737"/>
      <c r="E667" s="1506"/>
      <c r="F667" s="1573"/>
      <c r="G667" s="1506"/>
      <c r="H667" s="1816"/>
      <c r="I667" s="1857"/>
      <c r="J667" s="1543"/>
    </row>
    <row r="668" spans="1:10" ht="72">
      <c r="A668" s="75" t="s">
        <v>2347</v>
      </c>
      <c r="B668" s="1555" t="s">
        <v>2847</v>
      </c>
      <c r="C668" s="1530" t="s">
        <v>19</v>
      </c>
      <c r="D668" s="1542">
        <f>'Powrhouse Adit Portal'!J13</f>
        <v>100</v>
      </c>
      <c r="E668" s="220"/>
      <c r="F668" s="220"/>
      <c r="G668" s="220"/>
      <c r="H668" s="1823"/>
      <c r="I668" s="1860"/>
      <c r="J668" s="1542"/>
    </row>
    <row r="669" spans="1:10" ht="72">
      <c r="A669" s="1815" t="s">
        <v>2348</v>
      </c>
      <c r="B669" s="1544" t="s">
        <v>2849</v>
      </c>
      <c r="C669" s="1530"/>
      <c r="D669" s="1542"/>
      <c r="E669" s="220"/>
      <c r="F669" s="220"/>
      <c r="G669" s="220"/>
      <c r="H669" s="1823"/>
      <c r="I669" s="1860"/>
      <c r="J669" s="1542"/>
    </row>
    <row r="670" spans="1:10">
      <c r="A670" s="75" t="s">
        <v>2353</v>
      </c>
      <c r="B670" s="220" t="s">
        <v>63</v>
      </c>
      <c r="C670" s="1530" t="s">
        <v>21</v>
      </c>
      <c r="D670" s="1542">
        <f>'Powrhouse Adit Portal'!J16</f>
        <v>2328</v>
      </c>
      <c r="E670" s="220"/>
      <c r="F670" s="220"/>
      <c r="G670" s="220"/>
      <c r="H670" s="1823"/>
      <c r="I670" s="1859"/>
      <c r="J670" s="1542"/>
    </row>
    <row r="671" spans="1:10">
      <c r="A671" s="1815" t="s">
        <v>2349</v>
      </c>
      <c r="B671" s="313" t="s">
        <v>1929</v>
      </c>
      <c r="C671" s="1530"/>
      <c r="D671" s="1542"/>
      <c r="E671" s="220"/>
      <c r="F671" s="220"/>
      <c r="G671" s="220"/>
      <c r="H671" s="1823"/>
      <c r="I671" s="1859"/>
      <c r="J671" s="1542"/>
    </row>
    <row r="672" spans="1:10" ht="54">
      <c r="A672" s="75" t="s">
        <v>2354</v>
      </c>
      <c r="B672" s="1550" t="s">
        <v>2945</v>
      </c>
      <c r="C672" s="1530" t="s">
        <v>307</v>
      </c>
      <c r="D672" s="1542">
        <f>'Powrhouse Adit Portal'!J20</f>
        <v>139</v>
      </c>
      <c r="E672" s="220"/>
      <c r="F672" s="220"/>
      <c r="G672" s="220"/>
      <c r="H672" s="1823"/>
      <c r="I672" s="1862"/>
      <c r="J672" s="1542"/>
    </row>
    <row r="673" spans="1:10">
      <c r="A673" s="1815" t="s">
        <v>2350</v>
      </c>
      <c r="B673" s="313" t="s">
        <v>1872</v>
      </c>
      <c r="C673" s="1530"/>
      <c r="D673" s="1542"/>
      <c r="E673" s="220"/>
      <c r="F673" s="220"/>
      <c r="G673" s="220"/>
      <c r="H673" s="1823"/>
      <c r="I673" s="1860"/>
      <c r="J673" s="1542"/>
    </row>
    <row r="674" spans="1:10" ht="54">
      <c r="A674" s="75" t="s">
        <v>2355</v>
      </c>
      <c r="B674" s="1550" t="s">
        <v>2606</v>
      </c>
      <c r="C674" s="1530" t="s">
        <v>19</v>
      </c>
      <c r="D674" s="1542">
        <v>20</v>
      </c>
      <c r="E674" s="220"/>
      <c r="F674" s="220"/>
      <c r="G674" s="220"/>
      <c r="H674" s="1823"/>
      <c r="I674" s="1859"/>
      <c r="J674" s="1542"/>
    </row>
    <row r="675" spans="1:10" ht="54">
      <c r="A675" s="75" t="s">
        <v>3000</v>
      </c>
      <c r="B675" s="1550" t="s">
        <v>2607</v>
      </c>
      <c r="C675" s="1530" t="s">
        <v>19</v>
      </c>
      <c r="D675" s="1542">
        <v>10</v>
      </c>
      <c r="E675" s="220"/>
      <c r="F675" s="220"/>
      <c r="G675" s="220"/>
      <c r="H675" s="1823"/>
      <c r="I675" s="1859"/>
      <c r="J675" s="1542"/>
    </row>
    <row r="676" spans="1:10" ht="54">
      <c r="A676" s="75" t="s">
        <v>3001</v>
      </c>
      <c r="B676" s="1550" t="s">
        <v>2412</v>
      </c>
      <c r="C676" s="1530" t="s">
        <v>19</v>
      </c>
      <c r="D676" s="1542">
        <f>'Powrhouse Adit Portal'!J24</f>
        <v>312.5</v>
      </c>
      <c r="E676" s="220"/>
      <c r="F676" s="220"/>
      <c r="G676" s="220"/>
      <c r="H676" s="1823"/>
      <c r="I676" s="1860"/>
      <c r="J676" s="1542"/>
    </row>
    <row r="677" spans="1:10">
      <c r="A677" s="1815" t="s">
        <v>2351</v>
      </c>
      <c r="B677" s="1557" t="s">
        <v>1484</v>
      </c>
      <c r="C677" s="1530" t="s">
        <v>307</v>
      </c>
      <c r="D677" s="1542">
        <f>'Powrhouse Adit Portal'!J32</f>
        <v>105</v>
      </c>
      <c r="E677" s="220"/>
      <c r="F677" s="220"/>
      <c r="G677" s="220"/>
      <c r="H677" s="1823"/>
      <c r="I677" s="1859"/>
      <c r="J677" s="1542"/>
    </row>
    <row r="678" spans="1:10">
      <c r="A678" s="1815" t="s">
        <v>2352</v>
      </c>
      <c r="B678" s="1557" t="s">
        <v>1518</v>
      </c>
      <c r="C678" s="1530"/>
      <c r="D678" s="1542"/>
      <c r="E678" s="220"/>
      <c r="F678" s="220"/>
      <c r="G678" s="220"/>
      <c r="H678" s="1823"/>
      <c r="I678" s="1859"/>
      <c r="J678" s="1542"/>
    </row>
    <row r="679" spans="1:10" ht="36">
      <c r="A679" s="75" t="s">
        <v>2356</v>
      </c>
      <c r="B679" s="669" t="s">
        <v>2655</v>
      </c>
      <c r="C679" s="1530" t="s">
        <v>19</v>
      </c>
      <c r="D679" s="1542">
        <v>20</v>
      </c>
      <c r="E679" s="220"/>
      <c r="F679" s="220"/>
      <c r="G679" s="220"/>
      <c r="H679" s="1823"/>
      <c r="I679" s="1859"/>
      <c r="J679" s="1542"/>
    </row>
    <row r="680" spans="1:10" ht="36">
      <c r="A680" s="75" t="s">
        <v>3002</v>
      </c>
      <c r="B680" s="669" t="s">
        <v>2656</v>
      </c>
      <c r="C680" s="1530" t="s">
        <v>19</v>
      </c>
      <c r="D680" s="1542">
        <f>'Powrhouse Adit Portal'!J28</f>
        <v>312.5</v>
      </c>
      <c r="E680" s="220"/>
      <c r="F680" s="220"/>
      <c r="G680" s="220"/>
      <c r="H680" s="1823"/>
      <c r="I680" s="1859"/>
      <c r="J680" s="1542"/>
    </row>
    <row r="681" spans="1:10" ht="17.25" customHeight="1">
      <c r="A681" s="1722"/>
      <c r="B681" s="1557"/>
      <c r="C681" s="1563"/>
      <c r="D681" s="1688"/>
      <c r="E681" s="220"/>
      <c r="F681" s="1666" t="s">
        <v>1483</v>
      </c>
      <c r="G681" s="1695"/>
      <c r="H681" s="1824"/>
      <c r="I681" s="1850"/>
      <c r="J681" s="1717"/>
    </row>
    <row r="682" spans="1:10">
      <c r="A682" s="1814" t="s">
        <v>2251</v>
      </c>
      <c r="B682" s="1533" t="s">
        <v>1527</v>
      </c>
      <c r="C682" s="1551"/>
      <c r="D682" s="1738"/>
      <c r="E682" s="1698"/>
      <c r="F682" s="1536"/>
      <c r="G682" s="1698"/>
      <c r="H682" s="1534"/>
      <c r="I682" s="1857"/>
      <c r="J682" s="1543"/>
    </row>
    <row r="683" spans="1:10" s="1583" customFormat="1">
      <c r="A683" s="1815" t="s">
        <v>2357</v>
      </c>
      <c r="B683" s="1548" t="s">
        <v>1961</v>
      </c>
      <c r="C683" s="1539"/>
      <c r="D683" s="1739"/>
      <c r="E683" s="1690"/>
      <c r="F683" s="1540"/>
      <c r="G683" s="1690"/>
      <c r="H683" s="1820"/>
      <c r="I683" s="1857"/>
      <c r="J683" s="1543"/>
    </row>
    <row r="684" spans="1:10" ht="108">
      <c r="A684" s="75" t="s">
        <v>3003</v>
      </c>
      <c r="B684" s="1591" t="s">
        <v>2008</v>
      </c>
      <c r="C684" s="1530" t="s">
        <v>21</v>
      </c>
      <c r="D684" s="1542">
        <f>'Powerhouse Adit Tunnel'!J22</f>
        <v>825.96858438337108</v>
      </c>
      <c r="E684" s="220"/>
      <c r="F684" s="220"/>
      <c r="G684" s="220"/>
      <c r="H684" s="1823"/>
      <c r="I684" s="1859"/>
      <c r="J684" s="1542"/>
    </row>
    <row r="685" spans="1:10">
      <c r="A685" s="1815" t="s">
        <v>2358</v>
      </c>
      <c r="B685" s="313" t="s">
        <v>1872</v>
      </c>
      <c r="C685" s="1530"/>
      <c r="D685" s="1542"/>
      <c r="E685" s="220"/>
      <c r="F685" s="220"/>
      <c r="G685" s="220"/>
      <c r="H685" s="1823"/>
      <c r="I685" s="1859"/>
      <c r="J685" s="1542"/>
    </row>
    <row r="686" spans="1:10" ht="54">
      <c r="A686" s="75" t="s">
        <v>3004</v>
      </c>
      <c r="B686" s="1550" t="s">
        <v>1862</v>
      </c>
      <c r="C686" s="1530" t="s">
        <v>19</v>
      </c>
      <c r="D686" s="1542">
        <f>'Powerhouse Adit Tunnel'!J23</f>
        <v>280.68423421464865</v>
      </c>
      <c r="E686" s="220"/>
      <c r="F686" s="220"/>
      <c r="G686" s="220"/>
      <c r="H686" s="1823"/>
      <c r="I686" s="1859"/>
      <c r="J686" s="1542"/>
    </row>
    <row r="687" spans="1:10" ht="54">
      <c r="A687" s="75" t="s">
        <v>3005</v>
      </c>
      <c r="B687" s="1550" t="s">
        <v>1881</v>
      </c>
      <c r="C687" s="1530" t="s">
        <v>19</v>
      </c>
      <c r="D687" s="1542">
        <f>'Powerhouse Adit Tunnel'!J24</f>
        <v>112.27369368585948</v>
      </c>
      <c r="E687" s="220"/>
      <c r="F687" s="220"/>
      <c r="G687" s="220"/>
      <c r="H687" s="1823"/>
      <c r="I687" s="1859"/>
      <c r="J687" s="1542"/>
    </row>
    <row r="688" spans="1:10" ht="54">
      <c r="A688" s="75" t="s">
        <v>3006</v>
      </c>
      <c r="B688" s="1550" t="s">
        <v>1883</v>
      </c>
      <c r="C688" s="1530" t="s">
        <v>19</v>
      </c>
      <c r="D688" s="1542">
        <f>'Powerhouse Adit Tunnel'!J25</f>
        <v>168.4105405287892</v>
      </c>
      <c r="E688" s="220"/>
      <c r="F688" s="220"/>
      <c r="G688" s="220"/>
      <c r="H688" s="1823"/>
      <c r="I688" s="1859"/>
      <c r="J688" s="1542"/>
    </row>
    <row r="689" spans="1:10" ht="54">
      <c r="A689" s="75" t="s">
        <v>3007</v>
      </c>
      <c r="B689" s="1550" t="s">
        <v>2606</v>
      </c>
      <c r="C689" s="1530" t="s">
        <v>19</v>
      </c>
      <c r="D689" s="1542">
        <v>20</v>
      </c>
      <c r="E689" s="220"/>
      <c r="F689" s="220"/>
      <c r="G689" s="220"/>
      <c r="H689" s="1823"/>
      <c r="I689" s="1859"/>
      <c r="J689" s="1542"/>
    </row>
    <row r="690" spans="1:10" ht="54">
      <c r="A690" s="75" t="s">
        <v>3008</v>
      </c>
      <c r="B690" s="1550" t="s">
        <v>2607</v>
      </c>
      <c r="C690" s="1530" t="s">
        <v>19</v>
      </c>
      <c r="D690" s="1542">
        <v>10</v>
      </c>
      <c r="E690" s="220"/>
      <c r="F690" s="220"/>
      <c r="G690" s="220"/>
      <c r="H690" s="1823"/>
      <c r="I690" s="1859"/>
      <c r="J690" s="1542"/>
    </row>
    <row r="691" spans="1:10">
      <c r="A691" s="1815" t="s">
        <v>2359</v>
      </c>
      <c r="B691" s="313" t="s">
        <v>1929</v>
      </c>
      <c r="C691" s="1530"/>
      <c r="D691" s="1542"/>
      <c r="E691" s="220"/>
      <c r="F691" s="220"/>
      <c r="G691" s="220"/>
      <c r="H691" s="1823"/>
      <c r="I691" s="1859"/>
      <c r="J691" s="1542"/>
    </row>
    <row r="692" spans="1:10" ht="54">
      <c r="A692" s="75" t="s">
        <v>3009</v>
      </c>
      <c r="B692" s="1550" t="s">
        <v>2873</v>
      </c>
      <c r="C692" s="1530" t="s">
        <v>367</v>
      </c>
      <c r="D692" s="1542">
        <f>'Powerhouse Adit Tunnel'!J29</f>
        <v>145</v>
      </c>
      <c r="E692" s="220"/>
      <c r="F692" s="220"/>
      <c r="G692" s="220"/>
      <c r="H692" s="1823"/>
      <c r="I692" s="1859"/>
      <c r="J692" s="1542"/>
    </row>
    <row r="693" spans="1:10" ht="54">
      <c r="A693" s="75" t="s">
        <v>3009</v>
      </c>
      <c r="B693" s="1550" t="s">
        <v>2872</v>
      </c>
      <c r="C693" s="1530" t="s">
        <v>367</v>
      </c>
      <c r="D693" s="1542">
        <f>'Powerhouse Adit Tunnel'!J30</f>
        <v>338</v>
      </c>
      <c r="E693" s="220"/>
      <c r="F693" s="220"/>
      <c r="G693" s="220"/>
      <c r="H693" s="1823"/>
      <c r="I693" s="1859"/>
      <c r="J693" s="1542"/>
    </row>
    <row r="694" spans="1:10">
      <c r="A694" s="1815" t="s">
        <v>2360</v>
      </c>
      <c r="B694" s="1557" t="s">
        <v>2104</v>
      </c>
      <c r="C694" s="1530"/>
      <c r="D694" s="1542"/>
      <c r="E694" s="220"/>
      <c r="F694" s="220"/>
      <c r="G694" s="220"/>
      <c r="H694" s="1823"/>
      <c r="I694" s="1859"/>
      <c r="J694" s="1542"/>
    </row>
    <row r="695" spans="1:10" ht="54">
      <c r="A695" s="75" t="s">
        <v>3010</v>
      </c>
      <c r="B695" s="669" t="s">
        <v>2881</v>
      </c>
      <c r="C695" s="1530" t="s">
        <v>367</v>
      </c>
      <c r="D695" s="1542">
        <f>'Powerhouse Adit Tunnel'!J31</f>
        <v>63</v>
      </c>
      <c r="E695" s="220"/>
      <c r="F695" s="220"/>
      <c r="G695" s="220"/>
      <c r="H695" s="1823"/>
      <c r="I695" s="1859"/>
      <c r="J695" s="1542"/>
    </row>
    <row r="696" spans="1:10" ht="36">
      <c r="A696" s="1815" t="s">
        <v>2361</v>
      </c>
      <c r="B696" s="1557" t="s">
        <v>2890</v>
      </c>
      <c r="C696" s="1530" t="s">
        <v>25</v>
      </c>
      <c r="D696" s="1542">
        <f>'Powerhouse Adit Tunnel'!J33</f>
        <v>142.46400000000003</v>
      </c>
      <c r="E696" s="220"/>
      <c r="F696" s="220"/>
      <c r="G696" s="220"/>
      <c r="H696" s="1823"/>
      <c r="I696" s="1859"/>
      <c r="J696" s="1542"/>
    </row>
    <row r="697" spans="1:10" ht="54">
      <c r="A697" s="1815" t="s">
        <v>2362</v>
      </c>
      <c r="B697" s="1778" t="s">
        <v>2735</v>
      </c>
      <c r="C697" s="1530"/>
      <c r="D697" s="1542"/>
      <c r="E697" s="220"/>
      <c r="F697" s="220"/>
      <c r="G697" s="220"/>
      <c r="H697" s="1823"/>
      <c r="I697" s="1859"/>
      <c r="J697" s="1542"/>
    </row>
    <row r="698" spans="1:10">
      <c r="A698" s="75" t="s">
        <v>3011</v>
      </c>
      <c r="B698" s="669" t="s">
        <v>2221</v>
      </c>
      <c r="C698" s="1572" t="s">
        <v>21</v>
      </c>
      <c r="D698" s="1542">
        <f>'Powerhouse Adit Tunnel'!J34</f>
        <v>28.492800000000006</v>
      </c>
      <c r="E698" s="220"/>
      <c r="F698" s="220"/>
      <c r="G698" s="220"/>
      <c r="H698" s="1823"/>
      <c r="I698" s="1859"/>
      <c r="J698" s="1542"/>
    </row>
    <row r="699" spans="1:10">
      <c r="A699" s="1815" t="s">
        <v>2363</v>
      </c>
      <c r="B699" s="313" t="s">
        <v>1649</v>
      </c>
      <c r="C699" s="1530"/>
      <c r="D699" s="1542"/>
      <c r="E699" s="220"/>
      <c r="F699" s="220"/>
      <c r="G699" s="220"/>
      <c r="H699" s="1823"/>
      <c r="I699" s="1859"/>
      <c r="J699" s="1542"/>
    </row>
    <row r="700" spans="1:10" ht="54">
      <c r="A700" s="75" t="s">
        <v>3012</v>
      </c>
      <c r="B700" s="1550" t="s">
        <v>1248</v>
      </c>
      <c r="C700" s="1530" t="s">
        <v>25</v>
      </c>
      <c r="D700" s="1542">
        <f>'Powerhouse Adit Tunnel'!J35</f>
        <v>2.2366848000000004</v>
      </c>
      <c r="E700" s="220"/>
      <c r="F700" s="220"/>
      <c r="G700" s="220"/>
      <c r="H700" s="1823"/>
      <c r="I700" s="1859"/>
      <c r="J700" s="1542"/>
    </row>
    <row r="701" spans="1:10">
      <c r="A701" s="1815" t="s">
        <v>2364</v>
      </c>
      <c r="B701" s="1557" t="s">
        <v>1344</v>
      </c>
      <c r="C701" s="1530"/>
      <c r="D701" s="1542"/>
      <c r="E701" s="220"/>
      <c r="F701" s="220"/>
      <c r="G701" s="220"/>
      <c r="H701" s="1823"/>
      <c r="I701" s="1859"/>
      <c r="J701" s="1542"/>
    </row>
    <row r="702" spans="1:10" ht="36">
      <c r="A702" s="75" t="s">
        <v>3013</v>
      </c>
      <c r="B702" s="669" t="s">
        <v>2395</v>
      </c>
      <c r="C702" s="1530" t="s">
        <v>19</v>
      </c>
      <c r="D702" s="1542">
        <v>10</v>
      </c>
      <c r="E702" s="220"/>
      <c r="F702" s="220"/>
      <c r="G702" s="220"/>
      <c r="H702" s="1823"/>
      <c r="I702" s="1859"/>
      <c r="J702" s="1542"/>
    </row>
    <row r="703" spans="1:10" ht="36">
      <c r="A703" s="75" t="s">
        <v>3014</v>
      </c>
      <c r="B703" s="669" t="s">
        <v>2394</v>
      </c>
      <c r="C703" s="1530" t="s">
        <v>19</v>
      </c>
      <c r="D703" s="1542">
        <f>'Powerhouse Adit Tunnel'!J36</f>
        <v>56.136846842929742</v>
      </c>
      <c r="E703" s="220"/>
      <c r="F703" s="220"/>
      <c r="G703" s="220"/>
      <c r="H703" s="1823"/>
      <c r="I703" s="1859"/>
      <c r="J703" s="1542"/>
    </row>
    <row r="704" spans="1:10">
      <c r="A704" s="1815" t="s">
        <v>2365</v>
      </c>
      <c r="B704" s="1557" t="s">
        <v>318</v>
      </c>
      <c r="C704" s="1530"/>
      <c r="D704" s="1542"/>
      <c r="E704" s="220"/>
      <c r="F704" s="220"/>
      <c r="G704" s="220"/>
      <c r="H704" s="1823"/>
      <c r="I704" s="1859"/>
      <c r="J704" s="1542"/>
    </row>
    <row r="705" spans="1:76" ht="54">
      <c r="A705" s="75" t="s">
        <v>3015</v>
      </c>
      <c r="B705" s="669" t="s">
        <v>2892</v>
      </c>
      <c r="C705" s="1530" t="s">
        <v>25</v>
      </c>
      <c r="D705" s="1542">
        <f>'Powerhouse Adit Tunnel'!J32</f>
        <v>1.7211769079200154</v>
      </c>
      <c r="E705" s="220"/>
      <c r="F705" s="220"/>
      <c r="G705" s="220"/>
      <c r="H705" s="1823"/>
      <c r="I705" s="1859"/>
      <c r="J705" s="1542"/>
    </row>
    <row r="706" spans="1:76" ht="17.25" customHeight="1">
      <c r="A706" s="1722"/>
      <c r="B706" s="1557"/>
      <c r="C706" s="1563"/>
      <c r="D706" s="1688"/>
      <c r="E706" s="220"/>
      <c r="F706" s="1666" t="s">
        <v>1483</v>
      </c>
      <c r="G706" s="1695"/>
      <c r="H706" s="1824"/>
      <c r="I706" s="1850"/>
      <c r="J706" s="1717"/>
    </row>
    <row r="707" spans="1:76" ht="18" customHeight="1">
      <c r="A707" s="75"/>
      <c r="B707" s="669"/>
      <c r="C707" s="1530"/>
      <c r="D707" s="1686"/>
      <c r="E707" s="220"/>
      <c r="F707" s="1666" t="s">
        <v>1558</v>
      </c>
      <c r="G707" s="1695"/>
      <c r="H707" s="1823"/>
      <c r="I707" s="1850"/>
      <c r="J707" s="1717"/>
    </row>
    <row r="708" spans="1:76" s="1654" customFormat="1" ht="17.25" customHeight="1">
      <c r="A708" s="1825"/>
      <c r="B708" s="2334" t="s">
        <v>2912</v>
      </c>
      <c r="C708" s="2334"/>
      <c r="D708" s="2334"/>
      <c r="E708" s="2334"/>
      <c r="F708" s="2334"/>
      <c r="G708" s="2334"/>
      <c r="H708" s="2334"/>
      <c r="I708" s="1850"/>
      <c r="J708" s="220"/>
      <c r="K708" s="315"/>
      <c r="L708" s="315"/>
      <c r="M708" s="315"/>
      <c r="N708" s="315"/>
      <c r="O708" s="315"/>
      <c r="P708" s="315"/>
      <c r="Q708" s="315"/>
      <c r="R708" s="315"/>
      <c r="S708" s="315"/>
      <c r="T708" s="315"/>
      <c r="U708" s="315"/>
      <c r="V708" s="315"/>
      <c r="W708" s="315"/>
      <c r="X708" s="315"/>
      <c r="Y708" s="315"/>
      <c r="Z708" s="315"/>
      <c r="AA708" s="315"/>
      <c r="AB708" s="315"/>
      <c r="AC708" s="315"/>
      <c r="AD708" s="315"/>
      <c r="AE708" s="315"/>
      <c r="AF708" s="315"/>
      <c r="AG708" s="315"/>
      <c r="AH708" s="315"/>
      <c r="AI708" s="315"/>
      <c r="AJ708" s="315"/>
      <c r="AK708" s="315"/>
      <c r="AL708" s="315"/>
      <c r="AM708" s="315"/>
      <c r="AN708" s="315"/>
      <c r="AO708" s="315"/>
      <c r="AP708" s="315"/>
      <c r="AQ708" s="315"/>
      <c r="AR708" s="315"/>
      <c r="AS708" s="315"/>
      <c r="AT708" s="315"/>
      <c r="AU708" s="315"/>
      <c r="AV708" s="315"/>
      <c r="AW708" s="315"/>
      <c r="AX708" s="315"/>
      <c r="AY708" s="315"/>
      <c r="AZ708" s="315"/>
      <c r="BA708" s="315"/>
      <c r="BB708" s="315"/>
      <c r="BC708" s="315"/>
      <c r="BD708" s="315"/>
      <c r="BE708" s="315"/>
      <c r="BF708" s="315"/>
      <c r="BG708" s="315"/>
      <c r="BH708" s="315"/>
      <c r="BI708" s="315"/>
      <c r="BJ708" s="315"/>
      <c r="BK708" s="315"/>
      <c r="BL708" s="315"/>
      <c r="BM708" s="315"/>
      <c r="BN708" s="315"/>
      <c r="BO708" s="315"/>
      <c r="BP708" s="315"/>
      <c r="BQ708" s="315"/>
      <c r="BR708" s="315"/>
      <c r="BS708" s="315"/>
      <c r="BT708" s="315"/>
      <c r="BU708" s="315"/>
      <c r="BV708" s="315"/>
      <c r="BW708" s="315"/>
      <c r="BX708" s="315"/>
    </row>
    <row r="709" spans="1:76" s="315" customFormat="1">
      <c r="A709" s="1814" t="s">
        <v>2252</v>
      </c>
      <c r="B709" s="1533" t="s">
        <v>423</v>
      </c>
      <c r="C709" s="1534"/>
      <c r="D709" s="1736"/>
      <c r="E709" s="1535"/>
      <c r="F709" s="1536"/>
      <c r="G709" s="1536"/>
      <c r="H709" s="1534"/>
      <c r="I709" s="1850"/>
      <c r="J709" s="220"/>
    </row>
    <row r="710" spans="1:76">
      <c r="A710" s="1811" t="s">
        <v>2307</v>
      </c>
      <c r="B710" s="1661" t="s">
        <v>18</v>
      </c>
      <c r="C710" s="1662"/>
      <c r="D710" s="1744"/>
      <c r="E710" s="1663"/>
      <c r="F710" s="1664"/>
      <c r="G710" s="220"/>
      <c r="H710" s="1809"/>
      <c r="I710" s="1850"/>
      <c r="J710" s="1543"/>
    </row>
    <row r="711" spans="1:76" ht="72">
      <c r="A711" s="75" t="s">
        <v>2308</v>
      </c>
      <c r="B711" s="1555" t="s">
        <v>2847</v>
      </c>
      <c r="C711" s="1576" t="s">
        <v>19</v>
      </c>
      <c r="D711" s="1542">
        <f>Powerhouse!J13</f>
        <v>2800</v>
      </c>
      <c r="E711" s="220"/>
      <c r="F711" s="220"/>
      <c r="G711" s="220"/>
      <c r="H711" s="1530"/>
      <c r="I711" s="1859"/>
      <c r="J711" s="1543"/>
    </row>
    <row r="712" spans="1:76" ht="72">
      <c r="A712" s="1722" t="s">
        <v>2309</v>
      </c>
      <c r="B712" s="1544" t="s">
        <v>2849</v>
      </c>
      <c r="C712" s="1576"/>
      <c r="D712" s="1542"/>
      <c r="E712" s="220"/>
      <c r="F712" s="220"/>
      <c r="G712" s="220"/>
      <c r="H712" s="1530"/>
      <c r="I712" s="1859"/>
      <c r="J712" s="1543"/>
    </row>
    <row r="713" spans="1:76">
      <c r="A713" s="75" t="s">
        <v>2319</v>
      </c>
      <c r="B713" s="220" t="s">
        <v>1632</v>
      </c>
      <c r="C713" s="1530" t="s">
        <v>21</v>
      </c>
      <c r="D713" s="1542">
        <f>Powerhouse!J19</f>
        <v>7897.3120000000017</v>
      </c>
      <c r="E713" s="220"/>
      <c r="F713" s="220"/>
      <c r="G713" s="220"/>
      <c r="H713" s="1530"/>
      <c r="I713" s="1859"/>
      <c r="J713" s="1577"/>
    </row>
    <row r="714" spans="1:76">
      <c r="A714" s="75" t="s">
        <v>2320</v>
      </c>
      <c r="B714" s="220" t="s">
        <v>1634</v>
      </c>
      <c r="C714" s="1530" t="s">
        <v>21</v>
      </c>
      <c r="D714" s="1542">
        <f>Powerhouse!J18</f>
        <v>11845.968000000001</v>
      </c>
      <c r="E714" s="220"/>
      <c r="F714" s="220"/>
      <c r="G714" s="220"/>
      <c r="H714" s="1823"/>
      <c r="I714" s="1859"/>
      <c r="J714" s="1543"/>
    </row>
    <row r="715" spans="1:76">
      <c r="A715" s="1722" t="s">
        <v>2310</v>
      </c>
      <c r="B715" s="313" t="s">
        <v>31</v>
      </c>
      <c r="C715" s="1530"/>
      <c r="D715" s="1542"/>
      <c r="E715" s="220"/>
      <c r="F715" s="220"/>
      <c r="G715" s="220"/>
      <c r="H715" s="1823"/>
      <c r="I715" s="1859"/>
      <c r="J715" s="1543"/>
    </row>
    <row r="716" spans="1:76" ht="54">
      <c r="A716" s="75" t="s">
        <v>2318</v>
      </c>
      <c r="B716" s="1545" t="s">
        <v>2862</v>
      </c>
      <c r="C716" s="1530" t="s">
        <v>21</v>
      </c>
      <c r="D716" s="1542">
        <f>Powerhouse!J23</f>
        <v>3948.6560000000009</v>
      </c>
      <c r="E716" s="220"/>
      <c r="F716" s="220"/>
      <c r="G716" s="220"/>
      <c r="H716" s="1823"/>
      <c r="I716" s="1859"/>
      <c r="J716" s="1543"/>
    </row>
    <row r="717" spans="1:76" ht="54">
      <c r="A717" s="1722" t="s">
        <v>2311</v>
      </c>
      <c r="B717" s="1545" t="s">
        <v>2735</v>
      </c>
      <c r="C717" s="1530"/>
      <c r="D717" s="1542"/>
      <c r="E717" s="220"/>
      <c r="F717" s="220"/>
      <c r="G717" s="220"/>
      <c r="H717" s="1608"/>
      <c r="I717" s="1853"/>
      <c r="J717" s="1543"/>
    </row>
    <row r="718" spans="1:76">
      <c r="A718" s="75" t="s">
        <v>2316</v>
      </c>
      <c r="B718" s="669" t="str">
        <f>Powerhouse!B25</f>
        <v xml:space="preserve">Concrete Blocks for 9" walls </v>
      </c>
      <c r="C718" s="1530" t="s">
        <v>21</v>
      </c>
      <c r="D718" s="1542">
        <f>Powerhouse!J25</f>
        <v>1053.0899999999999</v>
      </c>
      <c r="E718" s="220"/>
      <c r="F718" s="220"/>
      <c r="G718" s="220"/>
      <c r="H718" s="1608"/>
      <c r="I718" s="1860"/>
      <c r="J718" s="1543"/>
    </row>
    <row r="719" spans="1:76">
      <c r="A719" s="75" t="s">
        <v>2317</v>
      </c>
      <c r="B719" s="1546" t="s">
        <v>1647</v>
      </c>
      <c r="C719" s="1530" t="s">
        <v>21</v>
      </c>
      <c r="D719" s="1542">
        <f>Powerhouse!J26</f>
        <v>61</v>
      </c>
      <c r="E719" s="220"/>
      <c r="F719" s="220"/>
      <c r="G719" s="220"/>
      <c r="H719" s="1608"/>
      <c r="I719" s="1860"/>
      <c r="J719" s="1543"/>
    </row>
    <row r="720" spans="1:76">
      <c r="A720" s="75" t="s">
        <v>3016</v>
      </c>
      <c r="B720" s="1546" t="s">
        <v>1645</v>
      </c>
      <c r="C720" s="1530" t="s">
        <v>21</v>
      </c>
      <c r="D720" s="1542">
        <f>Powerhouse!J27</f>
        <v>3925</v>
      </c>
      <c r="E720" s="220"/>
      <c r="F720" s="220"/>
      <c r="G720" s="220"/>
      <c r="H720" s="1608"/>
      <c r="I720" s="1860"/>
      <c r="J720" s="1543"/>
    </row>
    <row r="721" spans="1:10">
      <c r="A721" s="75" t="s">
        <v>3017</v>
      </c>
      <c r="B721" s="669" t="str">
        <f>Powerhouse!B28</f>
        <v>C15 Blinding Concrete</v>
      </c>
      <c r="C721" s="1530" t="s">
        <v>21</v>
      </c>
      <c r="D721" s="1542">
        <f>Powerhouse!J28</f>
        <v>92</v>
      </c>
      <c r="E721" s="220"/>
      <c r="F721" s="220"/>
      <c r="G721" s="220"/>
      <c r="H721" s="1823"/>
      <c r="I721" s="1860"/>
      <c r="J721" s="1577"/>
    </row>
    <row r="722" spans="1:10">
      <c r="A722" s="75" t="s">
        <v>3018</v>
      </c>
      <c r="B722" s="669" t="str">
        <f>Powerhouse!B29</f>
        <v>C15 plum concrete with 30% plum</v>
      </c>
      <c r="C722" s="1530" t="s">
        <v>21</v>
      </c>
      <c r="D722" s="1542">
        <f>Powerhouse!J29</f>
        <v>885</v>
      </c>
      <c r="E722" s="220"/>
      <c r="F722" s="220"/>
      <c r="G722" s="220"/>
      <c r="H722" s="1823"/>
      <c r="I722" s="1860"/>
      <c r="J722" s="1543"/>
    </row>
    <row r="723" spans="1:10" ht="36">
      <c r="A723" s="1874" t="s">
        <v>3262</v>
      </c>
      <c r="B723" s="1923" t="s">
        <v>3263</v>
      </c>
      <c r="C723" s="1876" t="s">
        <v>21</v>
      </c>
      <c r="D723" s="1924">
        <v>0.5</v>
      </c>
      <c r="E723" s="1925"/>
      <c r="F723" s="1904"/>
      <c r="G723" s="1904"/>
      <c r="H723" s="1921"/>
      <c r="I723" s="1860"/>
      <c r="J723" s="1922"/>
    </row>
    <row r="724" spans="1:10">
      <c r="A724" s="1722" t="s">
        <v>2312</v>
      </c>
      <c r="B724" s="313" t="s">
        <v>1649</v>
      </c>
      <c r="C724" s="1530"/>
      <c r="D724" s="1542"/>
      <c r="E724" s="220"/>
      <c r="F724" s="220"/>
      <c r="G724" s="220"/>
      <c r="H724" s="1823"/>
      <c r="I724" s="1860"/>
      <c r="J724" s="1543"/>
    </row>
    <row r="725" spans="1:10" ht="54">
      <c r="A725" s="75" t="s">
        <v>2315</v>
      </c>
      <c r="B725" s="1550" t="s">
        <v>1248</v>
      </c>
      <c r="C725" s="1530" t="s">
        <v>322</v>
      </c>
      <c r="D725" s="1542">
        <f>Powerhouse!J33</f>
        <v>389.59550000000002</v>
      </c>
      <c r="E725" s="220"/>
      <c r="F725" s="220"/>
      <c r="G725" s="220"/>
      <c r="H725" s="1823"/>
      <c r="I725" s="1860"/>
      <c r="J725" s="1543"/>
    </row>
    <row r="726" spans="1:10">
      <c r="A726" s="1722" t="s">
        <v>2313</v>
      </c>
      <c r="B726" s="1548" t="s">
        <v>309</v>
      </c>
      <c r="C726" s="1530"/>
      <c r="D726" s="1542"/>
      <c r="E726" s="220"/>
      <c r="F726" s="220"/>
      <c r="G726" s="220"/>
      <c r="H726" s="1823"/>
      <c r="I726" s="1860"/>
      <c r="J726" s="1543"/>
    </row>
    <row r="727" spans="1:10" ht="54">
      <c r="A727" s="75" t="s">
        <v>2314</v>
      </c>
      <c r="B727" s="1549" t="s">
        <v>1249</v>
      </c>
      <c r="C727" s="1576" t="s">
        <v>19</v>
      </c>
      <c r="D727" s="1542">
        <f>Powerhouse!J37</f>
        <v>5129</v>
      </c>
      <c r="E727" s="220"/>
      <c r="F727" s="220"/>
      <c r="G727" s="220"/>
      <c r="H727" s="1823"/>
      <c r="I727" s="1859"/>
      <c r="J727" s="1543"/>
    </row>
    <row r="728" spans="1:10">
      <c r="A728" s="1722" t="s">
        <v>3019</v>
      </c>
      <c r="B728" s="1548" t="s">
        <v>1250</v>
      </c>
      <c r="C728" s="66"/>
      <c r="D728" s="1542"/>
      <c r="E728" s="220"/>
      <c r="F728" s="220"/>
      <c r="G728" s="220"/>
      <c r="H728" s="1823"/>
      <c r="I728" s="1859"/>
      <c r="J728" s="1543"/>
    </row>
    <row r="729" spans="1:10" ht="36">
      <c r="A729" s="75" t="s">
        <v>3020</v>
      </c>
      <c r="B729" s="669" t="s">
        <v>2381</v>
      </c>
      <c r="C729" s="1530" t="s">
        <v>322</v>
      </c>
      <c r="D729" s="1542">
        <f>Powerhouse!J39</f>
        <v>33</v>
      </c>
      <c r="E729" s="220"/>
      <c r="F729" s="220"/>
      <c r="G729" s="220"/>
      <c r="H729" s="1823"/>
      <c r="I729" s="1859"/>
      <c r="J729" s="1543"/>
    </row>
    <row r="730" spans="1:10">
      <c r="A730" s="75" t="s">
        <v>3021</v>
      </c>
      <c r="B730" s="1550" t="s">
        <v>1975</v>
      </c>
      <c r="C730" s="1576" t="s">
        <v>19</v>
      </c>
      <c r="D730" s="1542">
        <f>Powerhouse!J40</f>
        <v>1263</v>
      </c>
      <c r="E730" s="220"/>
      <c r="F730" s="220"/>
      <c r="G730" s="220"/>
      <c r="H730" s="1823"/>
      <c r="I730" s="1859"/>
      <c r="J730" s="1543"/>
    </row>
    <row r="731" spans="1:10">
      <c r="A731" s="75" t="s">
        <v>3022</v>
      </c>
      <c r="B731" s="669" t="str">
        <f>Powerhouse!B41</f>
        <v>CGI sheet for ridging</v>
      </c>
      <c r="C731" s="1576" t="s">
        <v>19</v>
      </c>
      <c r="D731" s="1542">
        <f>Powerhouse!J41</f>
        <v>60</v>
      </c>
      <c r="E731" s="220"/>
      <c r="F731" s="220"/>
      <c r="G731" s="220"/>
      <c r="H731" s="1823"/>
      <c r="I731" s="1859"/>
      <c r="J731" s="1543"/>
    </row>
    <row r="732" spans="1:10">
      <c r="A732" s="75" t="s">
        <v>3023</v>
      </c>
      <c r="B732" s="669" t="str">
        <f>Powerhouse!B42</f>
        <v>Gutter around roof</v>
      </c>
      <c r="C732" s="1576" t="s">
        <v>19</v>
      </c>
      <c r="D732" s="1542">
        <f>Powerhouse!J42</f>
        <v>152.27000000000001</v>
      </c>
      <c r="E732" s="220"/>
      <c r="F732" s="220"/>
      <c r="G732" s="220"/>
      <c r="H732" s="1823"/>
      <c r="I732" s="1859"/>
      <c r="J732" s="1543"/>
    </row>
    <row r="733" spans="1:10">
      <c r="A733" s="1722" t="s">
        <v>3024</v>
      </c>
      <c r="B733" s="1557" t="s">
        <v>2850</v>
      </c>
      <c r="C733" s="1576"/>
      <c r="D733" s="1542"/>
      <c r="E733" s="220"/>
      <c r="F733" s="220"/>
      <c r="G733" s="220"/>
      <c r="H733" s="1823"/>
      <c r="I733" s="1859"/>
      <c r="J733" s="1543"/>
    </row>
    <row r="734" spans="1:10" ht="36">
      <c r="A734" s="220"/>
      <c r="B734" s="1594" t="s">
        <v>2384</v>
      </c>
      <c r="C734" s="1576" t="s">
        <v>19</v>
      </c>
      <c r="D734" s="1542">
        <f>Powerhouse!J43</f>
        <v>1454</v>
      </c>
      <c r="E734" s="220"/>
      <c r="F734" s="220"/>
      <c r="G734" s="220"/>
      <c r="H734" s="1823"/>
      <c r="I734" s="1859"/>
      <c r="J734" s="1543"/>
    </row>
    <row r="735" spans="1:10">
      <c r="A735" s="1722" t="s">
        <v>3025</v>
      </c>
      <c r="B735" s="1557" t="s">
        <v>2385</v>
      </c>
      <c r="C735" s="1576" t="s">
        <v>19</v>
      </c>
      <c r="D735" s="1542">
        <f>Powerhouse!J44</f>
        <v>549</v>
      </c>
      <c r="E735" s="220"/>
      <c r="F735" s="220"/>
      <c r="G735" s="220"/>
      <c r="H735" s="1823"/>
      <c r="I735" s="1859"/>
      <c r="J735" s="1543"/>
    </row>
    <row r="736" spans="1:10" ht="54">
      <c r="A736" s="1722" t="s">
        <v>3026</v>
      </c>
      <c r="B736" s="1557" t="s">
        <v>2380</v>
      </c>
      <c r="C736" s="1530" t="s">
        <v>19</v>
      </c>
      <c r="D736" s="1542">
        <f>Powerhouse!J45</f>
        <v>124</v>
      </c>
      <c r="E736" s="220"/>
      <c r="F736" s="220"/>
      <c r="G736" s="220"/>
      <c r="H736" s="1823"/>
      <c r="I736" s="1859"/>
      <c r="J736" s="1577"/>
    </row>
    <row r="737" spans="1:10">
      <c r="A737" s="1722" t="s">
        <v>3027</v>
      </c>
      <c r="B737" s="1557" t="str">
        <f>Powerhouse!B46</f>
        <v>Fixed Glaze with 3mm thick Shutter</v>
      </c>
      <c r="C737" s="1576" t="s">
        <v>19</v>
      </c>
      <c r="D737" s="1542">
        <f>Powerhouse!J46</f>
        <v>540</v>
      </c>
      <c r="E737" s="220"/>
      <c r="F737" s="220"/>
      <c r="G737" s="220"/>
      <c r="H737" s="1823"/>
      <c r="I737" s="1859"/>
      <c r="J737" s="1543"/>
    </row>
    <row r="738" spans="1:10">
      <c r="A738" s="1722" t="s">
        <v>3028</v>
      </c>
      <c r="B738" s="1557" t="str">
        <f>Powerhouse!B47</f>
        <v>Painting</v>
      </c>
      <c r="C738" s="1576"/>
      <c r="D738" s="1542"/>
      <c r="E738" s="220"/>
      <c r="F738" s="220"/>
      <c r="G738" s="220"/>
      <c r="H738" s="1823"/>
      <c r="I738" s="1850"/>
      <c r="J738" s="1543"/>
    </row>
    <row r="739" spans="1:10" ht="61.5" customHeight="1">
      <c r="A739" s="75" t="s">
        <v>3029</v>
      </c>
      <c r="B739" s="669" t="s">
        <v>2382</v>
      </c>
      <c r="C739" s="1576" t="s">
        <v>19</v>
      </c>
      <c r="D739" s="1542">
        <f>Powerhouse!J47</f>
        <v>1454</v>
      </c>
      <c r="E739" s="220"/>
      <c r="F739" s="220"/>
      <c r="G739" s="220"/>
      <c r="H739" s="1823"/>
      <c r="I739" s="1859"/>
      <c r="J739" s="1543"/>
    </row>
    <row r="740" spans="1:10" ht="54">
      <c r="A740" s="75" t="s">
        <v>3030</v>
      </c>
      <c r="B740" s="669" t="s">
        <v>2383</v>
      </c>
      <c r="C740" s="1576" t="s">
        <v>19</v>
      </c>
      <c r="D740" s="1542">
        <f>Powerhouse!J47</f>
        <v>1454</v>
      </c>
      <c r="E740" s="220"/>
      <c r="F740" s="220"/>
      <c r="G740" s="220"/>
      <c r="H740" s="1823"/>
      <c r="I740" s="1859"/>
      <c r="J740" s="1543"/>
    </row>
    <row r="741" spans="1:10">
      <c r="A741" s="1722" t="s">
        <v>3031</v>
      </c>
      <c r="B741" s="1557" t="s">
        <v>2103</v>
      </c>
      <c r="C741" s="1530" t="s">
        <v>27</v>
      </c>
      <c r="D741" s="1542">
        <f>Powerhouse!J48</f>
        <v>203.6</v>
      </c>
      <c r="E741" s="220"/>
      <c r="F741" s="220"/>
      <c r="G741" s="220"/>
      <c r="H741" s="1823"/>
      <c r="I741" s="1859"/>
      <c r="J741" s="1543"/>
    </row>
    <row r="742" spans="1:10">
      <c r="A742" s="1722" t="s">
        <v>3032</v>
      </c>
      <c r="B742" s="313" t="s">
        <v>1929</v>
      </c>
      <c r="C742" s="1530"/>
      <c r="D742" s="1542"/>
      <c r="E742" s="220"/>
      <c r="F742" s="220"/>
      <c r="G742" s="220"/>
      <c r="H742" s="1823"/>
      <c r="I742" s="1859"/>
      <c r="J742" s="1543"/>
    </row>
    <row r="743" spans="1:10" ht="54">
      <c r="A743" s="75" t="s">
        <v>3033</v>
      </c>
      <c r="B743" s="1550" t="s">
        <v>2874</v>
      </c>
      <c r="C743" s="1530" t="s">
        <v>311</v>
      </c>
      <c r="D743" s="1542">
        <f>Powerhouse!J51</f>
        <v>545</v>
      </c>
      <c r="E743" s="220"/>
      <c r="F743" s="220"/>
      <c r="G743" s="220"/>
      <c r="H743" s="1823"/>
      <c r="I743" s="1859"/>
      <c r="J743" s="1543"/>
    </row>
    <row r="744" spans="1:10">
      <c r="A744" s="1722" t="s">
        <v>3034</v>
      </c>
      <c r="B744" s="313" t="s">
        <v>1872</v>
      </c>
      <c r="C744" s="1530"/>
      <c r="D744" s="1542"/>
      <c r="E744" s="220"/>
      <c r="F744" s="220"/>
      <c r="G744" s="220"/>
      <c r="H744" s="1823"/>
      <c r="I744" s="1859"/>
      <c r="J744" s="1543"/>
    </row>
    <row r="745" spans="1:10" ht="54">
      <c r="A745" s="75" t="s">
        <v>3035</v>
      </c>
      <c r="B745" s="1550" t="s">
        <v>1862</v>
      </c>
      <c r="C745" s="1576" t="s">
        <v>19</v>
      </c>
      <c r="D745" s="1542">
        <f>Powerhouse!J54</f>
        <v>2275</v>
      </c>
      <c r="E745" s="220"/>
      <c r="F745" s="220"/>
      <c r="G745" s="220"/>
      <c r="H745" s="1823"/>
      <c r="I745" s="1859"/>
      <c r="J745" s="1543"/>
    </row>
    <row r="746" spans="1:10">
      <c r="A746" s="1722" t="s">
        <v>3036</v>
      </c>
      <c r="B746" s="1557" t="s">
        <v>1518</v>
      </c>
      <c r="C746" s="1576"/>
      <c r="D746" s="1542"/>
      <c r="E746" s="220"/>
      <c r="F746" s="220"/>
      <c r="G746" s="220"/>
      <c r="H746" s="1823"/>
      <c r="I746" s="1859"/>
      <c r="J746" s="1543"/>
    </row>
    <row r="747" spans="1:10" ht="36">
      <c r="A747" s="75" t="s">
        <v>3037</v>
      </c>
      <c r="B747" s="669" t="s">
        <v>2744</v>
      </c>
      <c r="C747" s="1576" t="s">
        <v>19</v>
      </c>
      <c r="D747" s="1542">
        <f>Powerhouse!J55</f>
        <v>2275</v>
      </c>
      <c r="E747" s="220"/>
      <c r="F747" s="220"/>
      <c r="G747" s="220"/>
      <c r="H747" s="1823"/>
      <c r="I747" s="1859"/>
      <c r="J747" s="1543"/>
    </row>
    <row r="748" spans="1:10" ht="36">
      <c r="A748" s="75" t="s">
        <v>3038</v>
      </c>
      <c r="B748" s="669" t="s">
        <v>2743</v>
      </c>
      <c r="C748" s="1576" t="s">
        <v>19</v>
      </c>
      <c r="D748" s="1542">
        <v>10</v>
      </c>
      <c r="E748" s="220"/>
      <c r="F748" s="220"/>
      <c r="G748" s="220"/>
      <c r="H748" s="1823"/>
      <c r="I748" s="1859"/>
      <c r="J748" s="1543"/>
    </row>
    <row r="749" spans="1:10" ht="54">
      <c r="A749" s="1722" t="s">
        <v>3039</v>
      </c>
      <c r="B749" s="1578" t="s">
        <v>2742</v>
      </c>
      <c r="C749" s="1576"/>
      <c r="D749" s="1542"/>
      <c r="E749" s="220"/>
      <c r="F749" s="220"/>
      <c r="G749" s="220"/>
      <c r="H749" s="1823"/>
      <c r="I749" s="1859"/>
      <c r="J749" s="1543"/>
    </row>
    <row r="750" spans="1:10">
      <c r="A750" s="75" t="s">
        <v>3040</v>
      </c>
      <c r="B750" s="1579" t="s">
        <v>2397</v>
      </c>
      <c r="C750" s="1530" t="s">
        <v>322</v>
      </c>
      <c r="D750" s="1542">
        <f>Powerhouse!J57</f>
        <v>10</v>
      </c>
      <c r="E750" s="220"/>
      <c r="F750" s="220"/>
      <c r="G750" s="220"/>
      <c r="H750" s="1823"/>
      <c r="I750" s="1859"/>
      <c r="J750" s="1543"/>
    </row>
    <row r="751" spans="1:10">
      <c r="A751" s="75" t="s">
        <v>3041</v>
      </c>
      <c r="B751" s="669" t="s">
        <v>2399</v>
      </c>
      <c r="C751" s="1530" t="s">
        <v>47</v>
      </c>
      <c r="D751" s="1542">
        <v>100</v>
      </c>
      <c r="E751" s="220"/>
      <c r="F751" s="220"/>
      <c r="G751" s="220"/>
      <c r="H751" s="1823"/>
      <c r="I751" s="1859"/>
      <c r="J751" s="1543"/>
    </row>
    <row r="752" spans="1:10">
      <c r="A752" s="75" t="s">
        <v>3042</v>
      </c>
      <c r="B752" s="669" t="s">
        <v>1902</v>
      </c>
      <c r="C752" s="1530" t="s">
        <v>27</v>
      </c>
      <c r="D752" s="1542">
        <v>50</v>
      </c>
      <c r="E752" s="220"/>
      <c r="F752" s="220"/>
      <c r="G752" s="220"/>
      <c r="H752" s="1823"/>
      <c r="I752" s="1859"/>
      <c r="J752" s="1543"/>
    </row>
    <row r="753" spans="1:10">
      <c r="A753" s="1722" t="s">
        <v>3226</v>
      </c>
      <c r="B753" s="1557" t="s">
        <v>3228</v>
      </c>
      <c r="C753" s="1530"/>
      <c r="D753" s="1542"/>
      <c r="E753" s="220"/>
      <c r="F753" s="220"/>
      <c r="G753" s="220"/>
      <c r="H753" s="1823"/>
      <c r="I753" s="1859"/>
      <c r="J753" s="1543"/>
    </row>
    <row r="754" spans="1:10" ht="72">
      <c r="A754" s="1874" t="s">
        <v>3227</v>
      </c>
      <c r="B754" s="1873" t="s">
        <v>3225</v>
      </c>
      <c r="C754" s="1876" t="s">
        <v>46</v>
      </c>
      <c r="D754" s="1877">
        <f>4*((15*40)/(1.5*1.5))</f>
        <v>1066.6666666666667</v>
      </c>
      <c r="E754" s="220"/>
      <c r="F754" s="220"/>
      <c r="G754" s="220"/>
      <c r="H754" s="1823"/>
      <c r="I754" s="1859"/>
      <c r="J754" s="1543"/>
    </row>
    <row r="755" spans="1:10">
      <c r="A755" s="1972" t="s">
        <v>3311</v>
      </c>
      <c r="B755" s="1974" t="s">
        <v>3305</v>
      </c>
      <c r="C755" s="1876"/>
      <c r="D755" s="1973"/>
      <c r="E755" s="1904"/>
      <c r="F755" s="1904"/>
      <c r="G755" s="1904"/>
      <c r="H755" s="1921"/>
      <c r="I755" s="1859"/>
      <c r="J755" s="1922"/>
    </row>
    <row r="756" spans="1:10" ht="65.400000000000006" customHeight="1">
      <c r="A756" s="1876" t="s">
        <v>3312</v>
      </c>
      <c r="B756" s="1873" t="s">
        <v>3307</v>
      </c>
      <c r="C756" s="1876" t="s">
        <v>85</v>
      </c>
      <c r="D756" s="1975">
        <f>0.8*0.7*22</f>
        <v>12.319999999999999</v>
      </c>
      <c r="E756" s="1904"/>
      <c r="F756" s="1904"/>
      <c r="G756" s="1904"/>
      <c r="H756" s="1921"/>
      <c r="I756" s="1859"/>
      <c r="J756" s="1922"/>
    </row>
    <row r="757" spans="1:10" ht="17.25" customHeight="1">
      <c r="A757" s="1722"/>
      <c r="B757" s="1557"/>
      <c r="C757" s="1563"/>
      <c r="D757" s="1688"/>
      <c r="E757" s="220"/>
      <c r="F757" s="1666" t="s">
        <v>1483</v>
      </c>
      <c r="G757" s="1695"/>
      <c r="H757" s="1824"/>
      <c r="I757" s="1850"/>
      <c r="J757" s="1717"/>
    </row>
    <row r="758" spans="1:10">
      <c r="A758" s="1814" t="s">
        <v>2253</v>
      </c>
      <c r="B758" s="1533" t="s">
        <v>841</v>
      </c>
      <c r="C758" s="1551"/>
      <c r="D758" s="1738"/>
      <c r="E758" s="1698"/>
      <c r="F758" s="1536"/>
      <c r="G758" s="1698"/>
      <c r="H758" s="1534"/>
      <c r="I758" s="1857"/>
      <c r="J758" s="1543"/>
    </row>
    <row r="759" spans="1:10">
      <c r="A759" s="1722" t="s">
        <v>2264</v>
      </c>
      <c r="B759" s="1548" t="s">
        <v>18</v>
      </c>
      <c r="C759" s="1530"/>
      <c r="D759" s="1686"/>
      <c r="E759" s="220"/>
      <c r="F759" s="1587"/>
      <c r="G759" s="220"/>
      <c r="H759" s="1563"/>
      <c r="I759" s="1857"/>
      <c r="J759" s="1543"/>
    </row>
    <row r="760" spans="1:10" ht="72">
      <c r="A760" s="75" t="s">
        <v>2265</v>
      </c>
      <c r="B760" s="1555" t="s">
        <v>2847</v>
      </c>
      <c r="C760" s="1576" t="s">
        <v>19</v>
      </c>
      <c r="D760" s="1542">
        <f>'Switchyard '!J13</f>
        <v>1500</v>
      </c>
      <c r="E760" s="220"/>
      <c r="F760" s="220"/>
      <c r="G760" s="220"/>
      <c r="H760" s="1530"/>
      <c r="I760" s="1859"/>
      <c r="J760" s="1543"/>
    </row>
    <row r="761" spans="1:10" ht="72">
      <c r="A761" s="1722" t="s">
        <v>2266</v>
      </c>
      <c r="B761" s="1544" t="s">
        <v>2849</v>
      </c>
      <c r="C761" s="1576"/>
      <c r="D761" s="1542"/>
      <c r="E761" s="220"/>
      <c r="F761" s="220"/>
      <c r="G761" s="220"/>
      <c r="H761" s="1530"/>
      <c r="I761" s="1859"/>
      <c r="J761" s="1543"/>
    </row>
    <row r="762" spans="1:10">
      <c r="A762" s="75" t="s">
        <v>2270</v>
      </c>
      <c r="B762" s="220" t="s">
        <v>1632</v>
      </c>
      <c r="C762" s="1530" t="s">
        <v>21</v>
      </c>
      <c r="D762" s="1542">
        <f>'Switchyard '!J18</f>
        <v>3729.6000000000004</v>
      </c>
      <c r="E762" s="220"/>
      <c r="F762" s="220"/>
      <c r="G762" s="220"/>
      <c r="H762" s="1530"/>
      <c r="I762" s="1859"/>
      <c r="J762" s="1543"/>
    </row>
    <row r="763" spans="1:10">
      <c r="A763" s="75" t="s">
        <v>3043</v>
      </c>
      <c r="B763" s="220" t="s">
        <v>1634</v>
      </c>
      <c r="C763" s="1530" t="s">
        <v>21</v>
      </c>
      <c r="D763" s="1542">
        <f>'Switchyard '!J17</f>
        <v>932.40000000000009</v>
      </c>
      <c r="E763" s="220"/>
      <c r="F763" s="220"/>
      <c r="G763" s="220"/>
      <c r="H763" s="1823"/>
      <c r="I763" s="1859"/>
      <c r="J763" s="1577"/>
    </row>
    <row r="764" spans="1:10">
      <c r="A764" s="1722" t="s">
        <v>2267</v>
      </c>
      <c r="B764" s="313" t="s">
        <v>31</v>
      </c>
      <c r="C764" s="1530"/>
      <c r="D764" s="1542"/>
      <c r="E764" s="220"/>
      <c r="F764" s="220"/>
      <c r="G764" s="220"/>
      <c r="H764" s="1823"/>
      <c r="I764" s="1859"/>
      <c r="J764" s="1577"/>
    </row>
    <row r="765" spans="1:10" ht="54">
      <c r="A765" s="75" t="s">
        <v>2271</v>
      </c>
      <c r="B765" s="1545" t="s">
        <v>2862</v>
      </c>
      <c r="C765" s="1530" t="s">
        <v>21</v>
      </c>
      <c r="D765" s="1542">
        <f>'Switchyard '!J21</f>
        <v>1398.6</v>
      </c>
      <c r="E765" s="220"/>
      <c r="F765" s="220"/>
      <c r="G765" s="220"/>
      <c r="H765" s="1823"/>
      <c r="I765" s="1859"/>
      <c r="J765" s="1543"/>
    </row>
    <row r="766" spans="1:10" ht="54">
      <c r="A766" s="1722" t="s">
        <v>2268</v>
      </c>
      <c r="B766" s="1545" t="s">
        <v>2735</v>
      </c>
      <c r="C766" s="1530"/>
      <c r="D766" s="1542"/>
      <c r="E766" s="220"/>
      <c r="F766" s="220"/>
      <c r="G766" s="220"/>
      <c r="H766" s="1823"/>
      <c r="I766" s="1859"/>
      <c r="J766" s="1543"/>
    </row>
    <row r="767" spans="1:10">
      <c r="A767" s="75" t="s">
        <v>2272</v>
      </c>
      <c r="B767" s="669" t="str">
        <f>'Switchyard '!B54</f>
        <v>75mm C15 Blinding Concrete</v>
      </c>
      <c r="C767" s="1530" t="s">
        <v>21</v>
      </c>
      <c r="D767" s="1542">
        <f>'Switchyard '!J56</f>
        <v>75</v>
      </c>
      <c r="E767" s="220"/>
      <c r="F767" s="220"/>
      <c r="G767" s="220"/>
      <c r="H767" s="1608"/>
      <c r="I767" s="1860"/>
      <c r="J767" s="1543"/>
    </row>
    <row r="768" spans="1:10">
      <c r="A768" s="75" t="s">
        <v>3044</v>
      </c>
      <c r="B768" s="1546" t="s">
        <v>1645</v>
      </c>
      <c r="C768" s="1530" t="s">
        <v>21</v>
      </c>
      <c r="D768" s="1542">
        <f>'Switchyard '!J49</f>
        <v>724.74733125</v>
      </c>
      <c r="E768" s="220"/>
      <c r="F768" s="220"/>
      <c r="G768" s="220"/>
      <c r="H768" s="1608"/>
      <c r="I768" s="1853"/>
      <c r="J768" s="1543"/>
    </row>
    <row r="769" spans="1:10">
      <c r="A769" s="1722" t="s">
        <v>2269</v>
      </c>
      <c r="B769" s="313" t="s">
        <v>1649</v>
      </c>
      <c r="C769" s="1530"/>
      <c r="D769" s="1542"/>
      <c r="E769" s="220"/>
      <c r="F769" s="220"/>
      <c r="G769" s="220"/>
      <c r="H769" s="1608"/>
      <c r="I769" s="1853"/>
      <c r="J769" s="1543"/>
    </row>
    <row r="770" spans="1:10" ht="54">
      <c r="A770" s="75" t="s">
        <v>2273</v>
      </c>
      <c r="B770" s="1550" t="s">
        <v>1248</v>
      </c>
      <c r="C770" s="1530" t="s">
        <v>322</v>
      </c>
      <c r="D770" s="1542">
        <f>'Switchyard '!J53</f>
        <v>39.489999999999995</v>
      </c>
      <c r="E770" s="220"/>
      <c r="F770" s="220"/>
      <c r="G770" s="220"/>
      <c r="H770" s="1608"/>
      <c r="I770" s="1860"/>
      <c r="J770" s="1543"/>
    </row>
    <row r="771" spans="1:10">
      <c r="A771" s="1722" t="s">
        <v>3045</v>
      </c>
      <c r="B771" s="1548" t="s">
        <v>309</v>
      </c>
      <c r="C771" s="1530"/>
      <c r="D771" s="1542"/>
      <c r="E771" s="220"/>
      <c r="F771" s="220"/>
      <c r="G771" s="220"/>
      <c r="H771" s="1608"/>
      <c r="I771" s="1860"/>
      <c r="J771" s="1543"/>
    </row>
    <row r="772" spans="1:10" ht="54">
      <c r="A772" s="75" t="s">
        <v>3046</v>
      </c>
      <c r="B772" s="1549" t="s">
        <v>2038</v>
      </c>
      <c r="C772" s="1576" t="s">
        <v>19</v>
      </c>
      <c r="D772" s="1542">
        <f>'Switchyard '!J110</f>
        <v>2527.6600775333336</v>
      </c>
      <c r="E772" s="220"/>
      <c r="F772" s="220"/>
      <c r="G772" s="220"/>
      <c r="H772" s="1608"/>
      <c r="I772" s="1860"/>
      <c r="J772" s="1543"/>
    </row>
    <row r="773" spans="1:10" ht="17.25" customHeight="1">
      <c r="A773" s="1722"/>
      <c r="B773" s="1557"/>
      <c r="C773" s="1581"/>
      <c r="D773" s="1741"/>
      <c r="E773" s="1612"/>
      <c r="F773" s="1666" t="s">
        <v>1483</v>
      </c>
      <c r="G773" s="1691"/>
      <c r="H773" s="1824"/>
      <c r="I773" s="1868"/>
      <c r="J773" s="1717"/>
    </row>
    <row r="774" spans="1:10">
      <c r="A774" s="1814" t="s">
        <v>2254</v>
      </c>
      <c r="B774" s="1533" t="s">
        <v>1319</v>
      </c>
      <c r="C774" s="1551"/>
      <c r="D774" s="1738"/>
      <c r="E774" s="1698"/>
      <c r="F774" s="1536"/>
      <c r="G774" s="1698"/>
      <c r="H774" s="1534"/>
      <c r="I774" s="1857"/>
      <c r="J774" s="1543"/>
    </row>
    <row r="775" spans="1:10">
      <c r="A775" s="1722" t="s">
        <v>2255</v>
      </c>
      <c r="B775" s="313" t="s">
        <v>31</v>
      </c>
      <c r="C775" s="1530" t="s">
        <v>21</v>
      </c>
      <c r="D775" s="1542"/>
      <c r="E775" s="220"/>
      <c r="F775" s="220"/>
      <c r="G775" s="220"/>
      <c r="H775" s="1823"/>
      <c r="I775" s="1859"/>
      <c r="J775" s="1543"/>
    </row>
    <row r="776" spans="1:10" ht="54">
      <c r="A776" s="75" t="s">
        <v>2256</v>
      </c>
      <c r="B776" s="1545" t="s">
        <v>2862</v>
      </c>
      <c r="C776" s="1530" t="s">
        <v>21</v>
      </c>
      <c r="D776" s="1542">
        <f>'Tailrace Culvert'!J15</f>
        <v>624.75</v>
      </c>
      <c r="E776" s="220"/>
      <c r="F776" s="220"/>
      <c r="G776" s="220"/>
      <c r="H776" s="1823"/>
      <c r="I776" s="1859"/>
      <c r="J776" s="1543"/>
    </row>
    <row r="777" spans="1:10">
      <c r="A777" s="1722" t="s">
        <v>2257</v>
      </c>
      <c r="B777" s="1548" t="s">
        <v>309</v>
      </c>
      <c r="C777" s="1576" t="s">
        <v>19</v>
      </c>
      <c r="D777" s="1542"/>
      <c r="E777" s="220"/>
      <c r="F777" s="220"/>
      <c r="G777" s="220"/>
      <c r="H777" s="1608"/>
      <c r="I777" s="1853"/>
      <c r="J777" s="1543"/>
    </row>
    <row r="778" spans="1:10" ht="54">
      <c r="A778" s="75" t="s">
        <v>2261</v>
      </c>
      <c r="B778" s="1549" t="s">
        <v>2038</v>
      </c>
      <c r="C778" s="1576" t="s">
        <v>19</v>
      </c>
      <c r="D778" s="1542">
        <f>'Tailrace Culvert'!J21</f>
        <v>1122</v>
      </c>
      <c r="E778" s="220"/>
      <c r="F778" s="220"/>
      <c r="G778" s="220"/>
      <c r="H778" s="1608"/>
      <c r="I778" s="1865"/>
      <c r="J778" s="1543"/>
    </row>
    <row r="779" spans="1:10" ht="54">
      <c r="A779" s="1722" t="s">
        <v>2258</v>
      </c>
      <c r="B779" s="1545" t="s">
        <v>2735</v>
      </c>
      <c r="C779" s="1576"/>
      <c r="D779" s="1542"/>
      <c r="E779" s="220"/>
      <c r="F779" s="220"/>
      <c r="G779" s="220"/>
      <c r="H779" s="1608"/>
      <c r="I779" s="1853"/>
      <c r="J779" s="1543"/>
    </row>
    <row r="780" spans="1:10">
      <c r="A780" s="75" t="s">
        <v>3047</v>
      </c>
      <c r="B780" s="669" t="s">
        <v>2946</v>
      </c>
      <c r="C780" s="1530" t="s">
        <v>21</v>
      </c>
      <c r="D780" s="1542">
        <f>'Tailrace Culvert'!J25</f>
        <v>30</v>
      </c>
      <c r="E780" s="220"/>
      <c r="F780" s="220"/>
      <c r="G780" s="220"/>
      <c r="H780" s="1608"/>
      <c r="I780" s="1860"/>
      <c r="J780" s="1577"/>
    </row>
    <row r="781" spans="1:10">
      <c r="A781" s="75" t="s">
        <v>3048</v>
      </c>
      <c r="B781" s="1546" t="s">
        <v>1645</v>
      </c>
      <c r="C781" s="1530" t="s">
        <v>21</v>
      </c>
      <c r="D781" s="1542">
        <f>'Tailrace Culvert'!J31</f>
        <v>667.77600000000007</v>
      </c>
      <c r="E781" s="220"/>
      <c r="F781" s="220"/>
      <c r="G781" s="220"/>
      <c r="H781" s="1608"/>
      <c r="I781" s="1860"/>
      <c r="J781" s="1543"/>
    </row>
    <row r="782" spans="1:10">
      <c r="A782" s="1722" t="s">
        <v>2259</v>
      </c>
      <c r="B782" s="313" t="s">
        <v>1649</v>
      </c>
      <c r="C782" s="1530"/>
      <c r="D782" s="1542"/>
      <c r="E782" s="220"/>
      <c r="F782" s="220"/>
      <c r="G782" s="220"/>
      <c r="H782" s="1608"/>
      <c r="I782" s="1860"/>
      <c r="J782" s="1543"/>
    </row>
    <row r="783" spans="1:10" ht="54">
      <c r="A783" s="75" t="s">
        <v>3049</v>
      </c>
      <c r="B783" s="1550" t="s">
        <v>1248</v>
      </c>
      <c r="C783" s="1576" t="s">
        <v>322</v>
      </c>
      <c r="D783" s="1542">
        <f>'Tailrace Culvert'!J34</f>
        <v>52.42</v>
      </c>
      <c r="E783" s="220"/>
      <c r="F783" s="220"/>
      <c r="G783" s="220"/>
      <c r="H783" s="1608"/>
      <c r="I783" s="1860"/>
      <c r="J783" s="1543"/>
    </row>
    <row r="784" spans="1:10" ht="54">
      <c r="A784" s="1722" t="s">
        <v>2260</v>
      </c>
      <c r="B784" s="1550" t="s">
        <v>2740</v>
      </c>
      <c r="C784" s="1576"/>
      <c r="D784" s="1542"/>
      <c r="E784" s="1612"/>
      <c r="F784" s="1613"/>
      <c r="G784" s="1613"/>
      <c r="H784" s="1823"/>
      <c r="I784" s="1859"/>
      <c r="J784" s="1543"/>
    </row>
    <row r="785" spans="1:76">
      <c r="A785" s="75" t="s">
        <v>2262</v>
      </c>
      <c r="B785" s="669" t="str">
        <f>'Tailrace Culvert'!B36</f>
        <v>Water Bar</v>
      </c>
      <c r="C785" s="1576" t="s">
        <v>27</v>
      </c>
      <c r="D785" s="1542">
        <f>'Tailrace Culvert'!J37</f>
        <v>100</v>
      </c>
      <c r="E785" s="1612"/>
      <c r="F785" s="1613"/>
      <c r="G785" s="1613"/>
      <c r="H785" s="1608"/>
      <c r="I785" s="1860"/>
      <c r="J785" s="1543"/>
    </row>
    <row r="786" spans="1:76">
      <c r="A786" s="75" t="s">
        <v>2263</v>
      </c>
      <c r="B786" s="669" t="str">
        <f>'Tailrace Culvert'!B38</f>
        <v>Hydroseal</v>
      </c>
      <c r="C786" s="1576" t="s">
        <v>27</v>
      </c>
      <c r="D786" s="1542">
        <f>'Tailrace Culvert'!J40</f>
        <v>200</v>
      </c>
      <c r="E786" s="1612"/>
      <c r="F786" s="1613"/>
      <c r="G786" s="1613"/>
      <c r="H786" s="1608"/>
      <c r="I786" s="1860"/>
      <c r="J786" s="1543"/>
    </row>
    <row r="787" spans="1:76">
      <c r="A787" s="75" t="s">
        <v>3050</v>
      </c>
      <c r="B787" s="669" t="str">
        <f>'Tailrace Culvert'!B41</f>
        <v>Sealants</v>
      </c>
      <c r="C787" s="1576" t="s">
        <v>27</v>
      </c>
      <c r="D787" s="1542">
        <f>'Tailrace Culvert'!J42</f>
        <v>100</v>
      </c>
      <c r="E787" s="1612"/>
      <c r="F787" s="1613"/>
      <c r="G787" s="1613"/>
      <c r="H787" s="1608"/>
      <c r="I787" s="1860"/>
      <c r="J787" s="1543"/>
    </row>
    <row r="788" spans="1:76" ht="17.25" customHeight="1">
      <c r="A788" s="1722"/>
      <c r="B788" s="1557"/>
      <c r="C788" s="1581"/>
      <c r="D788" s="1741"/>
      <c r="E788" s="1612"/>
      <c r="F788" s="1666" t="s">
        <v>1483</v>
      </c>
      <c r="G788" s="1691"/>
      <c r="H788" s="1822"/>
      <c r="I788" s="1868"/>
      <c r="J788" s="1717"/>
    </row>
    <row r="789" spans="1:76" s="315" customFormat="1">
      <c r="A789" s="1814" t="s">
        <v>2913</v>
      </c>
      <c r="B789" s="1533" t="s">
        <v>1491</v>
      </c>
      <c r="C789" s="1534"/>
      <c r="D789" s="1736"/>
      <c r="E789" s="1697"/>
      <c r="F789" s="1536"/>
      <c r="G789" s="1697"/>
      <c r="H789" s="1534"/>
      <c r="I789" s="1857"/>
      <c r="J789" s="1543"/>
    </row>
    <row r="790" spans="1:76">
      <c r="A790" s="1722" t="s">
        <v>3051</v>
      </c>
      <c r="B790" s="1548" t="s">
        <v>18</v>
      </c>
      <c r="C790" s="1530"/>
      <c r="D790" s="1686"/>
      <c r="E790" s="220"/>
      <c r="F790" s="1587"/>
      <c r="G790" s="220"/>
      <c r="H790" s="1563"/>
      <c r="I790" s="1857"/>
      <c r="J790" s="1543"/>
    </row>
    <row r="791" spans="1:76" ht="72">
      <c r="A791" s="75" t="s">
        <v>3052</v>
      </c>
      <c r="B791" s="1555" t="s">
        <v>2847</v>
      </c>
      <c r="C791" s="1576" t="s">
        <v>19</v>
      </c>
      <c r="D791" s="1542">
        <f>'Rivertraining at Powerhouse'!J13</f>
        <v>2500</v>
      </c>
      <c r="E791" s="220"/>
      <c r="F791" s="220"/>
      <c r="G791" s="220"/>
      <c r="H791" s="1530"/>
      <c r="I791" s="1859"/>
      <c r="J791" s="1543"/>
    </row>
    <row r="792" spans="1:76" ht="72">
      <c r="A792" s="1722" t="s">
        <v>3053</v>
      </c>
      <c r="B792" s="1544" t="s">
        <v>2849</v>
      </c>
      <c r="C792" s="1576"/>
      <c r="D792" s="1542"/>
      <c r="E792" s="220"/>
      <c r="F792" s="220"/>
      <c r="G792" s="220"/>
      <c r="H792" s="1530"/>
      <c r="I792" s="1859"/>
      <c r="J792" s="1543"/>
    </row>
    <row r="793" spans="1:76">
      <c r="A793" s="75" t="s">
        <v>3054</v>
      </c>
      <c r="B793" s="220" t="s">
        <v>1632</v>
      </c>
      <c r="C793" s="1530" t="s">
        <v>21</v>
      </c>
      <c r="D793" s="1542">
        <f>'Rivertraining at Powerhouse'!J18</f>
        <v>5320</v>
      </c>
      <c r="E793" s="220"/>
      <c r="F793" s="220"/>
      <c r="G793" s="220"/>
      <c r="H793" s="1530"/>
      <c r="I793" s="1859"/>
      <c r="J793" s="1543"/>
    </row>
    <row r="794" spans="1:76">
      <c r="A794" s="75" t="s">
        <v>3055</v>
      </c>
      <c r="B794" s="220" t="s">
        <v>1634</v>
      </c>
      <c r="C794" s="1530" t="s">
        <v>21</v>
      </c>
      <c r="D794" s="1542">
        <f>'Rivertraining at Powerhouse'!J17</f>
        <v>1330</v>
      </c>
      <c r="E794" s="220"/>
      <c r="F794" s="220"/>
      <c r="G794" s="220"/>
      <c r="H794" s="1823"/>
      <c r="I794" s="1859"/>
      <c r="J794" s="1577"/>
    </row>
    <row r="795" spans="1:76">
      <c r="A795" s="1722" t="s">
        <v>3056</v>
      </c>
      <c r="B795" s="313" t="s">
        <v>31</v>
      </c>
      <c r="C795" s="1530"/>
      <c r="D795" s="1542"/>
      <c r="E795" s="220"/>
      <c r="F795" s="220"/>
      <c r="G795" s="220"/>
      <c r="H795" s="1823"/>
      <c r="I795" s="1859"/>
      <c r="J795" s="1577"/>
    </row>
    <row r="796" spans="1:76" ht="54">
      <c r="A796" s="75" t="s">
        <v>3054</v>
      </c>
      <c r="B796" s="1545" t="s">
        <v>2862</v>
      </c>
      <c r="C796" s="1530" t="s">
        <v>21</v>
      </c>
      <c r="D796" s="1542">
        <f>'Rivertraining at Powerhouse'!J21</f>
        <v>4940</v>
      </c>
      <c r="E796" s="220"/>
      <c r="F796" s="220"/>
      <c r="G796" s="220"/>
      <c r="H796" s="1823"/>
      <c r="I796" s="1859"/>
      <c r="J796" s="1543"/>
    </row>
    <row r="797" spans="1:76">
      <c r="A797" s="1722" t="s">
        <v>3057</v>
      </c>
      <c r="B797" s="1548" t="s">
        <v>309</v>
      </c>
      <c r="C797" s="1530"/>
      <c r="D797" s="1542"/>
      <c r="E797" s="220"/>
      <c r="F797" s="220"/>
      <c r="G797" s="220"/>
      <c r="H797" s="1823"/>
      <c r="I797" s="1859"/>
      <c r="J797" s="1543"/>
    </row>
    <row r="798" spans="1:76" s="1656" customFormat="1" ht="54">
      <c r="A798" s="75" t="s">
        <v>3054</v>
      </c>
      <c r="B798" s="1549" t="s">
        <v>2038</v>
      </c>
      <c r="C798" s="1576" t="s">
        <v>19</v>
      </c>
      <c r="D798" s="1542">
        <f>'Rivertraining at Powerhouse'!J26</f>
        <v>3149</v>
      </c>
      <c r="E798" s="1655"/>
      <c r="F798" s="1655"/>
      <c r="G798" s="1655"/>
      <c r="H798" s="1608"/>
      <c r="I798" s="1859"/>
      <c r="J798" s="1543"/>
      <c r="K798" s="1595"/>
      <c r="L798" s="1595"/>
      <c r="M798" s="1595"/>
      <c r="N798" s="1595"/>
      <c r="O798" s="1595"/>
      <c r="P798" s="1595"/>
      <c r="Q798" s="1595"/>
      <c r="R798" s="1595"/>
      <c r="S798" s="1595"/>
      <c r="T798" s="1595"/>
      <c r="U798" s="1595"/>
      <c r="V798" s="1595"/>
      <c r="W798" s="1595"/>
      <c r="X798" s="1595"/>
      <c r="Y798" s="1595"/>
      <c r="Z798" s="1595"/>
      <c r="AA798" s="1595"/>
      <c r="AB798" s="1595"/>
      <c r="AC798" s="1595"/>
      <c r="AD798" s="1595"/>
      <c r="AE798" s="1595"/>
      <c r="AF798" s="1595"/>
      <c r="AG798" s="1595"/>
      <c r="AH798" s="1595"/>
      <c r="AI798" s="1595"/>
      <c r="AJ798" s="1595"/>
      <c r="AK798" s="1595"/>
      <c r="AL798" s="1595"/>
      <c r="AM798" s="1595"/>
      <c r="AN798" s="1595"/>
      <c r="AO798" s="1595"/>
      <c r="AP798" s="1595"/>
      <c r="AQ798" s="1595"/>
      <c r="AR798" s="1595"/>
      <c r="AS798" s="1595"/>
      <c r="AT798" s="1595"/>
      <c r="AU798" s="1595"/>
      <c r="AV798" s="1595"/>
      <c r="AW798" s="1595"/>
      <c r="AX798" s="1595"/>
      <c r="AY798" s="1595"/>
      <c r="AZ798" s="1595"/>
      <c r="BA798" s="1595"/>
      <c r="BB798" s="1595"/>
      <c r="BC798" s="1595"/>
      <c r="BD798" s="1595"/>
      <c r="BE798" s="1595"/>
      <c r="BF798" s="1595"/>
      <c r="BG798" s="1595"/>
      <c r="BH798" s="1595"/>
      <c r="BI798" s="1595"/>
      <c r="BJ798" s="1595"/>
      <c r="BK798" s="1595"/>
      <c r="BL798" s="1595"/>
      <c r="BM798" s="1595"/>
      <c r="BN798" s="1595"/>
      <c r="BO798" s="1595"/>
      <c r="BP798" s="1595"/>
      <c r="BQ798" s="1595"/>
      <c r="BR798" s="1595"/>
      <c r="BS798" s="1595"/>
      <c r="BT798" s="1595"/>
      <c r="BU798" s="1595"/>
      <c r="BV798" s="1595"/>
      <c r="BW798" s="1595"/>
      <c r="BX798" s="1595"/>
    </row>
    <row r="799" spans="1:76" s="1656" customFormat="1" ht="54">
      <c r="A799" s="1722" t="s">
        <v>3058</v>
      </c>
      <c r="B799" s="1545" t="s">
        <v>2735</v>
      </c>
      <c r="C799" s="1576"/>
      <c r="D799" s="1542"/>
      <c r="E799" s="1655"/>
      <c r="F799" s="1655"/>
      <c r="G799" s="1655"/>
      <c r="H799" s="1608"/>
      <c r="I799" s="1860"/>
      <c r="J799" s="1543"/>
      <c r="K799" s="1595"/>
      <c r="L799" s="1595"/>
      <c r="M799" s="1595"/>
      <c r="N799" s="1595"/>
      <c r="O799" s="1595"/>
      <c r="P799" s="1595"/>
      <c r="Q799" s="1595"/>
      <c r="R799" s="1595"/>
      <c r="S799" s="1595"/>
      <c r="T799" s="1595"/>
      <c r="U799" s="1595"/>
      <c r="V799" s="1595"/>
      <c r="W799" s="1595"/>
      <c r="X799" s="1595"/>
      <c r="Y799" s="1595"/>
      <c r="Z799" s="1595"/>
      <c r="AA799" s="1595"/>
      <c r="AB799" s="1595"/>
      <c r="AC799" s="1595"/>
      <c r="AD799" s="1595"/>
      <c r="AE799" s="1595"/>
      <c r="AF799" s="1595"/>
      <c r="AG799" s="1595"/>
      <c r="AH799" s="1595"/>
      <c r="AI799" s="1595"/>
      <c r="AJ799" s="1595"/>
      <c r="AK799" s="1595"/>
      <c r="AL799" s="1595"/>
      <c r="AM799" s="1595"/>
      <c r="AN799" s="1595"/>
      <c r="AO799" s="1595"/>
      <c r="AP799" s="1595"/>
      <c r="AQ799" s="1595"/>
      <c r="AR799" s="1595"/>
      <c r="AS799" s="1595"/>
      <c r="AT799" s="1595"/>
      <c r="AU799" s="1595"/>
      <c r="AV799" s="1595"/>
      <c r="AW799" s="1595"/>
      <c r="AX799" s="1595"/>
      <c r="AY799" s="1595"/>
      <c r="AZ799" s="1595"/>
      <c r="BA799" s="1595"/>
      <c r="BB799" s="1595"/>
      <c r="BC799" s="1595"/>
      <c r="BD799" s="1595"/>
      <c r="BE799" s="1595"/>
      <c r="BF799" s="1595"/>
      <c r="BG799" s="1595"/>
      <c r="BH799" s="1595"/>
      <c r="BI799" s="1595"/>
      <c r="BJ799" s="1595"/>
      <c r="BK799" s="1595"/>
      <c r="BL799" s="1595"/>
      <c r="BM799" s="1595"/>
      <c r="BN799" s="1595"/>
      <c r="BO799" s="1595"/>
      <c r="BP799" s="1595"/>
      <c r="BQ799" s="1595"/>
      <c r="BR799" s="1595"/>
      <c r="BS799" s="1595"/>
      <c r="BT799" s="1595"/>
      <c r="BU799" s="1595"/>
      <c r="BV799" s="1595"/>
      <c r="BW799" s="1595"/>
      <c r="BX799" s="1595"/>
    </row>
    <row r="800" spans="1:76" s="1656" customFormat="1">
      <c r="A800" s="75" t="s">
        <v>3059</v>
      </c>
      <c r="B800" s="1546" t="s">
        <v>1641</v>
      </c>
      <c r="C800" s="1530" t="s">
        <v>21</v>
      </c>
      <c r="D800" s="1542">
        <f>'Rivertraining at Powerhouse'!J30</f>
        <v>85.5</v>
      </c>
      <c r="E800" s="1655"/>
      <c r="F800" s="1655"/>
      <c r="G800" s="1655"/>
      <c r="H800" s="1823"/>
      <c r="I800" s="1859"/>
      <c r="J800" s="1543"/>
      <c r="K800" s="1595"/>
      <c r="L800" s="1595"/>
      <c r="M800" s="1595"/>
      <c r="N800" s="1595"/>
      <c r="O800" s="1595"/>
      <c r="P800" s="1595"/>
      <c r="Q800" s="1595"/>
      <c r="R800" s="1595"/>
      <c r="S800" s="1595"/>
      <c r="T800" s="1595"/>
      <c r="U800" s="1595"/>
      <c r="V800" s="1595"/>
      <c r="W800" s="1595"/>
      <c r="X800" s="1595"/>
      <c r="Y800" s="1595"/>
      <c r="Z800" s="1595"/>
      <c r="AA800" s="1595"/>
      <c r="AB800" s="1595"/>
      <c r="AC800" s="1595"/>
      <c r="AD800" s="1595"/>
      <c r="AE800" s="1595"/>
      <c r="AF800" s="1595"/>
      <c r="AG800" s="1595"/>
      <c r="AH800" s="1595"/>
      <c r="AI800" s="1595"/>
      <c r="AJ800" s="1595"/>
      <c r="AK800" s="1595"/>
      <c r="AL800" s="1595"/>
      <c r="AM800" s="1595"/>
      <c r="AN800" s="1595"/>
      <c r="AO800" s="1595"/>
      <c r="AP800" s="1595"/>
      <c r="AQ800" s="1595"/>
      <c r="AR800" s="1595"/>
      <c r="AS800" s="1595"/>
      <c r="AT800" s="1595"/>
      <c r="AU800" s="1595"/>
      <c r="AV800" s="1595"/>
      <c r="AW800" s="1595"/>
      <c r="AX800" s="1595"/>
      <c r="AY800" s="1595"/>
      <c r="AZ800" s="1595"/>
      <c r="BA800" s="1595"/>
      <c r="BB800" s="1595"/>
      <c r="BC800" s="1595"/>
      <c r="BD800" s="1595"/>
      <c r="BE800" s="1595"/>
      <c r="BF800" s="1595"/>
      <c r="BG800" s="1595"/>
      <c r="BH800" s="1595"/>
      <c r="BI800" s="1595"/>
      <c r="BJ800" s="1595"/>
      <c r="BK800" s="1595"/>
      <c r="BL800" s="1595"/>
      <c r="BM800" s="1595"/>
      <c r="BN800" s="1595"/>
      <c r="BO800" s="1595"/>
      <c r="BP800" s="1595"/>
      <c r="BQ800" s="1595"/>
      <c r="BR800" s="1595"/>
      <c r="BS800" s="1595"/>
      <c r="BT800" s="1595"/>
      <c r="BU800" s="1595"/>
      <c r="BV800" s="1595"/>
      <c r="BW800" s="1595"/>
      <c r="BX800" s="1595"/>
    </row>
    <row r="801" spans="1:76" s="1656" customFormat="1">
      <c r="A801" s="75" t="s">
        <v>3060</v>
      </c>
      <c r="B801" s="669" t="str">
        <f>'Rivertraining at Powerhouse'!B32</f>
        <v>Structural Concrete (C25)</v>
      </c>
      <c r="C801" s="1576" t="s">
        <v>21</v>
      </c>
      <c r="D801" s="1542">
        <f>'Rivertraining at Powerhouse'!J34</f>
        <v>2071</v>
      </c>
      <c r="E801" s="1655"/>
      <c r="F801" s="1655"/>
      <c r="G801" s="1655"/>
      <c r="H801" s="1608"/>
      <c r="I801" s="1860"/>
      <c r="J801" s="1543"/>
      <c r="K801" s="1595"/>
      <c r="L801" s="1595"/>
      <c r="M801" s="1595"/>
      <c r="N801" s="1595"/>
      <c r="O801" s="1595"/>
      <c r="P801" s="1595"/>
      <c r="Q801" s="1595"/>
      <c r="R801" s="1595"/>
      <c r="S801" s="1595"/>
      <c r="T801" s="1595"/>
      <c r="U801" s="1595"/>
      <c r="V801" s="1595"/>
      <c r="W801" s="1595"/>
      <c r="X801" s="1595"/>
      <c r="Y801" s="1595"/>
      <c r="Z801" s="1595"/>
      <c r="AA801" s="1595"/>
      <c r="AB801" s="1595"/>
      <c r="AC801" s="1595"/>
      <c r="AD801" s="1595"/>
      <c r="AE801" s="1595"/>
      <c r="AF801" s="1595"/>
      <c r="AG801" s="1595"/>
      <c r="AH801" s="1595"/>
      <c r="AI801" s="1595"/>
      <c r="AJ801" s="1595"/>
      <c r="AK801" s="1595"/>
      <c r="AL801" s="1595"/>
      <c r="AM801" s="1595"/>
      <c r="AN801" s="1595"/>
      <c r="AO801" s="1595"/>
      <c r="AP801" s="1595"/>
      <c r="AQ801" s="1595"/>
      <c r="AR801" s="1595"/>
      <c r="AS801" s="1595"/>
      <c r="AT801" s="1595"/>
      <c r="AU801" s="1595"/>
      <c r="AV801" s="1595"/>
      <c r="AW801" s="1595"/>
      <c r="AX801" s="1595"/>
      <c r="AY801" s="1595"/>
      <c r="AZ801" s="1595"/>
      <c r="BA801" s="1595"/>
      <c r="BB801" s="1595"/>
      <c r="BC801" s="1595"/>
      <c r="BD801" s="1595"/>
      <c r="BE801" s="1595"/>
      <c r="BF801" s="1595"/>
      <c r="BG801" s="1595"/>
      <c r="BH801" s="1595"/>
      <c r="BI801" s="1595"/>
      <c r="BJ801" s="1595"/>
      <c r="BK801" s="1595"/>
      <c r="BL801" s="1595"/>
      <c r="BM801" s="1595"/>
      <c r="BN801" s="1595"/>
      <c r="BO801" s="1595"/>
      <c r="BP801" s="1595"/>
      <c r="BQ801" s="1595"/>
      <c r="BR801" s="1595"/>
      <c r="BS801" s="1595"/>
      <c r="BT801" s="1595"/>
      <c r="BU801" s="1595"/>
      <c r="BV801" s="1595"/>
      <c r="BW801" s="1595"/>
      <c r="BX801" s="1595"/>
    </row>
    <row r="802" spans="1:76" s="1656" customFormat="1">
      <c r="A802" s="1722" t="s">
        <v>3061</v>
      </c>
      <c r="B802" s="313" t="s">
        <v>1649</v>
      </c>
      <c r="C802" s="1576"/>
      <c r="D802" s="1542"/>
      <c r="E802" s="1655"/>
      <c r="F802" s="1655"/>
      <c r="G802" s="1655"/>
      <c r="H802" s="1608"/>
      <c r="I802" s="1860"/>
      <c r="J802" s="1543"/>
      <c r="K802" s="1595"/>
      <c r="L802" s="1595"/>
      <c r="M802" s="1595"/>
      <c r="N802" s="1595"/>
      <c r="O802" s="1595"/>
      <c r="P802" s="1595"/>
      <c r="Q802" s="1595"/>
      <c r="R802" s="1595"/>
      <c r="S802" s="1595"/>
      <c r="T802" s="1595"/>
      <c r="U802" s="1595"/>
      <c r="V802" s="1595"/>
      <c r="W802" s="1595"/>
      <c r="X802" s="1595"/>
      <c r="Y802" s="1595"/>
      <c r="Z802" s="1595"/>
      <c r="AA802" s="1595"/>
      <c r="AB802" s="1595"/>
      <c r="AC802" s="1595"/>
      <c r="AD802" s="1595"/>
      <c r="AE802" s="1595"/>
      <c r="AF802" s="1595"/>
      <c r="AG802" s="1595"/>
      <c r="AH802" s="1595"/>
      <c r="AI802" s="1595"/>
      <c r="AJ802" s="1595"/>
      <c r="AK802" s="1595"/>
      <c r="AL802" s="1595"/>
      <c r="AM802" s="1595"/>
      <c r="AN802" s="1595"/>
      <c r="AO802" s="1595"/>
      <c r="AP802" s="1595"/>
      <c r="AQ802" s="1595"/>
      <c r="AR802" s="1595"/>
      <c r="AS802" s="1595"/>
      <c r="AT802" s="1595"/>
      <c r="AU802" s="1595"/>
      <c r="AV802" s="1595"/>
      <c r="AW802" s="1595"/>
      <c r="AX802" s="1595"/>
      <c r="AY802" s="1595"/>
      <c r="AZ802" s="1595"/>
      <c r="BA802" s="1595"/>
      <c r="BB802" s="1595"/>
      <c r="BC802" s="1595"/>
      <c r="BD802" s="1595"/>
      <c r="BE802" s="1595"/>
      <c r="BF802" s="1595"/>
      <c r="BG802" s="1595"/>
      <c r="BH802" s="1595"/>
      <c r="BI802" s="1595"/>
      <c r="BJ802" s="1595"/>
      <c r="BK802" s="1595"/>
      <c r="BL802" s="1595"/>
      <c r="BM802" s="1595"/>
      <c r="BN802" s="1595"/>
      <c r="BO802" s="1595"/>
      <c r="BP802" s="1595"/>
      <c r="BQ802" s="1595"/>
      <c r="BR802" s="1595"/>
      <c r="BS802" s="1595"/>
      <c r="BT802" s="1595"/>
      <c r="BU802" s="1595"/>
      <c r="BV802" s="1595"/>
      <c r="BW802" s="1595"/>
      <c r="BX802" s="1595"/>
    </row>
    <row r="803" spans="1:76" s="65" customFormat="1" ht="54">
      <c r="A803" s="75" t="s">
        <v>3054</v>
      </c>
      <c r="B803" s="1550" t="s">
        <v>1248</v>
      </c>
      <c r="C803" s="1576" t="s">
        <v>322</v>
      </c>
      <c r="D803" s="1542">
        <f>'Rivertraining at Powerhouse'!J37</f>
        <v>162.57</v>
      </c>
      <c r="E803" s="1565"/>
      <c r="F803" s="1565"/>
      <c r="G803" s="1565"/>
      <c r="H803" s="1608"/>
      <c r="I803" s="1860"/>
      <c r="J803" s="1577"/>
    </row>
    <row r="804" spans="1:76" s="65" customFormat="1" ht="54">
      <c r="A804" s="1722" t="s">
        <v>3062</v>
      </c>
      <c r="B804" s="1545" t="s">
        <v>2875</v>
      </c>
      <c r="C804" s="1576"/>
      <c r="D804" s="1542"/>
      <c r="E804" s="1565"/>
      <c r="F804" s="1565"/>
      <c r="G804" s="1565"/>
      <c r="H804" s="1608"/>
      <c r="I804" s="1860"/>
      <c r="J804" s="1577"/>
    </row>
    <row r="805" spans="1:76" s="65" customFormat="1">
      <c r="A805" s="75" t="s">
        <v>3063</v>
      </c>
      <c r="B805" s="1546" t="s">
        <v>1654</v>
      </c>
      <c r="C805" s="1576" t="s">
        <v>19</v>
      </c>
      <c r="D805" s="1542">
        <f>'Rivertraining at Powerhouse'!J40</f>
        <v>285</v>
      </c>
      <c r="E805" s="1565"/>
      <c r="F805" s="1565"/>
      <c r="G805" s="1565"/>
      <c r="H805" s="1608"/>
      <c r="I805" s="1860"/>
      <c r="J805" s="1543"/>
    </row>
    <row r="806" spans="1:76" s="65" customFormat="1">
      <c r="A806" s="1722" t="s">
        <v>3064</v>
      </c>
      <c r="B806" s="1557" t="str">
        <f>'Rivertraining at Powerhouse'!B42</f>
        <v>0.3m Stone pitching for access road &amp; Floodwall</v>
      </c>
      <c r="C806" s="1576" t="s">
        <v>19</v>
      </c>
      <c r="D806" s="1542">
        <f>'Rivertraining at Powerhouse'!J43</f>
        <v>500</v>
      </c>
      <c r="E806" s="1565"/>
      <c r="F806" s="1565"/>
      <c r="G806" s="1565"/>
      <c r="H806" s="1608"/>
      <c r="I806" s="1860"/>
      <c r="J806" s="1543"/>
    </row>
    <row r="807" spans="1:76" s="65" customFormat="1" ht="54">
      <c r="A807" s="1722" t="s">
        <v>3065</v>
      </c>
      <c r="B807" s="1550" t="s">
        <v>2740</v>
      </c>
      <c r="C807" s="1576"/>
      <c r="D807" s="1542"/>
      <c r="E807" s="1565"/>
      <c r="F807" s="1565"/>
      <c r="G807" s="1565"/>
      <c r="H807" s="1826"/>
      <c r="I807" s="1871"/>
      <c r="J807" s="1543"/>
    </row>
    <row r="808" spans="1:76" s="65" customFormat="1">
      <c r="A808" s="75" t="s">
        <v>3066</v>
      </c>
      <c r="B808" s="669" t="str">
        <f>'Rivertraining at Powerhouse'!B45</f>
        <v>Water Bar</v>
      </c>
      <c r="C808" s="1576" t="s">
        <v>27</v>
      </c>
      <c r="D808" s="1542">
        <f>'Rivertraining at Powerhouse'!J46</f>
        <v>150</v>
      </c>
      <c r="E808" s="1565"/>
      <c r="F808" s="1565"/>
      <c r="G808" s="1565"/>
      <c r="H808" s="1826"/>
      <c r="I808" s="1871"/>
      <c r="J808" s="1543"/>
    </row>
    <row r="809" spans="1:76" s="65" customFormat="1">
      <c r="A809" s="75" t="s">
        <v>3067</v>
      </c>
      <c r="B809" s="669" t="str">
        <f>'Rivertraining at Powerhouse'!B47</f>
        <v>Hydroseal</v>
      </c>
      <c r="C809" s="1576" t="s">
        <v>85</v>
      </c>
      <c r="D809" s="1542">
        <f>'Rivertraining at Powerhouse'!J49</f>
        <v>150</v>
      </c>
      <c r="E809" s="1565"/>
      <c r="F809" s="1565"/>
      <c r="G809" s="1565"/>
      <c r="H809" s="1826"/>
      <c r="I809" s="1871"/>
      <c r="J809" s="1577"/>
    </row>
    <row r="810" spans="1:76" s="65" customFormat="1">
      <c r="A810" s="75" t="s">
        <v>3068</v>
      </c>
      <c r="B810" s="669" t="str">
        <f>'Rivertraining at Powerhouse'!B50</f>
        <v>Sealants</v>
      </c>
      <c r="C810" s="1576" t="s">
        <v>27</v>
      </c>
      <c r="D810" s="1542">
        <f>'Rivertraining at Powerhouse'!J51</f>
        <v>150</v>
      </c>
      <c r="E810" s="1565"/>
      <c r="F810" s="1565"/>
      <c r="G810" s="1565"/>
      <c r="H810" s="1826"/>
      <c r="I810" s="1871"/>
      <c r="J810" s="1543"/>
    </row>
    <row r="811" spans="1:76" s="65" customFormat="1" ht="17.25" customHeight="1">
      <c r="A811" s="1722"/>
      <c r="B811" s="1557"/>
      <c r="C811" s="1581"/>
      <c r="D811" s="1741"/>
      <c r="E811" s="1565"/>
      <c r="F811" s="1666" t="s">
        <v>1483</v>
      </c>
      <c r="G811" s="1693"/>
      <c r="H811" s="1827"/>
      <c r="I811" s="1872"/>
      <c r="J811" s="1717"/>
    </row>
    <row r="812" spans="1:76" s="65" customFormat="1" ht="17.25" hidden="1" customHeight="1">
      <c r="A812" s="2357" t="s">
        <v>7</v>
      </c>
      <c r="B812" s="2357" t="s">
        <v>8</v>
      </c>
      <c r="C812" s="2357" t="s">
        <v>9</v>
      </c>
      <c r="D812" s="2357" t="s">
        <v>861</v>
      </c>
      <c r="E812" s="2357" t="s">
        <v>2799</v>
      </c>
      <c r="F812" s="2357"/>
      <c r="G812" s="1952" t="s">
        <v>2766</v>
      </c>
      <c r="H812" s="2356" t="s">
        <v>17</v>
      </c>
      <c r="I812" s="1872"/>
      <c r="J812" s="1971"/>
    </row>
    <row r="813" spans="1:76" s="65" customFormat="1" ht="17.25" hidden="1" customHeight="1">
      <c r="A813" s="2357"/>
      <c r="B813" s="2357"/>
      <c r="C813" s="2357"/>
      <c r="D813" s="2357"/>
      <c r="E813" s="1953" t="s">
        <v>862</v>
      </c>
      <c r="F813" s="1953" t="s">
        <v>863</v>
      </c>
      <c r="G813" s="1952" t="s">
        <v>287</v>
      </c>
      <c r="H813" s="2356"/>
      <c r="I813" s="1872"/>
      <c r="J813" s="1971"/>
    </row>
    <row r="814" spans="1:76">
      <c r="A814" s="1954" t="s">
        <v>3277</v>
      </c>
      <c r="B814" s="1954" t="s">
        <v>3278</v>
      </c>
      <c r="C814" s="1954"/>
      <c r="D814" s="1954"/>
      <c r="E814" s="1954"/>
      <c r="F814" s="1954"/>
      <c r="G814" s="1954"/>
      <c r="H814" s="1954"/>
      <c r="I814" s="1955"/>
      <c r="J814" s="1956"/>
    </row>
    <row r="815" spans="1:76">
      <c r="A815" s="1972" t="s">
        <v>3279</v>
      </c>
      <c r="B815" s="1972" t="s">
        <v>18</v>
      </c>
      <c r="C815" s="1876"/>
      <c r="D815" s="1876"/>
      <c r="E815" s="1876"/>
      <c r="F815" s="1876"/>
      <c r="G815" s="1876"/>
      <c r="H815" s="1876"/>
      <c r="I815" s="1960"/>
      <c r="J815" s="1961"/>
    </row>
    <row r="816" spans="1:76" ht="72">
      <c r="A816" s="1876" t="s">
        <v>3280</v>
      </c>
      <c r="B816" s="1876" t="s">
        <v>2855</v>
      </c>
      <c r="C816" s="1876" t="s">
        <v>19</v>
      </c>
      <c r="D816" s="1973">
        <v>110.00000000000001</v>
      </c>
      <c r="E816" s="1876"/>
      <c r="F816" s="1876"/>
      <c r="G816" s="1876"/>
      <c r="H816" s="1876"/>
      <c r="I816" s="1922"/>
      <c r="J816" s="1922"/>
    </row>
    <row r="817" spans="1:10" ht="72">
      <c r="A817" s="1972" t="s">
        <v>3281</v>
      </c>
      <c r="B817" s="1972" t="s">
        <v>3310</v>
      </c>
      <c r="C817" s="1876"/>
      <c r="D817" s="1973"/>
      <c r="E817" s="1876"/>
      <c r="F817" s="1876"/>
      <c r="G817" s="1876"/>
      <c r="H817" s="1876"/>
      <c r="I817" s="1961"/>
      <c r="J817" s="1961"/>
    </row>
    <row r="818" spans="1:10">
      <c r="A818" s="1876" t="s">
        <v>3282</v>
      </c>
      <c r="B818" s="1876" t="s">
        <v>1632</v>
      </c>
      <c r="C818" s="1876" t="s">
        <v>21</v>
      </c>
      <c r="D818" s="1973">
        <v>70.400000000000006</v>
      </c>
      <c r="E818" s="1876"/>
      <c r="F818" s="1876"/>
      <c r="G818" s="1876"/>
      <c r="H818" s="1876"/>
      <c r="I818" s="1962"/>
      <c r="J818" s="1922"/>
    </row>
    <row r="819" spans="1:10">
      <c r="A819" s="1876" t="s">
        <v>3283</v>
      </c>
      <c r="B819" s="1876" t="s">
        <v>1634</v>
      </c>
      <c r="C819" s="1876" t="s">
        <v>21</v>
      </c>
      <c r="D819" s="1973">
        <v>70.400000000000006</v>
      </c>
      <c r="E819" s="1876"/>
      <c r="F819" s="1876"/>
      <c r="G819" s="1876"/>
      <c r="H819" s="1876"/>
      <c r="I819" s="1962"/>
      <c r="J819" s="1922"/>
    </row>
    <row r="820" spans="1:10">
      <c r="A820" s="1972" t="s">
        <v>3284</v>
      </c>
      <c r="B820" s="1972" t="s">
        <v>31</v>
      </c>
      <c r="C820" s="1876"/>
      <c r="D820" s="1973"/>
      <c r="E820" s="1876"/>
      <c r="F820" s="1876"/>
      <c r="G820" s="1876"/>
      <c r="H820" s="1876"/>
      <c r="I820" s="1960"/>
      <c r="J820" s="1961"/>
    </row>
    <row r="821" spans="1:10" ht="54">
      <c r="A821" s="1876" t="s">
        <v>3285</v>
      </c>
      <c r="B821" s="1876" t="s">
        <v>2862</v>
      </c>
      <c r="C821" s="1876" t="s">
        <v>21</v>
      </c>
      <c r="D821" s="1973">
        <v>115.5</v>
      </c>
      <c r="E821" s="1876"/>
      <c r="F821" s="1876"/>
      <c r="G821" s="1876"/>
      <c r="H821" s="1876"/>
      <c r="I821" s="1962"/>
      <c r="J821" s="1922"/>
    </row>
    <row r="822" spans="1:10" ht="72">
      <c r="A822" s="1972" t="s">
        <v>3286</v>
      </c>
      <c r="B822" s="1972" t="s">
        <v>3309</v>
      </c>
      <c r="C822" s="1876" t="s">
        <v>21</v>
      </c>
      <c r="D822" s="1973"/>
      <c r="E822" s="1876"/>
      <c r="F822" s="1876"/>
      <c r="G822" s="1876"/>
      <c r="H822" s="1876"/>
      <c r="I822" s="1961"/>
      <c r="J822" s="1961"/>
    </row>
    <row r="823" spans="1:10">
      <c r="A823" s="1876" t="s">
        <v>3287</v>
      </c>
      <c r="B823" s="1876" t="s">
        <v>2921</v>
      </c>
      <c r="C823" s="1876" t="s">
        <v>21</v>
      </c>
      <c r="D823" s="1973">
        <v>0.17634374999999997</v>
      </c>
      <c r="E823" s="1876"/>
      <c r="F823" s="1876"/>
      <c r="G823" s="1876"/>
      <c r="H823" s="1876"/>
      <c r="I823" s="1963"/>
      <c r="J823" s="1922"/>
    </row>
    <row r="824" spans="1:10">
      <c r="A824" s="1876" t="s">
        <v>3288</v>
      </c>
      <c r="B824" s="1876" t="s">
        <v>1645</v>
      </c>
      <c r="C824" s="1876" t="s">
        <v>21</v>
      </c>
      <c r="D824" s="1973">
        <v>158.8159</v>
      </c>
      <c r="E824" s="1876"/>
      <c r="F824" s="1876"/>
      <c r="G824" s="1876"/>
      <c r="H824" s="1876"/>
      <c r="I824" s="1922"/>
      <c r="J824" s="1922"/>
    </row>
    <row r="825" spans="1:10">
      <c r="A825" s="1972" t="s">
        <v>3289</v>
      </c>
      <c r="B825" s="1972" t="s">
        <v>309</v>
      </c>
      <c r="C825" s="1876"/>
      <c r="D825" s="1973"/>
      <c r="E825" s="1876"/>
      <c r="F825" s="1876"/>
      <c r="G825" s="1876"/>
      <c r="H825" s="1876"/>
      <c r="I825" s="1961"/>
      <c r="J825" s="1961"/>
    </row>
    <row r="826" spans="1:10" ht="54">
      <c r="A826" s="1876" t="s">
        <v>3290</v>
      </c>
      <c r="B826" s="1876" t="s">
        <v>1637</v>
      </c>
      <c r="C826" s="1876" t="s">
        <v>19</v>
      </c>
      <c r="D826" s="1973">
        <v>559.77249999999992</v>
      </c>
      <c r="E826" s="1876"/>
      <c r="F826" s="1876"/>
      <c r="G826" s="1876"/>
      <c r="H826" s="1876"/>
      <c r="I826" s="1922"/>
      <c r="J826" s="1922"/>
    </row>
    <row r="827" spans="1:10">
      <c r="A827" s="1972" t="s">
        <v>3291</v>
      </c>
      <c r="B827" s="1972" t="s">
        <v>1649</v>
      </c>
      <c r="C827" s="1876"/>
      <c r="D827" s="1973"/>
      <c r="E827" s="1876"/>
      <c r="F827" s="1876"/>
      <c r="G827" s="1876"/>
      <c r="H827" s="1876"/>
      <c r="I827" s="1961"/>
      <c r="J827" s="1961"/>
    </row>
    <row r="828" spans="1:10" ht="54">
      <c r="A828" s="1876" t="s">
        <v>3292</v>
      </c>
      <c r="B828" s="1876" t="s">
        <v>1248</v>
      </c>
      <c r="C828" s="1876" t="s">
        <v>25</v>
      </c>
      <c r="D828" s="1973">
        <v>21.82</v>
      </c>
      <c r="E828" s="1876"/>
      <c r="F828" s="1876"/>
      <c r="G828" s="1876"/>
      <c r="H828" s="1876"/>
      <c r="I828" s="1922"/>
      <c r="J828" s="1922"/>
    </row>
    <row r="829" spans="1:10">
      <c r="A829" s="1972" t="s">
        <v>3293</v>
      </c>
      <c r="B829" s="1972" t="s">
        <v>1929</v>
      </c>
      <c r="C829" s="1876"/>
      <c r="D829" s="1973"/>
      <c r="E829" s="1876"/>
      <c r="F829" s="1876"/>
      <c r="G829" s="1876"/>
      <c r="H829" s="1876"/>
      <c r="I829" s="1961"/>
      <c r="J829" s="1961"/>
    </row>
    <row r="830" spans="1:10" ht="72">
      <c r="A830" s="1876" t="s">
        <v>3294</v>
      </c>
      <c r="B830" s="1876" t="s">
        <v>2858</v>
      </c>
      <c r="C830" s="1876" t="s">
        <v>311</v>
      </c>
      <c r="D830" s="1973">
        <v>60</v>
      </c>
      <c r="E830" s="1876"/>
      <c r="F830" s="1876"/>
      <c r="G830" s="1876"/>
      <c r="H830" s="1876"/>
      <c r="I830" s="1964"/>
      <c r="J830" s="1922"/>
    </row>
    <row r="831" spans="1:10">
      <c r="A831" s="1972" t="s">
        <v>3295</v>
      </c>
      <c r="B831" s="1972" t="s">
        <v>1706</v>
      </c>
      <c r="C831" s="1876"/>
      <c r="D831" s="1973"/>
      <c r="E831" s="1876"/>
      <c r="F831" s="1876"/>
      <c r="G831" s="1876"/>
      <c r="H831" s="1876"/>
      <c r="I831" s="1961"/>
      <c r="J831" s="1961"/>
    </row>
    <row r="832" spans="1:10" ht="36">
      <c r="A832" s="1876" t="s">
        <v>3296</v>
      </c>
      <c r="B832" s="1876" t="s">
        <v>1710</v>
      </c>
      <c r="C832" s="1876" t="s">
        <v>21</v>
      </c>
      <c r="D832" s="1973">
        <v>50.435000000000002</v>
      </c>
      <c r="E832" s="1876"/>
      <c r="F832" s="1876"/>
      <c r="G832" s="1876"/>
      <c r="H832" s="1876"/>
      <c r="I832" s="1922"/>
      <c r="J832" s="1922"/>
    </row>
    <row r="833" spans="1:10" ht="54">
      <c r="A833" s="1972" t="s">
        <v>3297</v>
      </c>
      <c r="B833" s="1972" t="s">
        <v>3308</v>
      </c>
      <c r="C833" s="1876"/>
      <c r="D833" s="1973"/>
      <c r="E833" s="1876"/>
      <c r="F833" s="1876"/>
      <c r="G833" s="1876"/>
      <c r="H833" s="1876"/>
      <c r="I833" s="1961"/>
      <c r="J833" s="1961"/>
    </row>
    <row r="834" spans="1:10">
      <c r="A834" s="1876" t="s">
        <v>3298</v>
      </c>
      <c r="B834" s="1876" t="s">
        <v>155</v>
      </c>
      <c r="C834" s="1876" t="s">
        <v>27</v>
      </c>
      <c r="D834" s="1973">
        <v>16.5</v>
      </c>
      <c r="E834" s="1876"/>
      <c r="F834" s="1876"/>
      <c r="G834" s="1876"/>
      <c r="H834" s="1876"/>
      <c r="I834" s="1922"/>
      <c r="J834" s="1922"/>
    </row>
    <row r="835" spans="1:10">
      <c r="A835" s="1876" t="s">
        <v>3299</v>
      </c>
      <c r="B835" s="1876" t="s">
        <v>174</v>
      </c>
      <c r="C835" s="1876" t="s">
        <v>27</v>
      </c>
      <c r="D835" s="1973">
        <v>16.5</v>
      </c>
      <c r="E835" s="1876"/>
      <c r="F835" s="1876"/>
      <c r="G835" s="1876"/>
      <c r="H835" s="1876"/>
      <c r="I835" s="1922"/>
      <c r="J835" s="1922"/>
    </row>
    <row r="836" spans="1:10" ht="19.8">
      <c r="A836" s="1876" t="s">
        <v>3300</v>
      </c>
      <c r="B836" s="1876" t="s">
        <v>2390</v>
      </c>
      <c r="C836" s="1876" t="s">
        <v>122</v>
      </c>
      <c r="D836" s="1973">
        <v>148.5</v>
      </c>
      <c r="E836" s="1876"/>
      <c r="F836" s="1876"/>
      <c r="G836" s="1876"/>
      <c r="H836" s="1876"/>
      <c r="I836" s="1922"/>
      <c r="J836" s="1922"/>
    </row>
    <row r="837" spans="1:10">
      <c r="A837" s="1972" t="s">
        <v>3301</v>
      </c>
      <c r="B837" s="1972" t="s">
        <v>3302</v>
      </c>
      <c r="C837" s="1876"/>
      <c r="D837" s="1973"/>
      <c r="E837" s="1876"/>
      <c r="F837" s="1876"/>
      <c r="G837" s="1876"/>
      <c r="H837" s="1876"/>
      <c r="I837" s="1961"/>
      <c r="J837" s="1961"/>
    </row>
    <row r="838" spans="1:10" ht="36">
      <c r="A838" s="1876" t="s">
        <v>1839</v>
      </c>
      <c r="B838" s="1876" t="s">
        <v>3303</v>
      </c>
      <c r="C838" s="1876" t="s">
        <v>46</v>
      </c>
      <c r="D838" s="1973">
        <v>249.60000000000002</v>
      </c>
      <c r="E838" s="1876"/>
      <c r="F838" s="1876"/>
      <c r="G838" s="1876"/>
      <c r="H838" s="1876"/>
      <c r="I838" s="1964"/>
      <c r="J838" s="1922"/>
    </row>
    <row r="839" spans="1:10">
      <c r="A839" s="1972" t="s">
        <v>3304</v>
      </c>
      <c r="B839" s="1972" t="s">
        <v>3305</v>
      </c>
      <c r="C839" s="1876"/>
      <c r="D839" s="1973"/>
      <c r="E839" s="1876"/>
      <c r="F839" s="1876"/>
      <c r="G839" s="1876"/>
      <c r="H839" s="1876"/>
      <c r="I839" s="1961"/>
      <c r="J839" s="1961"/>
    </row>
    <row r="840" spans="1:10" ht="72">
      <c r="A840" s="1876" t="s">
        <v>3306</v>
      </c>
      <c r="B840" s="1876" t="s">
        <v>3307</v>
      </c>
      <c r="C840" s="1876" t="s">
        <v>85</v>
      </c>
      <c r="D840" s="1973">
        <v>3.36</v>
      </c>
      <c r="E840" s="1876"/>
      <c r="F840" s="1876"/>
      <c r="G840" s="1876"/>
      <c r="H840" s="1876"/>
      <c r="I840" s="1964"/>
      <c r="J840" s="1922"/>
    </row>
    <row r="841" spans="1:10">
      <c r="A841" s="1970"/>
      <c r="B841" s="1965"/>
      <c r="C841" s="1957"/>
      <c r="D841" s="1958"/>
      <c r="E841" s="1959"/>
      <c r="F841" s="1966" t="s">
        <v>1483</v>
      </c>
      <c r="G841" s="1967"/>
      <c r="H841" s="1950"/>
      <c r="I841" s="1968" t="s">
        <v>20</v>
      </c>
      <c r="J841" s="1969"/>
    </row>
  </sheetData>
  <mergeCells count="16">
    <mergeCell ref="I8:I9"/>
    <mergeCell ref="J8:J9"/>
    <mergeCell ref="B365:H365"/>
    <mergeCell ref="B708:H708"/>
    <mergeCell ref="A8:A9"/>
    <mergeCell ref="B8:B9"/>
    <mergeCell ref="C8:C9"/>
    <mergeCell ref="D8:D9"/>
    <mergeCell ref="E8:F8"/>
    <mergeCell ref="H8:H9"/>
    <mergeCell ref="H812:H813"/>
    <mergeCell ref="A812:A813"/>
    <mergeCell ref="B812:B813"/>
    <mergeCell ref="C812:C813"/>
    <mergeCell ref="D812:D813"/>
    <mergeCell ref="E812:F812"/>
  </mergeCells>
  <printOptions horizontalCentered="1"/>
  <pageMargins left="0.70866141732283505" right="0.82677165354330695" top="0.74803149606299202" bottom="1.2204724409448799" header="0.31496062992126" footer="0.31496062992126"/>
  <pageSetup paperSize="9" scale="83" firstPageNumber="3" fitToWidth="0" fitToHeight="0" orientation="landscape" useFirstPageNumber="1" r:id="rId1"/>
  <headerFooter>
    <oddHeader>&amp;L&amp;"Gill Sans MT,Italic"&amp;9Hydro Village Pvt. Ltd.&amp;R&amp;"Gill Sans MT,Italic"&amp;9Myagdi Khola Hydropower Project
Tender Document for Civil Construction Works- Bill of Quantities</oddHeader>
    <oddFooter>&amp;L&amp;"Gill Sans MT,Regular"Company:
Seal:
&amp;C&amp;"Gill Sans MT,Regular"Signature: 
            .
           Name of signatory:
   Designation:&amp;R&amp;"Gill Sans MT,Italic"&amp;9BoQ- page &amp;P</oddFooter>
  </headerFooter>
  <rowBreaks count="1" manualBreakCount="1">
    <brk id="592" max="7" man="1"/>
  </row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249977111117893"/>
  </sheetPr>
  <dimension ref="A1:F374"/>
  <sheetViews>
    <sheetView workbookViewId="0"/>
  </sheetViews>
  <sheetFormatPr defaultColWidth="9.109375" defaultRowHeight="14.4"/>
  <cols>
    <col min="1" max="1" width="11.33203125" style="1831" customWidth="1"/>
    <col min="2" max="2" width="31" style="1831" customWidth="1"/>
    <col min="3" max="3" width="5.109375" style="1831" customWidth="1"/>
    <col min="4" max="4" width="14.44140625" style="1831" customWidth="1"/>
    <col min="5" max="5" width="35.33203125" style="1831" customWidth="1"/>
    <col min="6" max="6" width="15.33203125" style="1831" customWidth="1"/>
    <col min="7" max="7" width="8" style="1831" customWidth="1"/>
    <col min="8" max="16384" width="9.109375" style="1831"/>
  </cols>
  <sheetData>
    <row r="1" spans="1:6" ht="18">
      <c r="A1" s="1830" t="s">
        <v>3117</v>
      </c>
    </row>
    <row r="2" spans="1:6" s="1833" customFormat="1" ht="19.2">
      <c r="A2" s="54" t="s">
        <v>3215</v>
      </c>
      <c r="B2" s="1832"/>
      <c r="C2" s="1832"/>
      <c r="D2" s="54"/>
      <c r="E2" s="1832"/>
      <c r="F2" s="1832"/>
    </row>
    <row r="3" spans="1:6" s="1833" customFormat="1" ht="16.8">
      <c r="A3" s="54" t="s">
        <v>3216</v>
      </c>
      <c r="B3" s="54"/>
      <c r="C3" s="54"/>
      <c r="D3" s="54"/>
      <c r="E3" s="54"/>
      <c r="F3" s="54"/>
    </row>
    <row r="4" spans="1:6" s="1833" customFormat="1" ht="22.5" customHeight="1">
      <c r="A4" s="2365" t="s">
        <v>189</v>
      </c>
      <c r="B4" s="2365" t="s">
        <v>487</v>
      </c>
      <c r="C4" s="2365" t="s">
        <v>172</v>
      </c>
      <c r="D4" s="2366" t="s">
        <v>3118</v>
      </c>
      <c r="E4" s="1834" t="s">
        <v>867</v>
      </c>
      <c r="F4" s="2366" t="s">
        <v>868</v>
      </c>
    </row>
    <row r="5" spans="1:6" s="1833" customFormat="1" ht="16.8">
      <c r="A5" s="2365"/>
      <c r="B5" s="2365"/>
      <c r="C5" s="2365"/>
      <c r="D5" s="2366"/>
      <c r="E5" s="1834" t="s">
        <v>869</v>
      </c>
      <c r="F5" s="2366"/>
    </row>
    <row r="6" spans="1:6" s="1833" customFormat="1" ht="24.9" customHeight="1">
      <c r="A6" s="1835" t="s">
        <v>1018</v>
      </c>
      <c r="B6" s="1836" t="s">
        <v>870</v>
      </c>
      <c r="C6" s="1837"/>
      <c r="D6" s="1834"/>
      <c r="E6" s="1834"/>
      <c r="F6" s="1834"/>
    </row>
    <row r="7" spans="1:6" s="1833" customFormat="1" ht="24.9" customHeight="1">
      <c r="A7" s="1838" t="s">
        <v>3119</v>
      </c>
      <c r="B7" s="1839" t="s">
        <v>871</v>
      </c>
      <c r="C7" s="1840" t="s">
        <v>872</v>
      </c>
      <c r="D7" s="1841"/>
      <c r="E7" s="1841"/>
      <c r="F7" s="1841"/>
    </row>
    <row r="8" spans="1:6" s="1833" customFormat="1" ht="24.9" customHeight="1">
      <c r="A8" s="1838" t="s">
        <v>3120</v>
      </c>
      <c r="B8" s="1839" t="s">
        <v>873</v>
      </c>
      <c r="C8" s="1840" t="s">
        <v>872</v>
      </c>
      <c r="D8" s="1841"/>
      <c r="E8" s="1841"/>
      <c r="F8" s="1841"/>
    </row>
    <row r="9" spans="1:6" s="1833" customFormat="1" ht="24.9" customHeight="1">
      <c r="A9" s="1838" t="s">
        <v>3121</v>
      </c>
      <c r="B9" s="1839" t="s">
        <v>3122</v>
      </c>
      <c r="C9" s="2362" t="s">
        <v>872</v>
      </c>
      <c r="D9" s="2363"/>
      <c r="E9" s="2363"/>
      <c r="F9" s="2363"/>
    </row>
    <row r="10" spans="1:6" s="1833" customFormat="1" ht="36">
      <c r="A10" s="1838" t="s">
        <v>3123</v>
      </c>
      <c r="B10" s="1839" t="s">
        <v>3124</v>
      </c>
      <c r="C10" s="2362"/>
      <c r="D10" s="2363"/>
      <c r="E10" s="2363"/>
      <c r="F10" s="2363"/>
    </row>
    <row r="11" spans="1:6" s="1833" customFormat="1" ht="24.9" customHeight="1">
      <c r="A11" s="1838" t="s">
        <v>3125</v>
      </c>
      <c r="B11" s="1839" t="s">
        <v>3126</v>
      </c>
      <c r="C11" s="2362" t="s">
        <v>872</v>
      </c>
      <c r="D11" s="2363"/>
      <c r="E11" s="2363"/>
      <c r="F11" s="2363"/>
    </row>
    <row r="12" spans="1:6" s="1833" customFormat="1" ht="24.9" customHeight="1">
      <c r="A12" s="1838" t="s">
        <v>3127</v>
      </c>
      <c r="B12" s="1839" t="s">
        <v>876</v>
      </c>
      <c r="C12" s="2362"/>
      <c r="D12" s="2363"/>
      <c r="E12" s="2363"/>
      <c r="F12" s="2363"/>
    </row>
    <row r="13" spans="1:6" s="1833" customFormat="1" ht="24.9" customHeight="1">
      <c r="A13" s="1838" t="s">
        <v>3128</v>
      </c>
      <c r="B13" s="1839" t="s">
        <v>877</v>
      </c>
      <c r="C13" s="2362"/>
      <c r="D13" s="2363"/>
      <c r="E13" s="2363"/>
      <c r="F13" s="2363"/>
    </row>
    <row r="14" spans="1:6" s="1833" customFormat="1" ht="24.9" customHeight="1">
      <c r="A14" s="1838" t="s">
        <v>3129</v>
      </c>
      <c r="B14" s="1839" t="s">
        <v>878</v>
      </c>
      <c r="C14" s="2362" t="s">
        <v>872</v>
      </c>
      <c r="D14" s="2363"/>
      <c r="E14" s="2363"/>
      <c r="F14" s="2363"/>
    </row>
    <row r="15" spans="1:6" s="1833" customFormat="1" ht="24.9" customHeight="1">
      <c r="A15" s="1838" t="s">
        <v>3130</v>
      </c>
      <c r="B15" s="1839" t="s">
        <v>879</v>
      </c>
      <c r="C15" s="2362"/>
      <c r="D15" s="2363"/>
      <c r="E15" s="2363"/>
      <c r="F15" s="2363"/>
    </row>
    <row r="16" spans="1:6" s="1833" customFormat="1" ht="24.75" customHeight="1">
      <c r="A16" s="1838" t="s">
        <v>3131</v>
      </c>
      <c r="B16" s="1839" t="s">
        <v>878</v>
      </c>
      <c r="C16" s="2362" t="s">
        <v>872</v>
      </c>
      <c r="D16" s="2363"/>
      <c r="E16" s="2363"/>
      <c r="F16" s="2363"/>
    </row>
    <row r="17" spans="1:6" s="1833" customFormat="1" ht="36">
      <c r="A17" s="1838" t="s">
        <v>3132</v>
      </c>
      <c r="B17" s="1839" t="s">
        <v>880</v>
      </c>
      <c r="C17" s="2362"/>
      <c r="D17" s="2363"/>
      <c r="E17" s="2363"/>
      <c r="F17" s="2363"/>
    </row>
    <row r="18" spans="1:6" s="1833" customFormat="1" ht="14.25" customHeight="1">
      <c r="A18" s="2364" t="s">
        <v>3133</v>
      </c>
      <c r="B18" s="1839" t="s">
        <v>881</v>
      </c>
      <c r="C18" s="2362" t="s">
        <v>882</v>
      </c>
      <c r="D18" s="2363"/>
      <c r="E18" s="2363"/>
      <c r="F18" s="2363"/>
    </row>
    <row r="19" spans="1:6" s="1833" customFormat="1" ht="36">
      <c r="A19" s="2364"/>
      <c r="B19" s="1839" t="s">
        <v>3134</v>
      </c>
      <c r="C19" s="2362"/>
      <c r="D19" s="2363"/>
      <c r="E19" s="2363"/>
      <c r="F19" s="2363"/>
    </row>
    <row r="20" spans="1:6" s="1833" customFormat="1" ht="24.9" customHeight="1">
      <c r="A20" s="1842" t="s">
        <v>3135</v>
      </c>
      <c r="B20" s="1839" t="s">
        <v>883</v>
      </c>
      <c r="C20" s="1840" t="s">
        <v>882</v>
      </c>
      <c r="D20" s="1841"/>
      <c r="E20" s="1841"/>
      <c r="F20" s="1841"/>
    </row>
    <row r="21" spans="1:6" s="1833" customFormat="1" ht="24.9" customHeight="1">
      <c r="A21" s="1842" t="s">
        <v>3136</v>
      </c>
      <c r="B21" s="1839" t="s">
        <v>3137</v>
      </c>
      <c r="C21" s="1840" t="s">
        <v>882</v>
      </c>
      <c r="D21" s="1841"/>
      <c r="E21" s="1841"/>
      <c r="F21" s="1841"/>
    </row>
    <row r="22" spans="1:6" s="1833" customFormat="1" ht="24.9" customHeight="1">
      <c r="A22" s="1842" t="s">
        <v>3138</v>
      </c>
      <c r="B22" s="1839" t="s">
        <v>885</v>
      </c>
      <c r="C22" s="1840" t="s">
        <v>882</v>
      </c>
      <c r="D22" s="1841"/>
      <c r="E22" s="1841"/>
      <c r="F22" s="1841"/>
    </row>
    <row r="23" spans="1:6" s="1833" customFormat="1" ht="24.9" customHeight="1">
      <c r="A23" s="2361" t="s">
        <v>1020</v>
      </c>
      <c r="B23" s="1843" t="s">
        <v>886</v>
      </c>
      <c r="C23" s="2362"/>
      <c r="D23" s="2363"/>
      <c r="E23" s="2363"/>
      <c r="F23" s="2363"/>
    </row>
    <row r="24" spans="1:6" s="1833" customFormat="1" ht="36">
      <c r="A24" s="2361"/>
      <c r="B24" s="1844" t="s">
        <v>942</v>
      </c>
      <c r="C24" s="2362"/>
      <c r="D24" s="2363"/>
      <c r="E24" s="2363"/>
      <c r="F24" s="2363"/>
    </row>
    <row r="25" spans="1:6" s="1833" customFormat="1" ht="24.9" customHeight="1">
      <c r="A25" s="1838" t="s">
        <v>3139</v>
      </c>
      <c r="B25" s="1839" t="s">
        <v>887</v>
      </c>
      <c r="C25" s="1840" t="s">
        <v>872</v>
      </c>
      <c r="D25" s="1841"/>
      <c r="E25" s="1841"/>
      <c r="F25" s="1841"/>
    </row>
    <row r="26" spans="1:6" s="1833" customFormat="1" ht="24.9" customHeight="1">
      <c r="A26" s="1838" t="s">
        <v>3140</v>
      </c>
      <c r="B26" s="1839" t="s">
        <v>888</v>
      </c>
      <c r="C26" s="1840" t="s">
        <v>872</v>
      </c>
      <c r="D26" s="1841"/>
      <c r="E26" s="1841"/>
      <c r="F26" s="1841"/>
    </row>
    <row r="27" spans="1:6" s="1833" customFormat="1" ht="24.9" customHeight="1">
      <c r="A27" s="1838" t="s">
        <v>3141</v>
      </c>
      <c r="B27" s="1839" t="s">
        <v>889</v>
      </c>
      <c r="C27" s="1840" t="s">
        <v>872</v>
      </c>
      <c r="D27" s="1841"/>
      <c r="E27" s="1841"/>
      <c r="F27" s="1841"/>
    </row>
    <row r="28" spans="1:6" s="1833" customFormat="1" ht="24.9" customHeight="1">
      <c r="A28" s="1838" t="s">
        <v>3142</v>
      </c>
      <c r="B28" s="1839" t="s">
        <v>3143</v>
      </c>
      <c r="C28" s="1840" t="s">
        <v>872</v>
      </c>
      <c r="D28" s="1841"/>
      <c r="E28" s="1841"/>
      <c r="F28" s="1841"/>
    </row>
    <row r="29" spans="1:6" s="1833" customFormat="1" ht="24.9" customHeight="1">
      <c r="A29" s="1838" t="s">
        <v>3144</v>
      </c>
      <c r="B29" s="1839" t="s">
        <v>3145</v>
      </c>
      <c r="C29" s="1840" t="s">
        <v>872</v>
      </c>
      <c r="D29" s="1841"/>
      <c r="E29" s="1841"/>
      <c r="F29" s="1841"/>
    </row>
    <row r="30" spans="1:6" s="1833" customFormat="1" ht="24.9" customHeight="1">
      <c r="A30" s="1838" t="s">
        <v>3146</v>
      </c>
      <c r="B30" s="1839" t="s">
        <v>3147</v>
      </c>
      <c r="C30" s="1840" t="s">
        <v>872</v>
      </c>
      <c r="D30" s="1841"/>
      <c r="E30" s="1841"/>
      <c r="F30" s="1841"/>
    </row>
    <row r="31" spans="1:6" s="1833" customFormat="1" ht="24.9" customHeight="1">
      <c r="A31" s="1838" t="s">
        <v>3148</v>
      </c>
      <c r="B31" s="1839" t="s">
        <v>3149</v>
      </c>
      <c r="C31" s="1840" t="s">
        <v>872</v>
      </c>
      <c r="D31" s="1841"/>
      <c r="E31" s="1841"/>
      <c r="F31" s="1841"/>
    </row>
    <row r="32" spans="1:6" s="1833" customFormat="1" ht="24.9" customHeight="1">
      <c r="A32" s="1838" t="s">
        <v>3150</v>
      </c>
      <c r="B32" s="1839" t="s">
        <v>3151</v>
      </c>
      <c r="C32" s="1840" t="s">
        <v>872</v>
      </c>
      <c r="D32" s="1841"/>
      <c r="E32" s="1841"/>
      <c r="F32" s="1841"/>
    </row>
    <row r="33" spans="1:6" s="1833" customFormat="1" ht="18">
      <c r="A33" s="1838" t="s">
        <v>3152</v>
      </c>
      <c r="B33" s="1839" t="s">
        <v>3153</v>
      </c>
      <c r="C33" s="1840" t="s">
        <v>872</v>
      </c>
      <c r="D33" s="1841"/>
      <c r="E33" s="1841"/>
      <c r="F33" s="1841"/>
    </row>
    <row r="34" spans="1:6" s="1833" customFormat="1" ht="37.799999999999997">
      <c r="A34" s="1838" t="s">
        <v>3154</v>
      </c>
      <c r="B34" s="1839" t="s">
        <v>3155</v>
      </c>
      <c r="C34" s="1840" t="s">
        <v>872</v>
      </c>
      <c r="D34" s="1841"/>
      <c r="E34" s="1841"/>
      <c r="F34" s="1841"/>
    </row>
    <row r="35" spans="1:6" s="1833" customFormat="1" ht="37.799999999999997">
      <c r="A35" s="1838" t="s">
        <v>3156</v>
      </c>
      <c r="B35" s="1839" t="s">
        <v>3157</v>
      </c>
      <c r="C35" s="1840" t="s">
        <v>872</v>
      </c>
      <c r="D35" s="1841"/>
      <c r="E35" s="1841"/>
      <c r="F35" s="1841"/>
    </row>
    <row r="36" spans="1:6" s="1833" customFormat="1" ht="37.799999999999997">
      <c r="A36" s="1838" t="s">
        <v>3158</v>
      </c>
      <c r="B36" s="1839" t="s">
        <v>3159</v>
      </c>
      <c r="C36" s="1840" t="s">
        <v>872</v>
      </c>
      <c r="D36" s="1841"/>
      <c r="E36" s="1841"/>
      <c r="F36" s="1841"/>
    </row>
    <row r="37" spans="1:6" s="1833" customFormat="1" ht="37.799999999999997">
      <c r="A37" s="1838" t="s">
        <v>3160</v>
      </c>
      <c r="B37" s="1839" t="s">
        <v>3161</v>
      </c>
      <c r="C37" s="1840" t="s">
        <v>872</v>
      </c>
      <c r="D37" s="1841"/>
      <c r="E37" s="1841"/>
      <c r="F37" s="1841"/>
    </row>
    <row r="38" spans="1:6" s="1833" customFormat="1" ht="36">
      <c r="A38" s="1835" t="s">
        <v>1022</v>
      </c>
      <c r="B38" s="1844" t="s">
        <v>944</v>
      </c>
      <c r="C38" s="1840"/>
      <c r="D38" s="1841"/>
      <c r="E38" s="1841"/>
      <c r="F38" s="1841"/>
    </row>
    <row r="39" spans="1:6" s="1833" customFormat="1" ht="24.9" customHeight="1">
      <c r="A39" s="1838" t="s">
        <v>3162</v>
      </c>
      <c r="B39" s="1839" t="s">
        <v>890</v>
      </c>
      <c r="C39" s="1840" t="s">
        <v>872</v>
      </c>
      <c r="D39" s="1841"/>
      <c r="E39" s="1841"/>
      <c r="F39" s="1841"/>
    </row>
    <row r="40" spans="1:6" s="1833" customFormat="1" ht="24.9" customHeight="1">
      <c r="A40" s="1838" t="s">
        <v>3163</v>
      </c>
      <c r="B40" s="1839" t="s">
        <v>891</v>
      </c>
      <c r="C40" s="1840" t="s">
        <v>872</v>
      </c>
      <c r="D40" s="1841"/>
      <c r="E40" s="1841"/>
      <c r="F40" s="1841"/>
    </row>
    <row r="41" spans="1:6" s="1833" customFormat="1" ht="24.9" customHeight="1">
      <c r="A41" s="1838" t="s">
        <v>3164</v>
      </c>
      <c r="B41" s="1839" t="s">
        <v>892</v>
      </c>
      <c r="C41" s="1840" t="s">
        <v>872</v>
      </c>
      <c r="D41" s="1841"/>
      <c r="E41" s="1841"/>
      <c r="F41" s="1841"/>
    </row>
    <row r="42" spans="1:6" s="1833" customFormat="1" ht="18">
      <c r="A42" s="1838" t="s">
        <v>3165</v>
      </c>
      <c r="B42" s="1839" t="s">
        <v>893</v>
      </c>
      <c r="C42" s="1840" t="s">
        <v>872</v>
      </c>
      <c r="D42" s="1841"/>
      <c r="E42" s="1841"/>
      <c r="F42" s="1841"/>
    </row>
    <row r="43" spans="1:6" s="1833" customFormat="1" ht="18">
      <c r="A43" s="1838" t="s">
        <v>3166</v>
      </c>
      <c r="B43" s="1839" t="s">
        <v>894</v>
      </c>
      <c r="C43" s="1840" t="s">
        <v>872</v>
      </c>
      <c r="D43" s="1841"/>
      <c r="E43" s="1841"/>
      <c r="F43" s="1841"/>
    </row>
    <row r="44" spans="1:6" s="1833" customFormat="1" ht="36">
      <c r="A44" s="1838" t="s">
        <v>3167</v>
      </c>
      <c r="B44" s="1839" t="s">
        <v>945</v>
      </c>
      <c r="C44" s="1840" t="s">
        <v>872</v>
      </c>
      <c r="D44" s="1841"/>
      <c r="E44" s="1841"/>
      <c r="F44" s="1841"/>
    </row>
    <row r="45" spans="1:6" s="1833" customFormat="1" ht="24.9" customHeight="1">
      <c r="A45" s="1838" t="s">
        <v>3168</v>
      </c>
      <c r="B45" s="1839" t="s">
        <v>895</v>
      </c>
      <c r="C45" s="1840" t="s">
        <v>872</v>
      </c>
      <c r="D45" s="1841"/>
      <c r="E45" s="1841"/>
      <c r="F45" s="1841"/>
    </row>
    <row r="46" spans="1:6" s="1833" customFormat="1" ht="24.9" customHeight="1">
      <c r="A46" s="1838" t="s">
        <v>3169</v>
      </c>
      <c r="B46" s="1839" t="s">
        <v>896</v>
      </c>
      <c r="C46" s="1840" t="s">
        <v>872</v>
      </c>
      <c r="D46" s="1841"/>
      <c r="E46" s="1841"/>
      <c r="F46" s="1841"/>
    </row>
    <row r="47" spans="1:6" s="1833" customFormat="1" ht="24.9" customHeight="1">
      <c r="A47" s="1838" t="s">
        <v>3170</v>
      </c>
      <c r="B47" s="1839" t="s">
        <v>897</v>
      </c>
      <c r="C47" s="1840" t="s">
        <v>872</v>
      </c>
      <c r="D47" s="1841"/>
      <c r="E47" s="1841"/>
      <c r="F47" s="1841"/>
    </row>
    <row r="48" spans="1:6" s="1833" customFormat="1" ht="24.9" customHeight="1">
      <c r="A48" s="1835" t="s">
        <v>1033</v>
      </c>
      <c r="B48" s="1844" t="s">
        <v>898</v>
      </c>
      <c r="C48" s="1840"/>
      <c r="D48" s="1841"/>
      <c r="E48" s="1841"/>
      <c r="F48" s="1841"/>
    </row>
    <row r="49" spans="1:6" s="1833" customFormat="1" ht="24.9" customHeight="1">
      <c r="A49" s="1838" t="s">
        <v>3171</v>
      </c>
      <c r="B49" s="1839" t="s">
        <v>3172</v>
      </c>
      <c r="C49" s="1840" t="s">
        <v>872</v>
      </c>
      <c r="D49" s="1841"/>
      <c r="E49" s="1841"/>
      <c r="F49" s="1841"/>
    </row>
    <row r="50" spans="1:6" s="1833" customFormat="1" ht="24.9" customHeight="1">
      <c r="A50" s="1838" t="s">
        <v>3173</v>
      </c>
      <c r="B50" s="1839" t="s">
        <v>3174</v>
      </c>
      <c r="C50" s="1840" t="s">
        <v>872</v>
      </c>
      <c r="D50" s="1841"/>
      <c r="E50" s="1841"/>
      <c r="F50" s="1841"/>
    </row>
    <row r="51" spans="1:6" s="1833" customFormat="1" ht="37.799999999999997">
      <c r="A51" s="1838" t="s">
        <v>3175</v>
      </c>
      <c r="B51" s="1839" t="s">
        <v>3176</v>
      </c>
      <c r="C51" s="1840" t="s">
        <v>872</v>
      </c>
      <c r="D51" s="1841"/>
      <c r="E51" s="1841"/>
      <c r="F51" s="1841"/>
    </row>
    <row r="52" spans="1:6" s="1833" customFormat="1" ht="37.799999999999997">
      <c r="A52" s="1838" t="s">
        <v>3177</v>
      </c>
      <c r="B52" s="1839" t="s">
        <v>3178</v>
      </c>
      <c r="C52" s="1840" t="s">
        <v>872</v>
      </c>
      <c r="D52" s="1841"/>
      <c r="E52" s="1841"/>
      <c r="F52" s="1841"/>
    </row>
    <row r="53" spans="1:6" s="1833" customFormat="1" ht="54">
      <c r="A53" s="1838" t="s">
        <v>3179</v>
      </c>
      <c r="B53" s="1839" t="s">
        <v>899</v>
      </c>
      <c r="C53" s="1840" t="s">
        <v>872</v>
      </c>
      <c r="D53" s="1841"/>
      <c r="E53" s="1841"/>
      <c r="F53" s="1841"/>
    </row>
    <row r="54" spans="1:6" s="1833" customFormat="1" ht="36">
      <c r="A54" s="1838" t="s">
        <v>3180</v>
      </c>
      <c r="B54" s="1839" t="s">
        <v>947</v>
      </c>
      <c r="C54" s="1840" t="s">
        <v>872</v>
      </c>
      <c r="D54" s="1841"/>
      <c r="E54" s="1841"/>
      <c r="F54" s="1841"/>
    </row>
    <row r="55" spans="1:6" s="1833" customFormat="1" ht="36">
      <c r="A55" s="1838" t="s">
        <v>3181</v>
      </c>
      <c r="B55" s="1839" t="s">
        <v>948</v>
      </c>
      <c r="C55" s="1840" t="s">
        <v>872</v>
      </c>
      <c r="D55" s="1841"/>
      <c r="E55" s="1841"/>
      <c r="F55" s="1841"/>
    </row>
    <row r="56" spans="1:6" s="1833" customFormat="1" ht="36">
      <c r="A56" s="1835" t="s">
        <v>1035</v>
      </c>
      <c r="B56" s="1844" t="s">
        <v>956</v>
      </c>
      <c r="C56" s="1840"/>
      <c r="D56" s="1841"/>
      <c r="E56" s="1841"/>
      <c r="F56" s="1841"/>
    </row>
    <row r="57" spans="1:6" s="1833" customFormat="1" ht="24.9" customHeight="1">
      <c r="A57" s="1838" t="s">
        <v>3182</v>
      </c>
      <c r="B57" s="1839" t="s">
        <v>900</v>
      </c>
      <c r="C57" s="1840" t="s">
        <v>872</v>
      </c>
      <c r="D57" s="1841"/>
      <c r="E57" s="1841"/>
      <c r="F57" s="1841"/>
    </row>
    <row r="58" spans="1:6" s="1833" customFormat="1" ht="24.9" customHeight="1">
      <c r="A58" s="1838" t="s">
        <v>3183</v>
      </c>
      <c r="B58" s="1839" t="s">
        <v>901</v>
      </c>
      <c r="C58" s="1840" t="s">
        <v>872</v>
      </c>
      <c r="D58" s="1841"/>
      <c r="E58" s="1841"/>
      <c r="F58" s="1841"/>
    </row>
    <row r="59" spans="1:6" s="1833" customFormat="1" ht="24.9" customHeight="1">
      <c r="A59" s="1838" t="s">
        <v>3184</v>
      </c>
      <c r="B59" s="1839" t="s">
        <v>902</v>
      </c>
      <c r="C59" s="1840" t="s">
        <v>872</v>
      </c>
      <c r="D59" s="1841"/>
      <c r="E59" s="1841"/>
      <c r="F59" s="1841"/>
    </row>
    <row r="60" spans="1:6" s="1833" customFormat="1" ht="24.9" customHeight="1">
      <c r="A60" s="1838" t="s">
        <v>3185</v>
      </c>
      <c r="B60" s="1839" t="s">
        <v>903</v>
      </c>
      <c r="C60" s="1840" t="s">
        <v>872</v>
      </c>
      <c r="D60" s="1841"/>
      <c r="E60" s="1841"/>
      <c r="F60" s="1841"/>
    </row>
    <row r="61" spans="1:6" s="1833" customFormat="1" ht="36">
      <c r="A61" s="1835" t="s">
        <v>1042</v>
      </c>
      <c r="B61" s="1844" t="s">
        <v>957</v>
      </c>
      <c r="C61" s="1840"/>
      <c r="D61" s="1841"/>
      <c r="E61" s="1841"/>
      <c r="F61" s="1841"/>
    </row>
    <row r="62" spans="1:6" s="1833" customFormat="1" ht="24.9" customHeight="1">
      <c r="A62" s="1838" t="s">
        <v>3186</v>
      </c>
      <c r="B62" s="1839" t="s">
        <v>904</v>
      </c>
      <c r="C62" s="1840" t="s">
        <v>872</v>
      </c>
      <c r="D62" s="1841"/>
      <c r="E62" s="1841"/>
      <c r="F62" s="1841"/>
    </row>
    <row r="63" spans="1:6" s="1833" customFormat="1" ht="24.9" customHeight="1">
      <c r="A63" s="1838" t="s">
        <v>3187</v>
      </c>
      <c r="B63" s="1839" t="s">
        <v>905</v>
      </c>
      <c r="C63" s="1840" t="s">
        <v>872</v>
      </c>
      <c r="D63" s="1841"/>
      <c r="E63" s="1841"/>
      <c r="F63" s="1841"/>
    </row>
    <row r="64" spans="1:6" s="1833" customFormat="1" ht="24.9" customHeight="1">
      <c r="A64" s="1838" t="s">
        <v>3188</v>
      </c>
      <c r="B64" s="1839" t="s">
        <v>906</v>
      </c>
      <c r="C64" s="1840" t="s">
        <v>872</v>
      </c>
      <c r="D64" s="1841"/>
      <c r="E64" s="1841"/>
      <c r="F64" s="1841"/>
    </row>
    <row r="65" spans="1:6" s="1833" customFormat="1" ht="24.9" customHeight="1">
      <c r="A65" s="1838" t="s">
        <v>3189</v>
      </c>
      <c r="B65" s="1839" t="s">
        <v>907</v>
      </c>
      <c r="C65" s="1840" t="s">
        <v>872</v>
      </c>
      <c r="D65" s="1841"/>
      <c r="E65" s="1841"/>
      <c r="F65" s="1841"/>
    </row>
    <row r="66" spans="1:6" s="1833" customFormat="1" ht="36">
      <c r="A66" s="1838" t="s">
        <v>3190</v>
      </c>
      <c r="B66" s="1839" t="s">
        <v>949</v>
      </c>
      <c r="C66" s="1840" t="s">
        <v>908</v>
      </c>
      <c r="D66" s="1841"/>
      <c r="E66" s="1841"/>
      <c r="F66" s="1841"/>
    </row>
    <row r="67" spans="1:6" s="1833" customFormat="1" ht="36">
      <c r="A67" s="1838" t="s">
        <v>3191</v>
      </c>
      <c r="B67" s="1839" t="s">
        <v>950</v>
      </c>
      <c r="C67" s="1840" t="s">
        <v>3192</v>
      </c>
      <c r="D67" s="1841"/>
      <c r="E67" s="1841"/>
      <c r="F67" s="1841"/>
    </row>
    <row r="68" spans="1:6" s="1833" customFormat="1" ht="36">
      <c r="A68" s="1838" t="s">
        <v>3193</v>
      </c>
      <c r="B68" s="1839" t="s">
        <v>951</v>
      </c>
      <c r="C68" s="1840" t="s">
        <v>908</v>
      </c>
      <c r="D68" s="1841"/>
      <c r="E68" s="1841"/>
      <c r="F68" s="1841"/>
    </row>
    <row r="69" spans="1:6" s="1833" customFormat="1" ht="24.9" customHeight="1">
      <c r="A69" s="1838" t="s">
        <v>3194</v>
      </c>
      <c r="B69" s="1845" t="s">
        <v>909</v>
      </c>
      <c r="C69" s="1840" t="s">
        <v>872</v>
      </c>
      <c r="D69" s="1841"/>
      <c r="E69" s="1841"/>
      <c r="F69" s="1841"/>
    </row>
    <row r="70" spans="1:6" s="1833" customFormat="1" ht="24.9" customHeight="1">
      <c r="A70" s="1838" t="s">
        <v>3195</v>
      </c>
      <c r="B70" s="1845" t="s">
        <v>910</v>
      </c>
      <c r="C70" s="1840" t="s">
        <v>872</v>
      </c>
      <c r="D70" s="1841"/>
      <c r="E70" s="1841"/>
      <c r="F70" s="1841"/>
    </row>
    <row r="71" spans="1:6" s="1833" customFormat="1" ht="24.9" customHeight="1">
      <c r="A71" s="1835" t="s">
        <v>790</v>
      </c>
      <c r="B71" s="1844" t="s">
        <v>911</v>
      </c>
      <c r="C71" s="1840"/>
      <c r="D71" s="1841"/>
      <c r="E71" s="1841"/>
      <c r="F71" s="1841"/>
    </row>
    <row r="72" spans="1:6" s="1833" customFormat="1" ht="24.9" customHeight="1">
      <c r="A72" s="1838" t="s">
        <v>3196</v>
      </c>
      <c r="B72" s="1839" t="s">
        <v>912</v>
      </c>
      <c r="C72" s="1840" t="s">
        <v>872</v>
      </c>
      <c r="D72" s="1841"/>
      <c r="E72" s="1841"/>
      <c r="F72" s="1841"/>
    </row>
    <row r="73" spans="1:6" s="1833" customFormat="1" ht="72">
      <c r="A73" s="1838" t="s">
        <v>3197</v>
      </c>
      <c r="B73" s="1839" t="s">
        <v>952</v>
      </c>
      <c r="C73" s="1840" t="s">
        <v>872</v>
      </c>
      <c r="D73" s="1841"/>
      <c r="E73" s="1841"/>
      <c r="F73" s="1841"/>
    </row>
    <row r="74" spans="1:6" s="1833" customFormat="1" ht="36">
      <c r="A74" s="1835" t="s">
        <v>1045</v>
      </c>
      <c r="B74" s="1844" t="s">
        <v>953</v>
      </c>
      <c r="C74" s="1840"/>
      <c r="D74" s="1841"/>
      <c r="E74" s="1841"/>
      <c r="F74" s="1841"/>
    </row>
    <row r="75" spans="1:6" s="1833" customFormat="1" ht="24.9" customHeight="1">
      <c r="A75" s="1838" t="s">
        <v>3198</v>
      </c>
      <c r="B75" s="1839" t="s">
        <v>913</v>
      </c>
      <c r="C75" s="1840" t="s">
        <v>25</v>
      </c>
      <c r="D75" s="1841"/>
      <c r="E75" s="1841"/>
      <c r="F75" s="1841"/>
    </row>
    <row r="76" spans="1:6" s="1833" customFormat="1" ht="24.9" customHeight="1">
      <c r="A76" s="1838" t="s">
        <v>3199</v>
      </c>
      <c r="B76" s="1839" t="s">
        <v>914</v>
      </c>
      <c r="C76" s="1840" t="s">
        <v>25</v>
      </c>
      <c r="D76" s="1841"/>
      <c r="E76" s="1841"/>
      <c r="F76" s="1841"/>
    </row>
    <row r="77" spans="1:6" s="1833" customFormat="1" ht="24.9" customHeight="1">
      <c r="A77" s="1838" t="s">
        <v>3200</v>
      </c>
      <c r="B77" s="1839" t="s">
        <v>915</v>
      </c>
      <c r="C77" s="1840" t="s">
        <v>25</v>
      </c>
      <c r="D77" s="1841"/>
      <c r="E77" s="1841"/>
      <c r="F77" s="1841"/>
    </row>
    <row r="78" spans="1:6" s="1833" customFormat="1" ht="24.9" customHeight="1">
      <c r="A78" s="1838" t="s">
        <v>3201</v>
      </c>
      <c r="B78" s="1839" t="s">
        <v>916</v>
      </c>
      <c r="C78" s="1840" t="s">
        <v>25</v>
      </c>
      <c r="D78" s="1841"/>
      <c r="E78" s="1841"/>
      <c r="F78" s="1841"/>
    </row>
    <row r="79" spans="1:6" s="1833" customFormat="1" ht="24.9" customHeight="1">
      <c r="A79" s="1838" t="s">
        <v>3202</v>
      </c>
      <c r="B79" s="1839" t="s">
        <v>917</v>
      </c>
      <c r="C79" s="1840" t="s">
        <v>25</v>
      </c>
      <c r="D79" s="1841"/>
      <c r="E79" s="1841"/>
      <c r="F79" s="1841"/>
    </row>
    <row r="80" spans="1:6" s="1833" customFormat="1" ht="24.9" customHeight="1">
      <c r="A80" s="1838" t="s">
        <v>3203</v>
      </c>
      <c r="B80" s="1839" t="s">
        <v>918</v>
      </c>
      <c r="C80" s="1840" t="s">
        <v>25</v>
      </c>
      <c r="D80" s="1841"/>
      <c r="E80" s="1841"/>
      <c r="F80" s="1841"/>
    </row>
    <row r="81" spans="1:6" s="1833" customFormat="1" ht="24.9" customHeight="1">
      <c r="A81" s="1838" t="s">
        <v>3204</v>
      </c>
      <c r="B81" s="1839" t="s">
        <v>919</v>
      </c>
      <c r="C81" s="1840" t="s">
        <v>47</v>
      </c>
      <c r="D81" s="1841"/>
      <c r="E81" s="1841"/>
      <c r="F81" s="1841"/>
    </row>
    <row r="82" spans="1:6" s="1833" customFormat="1" ht="24.9" customHeight="1">
      <c r="A82" s="1838" t="s">
        <v>3205</v>
      </c>
      <c r="B82" s="1839" t="s">
        <v>920</v>
      </c>
      <c r="C82" s="1840" t="s">
        <v>47</v>
      </c>
      <c r="D82" s="1841"/>
      <c r="E82" s="1841"/>
      <c r="F82" s="1841"/>
    </row>
    <row r="83" spans="1:6" s="1833" customFormat="1" ht="24.9" customHeight="1">
      <c r="A83" s="1838" t="s">
        <v>3206</v>
      </c>
      <c r="B83" s="1839" t="s">
        <v>921</v>
      </c>
      <c r="C83" s="1840" t="s">
        <v>47</v>
      </c>
      <c r="D83" s="1841"/>
      <c r="E83" s="1841"/>
      <c r="F83" s="1841"/>
    </row>
    <row r="84" spans="1:6" s="1833" customFormat="1" ht="24.9" customHeight="1">
      <c r="A84" s="1838" t="s">
        <v>3207</v>
      </c>
      <c r="B84" s="1839" t="s">
        <v>922</v>
      </c>
      <c r="C84" s="1840" t="s">
        <v>25</v>
      </c>
      <c r="D84" s="1841"/>
      <c r="E84" s="1841"/>
      <c r="F84" s="1841"/>
    </row>
    <row r="85" spans="1:6" s="1833" customFormat="1" ht="24.9" customHeight="1">
      <c r="A85" s="1838" t="s">
        <v>3208</v>
      </c>
      <c r="B85" s="1839" t="s">
        <v>923</v>
      </c>
      <c r="C85" s="1840" t="s">
        <v>25</v>
      </c>
      <c r="D85" s="1841"/>
      <c r="E85" s="1841"/>
      <c r="F85" s="1841"/>
    </row>
    <row r="86" spans="1:6" s="1833" customFormat="1" ht="36">
      <c r="A86" s="1838" t="s">
        <v>3209</v>
      </c>
      <c r="B86" s="1839" t="s">
        <v>954</v>
      </c>
      <c r="C86" s="1840" t="s">
        <v>25</v>
      </c>
      <c r="D86" s="1841"/>
      <c r="E86" s="1841"/>
      <c r="F86" s="1841"/>
    </row>
    <row r="87" spans="1:6" s="1833" customFormat="1" ht="24.9" customHeight="1">
      <c r="A87" s="1838" t="s">
        <v>3210</v>
      </c>
      <c r="B87" s="1839" t="s">
        <v>924</v>
      </c>
      <c r="C87" s="1840" t="s">
        <v>339</v>
      </c>
      <c r="D87" s="1841"/>
      <c r="E87" s="1841"/>
      <c r="F87" s="1841"/>
    </row>
    <row r="88" spans="1:6" s="1833" customFormat="1" ht="24.9" customHeight="1">
      <c r="A88" s="1838" t="s">
        <v>3211</v>
      </c>
      <c r="B88" s="1839" t="s">
        <v>925</v>
      </c>
      <c r="C88" s="1840" t="s">
        <v>339</v>
      </c>
      <c r="D88" s="1841"/>
      <c r="E88" s="1841"/>
      <c r="F88" s="1841"/>
    </row>
    <row r="89" spans="1:6" s="1833" customFormat="1" ht="24.9" customHeight="1">
      <c r="A89" s="1838" t="s">
        <v>3212</v>
      </c>
      <c r="B89" s="1839" t="s">
        <v>3213</v>
      </c>
      <c r="C89" s="1840" t="s">
        <v>339</v>
      </c>
      <c r="D89" s="1841"/>
      <c r="E89" s="1841"/>
      <c r="F89" s="1841"/>
    </row>
    <row r="90" spans="1:6" s="1833" customFormat="1" ht="50.4">
      <c r="A90" s="1838" t="s">
        <v>3214</v>
      </c>
      <c r="B90" s="1839" t="s">
        <v>927</v>
      </c>
      <c r="C90" s="1840" t="s">
        <v>955</v>
      </c>
      <c r="D90" s="1841"/>
      <c r="E90" s="1841"/>
      <c r="F90" s="1841"/>
    </row>
    <row r="91" spans="1:6">
      <c r="B91" s="1846"/>
    </row>
    <row r="92" spans="1:6">
      <c r="B92" s="1846"/>
    </row>
    <row r="93" spans="1:6">
      <c r="B93" s="1846"/>
    </row>
    <row r="94" spans="1:6">
      <c r="B94" s="1846"/>
    </row>
    <row r="95" spans="1:6">
      <c r="B95" s="1846"/>
    </row>
    <row r="96" spans="1:6">
      <c r="B96" s="1846"/>
    </row>
    <row r="97" spans="2:2">
      <c r="B97" s="1846"/>
    </row>
    <row r="98" spans="2:2">
      <c r="B98" s="1846"/>
    </row>
    <row r="103" spans="2:2">
      <c r="B103" s="1846"/>
    </row>
    <row r="104" spans="2:2">
      <c r="B104" s="1846"/>
    </row>
    <row r="105" spans="2:2">
      <c r="B105" s="1846"/>
    </row>
    <row r="106" spans="2:2">
      <c r="B106" s="1846"/>
    </row>
    <row r="107" spans="2:2">
      <c r="B107" s="1846"/>
    </row>
    <row r="108" spans="2:2">
      <c r="B108" s="1846"/>
    </row>
    <row r="109" spans="2:2">
      <c r="B109" s="1846"/>
    </row>
    <row r="110" spans="2:2">
      <c r="B110" s="1846"/>
    </row>
    <row r="111" spans="2:2">
      <c r="B111" s="1846"/>
    </row>
    <row r="112" spans="2:2">
      <c r="B112" s="1846"/>
    </row>
    <row r="113" spans="2:2">
      <c r="B113" s="1846"/>
    </row>
    <row r="114" spans="2:2">
      <c r="B114" s="1846"/>
    </row>
    <row r="115" spans="2:2">
      <c r="B115" s="1846"/>
    </row>
    <row r="116" spans="2:2">
      <c r="B116" s="1846"/>
    </row>
    <row r="117" spans="2:2">
      <c r="B117" s="1846"/>
    </row>
    <row r="118" spans="2:2">
      <c r="B118" s="1846"/>
    </row>
    <row r="119" spans="2:2">
      <c r="B119" s="1846"/>
    </row>
    <row r="120" spans="2:2">
      <c r="B120" s="1846"/>
    </row>
    <row r="124" spans="2:2">
      <c r="B124" s="1846"/>
    </row>
    <row r="125" spans="2:2">
      <c r="B125" s="1846"/>
    </row>
    <row r="126" spans="2:2">
      <c r="B126" s="1846"/>
    </row>
    <row r="127" spans="2:2">
      <c r="B127" s="1846"/>
    </row>
    <row r="128" spans="2:2">
      <c r="B128" s="1846"/>
    </row>
    <row r="129" spans="2:2">
      <c r="B129" s="1846"/>
    </row>
    <row r="130" spans="2:2">
      <c r="B130" s="1846"/>
    </row>
    <row r="131" spans="2:2">
      <c r="B131" s="1846"/>
    </row>
    <row r="132" spans="2:2">
      <c r="B132" s="1846"/>
    </row>
    <row r="133" spans="2:2">
      <c r="B133" s="1846"/>
    </row>
    <row r="134" spans="2:2">
      <c r="B134" s="1846"/>
    </row>
    <row r="135" spans="2:2">
      <c r="B135" s="1846"/>
    </row>
    <row r="136" spans="2:2">
      <c r="B136" s="1846"/>
    </row>
    <row r="137" spans="2:2">
      <c r="B137" s="1846"/>
    </row>
    <row r="138" spans="2:2">
      <c r="B138" s="1846"/>
    </row>
    <row r="139" spans="2:2">
      <c r="B139" s="1846"/>
    </row>
    <row r="140" spans="2:2">
      <c r="B140" s="1846"/>
    </row>
    <row r="141" spans="2:2">
      <c r="B141" s="1846"/>
    </row>
    <row r="142" spans="2:2">
      <c r="B142" s="1846"/>
    </row>
    <row r="143" spans="2:2">
      <c r="B143" s="1846"/>
    </row>
    <row r="144" spans="2:2">
      <c r="B144" s="1846"/>
    </row>
    <row r="145" spans="2:2">
      <c r="B145" s="1846"/>
    </row>
    <row r="146" spans="2:2">
      <c r="B146" s="1846"/>
    </row>
    <row r="147" spans="2:2">
      <c r="B147" s="1846"/>
    </row>
    <row r="151" spans="2:2">
      <c r="B151" s="1846"/>
    </row>
    <row r="152" spans="2:2">
      <c r="B152" s="1846"/>
    </row>
    <row r="153" spans="2:2">
      <c r="B153" s="1846"/>
    </row>
    <row r="154" spans="2:2">
      <c r="B154" s="1846"/>
    </row>
    <row r="155" spans="2:2">
      <c r="B155" s="1846"/>
    </row>
    <row r="156" spans="2:2">
      <c r="B156" s="1846"/>
    </row>
    <row r="157" spans="2:2">
      <c r="B157" s="1846"/>
    </row>
    <row r="158" spans="2:2">
      <c r="B158" s="1846"/>
    </row>
    <row r="159" spans="2:2">
      <c r="B159" s="1846"/>
    </row>
    <row r="160" spans="2:2">
      <c r="B160" s="1846"/>
    </row>
    <row r="161" spans="2:2">
      <c r="B161" s="1846"/>
    </row>
    <row r="162" spans="2:2">
      <c r="B162" s="1846"/>
    </row>
    <row r="163" spans="2:2">
      <c r="B163" s="1846"/>
    </row>
    <row r="164" spans="2:2">
      <c r="B164" s="1846"/>
    </row>
    <row r="165" spans="2:2">
      <c r="B165" s="1846"/>
    </row>
    <row r="166" spans="2:2">
      <c r="B166" s="1846"/>
    </row>
    <row r="167" spans="2:2">
      <c r="B167" s="1846"/>
    </row>
    <row r="168" spans="2:2">
      <c r="B168" s="1846"/>
    </row>
    <row r="169" spans="2:2">
      <c r="B169" s="1846"/>
    </row>
    <row r="170" spans="2:2">
      <c r="B170" s="1846"/>
    </row>
    <row r="174" spans="2:2">
      <c r="B174" s="1846"/>
    </row>
    <row r="175" spans="2:2">
      <c r="B175" s="1846"/>
    </row>
    <row r="176" spans="2:2">
      <c r="B176" s="1846"/>
    </row>
    <row r="177" spans="2:2">
      <c r="B177" s="1846"/>
    </row>
    <row r="178" spans="2:2">
      <c r="B178" s="1846"/>
    </row>
    <row r="179" spans="2:2">
      <c r="B179" s="1846"/>
    </row>
    <row r="180" spans="2:2">
      <c r="B180" s="1846"/>
    </row>
    <row r="181" spans="2:2">
      <c r="B181" s="1846"/>
    </row>
    <row r="182" spans="2:2">
      <c r="B182" s="1846"/>
    </row>
    <row r="183" spans="2:2">
      <c r="B183" s="1846"/>
    </row>
    <row r="184" spans="2:2">
      <c r="B184" s="1846"/>
    </row>
    <row r="185" spans="2:2">
      <c r="B185" s="1846"/>
    </row>
    <row r="186" spans="2:2">
      <c r="B186" s="1846"/>
    </row>
    <row r="187" spans="2:2">
      <c r="B187" s="1846"/>
    </row>
    <row r="188" spans="2:2">
      <c r="B188" s="1846"/>
    </row>
    <row r="189" spans="2:2">
      <c r="B189" s="1846"/>
    </row>
    <row r="190" spans="2:2">
      <c r="B190" s="1846"/>
    </row>
    <row r="191" spans="2:2">
      <c r="B191" s="1846"/>
    </row>
    <row r="192" spans="2:2">
      <c r="B192" s="1846"/>
    </row>
    <row r="193" spans="2:2">
      <c r="B193" s="1846"/>
    </row>
    <row r="194" spans="2:2">
      <c r="B194" s="1846"/>
    </row>
    <row r="195" spans="2:2">
      <c r="B195" s="1846"/>
    </row>
    <row r="196" spans="2:2">
      <c r="B196" s="1846"/>
    </row>
    <row r="200" spans="2:2">
      <c r="B200" s="1846"/>
    </row>
    <row r="201" spans="2:2">
      <c r="B201" s="1846"/>
    </row>
    <row r="202" spans="2:2">
      <c r="B202" s="1846"/>
    </row>
    <row r="203" spans="2:2">
      <c r="B203" s="1846"/>
    </row>
    <row r="204" spans="2:2">
      <c r="B204" s="1846"/>
    </row>
    <row r="205" spans="2:2">
      <c r="B205" s="1846"/>
    </row>
    <row r="206" spans="2:2">
      <c r="B206" s="1846"/>
    </row>
    <row r="207" spans="2:2">
      <c r="B207" s="1846"/>
    </row>
    <row r="208" spans="2:2">
      <c r="B208" s="1846"/>
    </row>
    <row r="209" spans="2:2">
      <c r="B209" s="1846"/>
    </row>
    <row r="210" spans="2:2">
      <c r="B210" s="1846"/>
    </row>
    <row r="211" spans="2:2">
      <c r="B211" s="1846"/>
    </row>
    <row r="212" spans="2:2">
      <c r="B212" s="1846"/>
    </row>
    <row r="213" spans="2:2">
      <c r="B213" s="1846"/>
    </row>
    <row r="214" spans="2:2">
      <c r="B214" s="1846"/>
    </row>
    <row r="215" spans="2:2">
      <c r="B215" s="1846"/>
    </row>
    <row r="216" spans="2:2">
      <c r="B216" s="1846"/>
    </row>
    <row r="217" spans="2:2">
      <c r="B217" s="1846"/>
    </row>
    <row r="218" spans="2:2">
      <c r="B218" s="1846"/>
    </row>
    <row r="219" spans="2:2">
      <c r="B219" s="1846"/>
    </row>
    <row r="220" spans="2:2">
      <c r="B220" s="1846"/>
    </row>
    <row r="221" spans="2:2">
      <c r="B221" s="1846"/>
    </row>
    <row r="222" spans="2:2">
      <c r="B222" s="1846"/>
    </row>
    <row r="223" spans="2:2">
      <c r="B223" s="1846"/>
    </row>
    <row r="224" spans="2:2">
      <c r="B224" s="1846"/>
    </row>
    <row r="225" spans="2:2">
      <c r="B225" s="1846"/>
    </row>
    <row r="226" spans="2:2">
      <c r="B226" s="1846"/>
    </row>
    <row r="227" spans="2:2">
      <c r="B227" s="1846"/>
    </row>
    <row r="228" spans="2:2">
      <c r="B228" s="1846"/>
    </row>
    <row r="229" spans="2:2">
      <c r="B229" s="1846"/>
    </row>
    <row r="230" spans="2:2">
      <c r="B230" s="1846"/>
    </row>
    <row r="231" spans="2:2">
      <c r="B231" s="1846"/>
    </row>
    <row r="232" spans="2:2">
      <c r="B232" s="1846"/>
    </row>
    <row r="233" spans="2:2">
      <c r="B233" s="1846"/>
    </row>
    <row r="234" spans="2:2">
      <c r="B234" s="1846"/>
    </row>
    <row r="235" spans="2:2">
      <c r="B235" s="1846"/>
    </row>
    <row r="236" spans="2:2">
      <c r="B236" s="1846"/>
    </row>
    <row r="237" spans="2:2">
      <c r="B237" s="1846"/>
    </row>
    <row r="238" spans="2:2">
      <c r="B238" s="1846"/>
    </row>
    <row r="239" spans="2:2">
      <c r="B239" s="1846"/>
    </row>
    <row r="240" spans="2:2">
      <c r="B240" s="1846"/>
    </row>
    <row r="241" spans="2:2">
      <c r="B241" s="1846"/>
    </row>
    <row r="242" spans="2:2">
      <c r="B242" s="1846"/>
    </row>
    <row r="243" spans="2:2">
      <c r="B243" s="1846"/>
    </row>
    <row r="244" spans="2:2">
      <c r="B244" s="1846"/>
    </row>
    <row r="245" spans="2:2">
      <c r="B245" s="1846"/>
    </row>
    <row r="246" spans="2:2">
      <c r="B246" s="1846"/>
    </row>
    <row r="247" spans="2:2">
      <c r="B247" s="1846"/>
    </row>
    <row r="248" spans="2:2">
      <c r="B248" s="1846"/>
    </row>
    <row r="249" spans="2:2">
      <c r="B249" s="1846"/>
    </row>
    <row r="250" spans="2:2">
      <c r="B250" s="1846"/>
    </row>
    <row r="251" spans="2:2">
      <c r="B251" s="1846"/>
    </row>
    <row r="255" spans="2:2">
      <c r="B255" s="1846"/>
    </row>
    <row r="256" spans="2:2">
      <c r="B256" s="1846"/>
    </row>
    <row r="257" spans="2:2">
      <c r="B257" s="1846"/>
    </row>
    <row r="258" spans="2:2">
      <c r="B258" s="1846"/>
    </row>
    <row r="259" spans="2:2">
      <c r="B259" s="1846"/>
    </row>
    <row r="260" spans="2:2">
      <c r="B260" s="1846"/>
    </row>
    <row r="261" spans="2:2">
      <c r="B261" s="1846"/>
    </row>
    <row r="262" spans="2:2">
      <c r="B262" s="1846"/>
    </row>
    <row r="263" spans="2:2">
      <c r="B263" s="1846"/>
    </row>
    <row r="264" spans="2:2">
      <c r="B264" s="1846"/>
    </row>
    <row r="265" spans="2:2">
      <c r="B265" s="1846"/>
    </row>
    <row r="266" spans="2:2">
      <c r="B266" s="1846"/>
    </row>
    <row r="267" spans="2:2">
      <c r="B267" s="1846"/>
    </row>
    <row r="268" spans="2:2">
      <c r="B268" s="1846"/>
    </row>
    <row r="269" spans="2:2">
      <c r="B269" s="1846"/>
    </row>
    <row r="270" spans="2:2">
      <c r="B270" s="1846"/>
    </row>
    <row r="271" spans="2:2">
      <c r="B271" s="1846"/>
    </row>
    <row r="272" spans="2:2">
      <c r="B272" s="1846"/>
    </row>
    <row r="273" spans="2:2">
      <c r="B273" s="1846"/>
    </row>
    <row r="274" spans="2:2">
      <c r="B274" s="1846"/>
    </row>
    <row r="275" spans="2:2">
      <c r="B275" s="1846"/>
    </row>
    <row r="276" spans="2:2">
      <c r="B276" s="1846"/>
    </row>
    <row r="277" spans="2:2">
      <c r="B277" s="1846"/>
    </row>
    <row r="278" spans="2:2">
      <c r="B278" s="1846"/>
    </row>
    <row r="279" spans="2:2">
      <c r="B279" s="1846"/>
    </row>
    <row r="280" spans="2:2">
      <c r="B280" s="1846"/>
    </row>
    <row r="284" spans="2:2">
      <c r="B284" s="1846"/>
    </row>
    <row r="285" spans="2:2">
      <c r="B285" s="1846"/>
    </row>
    <row r="286" spans="2:2">
      <c r="B286" s="1846"/>
    </row>
    <row r="287" spans="2:2">
      <c r="B287" s="1846"/>
    </row>
    <row r="288" spans="2:2">
      <c r="B288" s="1846"/>
    </row>
    <row r="289" spans="2:4">
      <c r="B289" s="1846"/>
    </row>
    <row r="290" spans="2:4">
      <c r="B290" s="1846"/>
    </row>
    <row r="291" spans="2:4">
      <c r="B291" s="1846"/>
    </row>
    <row r="292" spans="2:4">
      <c r="B292" s="1846"/>
    </row>
    <row r="293" spans="2:4">
      <c r="B293" s="1846"/>
    </row>
    <row r="294" spans="2:4">
      <c r="B294" s="1846"/>
    </row>
    <row r="295" spans="2:4">
      <c r="B295" s="1846"/>
    </row>
    <row r="296" spans="2:4">
      <c r="B296" s="1846"/>
    </row>
    <row r="297" spans="2:4">
      <c r="B297" s="1846"/>
    </row>
    <row r="298" spans="2:4">
      <c r="B298" s="1846"/>
    </row>
    <row r="299" spans="2:4">
      <c r="B299" s="1846"/>
    </row>
    <row r="300" spans="2:4">
      <c r="B300" s="1846"/>
    </row>
    <row r="301" spans="2:4">
      <c r="B301" s="1846"/>
    </row>
    <row r="302" spans="2:4">
      <c r="B302" s="1846"/>
    </row>
    <row r="303" spans="2:4">
      <c r="B303" s="1846"/>
    </row>
    <row r="304" spans="2:4">
      <c r="B304" s="1846"/>
      <c r="C304" s="1847"/>
      <c r="D304" s="1847"/>
    </row>
    <row r="308" spans="2:2">
      <c r="B308" s="1846"/>
    </row>
    <row r="309" spans="2:2">
      <c r="B309" s="1846"/>
    </row>
    <row r="310" spans="2:2">
      <c r="B310" s="1846"/>
    </row>
    <row r="311" spans="2:2">
      <c r="B311" s="1846"/>
    </row>
    <row r="312" spans="2:2">
      <c r="B312" s="1846"/>
    </row>
    <row r="313" spans="2:2">
      <c r="B313" s="1846"/>
    </row>
    <row r="314" spans="2:2">
      <c r="B314" s="1846"/>
    </row>
    <row r="315" spans="2:2">
      <c r="B315" s="1846"/>
    </row>
    <row r="316" spans="2:2">
      <c r="B316" s="1846"/>
    </row>
    <row r="317" spans="2:2">
      <c r="B317" s="1846"/>
    </row>
    <row r="318" spans="2:2">
      <c r="B318" s="1846"/>
    </row>
    <row r="319" spans="2:2">
      <c r="B319" s="1846"/>
    </row>
    <row r="320" spans="2:2">
      <c r="B320" s="1846"/>
    </row>
    <row r="321" spans="2:2">
      <c r="B321" s="1846"/>
    </row>
    <row r="322" spans="2:2">
      <c r="B322" s="1846"/>
    </row>
    <row r="323" spans="2:2">
      <c r="B323" s="1846"/>
    </row>
    <row r="324" spans="2:2">
      <c r="B324" s="1846"/>
    </row>
    <row r="325" spans="2:2">
      <c r="B325" s="1846"/>
    </row>
    <row r="326" spans="2:2">
      <c r="B326" s="1846"/>
    </row>
    <row r="327" spans="2:2">
      <c r="B327" s="1846"/>
    </row>
    <row r="328" spans="2:2">
      <c r="B328" s="1846"/>
    </row>
    <row r="329" spans="2:2">
      <c r="B329" s="1846"/>
    </row>
    <row r="330" spans="2:2">
      <c r="B330" s="1846"/>
    </row>
    <row r="334" spans="2:2">
      <c r="B334" s="1846"/>
    </row>
    <row r="335" spans="2:2">
      <c r="B335" s="1846"/>
    </row>
    <row r="336" spans="2:2">
      <c r="B336" s="1846"/>
    </row>
    <row r="337" spans="2:2">
      <c r="B337" s="1846"/>
    </row>
    <row r="338" spans="2:2">
      <c r="B338" s="1846"/>
    </row>
    <row r="339" spans="2:2">
      <c r="B339" s="1846"/>
    </row>
    <row r="340" spans="2:2">
      <c r="B340" s="1846"/>
    </row>
    <row r="353" spans="2:2">
      <c r="B353" s="1846"/>
    </row>
    <row r="361" spans="2:2">
      <c r="B361" s="1846"/>
    </row>
    <row r="368" spans="2:2" ht="18">
      <c r="B368" s="1848"/>
    </row>
    <row r="369" spans="2:2" ht="18">
      <c r="B369" s="1848"/>
    </row>
    <row r="370" spans="2:2" ht="18">
      <c r="B370" s="1848"/>
    </row>
    <row r="371" spans="2:2" ht="18">
      <c r="B371" s="1848"/>
    </row>
    <row r="372" spans="2:2" ht="18">
      <c r="B372" s="1848"/>
    </row>
    <row r="373" spans="2:2" ht="18">
      <c r="B373" s="1848"/>
    </row>
    <row r="374" spans="2:2" ht="18">
      <c r="B374" s="1848"/>
    </row>
  </sheetData>
  <mergeCells count="31">
    <mergeCell ref="C9:C10"/>
    <mergeCell ref="D9:D10"/>
    <mergeCell ref="E9:E10"/>
    <mergeCell ref="F9:F10"/>
    <mergeCell ref="A4:A5"/>
    <mergeCell ref="B4:B5"/>
    <mergeCell ref="C4:C5"/>
    <mergeCell ref="D4:D5"/>
    <mergeCell ref="F4:F5"/>
    <mergeCell ref="C11:C13"/>
    <mergeCell ref="D11:D13"/>
    <mergeCell ref="E11:E13"/>
    <mergeCell ref="F11:F13"/>
    <mergeCell ref="C14:C15"/>
    <mergeCell ref="D14:D15"/>
    <mergeCell ref="E14:E15"/>
    <mergeCell ref="F14:F15"/>
    <mergeCell ref="C16:C17"/>
    <mergeCell ref="D16:D17"/>
    <mergeCell ref="E16:E17"/>
    <mergeCell ref="F16:F17"/>
    <mergeCell ref="A18:A19"/>
    <mergeCell ref="C18:C19"/>
    <mergeCell ref="D18:D19"/>
    <mergeCell ref="E18:E19"/>
    <mergeCell ref="F18:F19"/>
    <mergeCell ref="A23:A24"/>
    <mergeCell ref="C23:C24"/>
    <mergeCell ref="D23:D24"/>
    <mergeCell ref="E23:E24"/>
    <mergeCell ref="F23:F24"/>
  </mergeCells>
  <printOptions horizontalCentered="1"/>
  <pageMargins left="0.70866141732283472" right="0.82677165354330717" top="0.74803149606299213" bottom="1.3779527559055118" header="0.31496062992125984" footer="0.31496062992125984"/>
  <pageSetup paperSize="9" orientation="landscape" r:id="rId1"/>
  <headerFooter>
    <oddHeader>&amp;L&amp;"Gill Sans MT,Italic"&amp;8Hydro Village Pvt. Ltd.&amp;R&amp;"Gill Sans MT,Italic"&amp;8Myagdi Khola Hydropower Project
Tender Document for Civil Construction Works- Dayworks Schedule</oddHeader>
    <oddFooter xml:space="preserve">&amp;L&amp;"Gill Sans MT,Regular"Company:
Seal:
&amp;C&amp;"Gill Sans MT,Regular"&amp;K000000Signature:             .
Name of signatory:
Designation:         .
&amp;R&amp;"Gill Sans MT,Italic"&amp;8Daywork Schedule - page &amp;P </oddFooter>
  </headerFooter>
  <rowBreaks count="4" manualBreakCount="4">
    <brk id="31" max="16383" man="1"/>
    <brk id="42" max="16383" man="1"/>
    <brk id="53" max="16383" man="1"/>
    <brk id="7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7" tint="-0.249977111117893"/>
  </sheetPr>
  <dimension ref="A1:M62"/>
  <sheetViews>
    <sheetView workbookViewId="0"/>
  </sheetViews>
  <sheetFormatPr defaultRowHeight="13.2"/>
  <cols>
    <col min="1" max="1" width="3.109375" customWidth="1"/>
    <col min="2" max="2" width="14" bestFit="1" customWidth="1"/>
    <col min="3" max="3" width="53" customWidth="1"/>
    <col min="4" max="4" width="16.5546875" customWidth="1"/>
    <col min="5" max="5" width="14.6640625" customWidth="1"/>
    <col min="6" max="6" width="21.5546875" hidden="1" customWidth="1"/>
    <col min="7" max="7" width="11.6640625" hidden="1" customWidth="1"/>
    <col min="8" max="8" width="18.6640625" hidden="1" customWidth="1"/>
    <col min="9" max="9" width="18.88671875" customWidth="1"/>
    <col min="10" max="10" width="16.5546875" bestFit="1" customWidth="1"/>
    <col min="11" max="11" width="17.33203125" bestFit="1" customWidth="1"/>
    <col min="12" max="12" width="16.5546875" bestFit="1" customWidth="1"/>
    <col min="13" max="13" width="14.5546875" bestFit="1" customWidth="1"/>
  </cols>
  <sheetData>
    <row r="1" spans="2:11" ht="13.8" thickBot="1"/>
    <row r="2" spans="2:11" ht="22.2" thickBot="1">
      <c r="B2" s="2367" t="s">
        <v>3075</v>
      </c>
      <c r="C2" s="2368"/>
      <c r="D2" s="2368"/>
      <c r="E2" s="2368"/>
    </row>
    <row r="3" spans="2:11" ht="19.8" thickBot="1">
      <c r="B3" s="2319" t="s">
        <v>2798</v>
      </c>
      <c r="C3" s="2320"/>
      <c r="D3" s="2320"/>
      <c r="E3" s="2321"/>
      <c r="F3" s="782"/>
      <c r="G3" s="783"/>
    </row>
    <row r="4" spans="2:11" ht="18">
      <c r="B4" s="2370" t="s">
        <v>332</v>
      </c>
      <c r="C4" s="2355" t="s">
        <v>1163</v>
      </c>
      <c r="D4" s="513" t="s">
        <v>857</v>
      </c>
      <c r="E4" s="2374" t="s">
        <v>17</v>
      </c>
      <c r="F4" s="781"/>
      <c r="G4" s="2372" t="s">
        <v>120</v>
      </c>
      <c r="H4" s="2369"/>
    </row>
    <row r="5" spans="2:11" s="326" customFormat="1" ht="18.600000000000001" thickBot="1">
      <c r="B5" s="2371"/>
      <c r="C5" s="2354"/>
      <c r="D5" s="1629" t="s">
        <v>3076</v>
      </c>
      <c r="E5" s="2374"/>
      <c r="F5" s="505"/>
      <c r="G5" s="2373"/>
      <c r="H5" s="2369"/>
    </row>
    <row r="6" spans="2:11" s="326" customFormat="1" ht="18">
      <c r="B6" s="1782"/>
      <c r="C6" s="1779" t="e">
        <f>#REF!</f>
        <v>#REF!</v>
      </c>
      <c r="D6" s="695"/>
      <c r="E6" s="715"/>
      <c r="F6" s="505"/>
      <c r="G6" s="784"/>
      <c r="H6"/>
    </row>
    <row r="7" spans="2:11" s="326" customFormat="1" ht="18">
      <c r="C7" s="1803" t="s">
        <v>3105</v>
      </c>
      <c r="D7" s="513"/>
      <c r="E7" s="1804"/>
      <c r="F7" s="505"/>
      <c r="G7" s="784"/>
      <c r="H7"/>
    </row>
    <row r="8" spans="2:11" s="326" customFormat="1" ht="18">
      <c r="B8" s="1807" t="s">
        <v>1607</v>
      </c>
      <c r="C8" s="1788" t="s">
        <v>289</v>
      </c>
      <c r="D8" s="1630"/>
      <c r="E8" s="1780"/>
      <c r="F8" s="504" t="s">
        <v>173</v>
      </c>
      <c r="G8" s="784"/>
      <c r="H8" s="326" t="s">
        <v>1162</v>
      </c>
      <c r="I8" s="1628" t="e">
        <f>#REF!</f>
        <v>#REF!</v>
      </c>
      <c r="J8" s="1767"/>
    </row>
    <row r="9" spans="2:11" s="326" customFormat="1" ht="18">
      <c r="B9" s="1786" t="str">
        <f>'2.BOQ_ for Tender'!A40</f>
        <v>CW.02</v>
      </c>
      <c r="C9" s="1803" t="s">
        <v>3106</v>
      </c>
      <c r="D9" s="1630"/>
      <c r="E9" s="1780"/>
      <c r="F9" s="504"/>
      <c r="G9" s="784"/>
      <c r="I9" s="1628"/>
      <c r="J9" s="1767"/>
    </row>
    <row r="10" spans="2:11" s="326" customFormat="1" ht="36">
      <c r="B10" s="1786" t="str">
        <f>'2.BOQ_ for Tender'!A41</f>
        <v>CW.02.1</v>
      </c>
      <c r="C10" s="1808" t="s">
        <v>3113</v>
      </c>
      <c r="D10" s="1630"/>
      <c r="E10" s="1780"/>
      <c r="F10" s="504"/>
      <c r="G10" s="784"/>
      <c r="I10" s="1628" t="e">
        <f>#REF!</f>
        <v>#REF!</v>
      </c>
      <c r="J10" s="1767">
        <v>25718437.02</v>
      </c>
      <c r="K10" s="1768" t="e">
        <f>J10-I10</f>
        <v>#REF!</v>
      </c>
    </row>
    <row r="11" spans="2:11" s="326" customFormat="1" ht="36">
      <c r="B11" s="1785" t="str">
        <f>'2.BOQ_ for Tender'!A42</f>
        <v>CW.02.2</v>
      </c>
      <c r="C11" s="1808" t="s">
        <v>3114</v>
      </c>
      <c r="D11" s="1630"/>
      <c r="E11" s="1780"/>
      <c r="F11" s="504"/>
      <c r="G11" s="784"/>
      <c r="I11" s="1790" t="e">
        <f>#REF!</f>
        <v>#REF!</v>
      </c>
      <c r="J11" s="1793">
        <v>26345285.719999999</v>
      </c>
      <c r="K11" s="1768" t="e">
        <f>J11-I11</f>
        <v>#REF!</v>
      </c>
    </row>
    <row r="12" spans="2:11" s="326" customFormat="1" ht="90">
      <c r="B12" s="1785" t="str">
        <f>'2.BOQ_ for Tender'!A43</f>
        <v>CW.02.3</v>
      </c>
      <c r="C12" s="1808" t="s">
        <v>3115</v>
      </c>
      <c r="D12" s="1630"/>
      <c r="E12" s="1780"/>
      <c r="F12" s="504"/>
      <c r="G12" s="784"/>
      <c r="I12" s="1790" t="e">
        <f>#REF!</f>
        <v>#REF!</v>
      </c>
      <c r="J12" s="1793"/>
      <c r="K12" s="1768"/>
    </row>
    <row r="13" spans="2:11" s="326" customFormat="1" ht="18">
      <c r="B13" s="1785"/>
      <c r="C13" s="313" t="e">
        <f>#REF!</f>
        <v>#REF!</v>
      </c>
      <c r="D13" s="1630"/>
      <c r="E13" s="1780"/>
      <c r="F13" s="504"/>
      <c r="G13" s="784"/>
      <c r="I13" s="1588"/>
      <c r="J13" s="1767"/>
    </row>
    <row r="14" spans="2:11" s="326" customFormat="1" ht="18">
      <c r="D14" s="317"/>
      <c r="E14" s="1781"/>
      <c r="F14" s="504" t="s">
        <v>1174</v>
      </c>
      <c r="G14" s="784"/>
    </row>
    <row r="15" spans="2:11" s="326" customFormat="1" ht="18">
      <c r="B15" s="1786" t="e">
        <f>#REF!</f>
        <v>#REF!</v>
      </c>
      <c r="C15" s="1789" t="e">
        <f>#REF!</f>
        <v>#REF!</v>
      </c>
      <c r="D15" s="1630"/>
      <c r="E15" s="1781"/>
      <c r="F15" s="504"/>
      <c r="G15" s="784"/>
      <c r="I15" s="1628" t="e">
        <f>#REF!</f>
        <v>#REF!</v>
      </c>
      <c r="J15" s="1767">
        <v>36492905.090000004</v>
      </c>
      <c r="K15" s="1768" t="e">
        <f t="shared" ref="K15:K57" si="0">J15-I15</f>
        <v>#REF!</v>
      </c>
    </row>
    <row r="16" spans="2:11" ht="18">
      <c r="B16" s="1786" t="e">
        <f>#REF!</f>
        <v>#REF!</v>
      </c>
      <c r="C16" s="1789" t="e">
        <f>#REF!</f>
        <v>#REF!</v>
      </c>
      <c r="D16" s="317"/>
      <c r="E16" s="509"/>
      <c r="F16" s="506" t="e">
        <f>#REF!</f>
        <v>#REF!</v>
      </c>
      <c r="G16" s="785"/>
      <c r="H16" s="762">
        <v>33872469</v>
      </c>
      <c r="I16" s="1790" t="e">
        <f>#REF!</f>
        <v>#REF!</v>
      </c>
      <c r="J16" s="1793">
        <v>87618444.319999993</v>
      </c>
      <c r="K16" s="1768" t="e">
        <f t="shared" si="0"/>
        <v>#REF!</v>
      </c>
    </row>
    <row r="17" spans="2:13" ht="18">
      <c r="B17" s="1786" t="e">
        <f>#REF!</f>
        <v>#REF!</v>
      </c>
      <c r="C17" s="1788" t="e">
        <f>#REF!</f>
        <v>#REF!</v>
      </c>
      <c r="D17" s="317"/>
      <c r="E17" s="509"/>
      <c r="F17" s="506" t="e">
        <f>#REF!</f>
        <v>#REF!</v>
      </c>
      <c r="G17" s="785"/>
      <c r="H17" s="762">
        <v>485355988</v>
      </c>
      <c r="I17" s="1790" t="e">
        <f>#REF!</f>
        <v>#REF!</v>
      </c>
      <c r="J17" s="1767">
        <v>115484609.45999999</v>
      </c>
      <c r="K17" s="1768" t="e">
        <f t="shared" si="0"/>
        <v>#REF!</v>
      </c>
      <c r="L17" t="s">
        <v>2920</v>
      </c>
    </row>
    <row r="18" spans="2:13" ht="18">
      <c r="B18" s="1786" t="e">
        <f>#REF!</f>
        <v>#REF!</v>
      </c>
      <c r="C18" s="1789" t="e">
        <f>#REF!</f>
        <v>#REF!</v>
      </c>
      <c r="D18" s="317"/>
      <c r="E18" s="509"/>
      <c r="F18" s="506" t="e">
        <f>#REF!</f>
        <v>#REF!</v>
      </c>
      <c r="G18" s="785"/>
      <c r="H18" s="762">
        <v>42950489</v>
      </c>
      <c r="I18" s="1790" t="e">
        <f>#REF!</f>
        <v>#REF!</v>
      </c>
      <c r="J18" s="1767">
        <v>22222708.98</v>
      </c>
      <c r="K18" s="1768" t="e">
        <f t="shared" si="0"/>
        <v>#REF!</v>
      </c>
    </row>
    <row r="19" spans="2:13" ht="18" customHeight="1">
      <c r="B19" s="1786" t="e">
        <f>#REF!</f>
        <v>#REF!</v>
      </c>
      <c r="C19" s="1789" t="e">
        <f>#REF!</f>
        <v>#REF!</v>
      </c>
      <c r="D19" s="317"/>
      <c r="E19" s="509"/>
      <c r="F19" s="506" t="e">
        <f>#REF!</f>
        <v>#REF!</v>
      </c>
      <c r="G19" s="785"/>
      <c r="H19" s="762">
        <v>43334387</v>
      </c>
      <c r="I19" s="1790" t="e">
        <f>#REF!</f>
        <v>#REF!</v>
      </c>
      <c r="J19" s="1767">
        <v>105232938.11</v>
      </c>
      <c r="K19" s="1768" t="e">
        <f t="shared" si="0"/>
        <v>#REF!</v>
      </c>
      <c r="L19" s="1766" t="e">
        <f>SUM(I19:I23)</f>
        <v>#REF!</v>
      </c>
      <c r="M19" s="1766" t="e">
        <f>J19-L19</f>
        <v>#REF!</v>
      </c>
    </row>
    <row r="20" spans="2:13" ht="18" customHeight="1">
      <c r="B20" s="1786" t="e">
        <f>#REF!</f>
        <v>#REF!</v>
      </c>
      <c r="C20" s="1789" t="e">
        <f>#REF!</f>
        <v>#REF!</v>
      </c>
      <c r="D20" s="317"/>
      <c r="E20" s="509"/>
      <c r="F20" s="506"/>
      <c r="G20" s="785"/>
      <c r="H20" s="762"/>
      <c r="I20" s="1790" t="e">
        <f>#REF!</f>
        <v>#REF!</v>
      </c>
      <c r="J20" s="1793"/>
      <c r="K20" s="1768" t="e">
        <f t="shared" si="0"/>
        <v>#REF!</v>
      </c>
    </row>
    <row r="21" spans="2:13" ht="18" customHeight="1">
      <c r="B21" s="1786" t="e">
        <f>#REF!</f>
        <v>#REF!</v>
      </c>
      <c r="C21" s="1789" t="e">
        <f>#REF!</f>
        <v>#REF!</v>
      </c>
      <c r="D21" s="317"/>
      <c r="E21" s="509"/>
      <c r="F21" s="506"/>
      <c r="G21" s="785"/>
      <c r="H21" s="762"/>
      <c r="I21" s="1790" t="e">
        <f>#REF!</f>
        <v>#REF!</v>
      </c>
      <c r="J21" s="1793"/>
      <c r="K21" s="1768" t="e">
        <f t="shared" si="0"/>
        <v>#REF!</v>
      </c>
    </row>
    <row r="22" spans="2:13" ht="18" customHeight="1">
      <c r="B22" s="1786" t="e">
        <f>#REF!</f>
        <v>#REF!</v>
      </c>
      <c r="C22" s="1789" t="e">
        <f>#REF!</f>
        <v>#REF!</v>
      </c>
      <c r="D22" s="317"/>
      <c r="E22" s="509"/>
      <c r="F22" s="506"/>
      <c r="G22" s="785"/>
      <c r="H22" s="762"/>
      <c r="I22" s="1790" t="e">
        <f>#REF!</f>
        <v>#REF!</v>
      </c>
      <c r="J22" s="1793"/>
      <c r="K22" s="1768" t="e">
        <f t="shared" si="0"/>
        <v>#REF!</v>
      </c>
    </row>
    <row r="23" spans="2:13" ht="18" customHeight="1">
      <c r="B23" s="1786" t="e">
        <f>#REF!</f>
        <v>#REF!</v>
      </c>
      <c r="C23" s="1789" t="e">
        <f>#REF!</f>
        <v>#REF!</v>
      </c>
      <c r="D23" s="317"/>
      <c r="E23" s="509"/>
      <c r="F23" s="506"/>
      <c r="G23" s="785"/>
      <c r="H23" s="762"/>
      <c r="I23" s="1790" t="e">
        <f>#REF!</f>
        <v>#REF!</v>
      </c>
      <c r="J23" s="1793"/>
      <c r="K23" s="1768" t="e">
        <f t="shared" si="0"/>
        <v>#REF!</v>
      </c>
    </row>
    <row r="24" spans="2:13" ht="18">
      <c r="B24" s="1785"/>
      <c r="C24" s="313" t="e">
        <f>#REF!</f>
        <v>#REF!</v>
      </c>
      <c r="D24" s="317"/>
      <c r="E24" s="509"/>
      <c r="F24" s="506"/>
      <c r="G24" s="785"/>
      <c r="H24" s="762"/>
      <c r="I24" s="65"/>
      <c r="J24" s="1793"/>
      <c r="K24" s="1768">
        <f t="shared" si="0"/>
        <v>0</v>
      </c>
    </row>
    <row r="25" spans="2:13" ht="18">
      <c r="E25" s="509"/>
      <c r="F25" s="506"/>
      <c r="G25" s="785"/>
      <c r="H25" s="762"/>
    </row>
    <row r="26" spans="2:13" ht="18">
      <c r="B26" s="1785" t="e">
        <f>#REF!</f>
        <v>#REF!</v>
      </c>
      <c r="C26" s="1788" t="e">
        <f>#REF!</f>
        <v>#REF!</v>
      </c>
      <c r="D26" s="317"/>
      <c r="E26" s="509"/>
      <c r="F26" s="506"/>
      <c r="G26" s="785"/>
      <c r="H26" s="762"/>
      <c r="I26" s="1790" t="e">
        <f>#REF!</f>
        <v>#REF!</v>
      </c>
      <c r="J26" s="1793">
        <v>54835853.670000002</v>
      </c>
      <c r="K26" s="1768" t="e">
        <f t="shared" si="0"/>
        <v>#REF!</v>
      </c>
    </row>
    <row r="27" spans="2:13" ht="18">
      <c r="B27" s="1785" t="e">
        <f>#REF!</f>
        <v>#REF!</v>
      </c>
      <c r="C27" s="1788" t="e">
        <f>#REF!</f>
        <v>#REF!</v>
      </c>
      <c r="D27" s="317"/>
      <c r="E27" s="509"/>
      <c r="F27" s="506"/>
      <c r="G27" s="785"/>
      <c r="H27" s="762"/>
      <c r="I27" s="1790" t="e">
        <f>#REF!</f>
        <v>#REF!</v>
      </c>
      <c r="J27" s="1793">
        <v>193768769.21000001</v>
      </c>
      <c r="K27" s="1768" t="e">
        <f t="shared" si="0"/>
        <v>#REF!</v>
      </c>
      <c r="L27" t="s">
        <v>2923</v>
      </c>
    </row>
    <row r="28" spans="2:13" ht="18">
      <c r="B28" s="1785" t="e">
        <f>#REF!</f>
        <v>#REF!</v>
      </c>
      <c r="C28" s="1788" t="e">
        <f>#REF!</f>
        <v>#REF!</v>
      </c>
      <c r="D28" s="317"/>
      <c r="E28" s="509"/>
      <c r="F28" s="506"/>
      <c r="G28" s="785"/>
      <c r="H28" s="762"/>
      <c r="I28" s="1790" t="e">
        <f>#REF!</f>
        <v>#REF!</v>
      </c>
      <c r="J28" s="1793">
        <v>97338436.760000005</v>
      </c>
      <c r="K28" s="1768" t="e">
        <f t="shared" si="0"/>
        <v>#REF!</v>
      </c>
      <c r="L28" t="s">
        <v>2924</v>
      </c>
    </row>
    <row r="29" spans="2:13" ht="18">
      <c r="B29" s="1785" t="e">
        <f>#REF!</f>
        <v>#REF!</v>
      </c>
      <c r="C29" s="1788" t="e">
        <f>#REF!</f>
        <v>#REF!</v>
      </c>
      <c r="D29" s="317"/>
      <c r="E29" s="509"/>
      <c r="F29" s="506"/>
      <c r="G29" s="785"/>
      <c r="H29" s="762"/>
      <c r="I29" s="1790" t="e">
        <f>#REF!</f>
        <v>#REF!</v>
      </c>
      <c r="J29" s="1793">
        <v>35946523.049999997</v>
      </c>
      <c r="K29" s="1768" t="e">
        <f t="shared" si="0"/>
        <v>#REF!</v>
      </c>
    </row>
    <row r="30" spans="2:13" ht="18">
      <c r="B30" s="1785" t="e">
        <f>#REF!</f>
        <v>#REF!</v>
      </c>
      <c r="C30" s="1788" t="e">
        <f>#REF!</f>
        <v>#REF!</v>
      </c>
      <c r="D30" s="317"/>
      <c r="E30" s="509"/>
      <c r="F30" s="506" t="e">
        <f>#REF!</f>
        <v>#REF!</v>
      </c>
      <c r="G30" s="785"/>
      <c r="H30" s="762">
        <v>319750607</v>
      </c>
      <c r="I30" s="1790" t="e">
        <f>#REF!</f>
        <v>#REF!</v>
      </c>
      <c r="J30" s="1793">
        <v>480081819.44999999</v>
      </c>
      <c r="K30" s="1768" t="e">
        <f t="shared" si="0"/>
        <v>#REF!</v>
      </c>
    </row>
    <row r="31" spans="2:13" ht="18">
      <c r="B31" s="1785"/>
      <c r="C31" s="313" t="e">
        <f>#REF!</f>
        <v>#REF!</v>
      </c>
      <c r="D31" s="317"/>
      <c r="E31" s="509"/>
      <c r="F31" s="506"/>
      <c r="G31" s="785"/>
      <c r="H31" s="762"/>
      <c r="I31" s="65"/>
      <c r="J31" s="1793"/>
      <c r="K31" s="1768">
        <f t="shared" si="0"/>
        <v>0</v>
      </c>
    </row>
    <row r="32" spans="2:13" ht="18">
      <c r="B32" s="1785" t="e">
        <f>#REF!</f>
        <v>#REF!</v>
      </c>
      <c r="C32" s="1788" t="e">
        <f>#REF!</f>
        <v>#REF!</v>
      </c>
      <c r="D32" s="317"/>
      <c r="E32" s="509"/>
      <c r="F32" s="506" t="e">
        <f>#REF!</f>
        <v>#REF!</v>
      </c>
      <c r="G32" s="785"/>
      <c r="H32" s="762">
        <v>25858127</v>
      </c>
      <c r="I32" s="1790" t="e">
        <f>#REF!</f>
        <v>#REF!</v>
      </c>
      <c r="J32" s="1793">
        <v>65866887.490000002</v>
      </c>
      <c r="K32" s="1768" t="e">
        <f t="shared" si="0"/>
        <v>#REF!</v>
      </c>
    </row>
    <row r="33" spans="2:11" ht="18">
      <c r="B33" s="1785" t="e">
        <f>#REF!</f>
        <v>#REF!</v>
      </c>
      <c r="C33" s="1788" t="e">
        <f>#REF!</f>
        <v>#REF!</v>
      </c>
      <c r="D33" s="317"/>
      <c r="E33" s="509"/>
      <c r="F33" s="506" t="e">
        <f>#REF!</f>
        <v>#REF!</v>
      </c>
      <c r="G33" s="785"/>
      <c r="H33" s="762">
        <v>7712061</v>
      </c>
      <c r="I33" s="1790" t="e">
        <f>#REF!</f>
        <v>#REF!</v>
      </c>
      <c r="J33" s="1793">
        <v>20425266.989999998</v>
      </c>
      <c r="K33" s="1768" t="e">
        <f t="shared" si="0"/>
        <v>#REF!</v>
      </c>
    </row>
    <row r="34" spans="2:11" ht="18">
      <c r="B34" s="1785" t="e">
        <f>#REF!</f>
        <v>#REF!</v>
      </c>
      <c r="C34" s="1788" t="e">
        <f>#REF!</f>
        <v>#REF!</v>
      </c>
      <c r="D34" s="317"/>
      <c r="E34" s="509"/>
      <c r="F34" s="506" t="e">
        <f>#REF!</f>
        <v>#REF!</v>
      </c>
      <c r="G34" s="785"/>
      <c r="H34" s="762">
        <v>8312708</v>
      </c>
      <c r="I34" s="1790" t="e">
        <f>#REF!</f>
        <v>#REF!</v>
      </c>
      <c r="J34" s="1793">
        <f>'[46]BoQ items with Description'!$F$250</f>
        <v>1323443637.26667</v>
      </c>
      <c r="K34" s="1768" t="e">
        <f t="shared" si="0"/>
        <v>#REF!</v>
      </c>
    </row>
    <row r="35" spans="2:11" ht="18">
      <c r="B35" s="1785" t="e">
        <f>#REF!</f>
        <v>#REF!</v>
      </c>
      <c r="C35" s="1788" t="e">
        <f>#REF!</f>
        <v>#REF!</v>
      </c>
      <c r="D35" s="317"/>
      <c r="E35" s="509"/>
      <c r="F35" s="506" t="e">
        <f>#REF!</f>
        <v>#REF!</v>
      </c>
      <c r="G35" s="785"/>
      <c r="H35" s="762">
        <v>913850</v>
      </c>
      <c r="I35" s="1790" t="e">
        <f>#REF!</f>
        <v>#REF!</v>
      </c>
      <c r="J35" s="1793">
        <v>93925547.650000006</v>
      </c>
      <c r="K35" s="1768" t="e">
        <f>J35-SUM(I35:I36)</f>
        <v>#REF!</v>
      </c>
    </row>
    <row r="36" spans="2:11" ht="18">
      <c r="B36" s="1785" t="e">
        <f>#REF!</f>
        <v>#REF!</v>
      </c>
      <c r="C36" s="1788" t="e">
        <f>#REF!</f>
        <v>#REF!</v>
      </c>
      <c r="D36" s="317"/>
      <c r="E36" s="509"/>
      <c r="F36" s="506"/>
      <c r="G36" s="785"/>
      <c r="H36" s="762"/>
      <c r="I36" s="1790" t="e">
        <f>#REF!</f>
        <v>#REF!</v>
      </c>
      <c r="J36" s="1793"/>
      <c r="K36" s="1768"/>
    </row>
    <row r="37" spans="2:11" ht="18">
      <c r="B37" s="1785" t="e">
        <f>#REF!</f>
        <v>#REF!</v>
      </c>
      <c r="C37" s="1788" t="e">
        <f>#REF!</f>
        <v>#REF!</v>
      </c>
      <c r="D37" s="317"/>
      <c r="E37" s="509"/>
      <c r="F37" s="506" t="e">
        <f>#REF!</f>
        <v>#REF!</v>
      </c>
      <c r="G37" s="785"/>
      <c r="H37" s="762">
        <v>34382804</v>
      </c>
      <c r="I37" s="1790" t="e">
        <f>#REF!</f>
        <v>#REF!</v>
      </c>
      <c r="J37" s="1793">
        <v>6544532.6799999997</v>
      </c>
      <c r="K37" s="1768" t="e">
        <f t="shared" si="0"/>
        <v>#REF!</v>
      </c>
    </row>
    <row r="38" spans="2:11" ht="18">
      <c r="B38" s="1785" t="e">
        <f>#REF!</f>
        <v>#REF!</v>
      </c>
      <c r="C38" s="1788" t="e">
        <f>#REF!</f>
        <v>#REF!</v>
      </c>
      <c r="D38" s="317"/>
      <c r="E38" s="509"/>
      <c r="F38" s="506" t="e">
        <f>#REF!</f>
        <v>#REF!</v>
      </c>
      <c r="G38" s="785"/>
      <c r="H38" s="762">
        <v>878825660</v>
      </c>
      <c r="I38" s="1790" t="e">
        <f>#REF!</f>
        <v>#REF!</v>
      </c>
      <c r="J38" s="1793">
        <v>116973237.29000001</v>
      </c>
      <c r="K38" s="1768" t="e">
        <f t="shared" si="0"/>
        <v>#REF!</v>
      </c>
    </row>
    <row r="39" spans="2:11" ht="18">
      <c r="B39" s="1785" t="e">
        <f>#REF!</f>
        <v>#REF!</v>
      </c>
      <c r="C39" s="1788" t="e">
        <f>#REF!</f>
        <v>#REF!</v>
      </c>
      <c r="D39" s="317"/>
      <c r="E39" s="509"/>
      <c r="F39" s="506"/>
      <c r="G39" s="785"/>
      <c r="H39" s="762"/>
      <c r="I39" s="1790" t="e">
        <f>#REF!</f>
        <v>#REF!</v>
      </c>
      <c r="J39" s="1793">
        <v>32997340.690000001</v>
      </c>
      <c r="K39" s="1768" t="e">
        <f t="shared" si="0"/>
        <v>#REF!</v>
      </c>
    </row>
    <row r="40" spans="2:11" ht="18">
      <c r="B40" s="1785" t="e">
        <f>#REF!</f>
        <v>#REF!</v>
      </c>
      <c r="C40" s="1788" t="e">
        <f>#REF!</f>
        <v>#REF!</v>
      </c>
      <c r="D40" s="317"/>
      <c r="E40" s="509"/>
      <c r="F40" s="506" t="e">
        <f>#REF!</f>
        <v>#REF!</v>
      </c>
      <c r="G40" s="785"/>
      <c r="H40" s="762">
        <v>58674560</v>
      </c>
      <c r="I40" s="1790" t="e">
        <f>#REF!</f>
        <v>#REF!</v>
      </c>
      <c r="J40" s="1793">
        <v>210335885.93000001</v>
      </c>
      <c r="K40" s="1768" t="e">
        <f t="shared" si="0"/>
        <v>#REF!</v>
      </c>
    </row>
    <row r="41" spans="2:11" ht="18">
      <c r="B41" s="1785" t="e">
        <f>#REF!</f>
        <v>#REF!</v>
      </c>
      <c r="C41" s="1788" t="e">
        <f>#REF!</f>
        <v>#REF!</v>
      </c>
      <c r="D41" s="317"/>
      <c r="E41" s="509"/>
      <c r="F41" s="506" t="e">
        <f>#REF!</f>
        <v>#REF!</v>
      </c>
      <c r="G41" s="785"/>
      <c r="H41" s="762">
        <v>7740021</v>
      </c>
      <c r="I41" s="1790" t="e">
        <f>#REF!</f>
        <v>#REF!</v>
      </c>
      <c r="J41" s="1793">
        <v>18270827.510000002</v>
      </c>
      <c r="K41" s="1768" t="e">
        <f t="shared" si="0"/>
        <v>#REF!</v>
      </c>
    </row>
    <row r="42" spans="2:11" ht="18">
      <c r="B42" s="1785" t="e">
        <f>#REF!</f>
        <v>#REF!</v>
      </c>
      <c r="C42" s="1788" t="e">
        <f>#REF!</f>
        <v>#REF!</v>
      </c>
      <c r="D42" s="317"/>
      <c r="E42" s="509"/>
      <c r="F42" s="506" t="e">
        <f>#REF!</f>
        <v>#REF!</v>
      </c>
      <c r="G42" s="785"/>
      <c r="H42" s="762">
        <v>97576532</v>
      </c>
      <c r="I42" s="1790" t="e">
        <f>#REF!</f>
        <v>#REF!</v>
      </c>
      <c r="J42" s="1793">
        <v>16498670.35</v>
      </c>
      <c r="K42" s="1768" t="e">
        <f t="shared" si="0"/>
        <v>#REF!</v>
      </c>
    </row>
    <row r="43" spans="2:11" ht="18">
      <c r="B43" s="1785" t="e">
        <f>#REF!</f>
        <v>#REF!</v>
      </c>
      <c r="C43" s="1788" t="e">
        <f>#REF!</f>
        <v>#REF!</v>
      </c>
      <c r="D43" s="317"/>
      <c r="E43" s="509"/>
      <c r="F43" s="506"/>
      <c r="G43" s="785"/>
      <c r="H43" s="762"/>
      <c r="I43" s="1790" t="e">
        <f>#REF!</f>
        <v>#REF!</v>
      </c>
      <c r="J43" s="1793">
        <v>15606252.18</v>
      </c>
      <c r="K43" s="1768" t="e">
        <f t="shared" si="0"/>
        <v>#REF!</v>
      </c>
    </row>
    <row r="44" spans="2:11" ht="18">
      <c r="B44" s="1785" t="e">
        <f>#REF!</f>
        <v>#REF!</v>
      </c>
      <c r="C44" s="1788" t="e">
        <f>#REF!</f>
        <v>#REF!</v>
      </c>
      <c r="D44" s="317"/>
      <c r="E44" s="509"/>
      <c r="F44" s="506"/>
      <c r="G44" s="785"/>
      <c r="H44" s="762"/>
      <c r="I44" s="1790" t="e">
        <f>#REF!</f>
        <v>#REF!</v>
      </c>
      <c r="J44" s="1793">
        <v>172567862.13999999</v>
      </c>
      <c r="K44" s="1768" t="e">
        <f t="shared" si="0"/>
        <v>#REF!</v>
      </c>
    </row>
    <row r="45" spans="2:11" ht="18">
      <c r="B45" s="1785" t="e">
        <f>#REF!</f>
        <v>#REF!</v>
      </c>
      <c r="C45" s="1788" t="e">
        <f>#REF!</f>
        <v>#REF!</v>
      </c>
      <c r="D45" s="317"/>
      <c r="E45" s="509"/>
      <c r="F45" s="506"/>
      <c r="G45" s="785"/>
      <c r="H45" s="762"/>
      <c r="I45" s="1790" t="e">
        <f>#REF!</f>
        <v>#REF!</v>
      </c>
      <c r="J45" s="1793">
        <v>11099244</v>
      </c>
      <c r="K45" s="1768" t="e">
        <f t="shared" si="0"/>
        <v>#REF!</v>
      </c>
    </row>
    <row r="46" spans="2:11" ht="18">
      <c r="B46" s="1785" t="e">
        <f>#REF!</f>
        <v>#REF!</v>
      </c>
      <c r="C46" s="1788" t="e">
        <f>#REF!</f>
        <v>#REF!</v>
      </c>
      <c r="D46" s="317"/>
      <c r="E46" s="509"/>
      <c r="F46" s="506"/>
      <c r="G46" s="785"/>
      <c r="H46" s="762"/>
      <c r="I46" s="1790" t="e">
        <f>#REF!</f>
        <v>#REF!</v>
      </c>
      <c r="J46" s="1793">
        <v>21630276.780000001</v>
      </c>
      <c r="K46" s="1768" t="e">
        <f t="shared" si="0"/>
        <v>#REF!</v>
      </c>
    </row>
    <row r="47" spans="2:11" ht="18">
      <c r="B47" s="1785"/>
      <c r="C47" s="313" t="e">
        <f>#REF!</f>
        <v>#REF!</v>
      </c>
      <c r="D47" s="317"/>
      <c r="E47" s="509"/>
      <c r="F47" s="506"/>
      <c r="G47" s="785"/>
      <c r="H47" s="762"/>
      <c r="I47" s="1790"/>
      <c r="J47" s="1793"/>
      <c r="K47" s="1768">
        <f t="shared" si="0"/>
        <v>0</v>
      </c>
    </row>
    <row r="48" spans="2:11" ht="18">
      <c r="B48" s="1785" t="e">
        <f>#REF!</f>
        <v>#REF!</v>
      </c>
      <c r="C48" s="1788" t="e">
        <f>#REF!</f>
        <v>#REF!</v>
      </c>
      <c r="D48" s="317"/>
      <c r="E48" s="509"/>
      <c r="F48" s="506"/>
      <c r="G48" s="785"/>
      <c r="H48" s="762"/>
      <c r="I48" s="1790" t="e">
        <f>#REF!</f>
        <v>#REF!</v>
      </c>
      <c r="J48" s="1793">
        <v>228841052.21000001</v>
      </c>
      <c r="K48" s="1768" t="e">
        <f t="shared" si="0"/>
        <v>#REF!</v>
      </c>
    </row>
    <row r="49" spans="1:12" ht="18" customHeight="1">
      <c r="B49" s="1785" t="e">
        <f>#REF!</f>
        <v>#REF!</v>
      </c>
      <c r="C49" s="1788" t="e">
        <f>#REF!</f>
        <v>#REF!</v>
      </c>
      <c r="D49" s="317"/>
      <c r="E49" s="509"/>
      <c r="F49" s="506" t="e">
        <f>#REF!</f>
        <v>#REF!</v>
      </c>
      <c r="G49" s="785"/>
      <c r="H49" s="762">
        <v>213144555</v>
      </c>
      <c r="I49" s="1790" t="e">
        <f>#REF!</f>
        <v>#REF!</v>
      </c>
      <c r="J49" s="1793">
        <v>24912024.219999999</v>
      </c>
      <c r="K49" s="1768" t="e">
        <f t="shared" si="0"/>
        <v>#REF!</v>
      </c>
    </row>
    <row r="50" spans="1:12" ht="18">
      <c r="B50" s="1785" t="e">
        <f>#REF!</f>
        <v>#REF!</v>
      </c>
      <c r="C50" s="1788" t="e">
        <f>#REF!</f>
        <v>#REF!</v>
      </c>
      <c r="D50" s="317"/>
      <c r="E50" s="509"/>
      <c r="F50" s="507" t="e">
        <f>#REF!</f>
        <v>#REF!</v>
      </c>
      <c r="G50" s="785"/>
      <c r="H50" s="762">
        <v>20929257</v>
      </c>
      <c r="I50" s="1790" t="e">
        <f>#REF!</f>
        <v>#REF!</v>
      </c>
      <c r="J50" s="1794">
        <v>20985235.82</v>
      </c>
      <c r="K50" s="1768" t="e">
        <f t="shared" si="0"/>
        <v>#REF!</v>
      </c>
    </row>
    <row r="51" spans="1:12" ht="18">
      <c r="B51" s="1785" t="e">
        <f>#REF!</f>
        <v>#REF!</v>
      </c>
      <c r="C51" s="1788" t="e">
        <f>#REF!</f>
        <v>#REF!</v>
      </c>
      <c r="D51" s="317"/>
      <c r="E51" s="509"/>
      <c r="F51" s="507" t="e">
        <f>#REF!</f>
        <v>#REF!</v>
      </c>
      <c r="G51" s="785"/>
      <c r="H51" s="762">
        <v>22341793</v>
      </c>
      <c r="I51" s="1790" t="e">
        <f>#REF!</f>
        <v>#REF!</v>
      </c>
      <c r="J51" s="1794">
        <v>71650177.819999993</v>
      </c>
      <c r="K51" s="1768" t="e">
        <f>J51-I51</f>
        <v>#REF!</v>
      </c>
    </row>
    <row r="52" spans="1:12" ht="18">
      <c r="A52" s="301"/>
      <c r="B52" s="1785" t="e">
        <f>"CW."&amp;RIGHT(B51,2)+1</f>
        <v>#REF!</v>
      </c>
      <c r="C52" s="1788" t="s">
        <v>1170</v>
      </c>
      <c r="D52" s="317"/>
      <c r="E52" s="1633"/>
      <c r="F52" s="768">
        <f>'Provisional Sum'!H11</f>
        <v>90000000</v>
      </c>
      <c r="G52" s="786"/>
      <c r="I52" s="65"/>
      <c r="J52" s="1793"/>
      <c r="K52" s="1768">
        <f t="shared" si="0"/>
        <v>0</v>
      </c>
    </row>
    <row r="53" spans="1:12" ht="19.2">
      <c r="A53" s="301"/>
      <c r="B53" s="1787" t="e">
        <f>B52&amp;"a"</f>
        <v>#REF!</v>
      </c>
      <c r="C53" s="1829" t="s">
        <v>2708</v>
      </c>
      <c r="D53" s="1810">
        <v>40000000</v>
      </c>
      <c r="E53" s="1633"/>
      <c r="F53" s="768"/>
      <c r="G53" s="786"/>
      <c r="I53" s="1791">
        <v>40000000</v>
      </c>
      <c r="J53" s="1793"/>
      <c r="K53" s="1768">
        <f t="shared" si="0"/>
        <v>-40000000</v>
      </c>
    </row>
    <row r="54" spans="1:12" ht="57.6">
      <c r="A54" s="301"/>
      <c r="B54" s="1787" t="e">
        <f>B52&amp;"b"</f>
        <v>#REF!</v>
      </c>
      <c r="C54" s="1829" t="s">
        <v>2709</v>
      </c>
      <c r="D54" s="1810">
        <v>10000000</v>
      </c>
      <c r="E54" s="1633"/>
      <c r="F54" s="768"/>
      <c r="G54" s="786"/>
      <c r="I54" s="1791">
        <v>10000000</v>
      </c>
      <c r="J54" s="1793"/>
      <c r="K54" s="1768">
        <f t="shared" si="0"/>
        <v>-10000000</v>
      </c>
    </row>
    <row r="55" spans="1:12" ht="19.2">
      <c r="B55" s="1783" t="s">
        <v>3069</v>
      </c>
      <c r="C55" s="1519" t="s">
        <v>3112</v>
      </c>
      <c r="D55" s="317"/>
      <c r="E55" s="1633"/>
      <c r="F55" s="506"/>
      <c r="G55" s="785"/>
      <c r="I55" s="1790" t="e">
        <f>SUM(I8:I51)</f>
        <v>#REF!</v>
      </c>
      <c r="J55" s="1793">
        <f>SUM(J10:J51)</f>
        <v>3753660689.8566699</v>
      </c>
      <c r="K55" s="1768" t="e">
        <f t="shared" si="0"/>
        <v>#REF!</v>
      </c>
      <c r="L55" s="1795" t="e">
        <f>I55-I8</f>
        <v>#REF!</v>
      </c>
    </row>
    <row r="56" spans="1:12" ht="19.2">
      <c r="B56" s="1783" t="s">
        <v>3070</v>
      </c>
      <c r="C56" s="1519" t="e">
        <f>"Provisional Sum (total of item "&amp;B53&amp;" and "&amp;B54&amp;")"</f>
        <v>#REF!</v>
      </c>
      <c r="D56" s="317"/>
      <c r="E56" s="1633"/>
      <c r="F56" s="506"/>
      <c r="G56" s="785"/>
      <c r="I56" s="1792">
        <f>I53+I54</f>
        <v>50000000</v>
      </c>
      <c r="K56" s="1768">
        <f t="shared" si="0"/>
        <v>-50000000</v>
      </c>
    </row>
    <row r="57" spans="1:12" ht="19.2">
      <c r="B57" s="1783" t="s">
        <v>3071</v>
      </c>
      <c r="C57" s="1518" t="s">
        <v>3073</v>
      </c>
      <c r="D57" s="317"/>
      <c r="E57" s="1633"/>
      <c r="F57" s="506"/>
      <c r="G57" s="785"/>
      <c r="I57" s="1790" t="e">
        <f>13%*I55</f>
        <v>#REF!</v>
      </c>
      <c r="K57" s="1768" t="e">
        <f t="shared" si="0"/>
        <v>#REF!</v>
      </c>
    </row>
    <row r="58" spans="1:12" ht="39" thickBot="1">
      <c r="B58" s="1784" t="s">
        <v>3072</v>
      </c>
      <c r="C58" s="1634" t="s">
        <v>3074</v>
      </c>
      <c r="D58" s="790"/>
      <c r="E58" s="1635"/>
      <c r="F58" s="506"/>
      <c r="G58" s="785"/>
      <c r="I58" s="1790" t="e">
        <f>I55+I57</f>
        <v>#REF!</v>
      </c>
      <c r="K58" s="1768" t="e">
        <f>J58-I58</f>
        <v>#REF!</v>
      </c>
    </row>
    <row r="59" spans="1:12" s="213" customFormat="1" ht="16.8" hidden="1">
      <c r="B59" s="1631"/>
      <c r="C59" s="1632" t="s">
        <v>666</v>
      </c>
      <c r="D59" s="1632"/>
      <c r="E59" s="1632"/>
      <c r="F59" s="424" t="e">
        <f>F16+F17+F18+F19+F30+F32+#REF!+F33+F34+F35+F42+F49+F50+F51+#REF!</f>
        <v>#REF!</v>
      </c>
      <c r="G59" s="788"/>
      <c r="H59" s="763">
        <v>1488349326.51</v>
      </c>
      <c r="I59" s="330"/>
    </row>
    <row r="60" spans="1:12" s="213" customFormat="1" ht="16.8" hidden="1">
      <c r="B60" s="787"/>
      <c r="C60" s="239" t="s">
        <v>667</v>
      </c>
      <c r="D60" s="239"/>
      <c r="E60" s="239"/>
      <c r="F60" s="335" t="e">
        <f>F37+F38+F40+F41</f>
        <v>#REF!</v>
      </c>
      <c r="G60" s="788"/>
      <c r="H60" s="764">
        <v>979623044</v>
      </c>
      <c r="I60" s="330"/>
    </row>
    <row r="61" spans="1:12" s="213" customFormat="1" ht="16.8" hidden="1">
      <c r="B61" s="787"/>
      <c r="C61" s="239" t="s">
        <v>251</v>
      </c>
      <c r="D61" s="239"/>
      <c r="E61" s="239"/>
      <c r="F61" s="334" t="e">
        <f>F59+F60</f>
        <v>#REF!</v>
      </c>
      <c r="G61" s="788"/>
      <c r="H61" s="764">
        <v>2467972371</v>
      </c>
      <c r="I61" s="330"/>
    </row>
    <row r="62" spans="1:12" ht="17.399999999999999" hidden="1" thickBot="1">
      <c r="B62" s="789"/>
      <c r="C62" s="791" t="s">
        <v>669</v>
      </c>
      <c r="D62" s="791"/>
      <c r="E62" s="791"/>
      <c r="F62" s="792"/>
      <c r="G62" s="793"/>
      <c r="H62" s="762">
        <v>5550</v>
      </c>
      <c r="I62" s="330"/>
    </row>
  </sheetData>
  <mergeCells count="7">
    <mergeCell ref="B2:E2"/>
    <mergeCell ref="B3:E3"/>
    <mergeCell ref="H4:H5"/>
    <mergeCell ref="B4:B5"/>
    <mergeCell ref="G4:G5"/>
    <mergeCell ref="C4:C5"/>
    <mergeCell ref="E4:E5"/>
  </mergeCells>
  <pageMargins left="1" right="1" top="1" bottom="1.3333333333333333" header="0.5" footer="0.5"/>
  <pageSetup paperSize="9" scale="80" orientation="portrait" r:id="rId1"/>
  <headerFooter>
    <oddHeader>&amp;L&amp;"Gill Sans MT,Italic"&amp;9Hydro Village Pvt. Ltd.&amp;R&amp;"Gill Sans MT,Italic"&amp;9Myagdi Khola Hydropower Project
Tender Document for Civil Construction Works- Bill of Quantities</oddHeader>
    <oddFooter>&amp;L&amp;"Gill Sans MT,Regular"Company:
Seal:
&amp;C&amp;"Gill Sans MT,Regular"Signature: 
            .
           Name of signatory:
   Designation:&amp;R&amp;"Gill Sans MT,Italic"&amp;9BoQ Summary- page &amp;P</oddFooter>
  </headerFooter>
  <rowBreaks count="1" manualBreakCount="1">
    <brk id="46" min="1" max="4"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3.2"/>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1">
    <pageSetUpPr fitToPage="1"/>
  </sheetPr>
  <dimension ref="A1:N54"/>
  <sheetViews>
    <sheetView workbookViewId="0"/>
  </sheetViews>
  <sheetFormatPr defaultColWidth="9.109375" defaultRowHeight="16.8"/>
  <cols>
    <col min="1" max="1" width="12.5546875" style="1247" customWidth="1"/>
    <col min="2" max="2" width="27.5546875" style="1247" customWidth="1"/>
    <col min="3" max="4" width="9.109375" style="1247"/>
    <col min="5" max="5" width="9.88671875" style="1247" customWidth="1"/>
    <col min="6" max="6" width="10.109375" style="1247" customWidth="1"/>
    <col min="7" max="7" width="9.109375" style="1247"/>
    <col min="8" max="8" width="11.33203125" style="1247" customWidth="1"/>
    <col min="9" max="9" width="12" style="1247" customWidth="1"/>
    <col min="10" max="10" width="13" style="1247" customWidth="1"/>
    <col min="11" max="11" width="9.5546875" style="1247" customWidth="1"/>
    <col min="12" max="13" width="9.109375" style="1247"/>
    <col min="14" max="14" width="18.33203125" style="1247" customWidth="1"/>
    <col min="15" max="16384" width="9.109375" style="1247"/>
  </cols>
  <sheetData>
    <row r="1" spans="1:14" s="520" customFormat="1" ht="19.2">
      <c r="A1" s="522"/>
      <c r="C1" s="523"/>
      <c r="D1" s="537"/>
      <c r="E1" s="1223"/>
      <c r="F1" s="1223"/>
      <c r="G1" s="523"/>
    </row>
    <row r="2" spans="1:14" s="520" customFormat="1" ht="19.2">
      <c r="A2" s="522"/>
      <c r="C2" s="523"/>
      <c r="D2" s="537"/>
      <c r="E2" s="1223"/>
      <c r="F2" s="1223"/>
      <c r="G2" s="523"/>
    </row>
    <row r="3" spans="1:14" s="520" customFormat="1" ht="19.2">
      <c r="A3" s="226" t="s">
        <v>0</v>
      </c>
      <c r="B3" s="1248" t="s">
        <v>2389</v>
      </c>
      <c r="C3" s="523"/>
      <c r="D3" s="537"/>
      <c r="E3" s="1223"/>
      <c r="F3" s="1223"/>
      <c r="G3" s="523"/>
    </row>
    <row r="4" spans="1:14" s="520" customFormat="1" ht="19.2">
      <c r="A4" s="119" t="s">
        <v>1</v>
      </c>
      <c r="B4" s="1248">
        <v>930100</v>
      </c>
      <c r="C4" s="523"/>
      <c r="D4" s="537"/>
      <c r="E4" s="1223"/>
      <c r="F4" s="1223"/>
      <c r="G4" s="523"/>
    </row>
    <row r="5" spans="1:14" s="520" customFormat="1" ht="19.2">
      <c r="A5" s="119" t="s">
        <v>2</v>
      </c>
      <c r="B5" s="1247" t="s">
        <v>331</v>
      </c>
      <c r="C5" s="523"/>
      <c r="D5" s="537"/>
      <c r="E5" s="1223"/>
      <c r="F5" s="1276" t="s">
        <v>1561</v>
      </c>
      <c r="G5" s="1279"/>
      <c r="H5" s="1279" t="s">
        <v>1566</v>
      </c>
    </row>
    <row r="6" spans="1:14" s="520" customFormat="1" ht="19.2">
      <c r="A6" s="119" t="s">
        <v>3</v>
      </c>
      <c r="B6" s="1247" t="s">
        <v>1565</v>
      </c>
      <c r="C6" s="523"/>
      <c r="D6" s="537"/>
      <c r="E6" s="1223"/>
      <c r="F6" s="1276" t="s">
        <v>171</v>
      </c>
      <c r="G6" s="1279"/>
      <c r="H6" s="1279" t="s">
        <v>1563</v>
      </c>
    </row>
    <row r="7" spans="1:14" s="520" customFormat="1" ht="19.2">
      <c r="A7" s="119" t="s">
        <v>4</v>
      </c>
      <c r="B7" s="1247"/>
      <c r="C7" s="523"/>
      <c r="D7" s="537"/>
      <c r="E7" s="1223"/>
      <c r="F7" s="1276" t="s">
        <v>106</v>
      </c>
      <c r="G7" s="1280"/>
      <c r="H7" s="1280">
        <f ca="1">TODAY()</f>
        <v>44942</v>
      </c>
    </row>
    <row r="9" spans="1:14">
      <c r="A9" s="1250" t="s">
        <v>332</v>
      </c>
      <c r="B9" s="1250" t="s">
        <v>8</v>
      </c>
      <c r="C9" s="1250" t="s">
        <v>9</v>
      </c>
      <c r="D9" s="1250" t="s">
        <v>333</v>
      </c>
      <c r="E9" s="1250" t="s">
        <v>11</v>
      </c>
      <c r="F9" s="1250" t="s">
        <v>12</v>
      </c>
      <c r="G9" s="1250" t="s">
        <v>13</v>
      </c>
      <c r="H9" s="1250" t="s">
        <v>15</v>
      </c>
      <c r="I9" s="1250" t="s">
        <v>14</v>
      </c>
      <c r="J9" s="1250" t="s">
        <v>16</v>
      </c>
      <c r="K9" s="1270" t="s">
        <v>1531</v>
      </c>
      <c r="L9" s="1271"/>
      <c r="M9" s="1271"/>
      <c r="N9" s="1250" t="s">
        <v>17</v>
      </c>
    </row>
    <row r="10" spans="1:14">
      <c r="A10" s="1250">
        <v>1</v>
      </c>
      <c r="B10" s="1251" t="s">
        <v>18</v>
      </c>
      <c r="C10" s="1250" t="s">
        <v>85</v>
      </c>
      <c r="D10" s="1250"/>
      <c r="E10" s="1250"/>
      <c r="F10" s="1250"/>
      <c r="G10" s="1250"/>
      <c r="H10" s="1250">
        <v>1650</v>
      </c>
      <c r="I10" s="1250"/>
      <c r="J10" s="1252">
        <f>H10</f>
        <v>1650</v>
      </c>
      <c r="K10" s="1271"/>
      <c r="L10" s="1271"/>
      <c r="M10" s="1271"/>
      <c r="N10" s="1250"/>
    </row>
    <row r="11" spans="1:14">
      <c r="A11" s="1250"/>
      <c r="B11" s="1250"/>
      <c r="C11" s="1250"/>
      <c r="D11" s="1250"/>
      <c r="E11" s="1250"/>
      <c r="F11" s="1250"/>
      <c r="G11" s="1250"/>
      <c r="H11" s="1250"/>
      <c r="I11" s="1253" t="s">
        <v>439</v>
      </c>
      <c r="J11" s="1254">
        <f>SUM(J6:J10)</f>
        <v>1650</v>
      </c>
      <c r="K11" s="1271">
        <v>40.5</v>
      </c>
      <c r="L11" s="1272">
        <f>J11*K11</f>
        <v>66825</v>
      </c>
      <c r="M11" s="1271"/>
      <c r="N11" s="1250"/>
    </row>
    <row r="12" spans="1:14">
      <c r="A12" s="1256">
        <v>2</v>
      </c>
      <c r="B12" s="1257" t="s">
        <v>766</v>
      </c>
      <c r="C12" s="1258" t="s">
        <v>306</v>
      </c>
      <c r="D12" s="1258"/>
      <c r="E12" s="1258"/>
      <c r="F12" s="1258"/>
      <c r="G12" s="1258"/>
      <c r="H12" s="1258"/>
      <c r="I12" s="1258"/>
      <c r="J12" s="1258"/>
      <c r="K12" s="1271"/>
      <c r="L12" s="1271"/>
      <c r="M12" s="1271"/>
      <c r="N12" s="1258"/>
    </row>
    <row r="13" spans="1:14">
      <c r="A13" s="1259"/>
      <c r="B13" s="404" t="s">
        <v>1532</v>
      </c>
      <c r="C13" s="45"/>
      <c r="D13" s="45">
        <v>1</v>
      </c>
      <c r="E13" s="22">
        <v>42</v>
      </c>
      <c r="F13" s="22"/>
      <c r="G13" s="22"/>
      <c r="H13" s="22">
        <v>0.78</v>
      </c>
      <c r="I13" s="22"/>
      <c r="J13" s="1260">
        <f>D13*E13*H13</f>
        <v>32.76</v>
      </c>
      <c r="K13" s="1271"/>
      <c r="L13" s="1271"/>
      <c r="M13" s="1271"/>
      <c r="N13" s="1258"/>
    </row>
    <row r="14" spans="1:14">
      <c r="A14" s="1259"/>
      <c r="B14" s="404" t="s">
        <v>1533</v>
      </c>
      <c r="C14" s="45"/>
      <c r="D14" s="45">
        <v>1</v>
      </c>
      <c r="E14" s="22">
        <f>E36</f>
        <v>70.302000000000007</v>
      </c>
      <c r="F14" s="22"/>
      <c r="G14" s="22"/>
      <c r="H14" s="22">
        <v>2.0640000000000001</v>
      </c>
      <c r="I14" s="1261"/>
      <c r="J14" s="1260">
        <f>D14*E14*H14</f>
        <v>145.103328</v>
      </c>
      <c r="K14" s="1271"/>
      <c r="L14" s="1271"/>
      <c r="M14" s="1271"/>
      <c r="N14" s="1258" t="s">
        <v>1534</v>
      </c>
    </row>
    <row r="15" spans="1:14">
      <c r="A15" s="1259"/>
      <c r="B15" s="404" t="s">
        <v>1535</v>
      </c>
      <c r="C15" s="1258"/>
      <c r="D15" s="1262">
        <v>1</v>
      </c>
      <c r="E15" s="1258">
        <f>E37</f>
        <v>56.581000000000003</v>
      </c>
      <c r="F15" s="1258"/>
      <c r="G15" s="1258"/>
      <c r="H15" s="1258">
        <v>4.7670000000000003</v>
      </c>
      <c r="I15" s="1258"/>
      <c r="J15" s="1260">
        <f>D15*E15*H15</f>
        <v>269.72162700000001</v>
      </c>
      <c r="K15" s="1271"/>
      <c r="L15" s="1271"/>
      <c r="M15" s="1271"/>
      <c r="N15" s="1258" t="s">
        <v>1536</v>
      </c>
    </row>
    <row r="16" spans="1:14">
      <c r="A16" s="1259"/>
      <c r="B16" s="404" t="s">
        <v>1537</v>
      </c>
      <c r="C16" s="1258"/>
      <c r="D16" s="1262">
        <v>1</v>
      </c>
      <c r="E16" s="1258">
        <v>19.420000000000002</v>
      </c>
      <c r="F16" s="1258"/>
      <c r="G16" s="1258"/>
      <c r="H16" s="1258">
        <v>0.61099999999999999</v>
      </c>
      <c r="I16" s="1257"/>
      <c r="J16" s="1260">
        <f>D16*E16*H16</f>
        <v>11.865620000000002</v>
      </c>
      <c r="K16" s="1271"/>
      <c r="L16" s="1271"/>
      <c r="M16" s="1271"/>
      <c r="N16" s="1258"/>
    </row>
    <row r="17" spans="1:14">
      <c r="A17" s="1259"/>
      <c r="B17" s="404"/>
      <c r="C17" s="1258"/>
      <c r="D17" s="1262"/>
      <c r="E17" s="1258"/>
      <c r="F17" s="1258"/>
      <c r="G17" s="1258"/>
      <c r="H17" s="1258"/>
      <c r="I17" s="1253" t="s">
        <v>439</v>
      </c>
      <c r="J17" s="1254">
        <f>SUM(J13:J16)</f>
        <v>459.45057500000001</v>
      </c>
      <c r="K17" s="1271">
        <v>320</v>
      </c>
      <c r="L17" s="1272">
        <f>K17*J17</f>
        <v>147024.18400000001</v>
      </c>
      <c r="M17" s="1271"/>
      <c r="N17" s="1258"/>
    </row>
    <row r="18" spans="1:14">
      <c r="A18" s="1256">
        <v>3</v>
      </c>
      <c r="B18" s="1257" t="s">
        <v>31</v>
      </c>
      <c r="C18" s="1258" t="s">
        <v>306</v>
      </c>
      <c r="D18" s="1258"/>
      <c r="E18" s="1258"/>
      <c r="F18" s="1258"/>
      <c r="G18" s="1258"/>
      <c r="H18" s="1258"/>
      <c r="I18" s="1257"/>
      <c r="J18" s="1264"/>
      <c r="K18" s="1271"/>
      <c r="L18" s="1271"/>
      <c r="M18" s="1271"/>
      <c r="N18" s="1258"/>
    </row>
    <row r="19" spans="1:14">
      <c r="A19" s="1259"/>
      <c r="B19" s="404" t="s">
        <v>1532</v>
      </c>
      <c r="C19" s="45"/>
      <c r="D19" s="45">
        <v>1</v>
      </c>
      <c r="E19" s="22">
        <v>32.92</v>
      </c>
      <c r="F19" s="22"/>
      <c r="G19" s="22"/>
      <c r="H19" s="22">
        <v>11.334</v>
      </c>
      <c r="I19" s="22"/>
      <c r="J19" s="1260">
        <f>D19*E19*H19</f>
        <v>373.11527999999998</v>
      </c>
      <c r="K19" s="1271"/>
      <c r="L19" s="1271"/>
      <c r="M19" s="1271"/>
      <c r="N19" s="1258" t="s">
        <v>1539</v>
      </c>
    </row>
    <row r="20" spans="1:14">
      <c r="A20" s="1259"/>
      <c r="B20" s="404" t="s">
        <v>1537</v>
      </c>
      <c r="C20" s="45"/>
      <c r="D20" s="45">
        <v>1</v>
      </c>
      <c r="E20" s="22">
        <v>19.420000000000002</v>
      </c>
      <c r="F20" s="22"/>
      <c r="G20" s="22"/>
      <c r="H20" s="22">
        <v>11.646000000000001</v>
      </c>
      <c r="I20" s="22"/>
      <c r="J20" s="1260">
        <f>D20*E20*H20</f>
        <v>226.16532000000004</v>
      </c>
      <c r="K20" s="1271"/>
      <c r="L20" s="1271"/>
      <c r="M20" s="1271"/>
      <c r="N20" s="1258"/>
    </row>
    <row r="21" spans="1:14">
      <c r="A21" s="1259"/>
      <c r="B21" s="404"/>
      <c r="C21" s="45"/>
      <c r="D21" s="1262"/>
      <c r="E21" s="1258"/>
      <c r="F21" s="22"/>
      <c r="G21" s="22"/>
      <c r="H21" s="22"/>
      <c r="I21" s="1253" t="s">
        <v>439</v>
      </c>
      <c r="J21" s="1254">
        <f>SUM(J19:J20)</f>
        <v>599.28060000000005</v>
      </c>
      <c r="K21" s="1271">
        <v>210</v>
      </c>
      <c r="L21" s="1272">
        <f>593.53*210</f>
        <v>124641.29999999999</v>
      </c>
      <c r="M21" s="1271"/>
      <c r="N21" s="1258"/>
    </row>
    <row r="22" spans="1:14">
      <c r="A22" s="1259"/>
      <c r="B22" s="404"/>
      <c r="C22" s="45"/>
      <c r="D22" s="1262"/>
      <c r="E22" s="1258"/>
      <c r="F22" s="22"/>
      <c r="G22" s="22"/>
      <c r="H22" s="22"/>
      <c r="I22" s="22"/>
      <c r="J22" s="1260"/>
      <c r="K22" s="1271"/>
      <c r="L22" s="1271"/>
      <c r="M22" s="1271"/>
      <c r="N22" s="1258"/>
    </row>
    <row r="23" spans="1:14">
      <c r="A23" s="1256">
        <v>4</v>
      </c>
      <c r="B23" s="1257" t="s">
        <v>1540</v>
      </c>
      <c r="C23" s="45"/>
      <c r="D23" s="45"/>
      <c r="E23" s="22"/>
      <c r="F23" s="22"/>
      <c r="G23" s="22"/>
      <c r="H23" s="22"/>
      <c r="I23" s="1265"/>
      <c r="J23" s="1260"/>
      <c r="K23" s="1271"/>
      <c r="L23" s="1271"/>
      <c r="M23" s="1271"/>
      <c r="N23" s="1257"/>
    </row>
    <row r="24" spans="1:14">
      <c r="A24" s="1259"/>
      <c r="B24" s="404" t="s">
        <v>1532</v>
      </c>
      <c r="C24" s="45"/>
      <c r="D24" s="45">
        <v>1</v>
      </c>
      <c r="E24" s="22">
        <v>32.92</v>
      </c>
      <c r="F24" s="22"/>
      <c r="G24" s="22"/>
      <c r="H24" s="22">
        <v>4.3360000000000003</v>
      </c>
      <c r="I24" s="1271"/>
      <c r="J24" s="1271">
        <f>D24*E24*H24</f>
        <v>142.74112000000002</v>
      </c>
      <c r="K24" s="1271"/>
      <c r="L24" s="1271"/>
      <c r="M24" s="1271"/>
      <c r="N24" s="1258"/>
    </row>
    <row r="25" spans="1:14">
      <c r="A25" s="1259"/>
      <c r="B25" s="404" t="s">
        <v>1537</v>
      </c>
      <c r="C25" s="45"/>
      <c r="D25" s="45">
        <v>1</v>
      </c>
      <c r="E25" s="22">
        <v>19.420000000000002</v>
      </c>
      <c r="F25" s="22"/>
      <c r="G25" s="22"/>
      <c r="H25" s="22">
        <v>4.3360000000000003</v>
      </c>
      <c r="I25" s="22"/>
      <c r="J25" s="1271">
        <f>D25*E25*H25</f>
        <v>84.205120000000008</v>
      </c>
      <c r="K25" s="1271"/>
      <c r="L25" s="1271"/>
      <c r="M25" s="1271"/>
      <c r="N25" s="1258"/>
    </row>
    <row r="26" spans="1:14">
      <c r="A26" s="1259"/>
      <c r="B26" s="416"/>
      <c r="C26" s="45"/>
      <c r="D26" s="45"/>
      <c r="E26" s="22"/>
      <c r="F26" s="22"/>
      <c r="G26" s="22"/>
      <c r="H26" s="22"/>
      <c r="I26" s="1253" t="s">
        <v>439</v>
      </c>
      <c r="J26" s="1254">
        <f>SUM(J24:J25)</f>
        <v>226.94624000000005</v>
      </c>
      <c r="K26" s="1271">
        <v>300</v>
      </c>
      <c r="L26" s="1272">
        <f>J26*K26</f>
        <v>68083.872000000018</v>
      </c>
      <c r="M26" s="1271"/>
      <c r="N26" s="1258"/>
    </row>
    <row r="27" spans="1:14">
      <c r="A27" s="1259"/>
      <c r="B27" s="1258"/>
      <c r="C27" s="1258"/>
      <c r="D27" s="1258"/>
      <c r="E27" s="1258"/>
      <c r="F27" s="1258"/>
      <c r="G27" s="1258"/>
      <c r="H27" s="1258"/>
      <c r="I27" s="1257"/>
      <c r="J27" s="1264"/>
      <c r="K27" s="1271"/>
      <c r="L27" s="1271"/>
      <c r="M27" s="1271"/>
      <c r="N27" s="1258"/>
    </row>
    <row r="28" spans="1:14">
      <c r="A28" s="1256">
        <v>4</v>
      </c>
      <c r="B28" s="1257" t="s">
        <v>314</v>
      </c>
      <c r="C28" s="1258" t="s">
        <v>306</v>
      </c>
      <c r="D28" s="1258"/>
      <c r="E28" s="1258"/>
      <c r="F28" s="1258"/>
      <c r="G28" s="1258"/>
      <c r="H28" s="1258"/>
      <c r="I28" s="1258"/>
      <c r="J28" s="1257"/>
      <c r="K28" s="1271"/>
      <c r="L28" s="1271"/>
      <c r="M28" s="1271"/>
      <c r="N28" s="1258"/>
    </row>
    <row r="29" spans="1:14">
      <c r="A29" s="1256"/>
      <c r="B29" s="404" t="s">
        <v>1533</v>
      </c>
      <c r="C29" s="45"/>
      <c r="D29" s="45">
        <v>1</v>
      </c>
      <c r="E29" s="22">
        <f>E36</f>
        <v>70.302000000000007</v>
      </c>
      <c r="F29" s="22">
        <v>2.68</v>
      </c>
      <c r="G29" s="22">
        <v>7.4999999999999997E-2</v>
      </c>
      <c r="H29" s="22"/>
      <c r="I29" s="22"/>
      <c r="J29" s="1266">
        <f>G29*F29*E29*D29</f>
        <v>14.130702000000003</v>
      </c>
      <c r="K29" s="1271"/>
      <c r="L29" s="1271"/>
      <c r="M29" s="1271"/>
      <c r="N29" s="1258"/>
    </row>
    <row r="30" spans="1:14">
      <c r="A30" s="1256"/>
      <c r="B30" s="404" t="s">
        <v>1535</v>
      </c>
      <c r="C30" s="1258"/>
      <c r="D30" s="1262">
        <v>1</v>
      </c>
      <c r="E30" s="1258">
        <f>E37</f>
        <v>56.581000000000003</v>
      </c>
      <c r="F30" s="22">
        <v>2.68</v>
      </c>
      <c r="G30" s="22">
        <v>7.4999999999999997E-2</v>
      </c>
      <c r="H30" s="22"/>
      <c r="I30" s="22"/>
      <c r="J30" s="1266">
        <f t="shared" ref="J30:J32" si="0">G30*F30*E30*D30</f>
        <v>11.372781000000002</v>
      </c>
      <c r="K30" s="1271"/>
      <c r="L30" s="1271"/>
      <c r="M30" s="1271"/>
      <c r="N30" s="1258"/>
    </row>
    <row r="31" spans="1:14">
      <c r="A31" s="1256"/>
      <c r="B31" s="404" t="s">
        <v>1541</v>
      </c>
      <c r="C31" s="45"/>
      <c r="D31" s="45">
        <v>1</v>
      </c>
      <c r="E31" s="22">
        <v>21.17</v>
      </c>
      <c r="F31" s="22">
        <v>2.68</v>
      </c>
      <c r="G31" s="22">
        <v>7.4999999999999997E-2</v>
      </c>
      <c r="H31" s="22"/>
      <c r="I31" s="22"/>
      <c r="J31" s="1266">
        <f t="shared" si="0"/>
        <v>4.2551700000000006</v>
      </c>
      <c r="K31" s="1271"/>
      <c r="L31" s="1271"/>
      <c r="M31" s="1271"/>
      <c r="N31" s="1258"/>
    </row>
    <row r="32" spans="1:14">
      <c r="A32" s="1256"/>
      <c r="B32" s="404" t="s">
        <v>1542</v>
      </c>
      <c r="C32" s="45"/>
      <c r="D32" s="45">
        <v>1</v>
      </c>
      <c r="E32" s="22">
        <v>71.2</v>
      </c>
      <c r="F32" s="22">
        <v>2.68</v>
      </c>
      <c r="G32" s="22">
        <v>7.4999999999999997E-2</v>
      </c>
      <c r="H32" s="22"/>
      <c r="I32" s="22"/>
      <c r="J32" s="1266">
        <f t="shared" si="0"/>
        <v>14.311200000000001</v>
      </c>
      <c r="K32" s="1271"/>
      <c r="L32" s="1271"/>
      <c r="M32" s="1271"/>
      <c r="N32" s="1258"/>
    </row>
    <row r="33" spans="1:14">
      <c r="A33" s="1256"/>
      <c r="B33" s="404"/>
      <c r="C33" s="45"/>
      <c r="D33" s="45"/>
      <c r="E33" s="22"/>
      <c r="F33" s="22"/>
      <c r="G33" s="22"/>
      <c r="H33" s="22"/>
      <c r="I33" s="1267" t="s">
        <v>439</v>
      </c>
      <c r="J33" s="1254">
        <f>SUM(J29:J32)</f>
        <v>44.069853000000002</v>
      </c>
      <c r="K33" s="1271">
        <v>13500</v>
      </c>
      <c r="L33" s="1272">
        <f>J33*K33</f>
        <v>594943.01549999998</v>
      </c>
      <c r="M33" s="1271"/>
      <c r="N33" s="1258"/>
    </row>
    <row r="34" spans="1:14">
      <c r="A34" s="1256"/>
      <c r="B34" s="404"/>
      <c r="C34" s="45"/>
      <c r="D34" s="45"/>
      <c r="E34" s="22"/>
      <c r="F34" s="22"/>
      <c r="G34" s="22"/>
      <c r="H34" s="22"/>
      <c r="I34" s="1271"/>
      <c r="J34" s="1271"/>
      <c r="K34" s="1271"/>
      <c r="L34" s="1271"/>
      <c r="M34" s="1271"/>
      <c r="N34" s="1258"/>
    </row>
    <row r="35" spans="1:14">
      <c r="A35" s="1256">
        <v>5</v>
      </c>
      <c r="B35" s="1257" t="s">
        <v>1543</v>
      </c>
      <c r="C35" s="1258" t="s">
        <v>306</v>
      </c>
      <c r="D35" s="1258"/>
      <c r="E35" s="1258"/>
      <c r="F35" s="1258"/>
      <c r="G35" s="1258"/>
      <c r="H35" s="1258"/>
      <c r="I35" s="1258"/>
      <c r="J35" s="1257"/>
      <c r="K35" s="1271"/>
      <c r="L35" s="1271"/>
      <c r="M35" s="1271"/>
      <c r="N35" s="1258"/>
    </row>
    <row r="36" spans="1:14">
      <c r="A36" s="1256"/>
      <c r="B36" s="404" t="s">
        <v>1533</v>
      </c>
      <c r="C36" s="45"/>
      <c r="D36" s="45">
        <v>1</v>
      </c>
      <c r="E36" s="22">
        <v>70.302000000000007</v>
      </c>
      <c r="F36" s="1258"/>
      <c r="G36" s="1258"/>
      <c r="H36" s="1258">
        <v>8.5470000000000006</v>
      </c>
      <c r="I36" s="1258"/>
      <c r="J36" s="1258">
        <f>D36*E36*H36</f>
        <v>600.87119400000006</v>
      </c>
      <c r="K36" s="1271"/>
      <c r="L36" s="1271"/>
      <c r="M36" s="1271"/>
      <c r="N36" s="1258"/>
    </row>
    <row r="37" spans="1:14">
      <c r="A37" s="1256"/>
      <c r="B37" s="404" t="s">
        <v>1535</v>
      </c>
      <c r="C37" s="1258"/>
      <c r="D37" s="1262">
        <v>1</v>
      </c>
      <c r="E37" s="1258">
        <v>56.581000000000003</v>
      </c>
      <c r="F37" s="1258"/>
      <c r="G37" s="1258"/>
      <c r="H37" s="1258">
        <v>7.3739999999999997</v>
      </c>
      <c r="I37" s="1258"/>
      <c r="J37" s="1258">
        <f t="shared" ref="J37:J38" si="1">D37*E37*H37</f>
        <v>417.22829400000001</v>
      </c>
      <c r="K37" s="1271"/>
      <c r="L37" s="1271"/>
      <c r="M37" s="1271"/>
      <c r="N37" s="1258"/>
    </row>
    <row r="38" spans="1:14">
      <c r="A38" s="1256"/>
      <c r="B38" s="404" t="s">
        <v>1541</v>
      </c>
      <c r="C38" s="45"/>
      <c r="D38" s="45">
        <v>1</v>
      </c>
      <c r="E38" s="22">
        <v>21.17</v>
      </c>
      <c r="F38" s="1258"/>
      <c r="G38" s="1258"/>
      <c r="H38" s="1258">
        <v>5.2480000000000002</v>
      </c>
      <c r="I38" s="1258"/>
      <c r="J38" s="1258">
        <f t="shared" si="1"/>
        <v>111.10016000000002</v>
      </c>
      <c r="K38" s="1271"/>
      <c r="L38" s="1271"/>
      <c r="M38" s="1271"/>
      <c r="N38" s="1258"/>
    </row>
    <row r="39" spans="1:14">
      <c r="A39" s="1256"/>
      <c r="B39" s="404" t="s">
        <v>1542</v>
      </c>
      <c r="C39" s="45"/>
      <c r="D39" s="45">
        <v>1</v>
      </c>
      <c r="E39" s="22">
        <v>71.2</v>
      </c>
      <c r="F39" s="1258"/>
      <c r="G39" s="1258"/>
      <c r="H39" s="1258">
        <v>5.2480000000000002</v>
      </c>
      <c r="I39" s="1258"/>
      <c r="J39" s="1258">
        <f>D39*E39*H39</f>
        <v>373.6576</v>
      </c>
      <c r="K39" s="1271"/>
      <c r="L39" s="1271"/>
      <c r="M39" s="1271"/>
      <c r="N39" s="1258"/>
    </row>
    <row r="40" spans="1:14">
      <c r="A40" s="1256"/>
      <c r="B40" s="404"/>
      <c r="C40" s="45"/>
      <c r="D40" s="45"/>
      <c r="E40" s="22"/>
      <c r="F40" s="22"/>
      <c r="G40" s="22"/>
      <c r="H40" s="22"/>
      <c r="I40" s="1267" t="s">
        <v>439</v>
      </c>
      <c r="J40" s="1254">
        <f>SUM(J36:J39)</f>
        <v>1502.857248</v>
      </c>
      <c r="K40" s="1271">
        <v>9500</v>
      </c>
      <c r="L40" s="1272">
        <f>J40*K40</f>
        <v>14277143.856000001</v>
      </c>
      <c r="M40" s="1271"/>
      <c r="N40" s="1258"/>
    </row>
    <row r="41" spans="1:14">
      <c r="A41" s="1256"/>
      <c r="B41" s="1258"/>
      <c r="C41" s="1258"/>
      <c r="D41" s="1258"/>
      <c r="E41" s="1258"/>
      <c r="F41" s="1258"/>
      <c r="G41" s="1258"/>
      <c r="H41" s="1258"/>
      <c r="I41" s="1271"/>
      <c r="J41" s="1271"/>
      <c r="K41" s="1271"/>
      <c r="L41" s="1271"/>
      <c r="M41" s="1271"/>
      <c r="N41" s="1258"/>
    </row>
    <row r="42" spans="1:14">
      <c r="A42" s="1256">
        <v>6</v>
      </c>
      <c r="B42" s="1257" t="s">
        <v>1038</v>
      </c>
      <c r="C42" s="1258" t="s">
        <v>85</v>
      </c>
      <c r="D42" s="1258"/>
      <c r="E42" s="1258"/>
      <c r="F42" s="1258"/>
      <c r="G42" s="1258"/>
      <c r="H42" s="1258"/>
      <c r="I42" s="1258"/>
      <c r="J42" s="1258"/>
      <c r="K42" s="1271"/>
      <c r="L42" s="1271"/>
      <c r="M42" s="1271"/>
      <c r="N42" s="1258"/>
    </row>
    <row r="43" spans="1:14">
      <c r="A43" s="1256"/>
      <c r="B43" s="404" t="s">
        <v>1532</v>
      </c>
      <c r="C43" s="45"/>
      <c r="D43" s="45">
        <v>1</v>
      </c>
      <c r="E43" s="22">
        <v>32.92</v>
      </c>
      <c r="F43" s="22"/>
      <c r="G43" s="22"/>
      <c r="H43" s="22"/>
      <c r="I43" s="22">
        <v>10.7</v>
      </c>
      <c r="J43" s="1258">
        <f>D43*E43*I43</f>
        <v>352.24399999999997</v>
      </c>
      <c r="K43" s="1271"/>
      <c r="L43" s="1271"/>
      <c r="M43" s="1271"/>
      <c r="N43" s="1258"/>
    </row>
    <row r="44" spans="1:14">
      <c r="A44" s="1256"/>
      <c r="B44" s="404" t="s">
        <v>1537</v>
      </c>
      <c r="C44" s="45"/>
      <c r="D44" s="45">
        <v>1</v>
      </c>
      <c r="E44" s="22">
        <v>19.420000000000002</v>
      </c>
      <c r="F44" s="22"/>
      <c r="G44" s="22"/>
      <c r="H44" s="22"/>
      <c r="I44" s="22">
        <v>10.7</v>
      </c>
      <c r="J44" s="1258">
        <f>D44*E44*I44</f>
        <v>207.79400000000001</v>
      </c>
      <c r="K44" s="1271"/>
      <c r="L44" s="1271"/>
      <c r="M44" s="1271"/>
      <c r="N44" s="1258"/>
    </row>
    <row r="45" spans="1:14">
      <c r="A45" s="1256"/>
      <c r="B45" s="416"/>
      <c r="C45" s="45"/>
      <c r="D45" s="45"/>
      <c r="E45" s="22"/>
      <c r="F45" s="22"/>
      <c r="G45" s="22"/>
      <c r="H45" s="22"/>
      <c r="I45" s="1253" t="s">
        <v>439</v>
      </c>
      <c r="J45" s="1254">
        <f>SUM(J43:J44)</f>
        <v>560.03800000000001</v>
      </c>
      <c r="K45" s="1271">
        <v>750</v>
      </c>
      <c r="L45" s="1272">
        <f>J45*K45</f>
        <v>420028.5</v>
      </c>
      <c r="M45" s="1271"/>
      <c r="N45" s="1258"/>
    </row>
    <row r="46" spans="1:14">
      <c r="A46" s="1256"/>
      <c r="B46" s="416"/>
      <c r="C46" s="45"/>
      <c r="D46" s="45"/>
      <c r="E46" s="22"/>
      <c r="F46" s="22"/>
      <c r="G46" s="22"/>
      <c r="H46" s="22"/>
      <c r="I46" s="1271"/>
      <c r="J46" s="1271"/>
      <c r="K46" s="1271"/>
      <c r="L46" s="1271"/>
      <c r="M46" s="1271"/>
      <c r="N46" s="1258"/>
    </row>
    <row r="47" spans="1:14">
      <c r="A47" s="1614">
        <v>7</v>
      </c>
      <c r="B47" s="1615" t="s">
        <v>524</v>
      </c>
      <c r="C47" s="1616" t="s">
        <v>306</v>
      </c>
      <c r="D47" s="1616"/>
      <c r="E47" s="1617"/>
      <c r="F47" s="1617"/>
      <c r="G47" s="1617"/>
      <c r="H47" s="1617"/>
      <c r="I47" s="1617"/>
      <c r="J47" s="1618"/>
      <c r="K47" s="1621"/>
      <c r="L47" s="1621"/>
      <c r="M47" s="1621"/>
      <c r="N47" s="1621"/>
    </row>
    <row r="48" spans="1:14">
      <c r="A48" s="1619"/>
      <c r="B48" s="1620" t="s">
        <v>1532</v>
      </c>
      <c r="C48" s="1616"/>
      <c r="D48" s="1616">
        <v>1</v>
      </c>
      <c r="E48" s="1617">
        <v>32.92</v>
      </c>
      <c r="F48" s="1617">
        <v>18.899999999999999</v>
      </c>
      <c r="G48" s="1617">
        <v>0.3</v>
      </c>
      <c r="H48" s="1617"/>
      <c r="I48" s="1617"/>
      <c r="J48" s="1618">
        <f>D48*E48*F48*G48</f>
        <v>186.65639999999999</v>
      </c>
      <c r="K48" s="1621"/>
      <c r="L48" s="1621"/>
      <c r="M48" s="1621"/>
      <c r="N48" s="1621" t="s">
        <v>1544</v>
      </c>
    </row>
    <row r="49" spans="1:14">
      <c r="A49" s="1619"/>
      <c r="B49" s="1620" t="s">
        <v>1533</v>
      </c>
      <c r="C49" s="1616"/>
      <c r="D49" s="1616">
        <v>1</v>
      </c>
      <c r="E49" s="1617">
        <v>34.799999999999997</v>
      </c>
      <c r="F49" s="1617">
        <v>15.89</v>
      </c>
      <c r="G49" s="1617">
        <v>0.3</v>
      </c>
      <c r="H49" s="1617"/>
      <c r="I49" s="1617"/>
      <c r="J49" s="1618">
        <f t="shared" ref="J49:J51" si="2">D49*E49*F49*G49</f>
        <v>165.89159999999998</v>
      </c>
      <c r="K49" s="1621"/>
      <c r="L49" s="1621"/>
      <c r="M49" s="1621"/>
      <c r="N49" s="1621"/>
    </row>
    <row r="50" spans="1:14">
      <c r="A50" s="1619"/>
      <c r="B50" s="1620" t="s">
        <v>1535</v>
      </c>
      <c r="C50" s="1616"/>
      <c r="D50" s="1616">
        <v>1</v>
      </c>
      <c r="E50" s="1621">
        <v>91.78</v>
      </c>
      <c r="F50" s="1617">
        <v>20.07</v>
      </c>
      <c r="G50" s="1617">
        <v>0.3</v>
      </c>
      <c r="H50" s="1617"/>
      <c r="I50" s="1617"/>
      <c r="J50" s="1618">
        <f t="shared" si="2"/>
        <v>552.60737999999992</v>
      </c>
      <c r="K50" s="1621"/>
      <c r="L50" s="1621"/>
      <c r="M50" s="1621"/>
      <c r="N50" s="1621"/>
    </row>
    <row r="51" spans="1:14">
      <c r="A51" s="1619"/>
      <c r="B51" s="1620" t="s">
        <v>1537</v>
      </c>
      <c r="C51" s="1616"/>
      <c r="D51" s="1616">
        <v>1</v>
      </c>
      <c r="E51" s="1621">
        <v>19.420000000000002</v>
      </c>
      <c r="F51" s="1617">
        <v>22.66</v>
      </c>
      <c r="G51" s="1617">
        <v>0.3</v>
      </c>
      <c r="H51" s="1617"/>
      <c r="I51" s="1617"/>
      <c r="J51" s="1618">
        <f t="shared" si="2"/>
        <v>132.01715999999999</v>
      </c>
      <c r="K51" s="1621"/>
      <c r="L51" s="1621"/>
      <c r="M51" s="1621"/>
      <c r="N51" s="1621"/>
    </row>
    <row r="52" spans="1:14">
      <c r="A52" s="1619"/>
      <c r="B52" s="1620"/>
      <c r="C52" s="1621"/>
      <c r="D52" s="1616"/>
      <c r="E52" s="1617"/>
      <c r="F52" s="1621"/>
      <c r="G52" s="1621"/>
      <c r="H52" s="1621"/>
      <c r="I52" s="1623" t="s">
        <v>439</v>
      </c>
      <c r="J52" s="1624">
        <f>SUM(J48:J51)</f>
        <v>1037.17254</v>
      </c>
      <c r="K52" s="1621">
        <v>3979</v>
      </c>
      <c r="L52" s="1621">
        <f>J52*K52</f>
        <v>4126909.5366600002</v>
      </c>
      <c r="M52" s="1621"/>
      <c r="N52" s="1621"/>
    </row>
    <row r="53" spans="1:14">
      <c r="A53" s="1256"/>
      <c r="B53" s="404"/>
      <c r="C53" s="1258"/>
      <c r="D53" s="45"/>
      <c r="E53" s="22"/>
      <c r="F53" s="1258"/>
      <c r="G53" s="1258"/>
      <c r="H53" s="1258"/>
      <c r="I53" s="1258"/>
      <c r="J53" s="1258"/>
      <c r="K53" s="1271"/>
      <c r="L53" s="1271"/>
      <c r="M53" s="1271"/>
      <c r="N53" s="1258"/>
    </row>
    <row r="54" spans="1:14">
      <c r="A54" s="1271"/>
      <c r="B54" s="1271"/>
      <c r="C54" s="1271"/>
      <c r="D54" s="1271"/>
      <c r="E54" s="1271"/>
      <c r="F54" s="1271"/>
      <c r="G54" s="1271"/>
      <c r="H54" s="1271"/>
      <c r="I54" s="1271"/>
      <c r="J54" s="1271"/>
      <c r="K54" s="1270" t="s">
        <v>439</v>
      </c>
      <c r="L54" s="1273">
        <f>SUM(L11:L52)</f>
        <v>19825599.26416</v>
      </c>
      <c r="M54" s="1271"/>
      <c r="N54" s="1271"/>
    </row>
  </sheetData>
  <printOptions horizontalCentered="1"/>
  <pageMargins left="0.7" right="0.7" top="0.71" bottom="0.59" header="0.3" footer="0.16"/>
  <pageSetup paperSize="9" scale="73" fitToHeight="10" orientation="portrait" r:id="rId1"/>
  <rowBreaks count="1" manualBreakCount="1">
    <brk id="41" max="9" man="1"/>
  </rowBreaks>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9" tint="-0.499984740745262"/>
  </sheetPr>
  <dimension ref="A1:P73"/>
  <sheetViews>
    <sheetView workbookViewId="0"/>
  </sheetViews>
  <sheetFormatPr defaultColWidth="9.109375" defaultRowHeight="16.8"/>
  <cols>
    <col min="1" max="1" width="13.44140625" style="4" customWidth="1"/>
    <col min="2" max="2" width="43.88671875" style="4" customWidth="1"/>
    <col min="3" max="3" width="6.88671875" style="19" customWidth="1"/>
    <col min="4" max="4" width="6" style="19" customWidth="1"/>
    <col min="5" max="5" width="10.33203125" style="20" customWidth="1"/>
    <col min="6" max="6" width="12.109375" style="20" customWidth="1"/>
    <col min="7" max="7" width="10.33203125" style="20" customWidth="1"/>
    <col min="8" max="8" width="13.88671875" style="20" customWidth="1"/>
    <col min="9" max="9" width="17.33203125" style="20" bestFit="1" customWidth="1"/>
    <col min="10" max="10" width="17.6640625" style="427" bestFit="1" customWidth="1"/>
    <col min="11" max="11" width="16.33203125" style="4" customWidth="1"/>
    <col min="12" max="12" width="14" style="388" bestFit="1" customWidth="1"/>
    <col min="13" max="13" width="19.88671875" style="388" bestFit="1" customWidth="1"/>
    <col min="14" max="14" width="9.109375" style="4" customWidth="1"/>
    <col min="15" max="15" width="22.33203125" style="4" bestFit="1" customWidth="1"/>
    <col min="16" max="16" width="12" style="4" bestFit="1" customWidth="1"/>
    <col min="17" max="18" width="9.109375" style="4" customWidth="1"/>
    <col min="19" max="19" width="21.88671875" style="4" customWidth="1"/>
    <col min="20" max="21" width="9.109375" style="4" customWidth="1"/>
    <col min="22" max="22" width="20.109375" style="4" customWidth="1"/>
    <col min="23" max="23" width="19.44140625" style="4" customWidth="1"/>
    <col min="24" max="28" width="9.109375" style="4" customWidth="1"/>
    <col min="29" max="16384" width="9.109375" style="4"/>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F5" s="1276"/>
      <c r="G5" s="523"/>
      <c r="J5" s="1276" t="s">
        <v>1561</v>
      </c>
      <c r="K5" s="523" t="s">
        <v>1562</v>
      </c>
    </row>
    <row r="6" spans="1:13" s="520" customFormat="1" ht="19.2">
      <c r="A6" s="119" t="s">
        <v>3</v>
      </c>
      <c r="B6" s="1247" t="s">
        <v>2491</v>
      </c>
      <c r="C6" s="523"/>
      <c r="D6" s="537"/>
      <c r="E6" s="1223"/>
      <c r="F6" s="1276"/>
      <c r="G6" s="523"/>
      <c r="J6" s="1276" t="s">
        <v>171</v>
      </c>
      <c r="K6" s="523" t="s">
        <v>1563</v>
      </c>
    </row>
    <row r="7" spans="1:13" s="520" customFormat="1" ht="19.2">
      <c r="A7" s="119" t="s">
        <v>4</v>
      </c>
      <c r="B7" s="1247"/>
      <c r="C7" s="523"/>
      <c r="D7" s="537"/>
      <c r="E7" s="1223"/>
      <c r="F7" s="1276"/>
      <c r="G7" s="1277"/>
      <c r="J7" s="1276" t="s">
        <v>106</v>
      </c>
      <c r="K7" s="1277">
        <v>44666</v>
      </c>
    </row>
    <row r="8" spans="1:13">
      <c r="B8" s="55"/>
    </row>
    <row r="10" spans="1:13" s="109" customFormat="1" ht="15" customHeight="1">
      <c r="A10" s="428" t="s">
        <v>7</v>
      </c>
      <c r="B10" s="428" t="s">
        <v>8</v>
      </c>
      <c r="C10" s="428" t="s">
        <v>9</v>
      </c>
      <c r="D10" s="428" t="s">
        <v>10</v>
      </c>
      <c r="E10" s="430" t="s">
        <v>11</v>
      </c>
      <c r="F10" s="430" t="s">
        <v>12</v>
      </c>
      <c r="G10" s="430" t="s">
        <v>13</v>
      </c>
      <c r="H10" s="430" t="s">
        <v>14</v>
      </c>
      <c r="I10" s="430" t="s">
        <v>15</v>
      </c>
      <c r="J10" s="431" t="s">
        <v>16</v>
      </c>
      <c r="K10" s="428" t="s">
        <v>17</v>
      </c>
      <c r="L10" s="429" t="s">
        <v>1233</v>
      </c>
      <c r="M10" s="429" t="s">
        <v>1234</v>
      </c>
    </row>
    <row r="11" spans="1:13" s="109" customFormat="1" ht="18">
      <c r="A11" s="417">
        <v>1</v>
      </c>
      <c r="B11" s="443" t="s">
        <v>179</v>
      </c>
      <c r="C11" s="417" t="s">
        <v>19</v>
      </c>
      <c r="D11" s="417"/>
      <c r="E11" s="418"/>
      <c r="F11" s="418"/>
      <c r="G11" s="418"/>
      <c r="H11" s="418"/>
      <c r="I11" s="418"/>
      <c r="J11" s="435"/>
      <c r="K11" s="436"/>
      <c r="L11" s="821"/>
      <c r="M11" s="821"/>
    </row>
    <row r="12" spans="1:13" s="109" customFormat="1" ht="18">
      <c r="A12" s="409"/>
      <c r="B12" s="26" t="s">
        <v>2492</v>
      </c>
      <c r="C12" s="409"/>
      <c r="D12" s="409">
        <v>1</v>
      </c>
      <c r="E12" s="411"/>
      <c r="F12" s="411"/>
      <c r="G12" s="411"/>
      <c r="H12" s="411"/>
      <c r="I12" s="411">
        <v>485</v>
      </c>
      <c r="J12" s="442">
        <f>I12*1.1</f>
        <v>533.5</v>
      </c>
      <c r="K12" s="799" t="s">
        <v>750</v>
      </c>
      <c r="L12" s="822"/>
      <c r="M12" s="822"/>
    </row>
    <row r="13" spans="1:13" s="109" customFormat="1" ht="18">
      <c r="A13" s="409"/>
      <c r="B13" s="26" t="s">
        <v>2493</v>
      </c>
      <c r="C13" s="409"/>
      <c r="D13" s="409">
        <v>1</v>
      </c>
      <c r="E13" s="411"/>
      <c r="F13" s="411"/>
      <c r="G13" s="411"/>
      <c r="H13" s="411"/>
      <c r="I13" s="411">
        <v>450</v>
      </c>
      <c r="J13" s="442">
        <f>I13*1.1</f>
        <v>495.00000000000006</v>
      </c>
      <c r="K13" s="799" t="s">
        <v>2494</v>
      </c>
      <c r="L13" s="822"/>
      <c r="M13" s="822"/>
    </row>
    <row r="14" spans="1:13" s="109" customFormat="1" ht="18">
      <c r="A14" s="409"/>
      <c r="B14" s="26"/>
      <c r="C14" s="409"/>
      <c r="D14" s="409"/>
      <c r="E14" s="411"/>
      <c r="F14" s="411"/>
      <c r="G14" s="411"/>
      <c r="H14" s="411"/>
      <c r="I14" s="445" t="s">
        <v>20</v>
      </c>
      <c r="J14" s="446">
        <f>SUM(J12:J13)</f>
        <v>1028.5</v>
      </c>
      <c r="K14" s="799"/>
      <c r="L14" s="822">
        <v>40.5</v>
      </c>
      <c r="M14" s="822">
        <f>L14*J14</f>
        <v>41654.25</v>
      </c>
    </row>
    <row r="15" spans="1:13" s="109" customFormat="1" ht="18">
      <c r="A15" s="5">
        <v>2</v>
      </c>
      <c r="B15" s="6" t="s">
        <v>97</v>
      </c>
      <c r="C15" s="7"/>
      <c r="D15" s="7"/>
      <c r="E15" s="8"/>
      <c r="F15" s="8"/>
      <c r="G15" s="8"/>
      <c r="H15" s="8"/>
      <c r="I15" s="8"/>
      <c r="J15" s="423"/>
      <c r="K15" s="6"/>
      <c r="L15" s="778"/>
      <c r="M15" s="821"/>
    </row>
    <row r="16" spans="1:13" s="109" customFormat="1" ht="18">
      <c r="A16" s="10"/>
      <c r="B16" s="26" t="s">
        <v>2492</v>
      </c>
      <c r="C16" s="12"/>
      <c r="D16" s="12"/>
      <c r="E16" s="401"/>
      <c r="F16" s="13">
        <v>22</v>
      </c>
      <c r="G16" s="13"/>
      <c r="H16" s="13"/>
      <c r="I16" s="13">
        <v>41</v>
      </c>
      <c r="J16" s="444">
        <f>I16*F16</f>
        <v>902</v>
      </c>
      <c r="K16" s="14"/>
      <c r="L16" s="393"/>
      <c r="M16" s="822"/>
    </row>
    <row r="17" spans="1:16" s="109" customFormat="1" ht="18">
      <c r="A17" s="440"/>
      <c r="B17" s="26" t="s">
        <v>2493</v>
      </c>
      <c r="C17" s="409"/>
      <c r="D17" s="409"/>
      <c r="E17" s="410"/>
      <c r="F17" s="411">
        <v>16.5</v>
      </c>
      <c r="G17" s="411"/>
      <c r="H17" s="411"/>
      <c r="I17" s="411">
        <v>100</v>
      </c>
      <c r="J17" s="444">
        <f>I17*F17</f>
        <v>1650</v>
      </c>
      <c r="K17" s="363"/>
      <c r="L17" s="365"/>
      <c r="M17" s="822"/>
    </row>
    <row r="18" spans="1:16" s="109" customFormat="1" ht="18">
      <c r="A18" s="440"/>
      <c r="B18" s="408"/>
      <c r="C18" s="409"/>
      <c r="D18" s="409"/>
      <c r="E18" s="419"/>
      <c r="F18" s="411"/>
      <c r="G18" s="411"/>
      <c r="H18" s="411"/>
      <c r="I18" s="445" t="s">
        <v>20</v>
      </c>
      <c r="J18" s="446">
        <f>SUM(J16:J17)</f>
        <v>2552</v>
      </c>
      <c r="K18" s="363"/>
      <c r="L18" s="365"/>
      <c r="M18" s="822"/>
    </row>
    <row r="19" spans="1:16" s="109" customFormat="1" ht="18">
      <c r="A19" s="440"/>
      <c r="B19" s="408"/>
      <c r="C19" s="409"/>
      <c r="D19" s="409"/>
      <c r="E19" s="419"/>
      <c r="F19" s="411"/>
      <c r="G19" s="411"/>
      <c r="H19" s="411"/>
      <c r="J19" s="449">
        <f>40%*J18</f>
        <v>1020.8000000000001</v>
      </c>
      <c r="K19" s="17" t="s">
        <v>2917</v>
      </c>
      <c r="L19" s="393">
        <v>320</v>
      </c>
      <c r="M19" s="822">
        <f t="shared" ref="M19:M20" si="0">L19*J19</f>
        <v>326656</v>
      </c>
    </row>
    <row r="20" spans="1:16" s="109" customFormat="1" ht="18">
      <c r="A20" s="440"/>
      <c r="B20" s="408"/>
      <c r="C20" s="409"/>
      <c r="D20" s="409"/>
      <c r="E20" s="419"/>
      <c r="F20" s="411"/>
      <c r="G20" s="411"/>
      <c r="H20" s="411"/>
      <c r="J20" s="449">
        <f>60%*J18</f>
        <v>1531.2</v>
      </c>
      <c r="K20" s="17" t="s">
        <v>2918</v>
      </c>
      <c r="L20" s="393">
        <v>1350</v>
      </c>
      <c r="M20" s="822">
        <f t="shared" si="0"/>
        <v>2067120</v>
      </c>
    </row>
    <row r="21" spans="1:16" s="109" customFormat="1" ht="18">
      <c r="A21" s="432">
        <f>A11+1</f>
        <v>2</v>
      </c>
      <c r="B21" s="433" t="s">
        <v>22</v>
      </c>
      <c r="C21" s="417" t="s">
        <v>21</v>
      </c>
      <c r="D21" s="417"/>
      <c r="E21" s="417"/>
      <c r="F21" s="418"/>
      <c r="G21" s="418"/>
      <c r="H21" s="418"/>
      <c r="I21" s="418"/>
      <c r="J21" s="438"/>
      <c r="K21" s="439"/>
      <c r="L21" s="434"/>
      <c r="M21" s="434"/>
    </row>
    <row r="22" spans="1:16" s="109" customFormat="1" ht="18">
      <c r="A22" s="440"/>
      <c r="B22" s="26" t="s">
        <v>2492</v>
      </c>
      <c r="C22" s="409"/>
      <c r="D22" s="409">
        <v>1</v>
      </c>
      <c r="E22" s="447"/>
      <c r="F22" s="411"/>
      <c r="G22" s="411"/>
      <c r="H22" s="411"/>
      <c r="I22" s="411"/>
      <c r="J22" s="422">
        <f>0.1*J16</f>
        <v>90.2</v>
      </c>
      <c r="K22" s="448"/>
      <c r="L22" s="365"/>
      <c r="M22" s="365"/>
    </row>
    <row r="23" spans="1:16" s="109" customFormat="1" ht="18">
      <c r="A23" s="440"/>
      <c r="B23" s="26" t="s">
        <v>2493</v>
      </c>
      <c r="C23" s="409"/>
      <c r="D23" s="409">
        <v>1</v>
      </c>
      <c r="E23" s="412"/>
      <c r="F23" s="411"/>
      <c r="G23" s="411"/>
      <c r="H23" s="411"/>
      <c r="I23" s="414"/>
      <c r="J23" s="422">
        <f>0.1*J17</f>
        <v>165</v>
      </c>
      <c r="K23" s="363"/>
      <c r="L23" s="365"/>
      <c r="M23" s="365"/>
    </row>
    <row r="24" spans="1:16" s="109" customFormat="1" ht="18">
      <c r="A24" s="440"/>
      <c r="B24" s="408"/>
      <c r="C24" s="409"/>
      <c r="D24" s="409"/>
      <c r="E24" s="411"/>
      <c r="F24" s="411"/>
      <c r="G24" s="411"/>
      <c r="H24" s="411"/>
      <c r="I24" s="449" t="s">
        <v>20</v>
      </c>
      <c r="J24" s="449">
        <f>SUM(J22:J23)</f>
        <v>255.2</v>
      </c>
      <c r="K24" s="17" t="s">
        <v>968</v>
      </c>
      <c r="L24" s="393">
        <v>210</v>
      </c>
      <c r="M24" s="393">
        <f>L24*J24</f>
        <v>53592</v>
      </c>
    </row>
    <row r="25" spans="1:16" s="109" customFormat="1" ht="18">
      <c r="A25" s="5">
        <f>A21+1</f>
        <v>3</v>
      </c>
      <c r="B25" s="6" t="s">
        <v>756</v>
      </c>
      <c r="C25" s="7" t="s">
        <v>21</v>
      </c>
      <c r="D25" s="7"/>
      <c r="E25" s="8"/>
      <c r="F25" s="8"/>
      <c r="G25" s="8"/>
      <c r="H25" s="8"/>
      <c r="I25" s="8"/>
      <c r="J25" s="385"/>
      <c r="K25" s="9"/>
      <c r="L25" s="778"/>
      <c r="M25" s="778"/>
    </row>
    <row r="26" spans="1:16" s="109" customFormat="1" ht="18">
      <c r="A26" s="10"/>
      <c r="B26" s="26" t="s">
        <v>2492</v>
      </c>
      <c r="C26" s="12"/>
      <c r="D26" s="12">
        <v>1</v>
      </c>
      <c r="E26" s="13"/>
      <c r="F26" s="13"/>
      <c r="G26" s="22">
        <v>7.4999999999999997E-2</v>
      </c>
      <c r="H26" s="13"/>
      <c r="I26" s="411">
        <v>485</v>
      </c>
      <c r="J26" s="355">
        <f>I26*G26</f>
        <v>36.375</v>
      </c>
      <c r="K26" s="16"/>
      <c r="L26" s="393"/>
      <c r="M26" s="393"/>
    </row>
    <row r="27" spans="1:16" s="109" customFormat="1" ht="18">
      <c r="A27" s="10"/>
      <c r="B27" s="26" t="s">
        <v>2493</v>
      </c>
      <c r="C27" s="12"/>
      <c r="D27" s="45">
        <v>1</v>
      </c>
      <c r="E27" s="22"/>
      <c r="F27" s="22"/>
      <c r="G27" s="22">
        <v>7.4999999999999997E-2</v>
      </c>
      <c r="H27" s="22"/>
      <c r="I27" s="411">
        <v>450</v>
      </c>
      <c r="J27" s="355">
        <f>I27*G27</f>
        <v>33.75</v>
      </c>
      <c r="K27" s="16"/>
      <c r="L27" s="393"/>
      <c r="M27" s="393"/>
    </row>
    <row r="28" spans="1:16" s="109" customFormat="1" ht="17.25" customHeight="1">
      <c r="A28" s="10"/>
      <c r="B28" s="14"/>
      <c r="C28" s="12"/>
      <c r="D28" s="45"/>
      <c r="E28" s="22"/>
      <c r="F28" s="22"/>
      <c r="G28" s="22"/>
      <c r="H28" s="22"/>
      <c r="I28" s="452" t="s">
        <v>20</v>
      </c>
      <c r="J28" s="453">
        <f>SUM(J26:J27)</f>
        <v>70.125</v>
      </c>
      <c r="K28" s="16"/>
      <c r="L28" s="393">
        <v>13500</v>
      </c>
      <c r="M28" s="393">
        <f>L28*J28</f>
        <v>946687.5</v>
      </c>
    </row>
    <row r="29" spans="1:16">
      <c r="A29" s="5">
        <v>8</v>
      </c>
      <c r="B29" s="415" t="s">
        <v>2495</v>
      </c>
      <c r="C29" s="7" t="s">
        <v>19</v>
      </c>
      <c r="D29" s="7"/>
      <c r="E29" s="457"/>
      <c r="F29" s="8"/>
      <c r="G29" s="8"/>
      <c r="H29" s="8"/>
      <c r="I29" s="778"/>
      <c r="J29" s="460"/>
      <c r="K29" s="6"/>
      <c r="L29" s="778"/>
      <c r="M29" s="778"/>
      <c r="P29" s="777"/>
    </row>
    <row r="30" spans="1:16" ht="18">
      <c r="A30" s="10"/>
      <c r="B30" s="26" t="s">
        <v>2492</v>
      </c>
      <c r="C30" s="12"/>
      <c r="D30" s="12">
        <v>1</v>
      </c>
      <c r="E30" s="13"/>
      <c r="F30" s="13"/>
      <c r="G30" s="13"/>
      <c r="H30" s="13"/>
      <c r="I30" s="411">
        <v>485</v>
      </c>
      <c r="J30" s="13">
        <f>I30</f>
        <v>485</v>
      </c>
      <c r="K30" s="14" t="s">
        <v>750</v>
      </c>
      <c r="L30" s="393"/>
      <c r="M30" s="393"/>
      <c r="P30" s="777"/>
    </row>
    <row r="31" spans="1:16" ht="18">
      <c r="A31" s="10"/>
      <c r="B31" s="26" t="s">
        <v>2493</v>
      </c>
      <c r="C31" s="12"/>
      <c r="D31" s="12">
        <v>1</v>
      </c>
      <c r="E31" s="13"/>
      <c r="F31" s="13"/>
      <c r="G31" s="13"/>
      <c r="H31" s="13"/>
      <c r="I31" s="411">
        <v>450</v>
      </c>
      <c r="J31" s="344">
        <f>I31</f>
        <v>450</v>
      </c>
      <c r="K31" s="14" t="s">
        <v>750</v>
      </c>
      <c r="L31" s="393"/>
      <c r="M31" s="393"/>
      <c r="P31" s="777"/>
    </row>
    <row r="32" spans="1:16">
      <c r="A32" s="10"/>
      <c r="B32" s="14"/>
      <c r="C32" s="12"/>
      <c r="D32" s="12"/>
      <c r="E32" s="13"/>
      <c r="F32" s="13"/>
      <c r="G32" s="13"/>
      <c r="H32" s="13"/>
      <c r="I32" s="458" t="s">
        <v>20</v>
      </c>
      <c r="J32" s="459">
        <f>SUM(J30:J31)</f>
        <v>935</v>
      </c>
      <c r="K32" s="14"/>
      <c r="L32" s="393">
        <v>4956.5</v>
      </c>
      <c r="M32" s="393">
        <f>L32*J32</f>
        <v>4634327.5</v>
      </c>
      <c r="P32" s="777"/>
    </row>
    <row r="33" spans="1:16">
      <c r="A33" s="818"/>
      <c r="J33" s="819"/>
      <c r="L33" s="499" t="s">
        <v>20</v>
      </c>
      <c r="M33" s="499">
        <f>SUM(M11:M32)</f>
        <v>8070037.25</v>
      </c>
      <c r="P33" s="777"/>
    </row>
    <row r="34" spans="1:16">
      <c r="D34" s="381"/>
      <c r="J34" s="381"/>
      <c r="M34" s="388" t="s">
        <v>1237</v>
      </c>
    </row>
    <row r="35" spans="1:16">
      <c r="D35" s="381"/>
      <c r="J35" s="381"/>
    </row>
    <row r="36" spans="1:16">
      <c r="D36" s="381"/>
      <c r="J36" s="381"/>
    </row>
    <row r="37" spans="1:16">
      <c r="D37" s="381"/>
      <c r="J37" s="381"/>
    </row>
    <row r="38" spans="1:16" s="381" customFormat="1">
      <c r="A38" s="4"/>
      <c r="B38" s="4"/>
      <c r="C38" s="19"/>
      <c r="E38" s="20"/>
      <c r="F38" s="20"/>
      <c r="G38" s="20"/>
      <c r="H38" s="20"/>
      <c r="I38" s="20"/>
      <c r="K38" s="4"/>
      <c r="L38" s="388"/>
      <c r="M38" s="388"/>
      <c r="O38" s="4"/>
    </row>
    <row r="39" spans="1:16" s="381" customFormat="1">
      <c r="A39" s="4"/>
      <c r="B39" s="4"/>
      <c r="C39" s="19"/>
      <c r="E39" s="20"/>
      <c r="F39" s="20"/>
      <c r="G39" s="20"/>
      <c r="H39" s="20"/>
      <c r="I39" s="20"/>
      <c r="K39" s="4"/>
      <c r="L39" s="388"/>
      <c r="M39" s="388"/>
      <c r="O39" s="4"/>
    </row>
    <row r="40" spans="1:16" s="381" customFormat="1">
      <c r="A40" s="4"/>
      <c r="B40" s="4"/>
      <c r="C40" s="19"/>
      <c r="E40" s="20"/>
      <c r="F40" s="20"/>
      <c r="G40" s="20"/>
      <c r="H40" s="20"/>
      <c r="I40" s="20"/>
      <c r="K40" s="4"/>
      <c r="L40" s="388"/>
      <c r="M40" s="388"/>
      <c r="O40" s="4"/>
    </row>
    <row r="41" spans="1:16" s="381" customFormat="1">
      <c r="A41" s="4"/>
      <c r="B41" s="4"/>
      <c r="C41" s="19"/>
      <c r="E41" s="20"/>
      <c r="F41" s="20"/>
      <c r="G41" s="20"/>
      <c r="H41" s="20"/>
      <c r="I41" s="20"/>
      <c r="K41" s="4"/>
      <c r="L41" s="388"/>
      <c r="M41" s="388"/>
      <c r="O41" s="4"/>
    </row>
    <row r="42" spans="1:16" s="381" customFormat="1">
      <c r="A42" s="4"/>
      <c r="B42" s="4"/>
      <c r="C42" s="19"/>
      <c r="E42" s="20"/>
      <c r="F42" s="20"/>
      <c r="G42" s="20"/>
      <c r="H42" s="20"/>
      <c r="I42" s="20"/>
      <c r="K42" s="4"/>
      <c r="L42" s="388"/>
      <c r="M42" s="388"/>
      <c r="N42" s="381" t="e">
        <f ca="1">[47]!SpellNumber(5)</f>
        <v>#NAME?</v>
      </c>
      <c r="O42" s="4"/>
    </row>
    <row r="43" spans="1:16">
      <c r="I43" s="4"/>
      <c r="J43" s="4"/>
    </row>
    <row r="46" spans="1:16">
      <c r="P46" s="4">
        <f>84.5/15</f>
        <v>5.6333333333333337</v>
      </c>
    </row>
    <row r="73" spans="15:15">
      <c r="O73" s="54">
        <f>5.5*0.5*84.5</f>
        <v>232.375</v>
      </c>
    </row>
  </sheetData>
  <printOptions horizontalCentered="1"/>
  <pageMargins left="0.7" right="0.7" top="0.71" bottom="0.59" header="0.3" footer="0.16"/>
  <pageSetup paperSize="9" scale="74" fitToHeight="10" orientation="landscape"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9" tint="-0.499984740745262"/>
  </sheetPr>
  <dimension ref="A1:S96"/>
  <sheetViews>
    <sheetView workbookViewId="0"/>
  </sheetViews>
  <sheetFormatPr defaultColWidth="8.88671875" defaultRowHeight="13.2"/>
  <cols>
    <col min="1" max="1" width="12.109375" style="381" customWidth="1"/>
    <col min="2" max="2" width="35.88671875" style="381" customWidth="1"/>
    <col min="3" max="3" width="7.5546875" style="381" customWidth="1"/>
    <col min="4" max="4" width="7" style="381" customWidth="1"/>
    <col min="5" max="5" width="10.88671875" style="381" customWidth="1"/>
    <col min="6" max="6" width="12" style="381" customWidth="1"/>
    <col min="7" max="7" width="8.6640625" style="381" customWidth="1"/>
    <col min="8" max="8" width="14.33203125" style="381" customWidth="1"/>
    <col min="9" max="9" width="9.109375" style="381" customWidth="1"/>
    <col min="10" max="10" width="17.88671875" style="381" customWidth="1"/>
    <col min="11" max="11" width="18.44140625" style="381" customWidth="1"/>
    <col min="12" max="12" width="11.109375" style="798" customWidth="1"/>
    <col min="13" max="13" width="12.6640625" style="798" bestFit="1" customWidth="1"/>
    <col min="14" max="17" width="8.88671875" style="381"/>
    <col min="18" max="18" width="13.88671875" style="381" customWidth="1"/>
    <col min="19" max="19" width="18" style="381" customWidth="1"/>
    <col min="20" max="16384" width="8.88671875" style="381"/>
  </cols>
  <sheetData>
    <row r="1" spans="1:19" s="520" customFormat="1" ht="19.2">
      <c r="A1" s="522"/>
      <c r="C1" s="523"/>
      <c r="D1" s="537"/>
      <c r="E1" s="1223"/>
      <c r="F1" s="1223"/>
      <c r="G1" s="523"/>
    </row>
    <row r="2" spans="1:19" s="520" customFormat="1" ht="19.2">
      <c r="A2" s="522"/>
      <c r="C2" s="523"/>
      <c r="D2" s="537"/>
      <c r="E2" s="1223"/>
      <c r="F2" s="1223"/>
      <c r="G2" s="523"/>
    </row>
    <row r="3" spans="1:19" s="520" customFormat="1" ht="19.2">
      <c r="A3" s="226" t="s">
        <v>0</v>
      </c>
      <c r="B3" s="1248" t="s">
        <v>2389</v>
      </c>
      <c r="C3" s="523"/>
      <c r="D3" s="537"/>
      <c r="E3" s="1223"/>
      <c r="F3" s="1223"/>
      <c r="G3" s="523"/>
    </row>
    <row r="4" spans="1:19" s="520" customFormat="1" ht="19.2">
      <c r="A4" s="119" t="s">
        <v>1</v>
      </c>
      <c r="B4" s="1248">
        <v>930100</v>
      </c>
      <c r="C4" s="523"/>
      <c r="D4" s="537"/>
      <c r="E4" s="1223"/>
      <c r="F4" s="1223"/>
      <c r="G4" s="523"/>
    </row>
    <row r="5" spans="1:19" s="520" customFormat="1" ht="19.2">
      <c r="A5" s="119" t="s">
        <v>2</v>
      </c>
      <c r="B5" s="1247" t="s">
        <v>331</v>
      </c>
      <c r="C5" s="523"/>
      <c r="D5" s="537"/>
      <c r="E5" s="1223"/>
      <c r="J5" s="1276" t="s">
        <v>1561</v>
      </c>
      <c r="K5" s="523" t="s">
        <v>1562</v>
      </c>
    </row>
    <row r="6" spans="1:19" s="520" customFormat="1" ht="19.2">
      <c r="A6" s="119" t="s">
        <v>3</v>
      </c>
      <c r="B6" s="1247" t="s">
        <v>2496</v>
      </c>
      <c r="C6" s="523"/>
      <c r="D6" s="537"/>
      <c r="E6" s="1223"/>
      <c r="J6" s="1276" t="s">
        <v>171</v>
      </c>
      <c r="K6" s="523" t="s">
        <v>1563</v>
      </c>
    </row>
    <row r="7" spans="1:19" s="520" customFormat="1" ht="19.2">
      <c r="A7" s="119" t="s">
        <v>4</v>
      </c>
      <c r="B7" s="1247"/>
      <c r="C7" s="523"/>
      <c r="D7" s="537"/>
      <c r="E7" s="1223"/>
      <c r="J7" s="1276" t="s">
        <v>106</v>
      </c>
      <c r="K7" s="1277">
        <v>44666</v>
      </c>
    </row>
    <row r="8" spans="1:19" ht="16.8">
      <c r="A8" s="4"/>
      <c r="B8" s="55"/>
      <c r="C8" s="19"/>
      <c r="D8" s="19"/>
      <c r="E8" s="20"/>
      <c r="F8" s="20"/>
      <c r="G8" s="20"/>
      <c r="H8" s="20"/>
      <c r="I8" s="20"/>
      <c r="J8" s="20"/>
      <c r="K8" s="4"/>
      <c r="L8" s="388"/>
      <c r="M8" s="388"/>
      <c r="N8" s="4"/>
      <c r="O8" s="4"/>
      <c r="P8" s="4"/>
      <c r="Q8" s="4"/>
    </row>
    <row r="9" spans="1:19" ht="16.8">
      <c r="A9" s="4"/>
      <c r="B9" s="4"/>
      <c r="C9" s="19"/>
      <c r="D9" s="19"/>
      <c r="E9" s="20"/>
      <c r="F9" s="20"/>
      <c r="G9" s="20"/>
      <c r="H9" s="20"/>
      <c r="I9" s="20"/>
      <c r="J9" s="20"/>
      <c r="K9" s="4"/>
      <c r="L9" s="388"/>
      <c r="M9" s="388"/>
      <c r="N9" s="4"/>
      <c r="O9" s="4"/>
      <c r="P9" s="4"/>
      <c r="Q9" s="4"/>
    </row>
    <row r="10" spans="1:19" ht="16.8">
      <c r="A10" s="2" t="s">
        <v>7</v>
      </c>
      <c r="B10" s="2" t="s">
        <v>8</v>
      </c>
      <c r="C10" s="2" t="s">
        <v>9</v>
      </c>
      <c r="D10" s="2" t="s">
        <v>10</v>
      </c>
      <c r="E10" s="3" t="s">
        <v>11</v>
      </c>
      <c r="F10" s="3" t="s">
        <v>12</v>
      </c>
      <c r="G10" s="3" t="s">
        <v>13</v>
      </c>
      <c r="H10" s="3" t="s">
        <v>14</v>
      </c>
      <c r="I10" s="3" t="s">
        <v>15</v>
      </c>
      <c r="J10" s="3" t="s">
        <v>16</v>
      </c>
      <c r="K10" s="2" t="s">
        <v>17</v>
      </c>
      <c r="L10" s="824" t="s">
        <v>1233</v>
      </c>
      <c r="M10" s="824" t="s">
        <v>1234</v>
      </c>
      <c r="N10" s="4"/>
      <c r="O10" s="4"/>
      <c r="P10" s="4"/>
      <c r="Q10" s="4"/>
      <c r="R10" s="381" t="s">
        <v>34</v>
      </c>
      <c r="S10" s="381" t="s">
        <v>485</v>
      </c>
    </row>
    <row r="11" spans="1:19" ht="16.8">
      <c r="A11" s="5">
        <v>1</v>
      </c>
      <c r="B11" s="6" t="s">
        <v>18</v>
      </c>
      <c r="C11" s="7" t="s">
        <v>19</v>
      </c>
      <c r="D11" s="7"/>
      <c r="E11" s="8"/>
      <c r="F11" s="8"/>
      <c r="G11" s="8"/>
      <c r="H11" s="8"/>
      <c r="I11" s="8"/>
      <c r="J11" s="385"/>
      <c r="K11" s="9"/>
      <c r="L11" s="778"/>
      <c r="M11" s="778"/>
      <c r="N11" s="4"/>
      <c r="O11" s="4"/>
      <c r="P11" s="4"/>
      <c r="Q11" s="4"/>
    </row>
    <row r="12" spans="1:19" ht="16.8">
      <c r="A12" s="10"/>
      <c r="B12" s="11" t="s">
        <v>2497</v>
      </c>
      <c r="C12" s="12"/>
      <c r="D12" s="12">
        <v>1</v>
      </c>
      <c r="E12" s="13"/>
      <c r="F12" s="13"/>
      <c r="G12" s="13"/>
      <c r="H12" s="13"/>
      <c r="I12" s="13">
        <v>545</v>
      </c>
      <c r="J12" s="1475">
        <f>I12*1.1</f>
        <v>599.5</v>
      </c>
      <c r="K12" s="14"/>
      <c r="L12" s="393"/>
      <c r="M12" s="393"/>
      <c r="N12" s="4"/>
      <c r="O12" s="4"/>
      <c r="P12" s="4"/>
      <c r="Q12" s="4"/>
    </row>
    <row r="13" spans="1:19" ht="16.8">
      <c r="A13" s="10"/>
      <c r="B13" s="11" t="s">
        <v>1202</v>
      </c>
      <c r="C13" s="12"/>
      <c r="D13" s="12">
        <v>1</v>
      </c>
      <c r="E13" s="22"/>
      <c r="F13" s="22"/>
      <c r="G13" s="13"/>
      <c r="H13" s="13"/>
      <c r="I13" s="13">
        <v>375</v>
      </c>
      <c r="J13" s="1475">
        <f>I13*1.1</f>
        <v>412.50000000000006</v>
      </c>
      <c r="K13" s="12" t="s">
        <v>750</v>
      </c>
      <c r="L13" s="497"/>
      <c r="M13" s="497"/>
      <c r="N13" s="4"/>
      <c r="O13" s="4"/>
      <c r="P13" s="4"/>
      <c r="Q13" s="4"/>
    </row>
    <row r="14" spans="1:19" ht="16.8">
      <c r="A14" s="10"/>
      <c r="B14" s="11"/>
      <c r="C14" s="12"/>
      <c r="D14" s="12"/>
      <c r="E14" s="22"/>
      <c r="F14" s="22"/>
      <c r="G14" s="13"/>
      <c r="H14" s="13"/>
      <c r="I14" s="13"/>
      <c r="J14" s="13"/>
      <c r="K14" s="12"/>
      <c r="L14" s="497"/>
      <c r="M14" s="497"/>
      <c r="N14" s="4"/>
      <c r="O14" s="4"/>
      <c r="P14" s="4"/>
      <c r="Q14" s="4"/>
    </row>
    <row r="15" spans="1:19" ht="16.8">
      <c r="A15" s="10"/>
      <c r="B15" s="14"/>
      <c r="C15" s="12"/>
      <c r="D15" s="12"/>
      <c r="E15" s="13"/>
      <c r="F15" s="13"/>
      <c r="G15" s="13"/>
      <c r="H15" s="13"/>
      <c r="I15" s="536" t="s">
        <v>20</v>
      </c>
      <c r="J15" s="354">
        <f>SUM(J12:J14)</f>
        <v>1012</v>
      </c>
      <c r="K15" s="16"/>
      <c r="L15" s="393">
        <v>40.5</v>
      </c>
      <c r="M15" s="393">
        <f>L15*J15</f>
        <v>40986</v>
      </c>
      <c r="N15" s="4"/>
      <c r="O15" s="4"/>
      <c r="P15" s="14" t="s">
        <v>751</v>
      </c>
      <c r="Q15" s="14" t="s">
        <v>752</v>
      </c>
      <c r="R15" s="381">
        <v>29.85</v>
      </c>
      <c r="S15" s="386">
        <f>J15*R15</f>
        <v>30208.2</v>
      </c>
    </row>
    <row r="16" spans="1:19" ht="16.8">
      <c r="A16" s="5">
        <f>A11+1</f>
        <v>2</v>
      </c>
      <c r="B16" s="6" t="s">
        <v>492</v>
      </c>
      <c r="C16" s="7" t="s">
        <v>21</v>
      </c>
      <c r="D16" s="7"/>
      <c r="E16" s="8"/>
      <c r="F16" s="8"/>
      <c r="G16" s="8"/>
      <c r="H16" s="8"/>
      <c r="I16" s="8"/>
      <c r="J16" s="8"/>
      <c r="K16" s="387"/>
      <c r="L16" s="823"/>
      <c r="M16" s="778"/>
      <c r="N16" s="4" t="s">
        <v>753</v>
      </c>
      <c r="O16" s="4"/>
      <c r="P16" s="14"/>
      <c r="Q16" s="14"/>
    </row>
    <row r="17" spans="1:19" ht="16.8">
      <c r="A17" s="10"/>
      <c r="B17" s="11" t="s">
        <v>2498</v>
      </c>
      <c r="C17" s="12"/>
      <c r="D17" s="12">
        <v>1</v>
      </c>
      <c r="E17" s="393"/>
      <c r="F17" s="13">
        <v>15.85</v>
      </c>
      <c r="G17" s="13"/>
      <c r="H17" s="13"/>
      <c r="I17" s="388">
        <v>27</v>
      </c>
      <c r="J17" s="798">
        <f>I17*F17*D17</f>
        <v>427.95</v>
      </c>
      <c r="K17" s="10"/>
      <c r="L17" s="825"/>
      <c r="M17" s="393"/>
      <c r="N17" s="4" t="s">
        <v>754</v>
      </c>
      <c r="O17" s="4"/>
      <c r="P17" s="14" t="s">
        <v>752</v>
      </c>
      <c r="Q17" s="4" t="s">
        <v>755</v>
      </c>
    </row>
    <row r="18" spans="1:19" ht="16.8">
      <c r="A18" s="10"/>
      <c r="B18" s="11" t="s">
        <v>2497</v>
      </c>
      <c r="C18" s="12"/>
      <c r="D18" s="12">
        <v>1</v>
      </c>
      <c r="E18" s="393">
        <v>35.68</v>
      </c>
      <c r="F18" s="13"/>
      <c r="G18" s="13"/>
      <c r="H18" s="13"/>
      <c r="I18" s="388">
        <f>AVERAGE(138,51,50)</f>
        <v>79.666666666666671</v>
      </c>
      <c r="J18" s="798">
        <f>I18*E18</f>
        <v>2842.5066666666667</v>
      </c>
      <c r="K18" s="10"/>
      <c r="L18" s="825"/>
      <c r="M18" s="393"/>
      <c r="N18" s="4"/>
      <c r="O18" s="4"/>
      <c r="P18" s="4"/>
      <c r="Q18" s="4"/>
    </row>
    <row r="19" spans="1:19" ht="16.8">
      <c r="A19" s="10"/>
      <c r="B19" s="11" t="s">
        <v>1202</v>
      </c>
      <c r="C19" s="12"/>
      <c r="D19" s="12">
        <v>1</v>
      </c>
      <c r="E19" s="393">
        <v>35.9</v>
      </c>
      <c r="F19" s="13"/>
      <c r="G19" s="13"/>
      <c r="H19" s="13"/>
      <c r="I19" s="388">
        <v>230</v>
      </c>
      <c r="J19" s="798">
        <f>I19*E19</f>
        <v>8257</v>
      </c>
      <c r="K19" s="10"/>
      <c r="L19" s="825"/>
      <c r="M19" s="393"/>
      <c r="N19" s="4"/>
      <c r="O19" s="4"/>
      <c r="P19" s="4"/>
      <c r="Q19" s="4"/>
    </row>
    <row r="20" spans="1:19" ht="16.8">
      <c r="A20" s="10"/>
      <c r="B20" s="14"/>
      <c r="C20" s="12"/>
      <c r="D20" s="12"/>
      <c r="E20" s="13"/>
      <c r="F20" s="13"/>
      <c r="G20" s="13"/>
      <c r="H20" s="13"/>
      <c r="I20" s="536" t="s">
        <v>20</v>
      </c>
      <c r="J20" s="354">
        <f>AVERAGE(J17:J19)</f>
        <v>3842.4855555555555</v>
      </c>
      <c r="K20" s="17"/>
      <c r="L20" s="393"/>
      <c r="M20" s="393"/>
      <c r="N20" s="4"/>
      <c r="O20" s="4"/>
      <c r="P20" s="4"/>
      <c r="Q20" s="4"/>
      <c r="R20" s="381">
        <v>377.19</v>
      </c>
      <c r="S20" s="386">
        <f>J20*R20</f>
        <v>1449347.1266999999</v>
      </c>
    </row>
    <row r="21" spans="1:19" ht="16.8">
      <c r="A21" s="10"/>
      <c r="B21" s="14"/>
      <c r="C21" s="12"/>
      <c r="D21" s="12"/>
      <c r="E21" s="13"/>
      <c r="F21" s="13"/>
      <c r="G21" s="13"/>
      <c r="H21" s="13"/>
      <c r="I21" s="15"/>
      <c r="J21" s="354">
        <f>50%*J20</f>
        <v>1921.2427777777777</v>
      </c>
      <c r="K21" s="17" t="s">
        <v>1231</v>
      </c>
      <c r="L21" s="393">
        <v>320</v>
      </c>
      <c r="M21" s="393">
        <f t="shared" ref="M21:M75" si="0">L21*J21</f>
        <v>614797.68888888892</v>
      </c>
      <c r="N21" s="4"/>
      <c r="O21" s="4"/>
      <c r="P21" s="4"/>
      <c r="Q21" s="4"/>
      <c r="S21" s="386"/>
    </row>
    <row r="22" spans="1:19" ht="16.8">
      <c r="A22" s="10"/>
      <c r="B22" s="14"/>
      <c r="C22" s="12"/>
      <c r="D22" s="12"/>
      <c r="E22" s="13"/>
      <c r="F22" s="13"/>
      <c r="G22" s="13"/>
      <c r="H22" s="13"/>
      <c r="I22" s="15"/>
      <c r="J22" s="354">
        <f>50%*J20</f>
        <v>1921.2427777777777</v>
      </c>
      <c r="K22" s="17" t="s">
        <v>1236</v>
      </c>
      <c r="L22" s="393">
        <v>1350</v>
      </c>
      <c r="M22" s="393">
        <f t="shared" si="0"/>
        <v>2593677.75</v>
      </c>
      <c r="N22" s="4"/>
      <c r="O22" s="4"/>
      <c r="P22" s="4"/>
      <c r="Q22" s="4"/>
      <c r="S22" s="386"/>
    </row>
    <row r="23" spans="1:19" ht="16.8">
      <c r="A23" s="5">
        <v>3</v>
      </c>
      <c r="B23" s="6" t="s">
        <v>972</v>
      </c>
      <c r="C23" s="7"/>
      <c r="D23" s="7"/>
      <c r="E23" s="8"/>
      <c r="F23" s="8"/>
      <c r="G23" s="8"/>
      <c r="H23" s="8"/>
      <c r="I23" s="391"/>
      <c r="J23" s="385"/>
      <c r="K23" s="392"/>
      <c r="L23" s="778"/>
      <c r="M23" s="778"/>
      <c r="N23" s="4"/>
      <c r="O23" s="4"/>
      <c r="P23" s="4"/>
      <c r="Q23" s="4"/>
      <c r="S23" s="386"/>
    </row>
    <row r="24" spans="1:19" ht="16.8">
      <c r="A24" s="10"/>
      <c r="B24" s="14" t="s">
        <v>2498</v>
      </c>
      <c r="C24" s="12"/>
      <c r="D24" s="12">
        <v>1</v>
      </c>
      <c r="E24" s="13"/>
      <c r="F24" s="13">
        <f>F17</f>
        <v>15.85</v>
      </c>
      <c r="G24" s="13"/>
      <c r="H24" s="13"/>
      <c r="I24" s="15">
        <v>15</v>
      </c>
      <c r="J24" s="344">
        <f>I24*F24*D24</f>
        <v>237.75</v>
      </c>
      <c r="K24" s="17"/>
      <c r="L24" s="393"/>
      <c r="M24" s="393"/>
      <c r="N24" s="4"/>
      <c r="O24" s="4"/>
      <c r="P24" s="4"/>
      <c r="Q24" s="4"/>
      <c r="S24" s="386"/>
    </row>
    <row r="25" spans="1:19" ht="16.8">
      <c r="A25" s="10"/>
      <c r="B25" s="14" t="s">
        <v>1202</v>
      </c>
      <c r="C25" s="12"/>
      <c r="D25" s="12">
        <v>1</v>
      </c>
      <c r="E25" s="13"/>
      <c r="F25" s="13">
        <v>21</v>
      </c>
      <c r="G25" s="13"/>
      <c r="H25" s="13"/>
      <c r="I25" s="15">
        <v>9</v>
      </c>
      <c r="J25" s="344">
        <f>I25*F25*D25</f>
        <v>189</v>
      </c>
      <c r="K25" s="17"/>
      <c r="L25" s="393"/>
      <c r="M25" s="393"/>
      <c r="N25" s="4"/>
      <c r="O25" s="4"/>
      <c r="P25" s="4"/>
      <c r="Q25" s="4"/>
      <c r="S25" s="386"/>
    </row>
    <row r="26" spans="1:19" ht="16.8">
      <c r="A26" s="10"/>
      <c r="B26" s="14"/>
      <c r="C26" s="12"/>
      <c r="D26" s="12"/>
      <c r="E26" s="13"/>
      <c r="F26" s="13"/>
      <c r="G26" s="13"/>
      <c r="H26" s="13"/>
      <c r="I26" s="536" t="s">
        <v>20</v>
      </c>
      <c r="J26" s="354">
        <f>SUM(J24:J25)</f>
        <v>426.75</v>
      </c>
      <c r="K26" s="17" t="s">
        <v>973</v>
      </c>
      <c r="L26" s="393">
        <v>210</v>
      </c>
      <c r="M26" s="393">
        <f t="shared" si="0"/>
        <v>89617.5</v>
      </c>
      <c r="N26" s="4"/>
      <c r="O26" s="4"/>
      <c r="P26" s="4"/>
      <c r="Q26" s="4"/>
      <c r="S26" s="386"/>
    </row>
    <row r="27" spans="1:19" ht="16.8">
      <c r="A27" s="10"/>
      <c r="B27" s="14"/>
      <c r="C27" s="12"/>
      <c r="D27" s="12"/>
      <c r="E27" s="13"/>
      <c r="F27" s="13"/>
      <c r="G27" s="13"/>
      <c r="H27" s="13"/>
      <c r="I27" s="536"/>
      <c r="J27" s="355"/>
      <c r="K27" s="17"/>
      <c r="L27" s="393"/>
      <c r="M27" s="393"/>
      <c r="N27" s="4"/>
      <c r="O27" s="4"/>
      <c r="P27" s="4"/>
      <c r="Q27" s="4"/>
      <c r="S27" s="386"/>
    </row>
    <row r="28" spans="1:19" ht="16.8">
      <c r="A28" s="5">
        <v>4</v>
      </c>
      <c r="B28" s="390" t="s">
        <v>309</v>
      </c>
      <c r="C28" s="7"/>
      <c r="D28" s="7"/>
      <c r="E28" s="8"/>
      <c r="F28" s="8"/>
      <c r="G28" s="8"/>
      <c r="H28" s="8"/>
      <c r="I28" s="391"/>
      <c r="J28" s="385"/>
      <c r="K28" s="392"/>
      <c r="L28" s="778"/>
      <c r="M28" s="778"/>
      <c r="N28" s="4"/>
      <c r="O28" s="4"/>
      <c r="P28" s="4"/>
      <c r="Q28" s="4"/>
    </row>
    <row r="29" spans="1:19" ht="16.8">
      <c r="A29" s="10"/>
      <c r="B29" s="405" t="s">
        <v>2498</v>
      </c>
      <c r="C29" s="10"/>
      <c r="D29" s="10"/>
      <c r="E29" s="13"/>
      <c r="F29" s="10"/>
      <c r="G29" s="10"/>
      <c r="H29" s="13"/>
      <c r="I29" s="13"/>
      <c r="J29" s="13"/>
      <c r="K29" s="10"/>
      <c r="L29" s="825"/>
      <c r="M29" s="393"/>
      <c r="N29" s="4"/>
      <c r="O29" s="4"/>
      <c r="P29" s="4"/>
      <c r="Q29" s="4"/>
    </row>
    <row r="30" spans="1:19" ht="16.8">
      <c r="A30" s="10"/>
      <c r="B30" s="18" t="s">
        <v>2499</v>
      </c>
      <c r="C30" s="12"/>
      <c r="D30" s="12">
        <v>2</v>
      </c>
      <c r="E30" s="13"/>
      <c r="F30" s="13">
        <f>F17</f>
        <v>15.85</v>
      </c>
      <c r="G30" s="13">
        <v>4</v>
      </c>
      <c r="H30" s="13"/>
      <c r="I30" s="13">
        <f>G30*F30</f>
        <v>63.4</v>
      </c>
      <c r="J30" s="13">
        <f>I30*D30</f>
        <v>126.8</v>
      </c>
      <c r="K30" s="14"/>
      <c r="L30" s="393"/>
      <c r="M30" s="393"/>
      <c r="N30" s="4"/>
      <c r="O30" s="4"/>
      <c r="P30" s="4"/>
      <c r="Q30" s="4"/>
    </row>
    <row r="31" spans="1:19" ht="16.8">
      <c r="A31" s="10"/>
      <c r="B31" s="18" t="s">
        <v>2500</v>
      </c>
      <c r="C31" s="12"/>
      <c r="D31" s="12">
        <v>2</v>
      </c>
      <c r="E31" s="13"/>
      <c r="F31" s="13"/>
      <c r="G31" s="13"/>
      <c r="H31" s="13"/>
      <c r="I31" s="13">
        <v>7.6230000000000002</v>
      </c>
      <c r="J31" s="13">
        <f>I31*D31</f>
        <v>15.246</v>
      </c>
      <c r="K31" s="14"/>
      <c r="L31" s="393"/>
      <c r="M31" s="393"/>
      <c r="N31" s="4"/>
      <c r="O31" s="4"/>
      <c r="P31" s="4"/>
      <c r="Q31" s="4"/>
    </row>
    <row r="32" spans="1:19" ht="16.8">
      <c r="A32" s="10"/>
      <c r="B32" s="405" t="s">
        <v>1199</v>
      </c>
      <c r="C32" s="12"/>
      <c r="D32" s="12"/>
      <c r="E32" s="13"/>
      <c r="F32" s="13"/>
      <c r="G32" s="13"/>
      <c r="H32" s="13"/>
      <c r="I32" s="13"/>
      <c r="J32" s="13"/>
      <c r="K32" s="14"/>
      <c r="L32" s="393"/>
      <c r="M32" s="393"/>
      <c r="N32" s="4"/>
      <c r="O32" s="4"/>
      <c r="P32" s="4"/>
      <c r="Q32" s="4"/>
    </row>
    <row r="33" spans="1:19" ht="16.8">
      <c r="A33" s="10"/>
      <c r="B33" s="18" t="s">
        <v>1200</v>
      </c>
      <c r="C33" s="12"/>
      <c r="D33" s="12">
        <v>1</v>
      </c>
      <c r="E33" s="13"/>
      <c r="F33" s="13">
        <v>15.37</v>
      </c>
      <c r="G33" s="13">
        <v>7.5</v>
      </c>
      <c r="H33" s="13"/>
      <c r="I33" s="13">
        <f>G33*F33</f>
        <v>115.27499999999999</v>
      </c>
      <c r="J33" s="13">
        <f>I33*D33</f>
        <v>115.27499999999999</v>
      </c>
      <c r="K33" s="14"/>
      <c r="L33" s="393"/>
      <c r="M33" s="393"/>
      <c r="N33" s="4"/>
      <c r="O33" s="4"/>
      <c r="P33" s="4"/>
      <c r="Q33" s="4"/>
    </row>
    <row r="34" spans="1:19" ht="16.8">
      <c r="A34" s="10"/>
      <c r="B34" s="18" t="s">
        <v>1201</v>
      </c>
      <c r="C34" s="12"/>
      <c r="D34" s="12">
        <v>1</v>
      </c>
      <c r="E34" s="13"/>
      <c r="F34" s="13">
        <v>12</v>
      </c>
      <c r="G34" s="13">
        <v>4.5</v>
      </c>
      <c r="H34" s="13"/>
      <c r="I34" s="13">
        <f>G34*F34</f>
        <v>54</v>
      </c>
      <c r="J34" s="13">
        <f>I34*D34</f>
        <v>54</v>
      </c>
      <c r="K34" s="14"/>
      <c r="L34" s="393"/>
      <c r="M34" s="393"/>
      <c r="N34" s="4"/>
      <c r="O34" s="4"/>
      <c r="P34" s="4"/>
      <c r="Q34" s="4"/>
    </row>
    <row r="35" spans="1:19" ht="16.8">
      <c r="A35" s="10"/>
      <c r="B35" s="18" t="s">
        <v>1198</v>
      </c>
      <c r="C35" s="12"/>
      <c r="D35" s="12">
        <v>2</v>
      </c>
      <c r="E35" s="13"/>
      <c r="F35" s="13"/>
      <c r="G35" s="13"/>
      <c r="H35" s="13"/>
      <c r="I35" s="13">
        <v>175.91300000000001</v>
      </c>
      <c r="J35" s="13">
        <f>I35*D35*0</f>
        <v>0</v>
      </c>
      <c r="K35" s="14"/>
      <c r="L35" s="393"/>
      <c r="M35" s="393"/>
      <c r="N35" s="4"/>
      <c r="O35" s="4"/>
      <c r="P35" s="4"/>
      <c r="Q35" s="4"/>
    </row>
    <row r="36" spans="1:19" ht="16.8">
      <c r="A36" s="10"/>
      <c r="B36" s="405" t="s">
        <v>1202</v>
      </c>
      <c r="C36" s="12"/>
      <c r="D36" s="12"/>
      <c r="E36" s="13"/>
      <c r="F36" s="13"/>
      <c r="G36" s="13"/>
      <c r="H36" s="13"/>
      <c r="I36" s="13"/>
      <c r="J36" s="13"/>
      <c r="K36" s="14"/>
      <c r="L36" s="393"/>
      <c r="M36" s="393"/>
      <c r="N36" s="4"/>
      <c r="O36" s="4"/>
      <c r="P36" s="4"/>
      <c r="Q36" s="4"/>
    </row>
    <row r="37" spans="1:19" ht="16.8">
      <c r="A37" s="10"/>
      <c r="B37" s="18" t="s">
        <v>2501</v>
      </c>
      <c r="C37" s="12"/>
      <c r="D37" s="12">
        <v>1</v>
      </c>
      <c r="E37" s="13"/>
      <c r="F37" s="13">
        <v>21</v>
      </c>
      <c r="G37" s="13">
        <v>4.5</v>
      </c>
      <c r="H37" s="13"/>
      <c r="I37" s="13">
        <f>G37*F37</f>
        <v>94.5</v>
      </c>
      <c r="J37" s="13">
        <f>I37*D37</f>
        <v>94.5</v>
      </c>
      <c r="K37" s="14"/>
      <c r="L37" s="393"/>
      <c r="M37" s="393"/>
      <c r="N37" s="4"/>
      <c r="O37" s="4"/>
      <c r="P37" s="4"/>
      <c r="Q37" s="4"/>
    </row>
    <row r="38" spans="1:19" ht="16.8">
      <c r="A38" s="10"/>
      <c r="B38" s="18" t="s">
        <v>2502</v>
      </c>
      <c r="C38" s="12"/>
      <c r="D38" s="12">
        <v>1</v>
      </c>
      <c r="E38" s="13"/>
      <c r="F38" s="13">
        <v>21</v>
      </c>
      <c r="G38" s="13">
        <v>5.6</v>
      </c>
      <c r="H38" s="13"/>
      <c r="I38" s="13">
        <f>G38*F38</f>
        <v>117.6</v>
      </c>
      <c r="J38" s="13">
        <f>I38*D38</f>
        <v>117.6</v>
      </c>
      <c r="K38" s="16"/>
      <c r="L38" s="393"/>
      <c r="M38" s="393"/>
      <c r="N38" s="4"/>
      <c r="O38" s="4"/>
      <c r="P38" s="4"/>
      <c r="Q38" s="4"/>
    </row>
    <row r="39" spans="1:19" ht="16.8">
      <c r="A39" s="10"/>
      <c r="B39" s="18" t="s">
        <v>1198</v>
      </c>
      <c r="C39" s="12"/>
      <c r="D39" s="12">
        <v>2</v>
      </c>
      <c r="E39" s="13"/>
      <c r="F39" s="13"/>
      <c r="G39" s="13"/>
      <c r="H39" s="13"/>
      <c r="I39" s="15">
        <v>129.27000000000001</v>
      </c>
      <c r="J39" s="344">
        <f>I39*D39*0</f>
        <v>0</v>
      </c>
      <c r="K39" s="16"/>
      <c r="L39" s="393"/>
      <c r="M39" s="393"/>
      <c r="N39" s="4"/>
      <c r="O39" s="4"/>
      <c r="P39" s="4"/>
      <c r="Q39" s="4"/>
    </row>
    <row r="40" spans="1:19" ht="16.8">
      <c r="A40" s="10"/>
      <c r="B40" s="100"/>
      <c r="C40" s="12"/>
      <c r="D40" s="12"/>
      <c r="E40" s="13"/>
      <c r="F40" s="13"/>
      <c r="G40" s="13"/>
      <c r="H40" s="13"/>
      <c r="I40" s="15" t="s">
        <v>20</v>
      </c>
      <c r="J40" s="354">
        <f>SUM(J30:J39)</f>
        <v>523.42099999999994</v>
      </c>
      <c r="K40" s="16"/>
      <c r="L40" s="393">
        <v>1285</v>
      </c>
      <c r="M40" s="393">
        <f t="shared" si="0"/>
        <v>672595.98499999987</v>
      </c>
      <c r="N40" s="4"/>
      <c r="O40" s="4"/>
      <c r="P40" s="4"/>
      <c r="Q40" s="4"/>
    </row>
    <row r="41" spans="1:19" ht="16.8">
      <c r="A41" s="10"/>
      <c r="B41" s="14"/>
      <c r="C41" s="12"/>
      <c r="D41" s="12"/>
      <c r="E41" s="13"/>
      <c r="F41" s="13"/>
      <c r="G41" s="13"/>
      <c r="H41" s="13"/>
      <c r="I41" s="15"/>
      <c r="J41" s="355"/>
      <c r="K41" s="16"/>
      <c r="L41" s="393"/>
      <c r="M41" s="393"/>
      <c r="N41" s="4"/>
      <c r="O41" s="4"/>
      <c r="P41" s="4"/>
      <c r="Q41" s="4"/>
    </row>
    <row r="42" spans="1:19" ht="16.8">
      <c r="A42" s="5">
        <v>5</v>
      </c>
      <c r="B42" s="6" t="s">
        <v>756</v>
      </c>
      <c r="C42" s="7" t="s">
        <v>19</v>
      </c>
      <c r="D42" s="7"/>
      <c r="E42" s="8"/>
      <c r="F42" s="8"/>
      <c r="G42" s="8"/>
      <c r="H42" s="8"/>
      <c r="I42" s="8"/>
      <c r="J42" s="385"/>
      <c r="K42" s="9"/>
      <c r="L42" s="778"/>
      <c r="M42" s="778"/>
      <c r="N42" s="4"/>
      <c r="O42" s="4"/>
      <c r="P42" s="4"/>
      <c r="Q42" s="4"/>
    </row>
    <row r="43" spans="1:19" ht="16.8">
      <c r="A43" s="10"/>
      <c r="B43" s="18" t="s">
        <v>2498</v>
      </c>
      <c r="C43" s="12"/>
      <c r="D43" s="12">
        <v>1</v>
      </c>
      <c r="E43" s="13">
        <v>2.4</v>
      </c>
      <c r="F43" s="13">
        <f>F17</f>
        <v>15.85</v>
      </c>
      <c r="G43" s="13">
        <v>7.4999999999999997E-2</v>
      </c>
      <c r="H43" s="13"/>
      <c r="I43" s="13">
        <f>G43*F43*E43</f>
        <v>2.8529999999999998</v>
      </c>
      <c r="J43" s="344">
        <f>I43*G43*D43</f>
        <v>0.21397499999999997</v>
      </c>
      <c r="K43" s="394" t="s">
        <v>750</v>
      </c>
      <c r="L43" s="825"/>
      <c r="M43" s="393"/>
      <c r="N43" s="4"/>
      <c r="O43" s="4"/>
      <c r="P43" s="4"/>
      <c r="Q43" s="4"/>
    </row>
    <row r="44" spans="1:19" ht="16.8">
      <c r="A44" s="10"/>
      <c r="B44" s="18" t="s">
        <v>1199</v>
      </c>
      <c r="C44" s="12"/>
      <c r="D44" s="12">
        <v>1</v>
      </c>
      <c r="E44" s="13">
        <v>42.5</v>
      </c>
      <c r="F44" s="13">
        <v>13.8</v>
      </c>
      <c r="G44" s="13">
        <v>7.4999999999999997E-2</v>
      </c>
      <c r="H44" s="13"/>
      <c r="I44" s="13">
        <f t="shared" ref="I44:I45" si="1">G44*F44*E44</f>
        <v>43.987499999999997</v>
      </c>
      <c r="J44" s="344">
        <f>I44*G44*D44</f>
        <v>3.2990624999999998</v>
      </c>
      <c r="K44" s="394"/>
      <c r="L44" s="825"/>
      <c r="M44" s="393"/>
      <c r="N44" s="4"/>
      <c r="O44" s="4"/>
      <c r="P44" s="4"/>
      <c r="Q44" s="4"/>
    </row>
    <row r="45" spans="1:19" ht="16.8">
      <c r="A45" s="10"/>
      <c r="B45" s="18" t="s">
        <v>1202</v>
      </c>
      <c r="C45" s="12"/>
      <c r="D45" s="12">
        <v>1</v>
      </c>
      <c r="E45" s="13">
        <v>37</v>
      </c>
      <c r="F45" s="13">
        <f>F37</f>
        <v>21</v>
      </c>
      <c r="G45" s="13">
        <v>7.4999999999999997E-2</v>
      </c>
      <c r="H45" s="13"/>
      <c r="I45" s="13">
        <f t="shared" si="1"/>
        <v>58.274999999999999</v>
      </c>
      <c r="J45" s="344">
        <f>I45*G45*D45</f>
        <v>4.3706249999999995</v>
      </c>
      <c r="K45" s="394"/>
      <c r="L45" s="825"/>
      <c r="M45" s="393"/>
      <c r="N45" s="4"/>
      <c r="O45" s="4"/>
      <c r="P45" s="4"/>
      <c r="Q45" s="4"/>
    </row>
    <row r="46" spans="1:19" ht="16.8">
      <c r="A46" s="10"/>
      <c r="B46" s="14"/>
      <c r="C46" s="12"/>
      <c r="D46" s="12"/>
      <c r="E46" s="13"/>
      <c r="F46" s="13"/>
      <c r="G46" s="13"/>
      <c r="H46" s="13"/>
      <c r="I46" s="15" t="s">
        <v>20</v>
      </c>
      <c r="J46" s="354">
        <f>SUM(J43:J45)</f>
        <v>7.8836624999999998</v>
      </c>
      <c r="K46" s="16"/>
      <c r="L46" s="393">
        <v>13500</v>
      </c>
      <c r="M46" s="393">
        <f t="shared" si="0"/>
        <v>106429.44374999999</v>
      </c>
      <c r="N46" s="4"/>
      <c r="O46" s="4" t="s">
        <v>757</v>
      </c>
      <c r="P46" s="4"/>
      <c r="Q46" s="4"/>
      <c r="R46" s="381">
        <v>14630.41</v>
      </c>
      <c r="S46" s="386">
        <f>J46*R46</f>
        <v>115341.21467662499</v>
      </c>
    </row>
    <row r="47" spans="1:19" ht="16.8">
      <c r="A47" s="5">
        <f>A42+1</f>
        <v>6</v>
      </c>
      <c r="B47" s="6" t="s">
        <v>29</v>
      </c>
      <c r="C47" s="7" t="s">
        <v>21</v>
      </c>
      <c r="D47" s="7"/>
      <c r="E47" s="8"/>
      <c r="F47" s="8"/>
      <c r="G47" s="8"/>
      <c r="H47" s="8"/>
      <c r="I47" s="8"/>
      <c r="J47" s="385"/>
      <c r="K47" s="9"/>
      <c r="L47" s="778"/>
      <c r="M47" s="778"/>
      <c r="N47" s="4"/>
      <c r="O47" s="4"/>
      <c r="P47" s="4"/>
      <c r="Q47" s="4"/>
    </row>
    <row r="48" spans="1:19" ht="16.8">
      <c r="A48" s="10"/>
      <c r="B48" s="802" t="s">
        <v>2498</v>
      </c>
      <c r="C48" s="12"/>
      <c r="D48" s="12">
        <v>1</v>
      </c>
      <c r="E48" s="13"/>
      <c r="F48" s="13">
        <f>F17</f>
        <v>15.85</v>
      </c>
      <c r="G48" s="13"/>
      <c r="H48" s="13"/>
      <c r="I48" s="13">
        <v>7.6230000000000002</v>
      </c>
      <c r="J48" s="396">
        <f>F48*I48</f>
        <v>120.82455</v>
      </c>
      <c r="K48" s="14"/>
      <c r="L48" s="393"/>
      <c r="M48" s="393"/>
      <c r="N48" s="4"/>
      <c r="O48" s="4"/>
      <c r="P48" s="4"/>
      <c r="Q48" s="4"/>
    </row>
    <row r="49" spans="1:19" ht="16.8">
      <c r="A49" s="10"/>
      <c r="B49" s="802" t="s">
        <v>1199</v>
      </c>
      <c r="C49" s="12"/>
      <c r="D49" s="12"/>
      <c r="E49" s="13"/>
      <c r="F49" s="13"/>
      <c r="G49" s="13"/>
      <c r="H49" s="13"/>
      <c r="I49" s="13"/>
      <c r="J49" s="396"/>
      <c r="K49" s="14"/>
      <c r="L49" s="393"/>
      <c r="M49" s="393"/>
      <c r="N49" s="4"/>
      <c r="O49" s="4"/>
      <c r="P49" s="4"/>
      <c r="Q49" s="4"/>
    </row>
    <row r="50" spans="1:19" ht="16.8">
      <c r="A50" s="10"/>
      <c r="B50" s="11" t="s">
        <v>1199</v>
      </c>
      <c r="C50" s="12"/>
      <c r="D50" s="12">
        <v>1</v>
      </c>
      <c r="E50" s="13"/>
      <c r="F50" s="13">
        <f>14-2</f>
        <v>12</v>
      </c>
      <c r="G50" s="13"/>
      <c r="H50" s="13"/>
      <c r="I50" s="13">
        <f>I51-45.038</f>
        <v>130.875</v>
      </c>
      <c r="J50" s="396">
        <f t="shared" ref="J50:J51" si="2">F50*I50</f>
        <v>1570.5</v>
      </c>
      <c r="K50" s="14"/>
      <c r="L50" s="393"/>
      <c r="M50" s="393"/>
      <c r="N50" s="4"/>
      <c r="O50" s="4"/>
      <c r="P50" s="4"/>
      <c r="Q50" s="4"/>
    </row>
    <row r="51" spans="1:19" ht="16.8">
      <c r="A51" s="10"/>
      <c r="B51" s="11" t="s">
        <v>2503</v>
      </c>
      <c r="C51" s="12"/>
      <c r="D51" s="12">
        <v>1</v>
      </c>
      <c r="E51" s="13"/>
      <c r="F51" s="13">
        <v>2</v>
      </c>
      <c r="G51" s="13"/>
      <c r="H51" s="13"/>
      <c r="I51" s="13">
        <v>175.91300000000001</v>
      </c>
      <c r="J51" s="396">
        <f t="shared" si="2"/>
        <v>351.82600000000002</v>
      </c>
      <c r="K51" s="14"/>
      <c r="L51" s="393"/>
      <c r="M51" s="393"/>
      <c r="N51" s="4"/>
      <c r="O51" s="4"/>
      <c r="P51" s="4"/>
      <c r="Q51" s="4"/>
    </row>
    <row r="52" spans="1:19" ht="16.8">
      <c r="A52" s="10"/>
      <c r="B52" s="802" t="s">
        <v>1202</v>
      </c>
      <c r="C52" s="12"/>
      <c r="D52" s="12">
        <v>1</v>
      </c>
      <c r="E52" s="13"/>
      <c r="F52" s="13"/>
      <c r="G52" s="13"/>
      <c r="H52" s="13"/>
      <c r="I52" s="13"/>
      <c r="J52" s="396"/>
      <c r="K52" s="14"/>
      <c r="L52" s="393"/>
      <c r="M52" s="393"/>
      <c r="N52" s="4"/>
      <c r="O52" s="4"/>
      <c r="P52" s="4"/>
      <c r="Q52" s="4"/>
    </row>
    <row r="53" spans="1:19" ht="16.8">
      <c r="A53" s="10"/>
      <c r="B53" s="11" t="s">
        <v>1202</v>
      </c>
      <c r="C53" s="12"/>
      <c r="D53" s="12">
        <v>1</v>
      </c>
      <c r="E53" s="13"/>
      <c r="F53" s="13">
        <f>21-2</f>
        <v>19</v>
      </c>
      <c r="G53" s="13"/>
      <c r="H53" s="13"/>
      <c r="I53" s="13">
        <f>I54-65.482</f>
        <v>63.792000000000002</v>
      </c>
      <c r="J53" s="396">
        <f>I53*D53</f>
        <v>63.792000000000002</v>
      </c>
      <c r="K53" s="14"/>
      <c r="L53" s="393"/>
      <c r="M53" s="393"/>
      <c r="N53" s="4"/>
      <c r="O53" s="4"/>
      <c r="P53" s="4"/>
      <c r="Q53" s="4"/>
    </row>
    <row r="54" spans="1:19" ht="16.8">
      <c r="A54" s="10"/>
      <c r="B54" s="11" t="s">
        <v>2504</v>
      </c>
      <c r="C54" s="12"/>
      <c r="D54" s="12">
        <v>1</v>
      </c>
      <c r="E54" s="13"/>
      <c r="F54" s="13">
        <v>2</v>
      </c>
      <c r="G54" s="13"/>
      <c r="H54" s="13"/>
      <c r="I54" s="13">
        <v>129.274</v>
      </c>
      <c r="J54" s="396">
        <f>I54*D54</f>
        <v>129.274</v>
      </c>
      <c r="K54" s="14"/>
      <c r="L54" s="393"/>
      <c r="M54" s="393"/>
      <c r="N54" s="4"/>
      <c r="O54" s="4"/>
      <c r="P54" s="4"/>
      <c r="Q54" s="4"/>
    </row>
    <row r="55" spans="1:19" ht="16.8">
      <c r="A55" s="10"/>
      <c r="B55" s="18"/>
      <c r="C55" s="12"/>
      <c r="D55" s="12"/>
      <c r="E55" s="13"/>
      <c r="F55" s="13"/>
      <c r="G55" s="13"/>
      <c r="H55" s="13"/>
      <c r="I55" s="15" t="s">
        <v>20</v>
      </c>
      <c r="J55" s="397">
        <f>SUM(J48:J54)</f>
        <v>2236.2165500000001</v>
      </c>
      <c r="K55" s="14"/>
      <c r="L55" s="393">
        <v>17500</v>
      </c>
      <c r="M55" s="393">
        <f t="shared" si="0"/>
        <v>39133789.625</v>
      </c>
      <c r="N55" s="4"/>
      <c r="O55" s="4"/>
      <c r="P55" s="4"/>
      <c r="Q55" s="4"/>
      <c r="R55" s="381">
        <v>18524.060000000001</v>
      </c>
      <c r="S55" s="381">
        <f>J55*R55</f>
        <v>41423809.545193002</v>
      </c>
    </row>
    <row r="56" spans="1:19" ht="16.8">
      <c r="A56" s="5">
        <f>A47+1</f>
        <v>7</v>
      </c>
      <c r="B56" s="6" t="s">
        <v>2505</v>
      </c>
      <c r="C56" s="7" t="s">
        <v>21</v>
      </c>
      <c r="D56" s="7"/>
      <c r="E56" s="8"/>
      <c r="F56" s="8"/>
      <c r="G56" s="8"/>
      <c r="H56" s="8"/>
      <c r="I56" s="8"/>
      <c r="J56" s="385"/>
      <c r="K56" s="9"/>
      <c r="L56" s="778"/>
      <c r="M56" s="778"/>
      <c r="N56" s="398"/>
      <c r="O56" s="398"/>
      <c r="P56" s="4"/>
      <c r="Q56" s="4"/>
    </row>
    <row r="57" spans="1:19" ht="16.8">
      <c r="A57" s="10"/>
      <c r="B57" s="11" t="s">
        <v>2497</v>
      </c>
      <c r="C57" s="12"/>
      <c r="D57" s="12">
        <v>1</v>
      </c>
      <c r="E57" s="13"/>
      <c r="F57" s="13">
        <v>12</v>
      </c>
      <c r="G57" s="13"/>
      <c r="H57" s="13"/>
      <c r="I57" s="13">
        <v>45.037999999999997</v>
      </c>
      <c r="J57" s="396">
        <f>I57*F57</f>
        <v>540.4559999999999</v>
      </c>
      <c r="K57" s="14"/>
      <c r="L57" s="393"/>
      <c r="M57" s="393"/>
      <c r="N57" s="4"/>
      <c r="O57" s="4"/>
      <c r="P57" s="4"/>
      <c r="Q57" s="4"/>
    </row>
    <row r="58" spans="1:19" ht="16.8">
      <c r="A58" s="10"/>
      <c r="B58" s="11" t="s">
        <v>1202</v>
      </c>
      <c r="C58" s="12"/>
      <c r="D58" s="12">
        <v>1</v>
      </c>
      <c r="E58" s="13"/>
      <c r="F58" s="13">
        <v>19</v>
      </c>
      <c r="G58" s="13"/>
      <c r="H58" s="13"/>
      <c r="I58" s="13">
        <v>65.481999999999999</v>
      </c>
      <c r="J58" s="396">
        <f>I58*F58</f>
        <v>1244.1579999999999</v>
      </c>
      <c r="K58" s="14"/>
      <c r="L58" s="393"/>
      <c r="M58" s="393"/>
      <c r="N58" s="4"/>
      <c r="O58" s="4"/>
      <c r="P58" s="4"/>
      <c r="Q58" s="4"/>
    </row>
    <row r="59" spans="1:19" ht="16.8">
      <c r="A59" s="10"/>
      <c r="B59" s="18"/>
      <c r="C59" s="12"/>
      <c r="D59" s="12"/>
      <c r="E59" s="13"/>
      <c r="F59" s="13"/>
      <c r="G59" s="13"/>
      <c r="H59" s="13"/>
      <c r="I59" s="15" t="s">
        <v>20</v>
      </c>
      <c r="J59" s="397">
        <f>SUM(J57:J58)</f>
        <v>1784.6139999999998</v>
      </c>
      <c r="K59" s="14"/>
      <c r="L59" s="393">
        <v>15000</v>
      </c>
      <c r="M59" s="393">
        <f t="shared" si="0"/>
        <v>26769209.999999996</v>
      </c>
      <c r="N59" s="4"/>
      <c r="O59" s="4"/>
      <c r="P59" s="4"/>
      <c r="Q59" s="4"/>
      <c r="R59" s="381">
        <v>20967.580000000002</v>
      </c>
      <c r="S59" s="381">
        <f>J59*R59</f>
        <v>37419036.814120002</v>
      </c>
    </row>
    <row r="60" spans="1:19" s="1439" customFormat="1" ht="16.8">
      <c r="A60" s="5">
        <f>A56+1</f>
        <v>8</v>
      </c>
      <c r="B60" s="1442" t="s">
        <v>1693</v>
      </c>
      <c r="C60" s="7" t="s">
        <v>21</v>
      </c>
      <c r="D60" s="7"/>
      <c r="E60" s="8"/>
      <c r="F60" s="8"/>
      <c r="G60" s="8"/>
      <c r="H60" s="8"/>
      <c r="I60" s="391"/>
      <c r="J60" s="1441"/>
      <c r="K60" s="6"/>
      <c r="L60" s="778"/>
      <c r="M60" s="778"/>
      <c r="N60" s="1440"/>
      <c r="O60" s="1440"/>
      <c r="P60" s="1440"/>
      <c r="Q60" s="1440"/>
    </row>
    <row r="61" spans="1:19" s="1436" customFormat="1" ht="16.8">
      <c r="A61" s="1113"/>
      <c r="B61" s="1434" t="s">
        <v>2497</v>
      </c>
      <c r="C61" s="45"/>
      <c r="D61" s="45">
        <v>1</v>
      </c>
      <c r="E61" s="22">
        <v>27.5</v>
      </c>
      <c r="F61" s="22">
        <v>14</v>
      </c>
      <c r="G61" s="22">
        <v>0.5</v>
      </c>
      <c r="H61" s="1438"/>
      <c r="I61" s="977">
        <f>E61*F61</f>
        <v>385</v>
      </c>
      <c r="J61" s="1435">
        <f>I61*G61</f>
        <v>192.5</v>
      </c>
      <c r="K61" s="404"/>
      <c r="L61" s="1437"/>
      <c r="M61" s="1437"/>
      <c r="N61" s="21"/>
      <c r="O61" s="21"/>
      <c r="P61" s="21"/>
      <c r="Q61" s="21"/>
    </row>
    <row r="62" spans="1:19" s="1436" customFormat="1" ht="16.8">
      <c r="A62" s="1113"/>
      <c r="B62" s="1434" t="s">
        <v>1202</v>
      </c>
      <c r="C62" s="45"/>
      <c r="D62" s="45">
        <v>1</v>
      </c>
      <c r="E62" s="22">
        <v>5</v>
      </c>
      <c r="F62" s="22">
        <f>(F49+F50)/2</f>
        <v>6</v>
      </c>
      <c r="G62" s="22">
        <v>0.5</v>
      </c>
      <c r="H62" s="1438"/>
      <c r="I62" s="977">
        <f t="shared" ref="I62" si="3">E62*F62</f>
        <v>30</v>
      </c>
      <c r="J62" s="1435">
        <f t="shared" ref="J62" si="4">I62*G62</f>
        <v>15</v>
      </c>
      <c r="K62" s="404"/>
      <c r="L62" s="1437"/>
      <c r="M62" s="1437"/>
      <c r="N62" s="21"/>
      <c r="O62" s="21"/>
      <c r="P62" s="21"/>
      <c r="Q62" s="21"/>
    </row>
    <row r="63" spans="1:19" ht="16.8">
      <c r="A63" s="10"/>
      <c r="B63" s="1434"/>
      <c r="C63" s="12"/>
      <c r="D63" s="12"/>
      <c r="E63" s="13"/>
      <c r="F63" s="13"/>
      <c r="G63" s="13"/>
      <c r="H63" s="13"/>
      <c r="I63" s="15" t="s">
        <v>20</v>
      </c>
      <c r="J63" s="1433">
        <f>SUM(J61:J62)</f>
        <v>207.5</v>
      </c>
      <c r="K63" s="14"/>
      <c r="L63" s="393"/>
      <c r="M63" s="393"/>
      <c r="N63" s="4"/>
      <c r="O63" s="4"/>
      <c r="P63" s="4"/>
      <c r="Q63" s="4"/>
    </row>
    <row r="64" spans="1:19" ht="16.8">
      <c r="A64" s="5">
        <f>A60+1</f>
        <v>9</v>
      </c>
      <c r="B64" s="6" t="s">
        <v>2598</v>
      </c>
      <c r="C64" s="7" t="s">
        <v>21</v>
      </c>
      <c r="D64" s="7"/>
      <c r="E64" s="8"/>
      <c r="F64" s="8"/>
      <c r="G64" s="8"/>
      <c r="H64" s="8"/>
      <c r="I64" s="8"/>
      <c r="J64" s="8"/>
      <c r="K64" s="387"/>
      <c r="L64" s="823"/>
      <c r="M64" s="778"/>
      <c r="N64" s="4"/>
      <c r="O64" s="4"/>
      <c r="P64" s="4"/>
      <c r="Q64" s="4"/>
    </row>
    <row r="65" spans="1:19" ht="16.8">
      <c r="A65" s="10"/>
      <c r="B65" s="100" t="s">
        <v>2497</v>
      </c>
      <c r="C65" s="12"/>
      <c r="D65" s="12"/>
      <c r="E65" s="13"/>
      <c r="F65" s="13"/>
      <c r="G65" s="13"/>
      <c r="H65" s="13"/>
      <c r="I65" s="13"/>
      <c r="J65" s="13"/>
      <c r="K65" s="400"/>
      <c r="L65" s="826"/>
      <c r="M65" s="393"/>
      <c r="N65" s="4"/>
      <c r="O65" s="4"/>
      <c r="P65" s="4"/>
      <c r="Q65" s="4"/>
    </row>
    <row r="66" spans="1:19" ht="16.8">
      <c r="A66" s="10"/>
      <c r="B66" s="14" t="s">
        <v>2506</v>
      </c>
      <c r="C66" s="12">
        <f>CEILING(F66/2.4,1)</f>
        <v>6</v>
      </c>
      <c r="D66" s="12"/>
      <c r="E66" s="13"/>
      <c r="F66" s="13">
        <v>14</v>
      </c>
      <c r="G66" s="13"/>
      <c r="H66" s="13"/>
      <c r="I66" s="13">
        <f>0.4*0.5</f>
        <v>0.2</v>
      </c>
      <c r="J66" s="13">
        <f>I66*E67*C66</f>
        <v>33</v>
      </c>
      <c r="K66" s="400"/>
      <c r="L66" s="826"/>
      <c r="M66" s="393"/>
      <c r="N66" s="4"/>
      <c r="O66" s="4"/>
      <c r="P66" s="4"/>
      <c r="Q66" s="4"/>
    </row>
    <row r="67" spans="1:19" ht="16.8">
      <c r="A67" s="10"/>
      <c r="B67" s="14" t="s">
        <v>548</v>
      </c>
      <c r="C67" s="12">
        <f>CEILING(E67/2.4,1)</f>
        <v>12</v>
      </c>
      <c r="D67" s="12"/>
      <c r="E67" s="13">
        <v>27.5</v>
      </c>
      <c r="F67" s="13"/>
      <c r="G67" s="13"/>
      <c r="H67" s="13"/>
      <c r="I67" s="13">
        <f t="shared" ref="I67:I70" si="5">0.4*0.5</f>
        <v>0.2</v>
      </c>
      <c r="J67" s="13">
        <f>I67*F66*C67</f>
        <v>33.6</v>
      </c>
      <c r="K67" s="400"/>
      <c r="L67" s="826"/>
      <c r="M67" s="393"/>
      <c r="N67" s="4"/>
      <c r="O67" s="4"/>
      <c r="P67" s="4"/>
      <c r="Q67" s="4"/>
    </row>
    <row r="68" spans="1:19" ht="16.8">
      <c r="A68" s="10"/>
      <c r="B68" s="100" t="s">
        <v>1202</v>
      </c>
      <c r="C68" s="12"/>
      <c r="D68" s="12"/>
      <c r="E68" s="13"/>
      <c r="F68" s="13"/>
      <c r="G68" s="13"/>
      <c r="H68" s="13"/>
      <c r="I68" s="13"/>
      <c r="J68" s="13"/>
      <c r="K68" s="400"/>
      <c r="L68" s="826"/>
      <c r="M68" s="393"/>
      <c r="N68" s="4"/>
      <c r="O68" s="4"/>
      <c r="P68" s="4"/>
      <c r="Q68" s="4"/>
    </row>
    <row r="69" spans="1:19" ht="16.8">
      <c r="A69" s="10"/>
      <c r="B69" s="1434" t="s">
        <v>2506</v>
      </c>
      <c r="C69" s="12">
        <f>CEILING(F69/2.4,1)</f>
        <v>9</v>
      </c>
      <c r="D69" s="12"/>
      <c r="E69" s="13"/>
      <c r="F69" s="13">
        <v>21</v>
      </c>
      <c r="G69" s="13"/>
      <c r="H69" s="13"/>
      <c r="I69" s="13">
        <f t="shared" si="5"/>
        <v>0.2</v>
      </c>
      <c r="J69" s="13">
        <f>I69*E70*C69</f>
        <v>9</v>
      </c>
      <c r="K69" s="14"/>
      <c r="L69" s="393"/>
      <c r="M69" s="393"/>
      <c r="N69" s="4"/>
      <c r="O69" s="4"/>
      <c r="P69" s="4"/>
      <c r="Q69" s="4"/>
    </row>
    <row r="70" spans="1:19" ht="16.8">
      <c r="A70" s="10"/>
      <c r="B70" s="1434" t="s">
        <v>548</v>
      </c>
      <c r="C70" s="12">
        <f>CEILING(E70/2.4,1)</f>
        <v>3</v>
      </c>
      <c r="D70" s="12"/>
      <c r="E70" s="13">
        <v>5</v>
      </c>
      <c r="F70" s="13"/>
      <c r="G70" s="13"/>
      <c r="H70" s="13"/>
      <c r="I70" s="13">
        <f t="shared" si="5"/>
        <v>0.2</v>
      </c>
      <c r="J70" s="13">
        <f>I70*F69*C70</f>
        <v>12.600000000000001</v>
      </c>
      <c r="K70" s="14"/>
      <c r="L70" s="393"/>
      <c r="M70" s="393"/>
      <c r="N70" s="4"/>
      <c r="O70" s="4"/>
      <c r="P70" s="4"/>
      <c r="Q70" s="4"/>
    </row>
    <row r="71" spans="1:19" ht="16.8">
      <c r="A71" s="10"/>
      <c r="B71" s="1434"/>
      <c r="C71" s="12"/>
      <c r="D71" s="12"/>
      <c r="E71" s="13"/>
      <c r="F71" s="13"/>
      <c r="G71" s="13"/>
      <c r="H71" s="13"/>
      <c r="I71" s="15" t="s">
        <v>20</v>
      </c>
      <c r="J71" s="1433">
        <f>SUM(J66:J70)</f>
        <v>88.199999999999989</v>
      </c>
      <c r="K71" s="14"/>
      <c r="L71" s="393"/>
      <c r="M71" s="393"/>
      <c r="N71" s="4"/>
      <c r="O71" s="4"/>
      <c r="P71" s="4"/>
      <c r="Q71" s="4"/>
    </row>
    <row r="72" spans="1:19" ht="16.8">
      <c r="A72" s="5">
        <f>A64+1</f>
        <v>10</v>
      </c>
      <c r="B72" s="6" t="s">
        <v>24</v>
      </c>
      <c r="C72" s="7" t="s">
        <v>25</v>
      </c>
      <c r="D72" s="7"/>
      <c r="E72" s="8"/>
      <c r="F72" s="8"/>
      <c r="G72" s="8"/>
      <c r="H72" s="8"/>
      <c r="I72" s="8"/>
      <c r="J72" s="8"/>
      <c r="K72" s="387"/>
      <c r="L72" s="823"/>
      <c r="M72" s="778"/>
      <c r="N72" s="4"/>
      <c r="O72" s="4"/>
      <c r="P72" s="4"/>
      <c r="Q72" s="4"/>
    </row>
    <row r="73" spans="1:19" ht="16.8">
      <c r="A73" s="10"/>
      <c r="B73" s="11" t="s">
        <v>758</v>
      </c>
      <c r="C73" s="12"/>
      <c r="D73" s="12"/>
      <c r="E73" s="399" t="s">
        <v>1492</v>
      </c>
      <c r="F73" s="13"/>
      <c r="G73" s="13"/>
      <c r="H73" s="13"/>
      <c r="I73" s="13"/>
      <c r="J73" s="13">
        <f>ROUND(0.75%*J55*7.85,2)</f>
        <v>131.66</v>
      </c>
      <c r="K73" s="400"/>
      <c r="L73" s="826"/>
      <c r="M73" s="393"/>
      <c r="N73" s="4"/>
      <c r="O73" s="4"/>
      <c r="P73" s="4"/>
      <c r="Q73" s="4"/>
    </row>
    <row r="74" spans="1:19" ht="16.8">
      <c r="A74" s="10"/>
      <c r="B74" s="1499" t="s">
        <v>2599</v>
      </c>
      <c r="C74" s="12"/>
      <c r="D74" s="12"/>
      <c r="E74" s="399" t="s">
        <v>2600</v>
      </c>
      <c r="F74" s="13"/>
      <c r="G74" s="13"/>
      <c r="H74" s="13"/>
      <c r="I74" s="13"/>
      <c r="J74" s="13">
        <f>ROUND(0.75%*J71*7.85,2)</f>
        <v>5.19</v>
      </c>
      <c r="K74" s="400"/>
      <c r="L74" s="826"/>
      <c r="M74" s="393"/>
      <c r="N74" s="4"/>
      <c r="O74" s="4"/>
      <c r="P74" s="4"/>
      <c r="Q74" s="4"/>
    </row>
    <row r="75" spans="1:19" ht="16.8">
      <c r="A75" s="10"/>
      <c r="B75" s="4"/>
      <c r="C75" s="12"/>
      <c r="D75" s="12"/>
      <c r="E75" s="13"/>
      <c r="F75" s="13"/>
      <c r="G75" s="13"/>
      <c r="H75" s="13"/>
      <c r="I75" s="15" t="s">
        <v>20</v>
      </c>
      <c r="J75" s="354">
        <f>SUM(J73:J74)</f>
        <v>136.85</v>
      </c>
      <c r="K75" s="14"/>
      <c r="L75" s="393">
        <v>130000</v>
      </c>
      <c r="M75" s="393">
        <f t="shared" si="0"/>
        <v>17790500</v>
      </c>
      <c r="N75" s="4"/>
      <c r="O75" s="399" t="s">
        <v>759</v>
      </c>
      <c r="P75" s="4"/>
      <c r="Q75" s="4"/>
      <c r="R75" s="381">
        <v>128761.68</v>
      </c>
      <c r="S75" s="386">
        <f>J75*R75</f>
        <v>17621035.908</v>
      </c>
    </row>
    <row r="76" spans="1:19" ht="16.8">
      <c r="A76" s="10"/>
      <c r="B76" s="14"/>
      <c r="C76" s="12"/>
      <c r="D76" s="12"/>
      <c r="E76" s="13"/>
      <c r="F76" s="13"/>
      <c r="G76" s="346"/>
      <c r="H76" s="13"/>
      <c r="I76" s="13"/>
      <c r="J76" s="13"/>
      <c r="K76" s="13"/>
      <c r="L76" s="393"/>
      <c r="M76" s="393"/>
      <c r="N76" s="4"/>
      <c r="O76" s="399" t="s">
        <v>760</v>
      </c>
      <c r="P76" s="4"/>
      <c r="Q76" s="4"/>
    </row>
    <row r="77" spans="1:19" ht="67.2">
      <c r="A77" s="352">
        <v>11</v>
      </c>
      <c r="B77" s="353" t="s">
        <v>740</v>
      </c>
      <c r="C77" s="353"/>
      <c r="D77" s="353"/>
      <c r="E77" s="353"/>
      <c r="F77" s="353"/>
      <c r="G77" s="353"/>
      <c r="H77" s="353"/>
      <c r="I77" s="353"/>
      <c r="J77" s="353"/>
      <c r="K77" s="353"/>
      <c r="L77" s="827"/>
      <c r="M77" s="827"/>
      <c r="N77" s="4"/>
      <c r="O77" s="4"/>
      <c r="S77" s="402">
        <f>SUM(S11:S76)</f>
        <v>98058778.808689624</v>
      </c>
    </row>
    <row r="78" spans="1:19" ht="16.8">
      <c r="A78" s="10">
        <f>A77+0.1</f>
        <v>11.1</v>
      </c>
      <c r="B78" s="14" t="s">
        <v>155</v>
      </c>
      <c r="C78" s="12" t="s">
        <v>27</v>
      </c>
      <c r="D78" s="12"/>
      <c r="E78" s="14"/>
      <c r="F78" s="14"/>
      <c r="G78" s="14"/>
      <c r="H78" s="14"/>
      <c r="I78" s="14"/>
      <c r="J78" s="14"/>
      <c r="K78" s="14"/>
      <c r="L78" s="393"/>
      <c r="M78" s="393"/>
      <c r="N78" s="4"/>
      <c r="O78" s="4"/>
    </row>
    <row r="79" spans="1:19" ht="16.8">
      <c r="A79" s="10"/>
      <c r="B79" s="14"/>
      <c r="C79" s="12"/>
      <c r="D79" s="12">
        <v>3</v>
      </c>
      <c r="E79" s="14">
        <v>14</v>
      </c>
      <c r="F79" s="14"/>
      <c r="G79" s="503"/>
      <c r="H79" s="14"/>
      <c r="I79" s="14"/>
      <c r="J79" s="14">
        <f>D79*E79</f>
        <v>42</v>
      </c>
      <c r="K79" s="14"/>
      <c r="L79" s="393"/>
      <c r="M79" s="393"/>
      <c r="N79" s="4"/>
      <c r="O79" s="4"/>
    </row>
    <row r="80" spans="1:19" ht="16.8">
      <c r="A80" s="10"/>
      <c r="B80" s="14"/>
      <c r="C80" s="12"/>
      <c r="D80" s="12"/>
      <c r="E80" s="13"/>
      <c r="F80" s="13"/>
      <c r="G80" s="346"/>
      <c r="H80" s="13"/>
      <c r="I80" s="13" t="s">
        <v>20</v>
      </c>
      <c r="J80" s="354">
        <f>SUM(J79:J79)</f>
        <v>42</v>
      </c>
      <c r="K80" s="13"/>
      <c r="L80" s="393">
        <v>1693</v>
      </c>
      <c r="M80" s="393">
        <f>L80*J80</f>
        <v>71106</v>
      </c>
      <c r="N80" s="4"/>
      <c r="O80" s="4"/>
    </row>
    <row r="81" spans="1:18" ht="16.8">
      <c r="A81" s="10"/>
      <c r="B81" s="14"/>
      <c r="C81" s="12"/>
      <c r="D81" s="12"/>
      <c r="E81" s="13"/>
      <c r="F81" s="13"/>
      <c r="G81" s="346"/>
      <c r="H81" s="13"/>
      <c r="I81" s="13"/>
      <c r="J81" s="355"/>
      <c r="K81" s="13"/>
      <c r="L81" s="393"/>
      <c r="M81" s="393"/>
      <c r="N81" s="4"/>
      <c r="O81" s="4"/>
    </row>
    <row r="82" spans="1:18" ht="16.8">
      <c r="A82" s="10">
        <f>A78+0.1</f>
        <v>11.2</v>
      </c>
      <c r="B82" s="14" t="s">
        <v>174</v>
      </c>
      <c r="C82" s="12" t="s">
        <v>27</v>
      </c>
      <c r="D82" s="12">
        <v>3</v>
      </c>
      <c r="E82" s="14">
        <f>E79</f>
        <v>14</v>
      </c>
      <c r="F82" s="14"/>
      <c r="G82" s="14"/>
      <c r="H82" s="14"/>
      <c r="I82" s="14"/>
      <c r="J82" s="14">
        <f>D82*E82</f>
        <v>42</v>
      </c>
      <c r="K82" s="14"/>
      <c r="L82" s="393"/>
      <c r="M82" s="393"/>
      <c r="N82" s="4"/>
      <c r="O82" s="4"/>
      <c r="P82" s="14" t="s">
        <v>762</v>
      </c>
      <c r="Q82" s="14"/>
      <c r="R82" s="403">
        <f>39.25*2.5+59.5</f>
        <v>157.625</v>
      </c>
    </row>
    <row r="83" spans="1:18" ht="16.8">
      <c r="A83" s="10"/>
      <c r="B83" s="14"/>
      <c r="C83" s="12"/>
      <c r="D83" s="12"/>
      <c r="E83" s="14"/>
      <c r="F83" s="14"/>
      <c r="G83" s="503"/>
      <c r="H83" s="14"/>
      <c r="I83" s="14"/>
      <c r="J83" s="14"/>
      <c r="K83" s="14"/>
      <c r="L83" s="393"/>
      <c r="M83" s="393"/>
      <c r="N83" s="4"/>
      <c r="O83" s="4"/>
      <c r="P83" s="14"/>
      <c r="Q83" s="14"/>
      <c r="R83" s="403"/>
    </row>
    <row r="84" spans="1:18" ht="16.8">
      <c r="A84" s="10"/>
      <c r="B84" s="14"/>
      <c r="C84" s="12"/>
      <c r="D84" s="12"/>
      <c r="E84" s="13"/>
      <c r="F84" s="13"/>
      <c r="G84" s="346"/>
      <c r="H84" s="13"/>
      <c r="I84" s="13" t="s">
        <v>20</v>
      </c>
      <c r="J84" s="354">
        <f>J82</f>
        <v>42</v>
      </c>
      <c r="K84" s="13"/>
      <c r="L84" s="393">
        <v>1245</v>
      </c>
      <c r="M84" s="393">
        <f>L84*J84</f>
        <v>52290</v>
      </c>
      <c r="N84" s="4"/>
      <c r="O84" s="4"/>
      <c r="P84" s="14" t="s">
        <v>763</v>
      </c>
      <c r="Q84" s="14"/>
      <c r="R84" s="403">
        <f>2*40</f>
        <v>80</v>
      </c>
    </row>
    <row r="85" spans="1:18" ht="16.8">
      <c r="A85" s="10"/>
      <c r="B85" s="14"/>
      <c r="C85" s="12"/>
      <c r="D85" s="12"/>
      <c r="E85" s="13"/>
      <c r="F85" s="13"/>
      <c r="G85" s="346"/>
      <c r="H85" s="13"/>
      <c r="I85" s="13"/>
      <c r="J85" s="355"/>
      <c r="K85" s="13"/>
      <c r="L85" s="393"/>
      <c r="M85" s="393"/>
      <c r="N85" s="4"/>
      <c r="O85" s="4"/>
      <c r="P85" s="4"/>
      <c r="Q85" s="4"/>
    </row>
    <row r="86" spans="1:18" ht="16.8">
      <c r="A86" s="10">
        <f>A82+0.1</f>
        <v>11.299999999999999</v>
      </c>
      <c r="B86" s="14" t="s">
        <v>741</v>
      </c>
      <c r="C86" s="12" t="s">
        <v>85</v>
      </c>
      <c r="D86" s="12">
        <v>3</v>
      </c>
      <c r="E86" s="14">
        <f>4.5*E82</f>
        <v>63</v>
      </c>
      <c r="F86" s="14"/>
      <c r="G86" s="14"/>
      <c r="H86" s="14"/>
      <c r="I86" s="14"/>
      <c r="J86" s="14">
        <f>D86*2*E86</f>
        <v>378</v>
      </c>
      <c r="K86" s="14"/>
      <c r="L86" s="393"/>
      <c r="M86" s="393"/>
      <c r="N86" s="4"/>
      <c r="O86" s="4"/>
      <c r="P86" s="4"/>
      <c r="Q86" s="4"/>
    </row>
    <row r="87" spans="1:18" ht="16.8">
      <c r="A87" s="10"/>
      <c r="B87" s="14"/>
      <c r="C87" s="12"/>
      <c r="D87" s="12"/>
      <c r="E87" s="14"/>
      <c r="F87" s="14"/>
      <c r="G87" s="503"/>
      <c r="H87" s="14"/>
      <c r="I87" s="14"/>
      <c r="J87" s="14"/>
      <c r="K87" s="14"/>
      <c r="L87" s="393"/>
      <c r="M87" s="393"/>
      <c r="N87" s="4"/>
      <c r="O87" s="4"/>
      <c r="P87" s="4"/>
      <c r="Q87" s="4"/>
    </row>
    <row r="88" spans="1:18" ht="16.8">
      <c r="A88" s="10"/>
      <c r="B88" s="14"/>
      <c r="C88" s="12"/>
      <c r="D88" s="12"/>
      <c r="E88" s="13"/>
      <c r="F88" s="13"/>
      <c r="G88" s="13"/>
      <c r="H88" s="13"/>
      <c r="I88" s="13" t="s">
        <v>20</v>
      </c>
      <c r="J88" s="354">
        <f>J86</f>
        <v>378</v>
      </c>
      <c r="K88" s="13"/>
      <c r="L88" s="393">
        <v>1208</v>
      </c>
      <c r="M88" s="393">
        <f>L88*J88</f>
        <v>456624</v>
      </c>
      <c r="N88" s="4"/>
      <c r="O88" s="4"/>
      <c r="P88" s="4"/>
      <c r="Q88" s="4"/>
    </row>
    <row r="89" spans="1:18" ht="16.8">
      <c r="A89" s="818"/>
      <c r="B89" s="4"/>
      <c r="C89" s="19"/>
      <c r="D89" s="19"/>
      <c r="E89" s="20"/>
      <c r="F89" s="20"/>
      <c r="G89" s="20"/>
      <c r="H89" s="20"/>
      <c r="I89" s="20"/>
      <c r="J89" s="829"/>
      <c r="K89" s="20"/>
      <c r="L89" s="830" t="s">
        <v>20</v>
      </c>
      <c r="M89" s="830">
        <f>SUM(M11:M88)</f>
        <v>88391623.992638886</v>
      </c>
      <c r="N89" s="4"/>
      <c r="O89" s="4"/>
      <c r="P89" s="4"/>
      <c r="Q89" s="4"/>
    </row>
    <row r="90" spans="1:18" ht="16.8">
      <c r="A90" s="818"/>
      <c r="B90" s="4"/>
      <c r="C90" s="19"/>
      <c r="D90" s="19"/>
      <c r="E90" s="20"/>
      <c r="F90" s="20"/>
      <c r="G90" s="20"/>
      <c r="H90" s="20"/>
      <c r="I90" s="20"/>
      <c r="J90" s="829"/>
      <c r="K90" s="20"/>
      <c r="L90" s="388"/>
      <c r="M90" s="388" t="s">
        <v>1238</v>
      </c>
      <c r="N90" s="4"/>
      <c r="O90" s="4"/>
      <c r="P90" s="4"/>
      <c r="Q90" s="4"/>
    </row>
    <row r="91" spans="1:18" ht="18">
      <c r="M91" s="828"/>
      <c r="N91" s="4"/>
      <c r="O91" s="4"/>
      <c r="P91" s="4"/>
      <c r="Q91" s="4"/>
    </row>
    <row r="94" spans="1:18" ht="18">
      <c r="G94" s="656">
        <v>1245</v>
      </c>
    </row>
    <row r="95" spans="1:18" ht="18">
      <c r="G95" s="656">
        <v>1208</v>
      </c>
    </row>
    <row r="96" spans="1:18" ht="18">
      <c r="G96" s="656">
        <v>1693</v>
      </c>
    </row>
  </sheetData>
  <printOptions horizontalCentered="1"/>
  <pageMargins left="0.7" right="0.7" top="0.71" bottom="0.59" header="0.3" footer="0.16"/>
  <pageSetup paperSize="9" scale="85" fitToHeight="10" orientation="landscape" r:id="rId1"/>
  <rowBreaks count="1" manualBreakCount="1">
    <brk id="75" max="10" man="1"/>
  </row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theme="9" tint="-0.499984740745262"/>
  </sheetPr>
  <dimension ref="A1:M89"/>
  <sheetViews>
    <sheetView workbookViewId="0"/>
  </sheetViews>
  <sheetFormatPr defaultRowHeight="13.2"/>
  <cols>
    <col min="1" max="1" width="12.109375" customWidth="1"/>
    <col min="2" max="2" width="35.33203125" bestFit="1" customWidth="1"/>
    <col min="3" max="3" width="6.109375" bestFit="1" customWidth="1"/>
    <col min="4" max="4" width="5.44140625" bestFit="1" customWidth="1"/>
    <col min="5" max="5" width="9.33203125" customWidth="1"/>
    <col min="6" max="6" width="10.33203125" customWidth="1"/>
    <col min="7" max="7" width="9.44140625" customWidth="1"/>
    <col min="8" max="8" width="13.33203125" customWidth="1"/>
    <col min="9" max="9" width="10.6640625" customWidth="1"/>
    <col min="10" max="10" width="14" bestFit="1" customWidth="1"/>
    <col min="11" max="11" width="17.88671875" customWidth="1"/>
    <col min="12" max="12" width="11.44140625" style="820" bestFit="1" customWidth="1"/>
    <col min="13" max="13" width="14.88671875" style="820" bestFit="1" customWidth="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2507</v>
      </c>
      <c r="C6" s="523"/>
      <c r="D6" s="537"/>
      <c r="E6" s="1223"/>
      <c r="J6" s="1276" t="s">
        <v>171</v>
      </c>
      <c r="K6" s="523" t="s">
        <v>1563</v>
      </c>
    </row>
    <row r="7" spans="1:13" s="520" customFormat="1" ht="19.2">
      <c r="A7" s="119" t="s">
        <v>4</v>
      </c>
      <c r="B7" s="1247"/>
      <c r="C7" s="523"/>
      <c r="D7" s="537"/>
      <c r="E7" s="1223"/>
      <c r="J7" s="1276" t="s">
        <v>106</v>
      </c>
      <c r="K7" s="1277">
        <f ca="1">TODAY()</f>
        <v>44942</v>
      </c>
    </row>
    <row r="8" spans="1:13" ht="16.8">
      <c r="A8" s="4"/>
      <c r="B8" s="55"/>
    </row>
    <row r="10" spans="1:13" ht="16.8">
      <c r="A10" s="800" t="s">
        <v>7</v>
      </c>
      <c r="B10" s="800" t="s">
        <v>8</v>
      </c>
      <c r="C10" s="800" t="s">
        <v>9</v>
      </c>
      <c r="D10" s="800" t="s">
        <v>10</v>
      </c>
      <c r="E10" s="801" t="s">
        <v>11</v>
      </c>
      <c r="F10" s="801" t="s">
        <v>12</v>
      </c>
      <c r="G10" s="801" t="s">
        <v>13</v>
      </c>
      <c r="H10" s="801" t="s">
        <v>14</v>
      </c>
      <c r="I10" s="801" t="s">
        <v>15</v>
      </c>
      <c r="J10" s="801" t="s">
        <v>16</v>
      </c>
      <c r="K10" s="831" t="s">
        <v>17</v>
      </c>
      <c r="L10" s="841" t="s">
        <v>1230</v>
      </c>
      <c r="M10" s="841" t="s">
        <v>304</v>
      </c>
    </row>
    <row r="11" spans="1:13" s="706" customFormat="1" ht="16.8">
      <c r="A11" s="441">
        <v>1</v>
      </c>
      <c r="B11" s="390" t="s">
        <v>18</v>
      </c>
      <c r="C11" s="707" t="s">
        <v>19</v>
      </c>
      <c r="D11" s="707"/>
      <c r="E11" s="708"/>
      <c r="F11" s="708"/>
      <c r="G11" s="708"/>
      <c r="H11" s="708"/>
      <c r="I11" s="708"/>
      <c r="J11" s="385"/>
      <c r="K11" s="832"/>
      <c r="L11" s="500"/>
      <c r="M11" s="500"/>
    </row>
    <row r="12" spans="1:13" ht="16.8">
      <c r="A12" s="10"/>
      <c r="B12" s="11" t="s">
        <v>551</v>
      </c>
      <c r="C12" s="12"/>
      <c r="D12" s="12">
        <v>1</v>
      </c>
      <c r="E12" s="13"/>
      <c r="F12" s="13"/>
      <c r="G12" s="13"/>
      <c r="H12" s="13"/>
      <c r="I12" s="13">
        <v>510</v>
      </c>
      <c r="J12" s="13">
        <f>I12*1.1</f>
        <v>561</v>
      </c>
      <c r="K12" s="1430"/>
      <c r="L12" s="497"/>
      <c r="M12" s="497"/>
    </row>
    <row r="13" spans="1:13" ht="16.8">
      <c r="A13" s="10"/>
      <c r="B13" s="11" t="s">
        <v>784</v>
      </c>
      <c r="C13" s="12"/>
      <c r="D13" s="12">
        <v>1</v>
      </c>
      <c r="E13" s="13"/>
      <c r="F13" s="13"/>
      <c r="G13" s="13"/>
      <c r="H13" s="13"/>
      <c r="I13" s="13">
        <v>55</v>
      </c>
      <c r="J13" s="13">
        <f>I13*1.1</f>
        <v>60.500000000000007</v>
      </c>
      <c r="K13" s="1430"/>
      <c r="L13" s="497"/>
      <c r="M13" s="497"/>
    </row>
    <row r="14" spans="1:13" ht="16.8">
      <c r="A14" s="10"/>
      <c r="B14" s="14"/>
      <c r="C14" s="12"/>
      <c r="D14" s="12"/>
      <c r="E14" s="13"/>
      <c r="F14" s="13"/>
      <c r="G14" s="13"/>
      <c r="H14" s="13"/>
      <c r="I14" s="536" t="s">
        <v>20</v>
      </c>
      <c r="J14" s="354">
        <f>SUM(J12:J13)</f>
        <v>621.5</v>
      </c>
      <c r="K14" s="833"/>
      <c r="L14" s="393">
        <v>40.5</v>
      </c>
      <c r="M14" s="393">
        <f>L14*J14</f>
        <v>25170.75</v>
      </c>
    </row>
    <row r="15" spans="1:13" ht="16.8">
      <c r="A15" s="10"/>
      <c r="B15" s="14"/>
      <c r="C15" s="12"/>
      <c r="D15" s="12"/>
      <c r="E15" s="13"/>
      <c r="F15" s="13"/>
      <c r="G15" s="13"/>
      <c r="H15" s="13"/>
      <c r="I15" s="15"/>
      <c r="J15" s="355"/>
      <c r="K15" s="833"/>
      <c r="L15" s="393"/>
      <c r="M15" s="393"/>
    </row>
    <row r="16" spans="1:13" s="706" customFormat="1" ht="16.8">
      <c r="A16" s="707">
        <f>A11+1</f>
        <v>2</v>
      </c>
      <c r="B16" s="6" t="s">
        <v>492</v>
      </c>
      <c r="C16" s="441" t="s">
        <v>21</v>
      </c>
      <c r="D16" s="441"/>
      <c r="E16" s="441"/>
      <c r="F16" s="441"/>
      <c r="G16" s="441"/>
      <c r="H16" s="441"/>
      <c r="I16" s="441"/>
      <c r="J16" s="441"/>
      <c r="K16" s="834"/>
      <c r="L16" s="842"/>
      <c r="M16" s="842"/>
    </row>
    <row r="17" spans="1:13" ht="16.8">
      <c r="A17" s="10"/>
      <c r="B17" s="11" t="s">
        <v>2455</v>
      </c>
      <c r="C17" s="12"/>
      <c r="D17" s="12">
        <v>1</v>
      </c>
      <c r="E17" s="393"/>
      <c r="F17" s="13">
        <v>10</v>
      </c>
      <c r="G17" s="13"/>
      <c r="H17" s="13"/>
      <c r="I17" s="13">
        <v>107.5</v>
      </c>
      <c r="J17" s="13">
        <f>I17*F17*D17</f>
        <v>1075</v>
      </c>
      <c r="K17" s="835"/>
      <c r="L17" s="826"/>
      <c r="M17" s="826"/>
    </row>
    <row r="18" spans="1:13" ht="16.8">
      <c r="A18" s="10"/>
      <c r="B18" s="11" t="s">
        <v>2508</v>
      </c>
      <c r="C18" s="12"/>
      <c r="D18" s="12">
        <v>1</v>
      </c>
      <c r="E18" s="393">
        <v>35.71</v>
      </c>
      <c r="F18" s="13"/>
      <c r="G18" s="13"/>
      <c r="H18" s="13"/>
      <c r="I18" s="13">
        <f>AVERAGE(77,70,60)</f>
        <v>69</v>
      </c>
      <c r="J18" s="13">
        <f>I18*E18</f>
        <v>2463.9900000000002</v>
      </c>
      <c r="K18" s="835"/>
      <c r="L18" s="826"/>
      <c r="M18" s="826"/>
    </row>
    <row r="19" spans="1:13" ht="16.8">
      <c r="A19" s="10"/>
      <c r="B19" s="11" t="s">
        <v>784</v>
      </c>
      <c r="C19" s="12"/>
      <c r="D19" s="12">
        <v>1</v>
      </c>
      <c r="E19" s="393"/>
      <c r="F19" s="13">
        <v>2.2000000000000002</v>
      </c>
      <c r="G19" s="13"/>
      <c r="H19" s="13"/>
      <c r="I19" s="13">
        <v>52</v>
      </c>
      <c r="J19" s="13">
        <f>I19*F19*D19*1.2</f>
        <v>137.28</v>
      </c>
      <c r="K19" s="498"/>
      <c r="L19" s="393"/>
      <c r="M19" s="393"/>
    </row>
    <row r="20" spans="1:13" ht="16.8">
      <c r="A20" s="10"/>
      <c r="B20" s="14"/>
      <c r="C20" s="12"/>
      <c r="D20" s="12"/>
      <c r="E20" s="13"/>
      <c r="F20" s="13"/>
      <c r="G20" s="13"/>
      <c r="H20" s="13"/>
      <c r="I20" s="536" t="s">
        <v>20</v>
      </c>
      <c r="J20" s="354">
        <f>SUM(J17:J19)</f>
        <v>3676.2700000000004</v>
      </c>
      <c r="K20" s="836"/>
      <c r="L20" s="393"/>
      <c r="M20" s="393"/>
    </row>
    <row r="21" spans="1:13" ht="16.8">
      <c r="A21" s="10"/>
      <c r="B21" s="14"/>
      <c r="C21" s="12"/>
      <c r="D21" s="12"/>
      <c r="E21" s="13"/>
      <c r="F21" s="13"/>
      <c r="G21" s="13"/>
      <c r="H21" s="13"/>
      <c r="I21" s="15"/>
      <c r="J21" s="354">
        <f>20%*J20</f>
        <v>735.25400000000013</v>
      </c>
      <c r="K21" s="836" t="s">
        <v>853</v>
      </c>
      <c r="L21" s="393">
        <v>320</v>
      </c>
      <c r="M21" s="393">
        <f>L21*J21</f>
        <v>235281.28000000003</v>
      </c>
    </row>
    <row r="22" spans="1:13" ht="16.8">
      <c r="A22" s="10"/>
      <c r="B22" s="14"/>
      <c r="C22" s="12"/>
      <c r="D22" s="12"/>
      <c r="E22" s="13"/>
      <c r="F22" s="13"/>
      <c r="G22" s="13"/>
      <c r="H22" s="13"/>
      <c r="I22" s="15"/>
      <c r="J22" s="354">
        <f>80%*J20</f>
        <v>2941.0160000000005</v>
      </c>
      <c r="K22" s="836" t="s">
        <v>854</v>
      </c>
      <c r="L22" s="393">
        <v>1350</v>
      </c>
      <c r="M22" s="393">
        <f>L22*J22</f>
        <v>3970371.6000000006</v>
      </c>
    </row>
    <row r="23" spans="1:13" s="706" customFormat="1" ht="16.8">
      <c r="A23" s="441">
        <v>3</v>
      </c>
      <c r="B23" s="390" t="s">
        <v>22</v>
      </c>
      <c r="C23" s="707" t="s">
        <v>21</v>
      </c>
      <c r="D23" s="707"/>
      <c r="E23" s="708"/>
      <c r="F23" s="708"/>
      <c r="G23" s="708"/>
      <c r="H23" s="708"/>
      <c r="I23" s="708"/>
      <c r="J23" s="385"/>
      <c r="K23" s="832"/>
      <c r="L23" s="500"/>
      <c r="M23" s="500"/>
    </row>
    <row r="24" spans="1:13" ht="16.8">
      <c r="A24" s="10"/>
      <c r="B24" s="11" t="s">
        <v>2455</v>
      </c>
      <c r="C24" s="12"/>
      <c r="D24" s="12">
        <v>1</v>
      </c>
      <c r="E24" s="13"/>
      <c r="F24" s="13"/>
      <c r="G24" s="13"/>
      <c r="H24" s="13"/>
      <c r="I24" s="1476"/>
      <c r="J24" s="344">
        <f>0.1*J17</f>
        <v>107.5</v>
      </c>
      <c r="K24" s="833"/>
      <c r="L24" s="393"/>
      <c r="M24" s="393"/>
    </row>
    <row r="25" spans="1:13" ht="16.8">
      <c r="A25" s="10"/>
      <c r="B25" s="11" t="s">
        <v>2508</v>
      </c>
      <c r="C25" s="12"/>
      <c r="D25" s="12">
        <v>1</v>
      </c>
      <c r="E25" s="13"/>
      <c r="F25" s="13">
        <v>10.7</v>
      </c>
      <c r="G25" s="13"/>
      <c r="H25" s="13"/>
      <c r="I25" s="1476">
        <v>9</v>
      </c>
      <c r="J25" s="344">
        <f>F25*I25</f>
        <v>96.3</v>
      </c>
      <c r="K25" s="833"/>
      <c r="L25" s="393"/>
      <c r="M25" s="393"/>
    </row>
    <row r="26" spans="1:13" ht="16.8">
      <c r="A26" s="10"/>
      <c r="B26" s="389" t="s">
        <v>784</v>
      </c>
      <c r="C26" s="12"/>
      <c r="D26" s="12">
        <v>1</v>
      </c>
      <c r="E26" s="393"/>
      <c r="F26" s="13">
        <v>2.2000000000000002</v>
      </c>
      <c r="G26" s="13"/>
      <c r="H26" s="13"/>
      <c r="I26" s="1476">
        <v>20.6</v>
      </c>
      <c r="J26" s="344">
        <f>I26*F26*D26*1.2</f>
        <v>54.384000000000007</v>
      </c>
      <c r="K26" s="498"/>
      <c r="L26" s="393"/>
      <c r="M26" s="393"/>
    </row>
    <row r="27" spans="1:13" ht="16.8">
      <c r="A27" s="10"/>
      <c r="B27" s="14"/>
      <c r="C27" s="12"/>
      <c r="D27" s="12"/>
      <c r="E27" s="13"/>
      <c r="F27" s="13"/>
      <c r="G27" s="13"/>
      <c r="H27" s="13"/>
      <c r="I27" s="15" t="s">
        <v>20</v>
      </c>
      <c r="J27" s="355">
        <f>SUM(J24:J26)</f>
        <v>258.18400000000003</v>
      </c>
      <c r="K27" s="498" t="s">
        <v>973</v>
      </c>
      <c r="L27" s="393">
        <v>210</v>
      </c>
      <c r="M27" s="393">
        <f>L27*J27</f>
        <v>54218.640000000007</v>
      </c>
    </row>
    <row r="28" spans="1:13" s="706" customFormat="1" ht="16.8">
      <c r="A28" s="441">
        <v>4</v>
      </c>
      <c r="B28" s="390" t="s">
        <v>101</v>
      </c>
      <c r="C28" s="707" t="s">
        <v>19</v>
      </c>
      <c r="D28" s="707"/>
      <c r="E28" s="708"/>
      <c r="F28" s="708"/>
      <c r="G28" s="708"/>
      <c r="H28" s="708"/>
      <c r="I28" s="708"/>
      <c r="J28" s="385"/>
      <c r="K28" s="832"/>
      <c r="L28" s="500"/>
      <c r="M28" s="500"/>
    </row>
    <row r="29" spans="1:13" ht="16.8">
      <c r="A29" s="10"/>
      <c r="B29" s="425" t="s">
        <v>2508</v>
      </c>
      <c r="C29" s="10"/>
      <c r="D29" s="10"/>
      <c r="E29" s="10"/>
      <c r="F29" s="10"/>
      <c r="G29" s="10"/>
      <c r="H29" s="10"/>
      <c r="I29" s="10"/>
      <c r="J29" s="10"/>
      <c r="K29" s="837"/>
      <c r="L29" s="825"/>
      <c r="M29" s="825"/>
    </row>
    <row r="30" spans="1:13" ht="16.8">
      <c r="A30" s="10"/>
      <c r="B30" s="483" t="s">
        <v>2509</v>
      </c>
      <c r="C30" s="12"/>
      <c r="D30" s="4">
        <v>2</v>
      </c>
      <c r="E30" s="4"/>
      <c r="F30" s="4"/>
      <c r="G30" s="4"/>
      <c r="H30" s="4"/>
      <c r="I30" s="4">
        <v>440</v>
      </c>
      <c r="J30" s="13">
        <f>I30*D30</f>
        <v>880</v>
      </c>
      <c r="K30" s="498"/>
      <c r="L30" s="393"/>
      <c r="M30" s="393"/>
    </row>
    <row r="31" spans="1:13" ht="16.8">
      <c r="A31" s="10"/>
      <c r="B31" s="11" t="s">
        <v>2510</v>
      </c>
      <c r="C31" s="12"/>
      <c r="D31" s="12">
        <v>2</v>
      </c>
      <c r="E31" s="13"/>
      <c r="F31" s="13"/>
      <c r="G31" s="13"/>
      <c r="H31" s="13"/>
      <c r="I31" s="13">
        <v>370</v>
      </c>
      <c r="J31" s="13">
        <f>I31*D31</f>
        <v>740</v>
      </c>
      <c r="K31" s="498"/>
      <c r="L31" s="393"/>
      <c r="M31" s="393"/>
    </row>
    <row r="32" spans="1:13" ht="16.8">
      <c r="A32" s="10"/>
      <c r="B32" s="11" t="s">
        <v>2511</v>
      </c>
      <c r="C32" s="12"/>
      <c r="D32" s="12">
        <v>2</v>
      </c>
      <c r="E32" s="13"/>
      <c r="F32" s="13"/>
      <c r="G32" s="13"/>
      <c r="H32" s="13"/>
      <c r="I32" s="13">
        <v>371</v>
      </c>
      <c r="J32" s="13">
        <f>I32*D32</f>
        <v>742</v>
      </c>
      <c r="K32" s="498"/>
      <c r="L32" s="393"/>
      <c r="M32" s="393"/>
    </row>
    <row r="33" spans="1:13" ht="16.8">
      <c r="A33" s="10"/>
      <c r="B33" s="802" t="s">
        <v>2512</v>
      </c>
      <c r="C33" s="12"/>
      <c r="D33" s="12"/>
      <c r="E33" s="13"/>
      <c r="F33" s="13"/>
      <c r="G33" s="13"/>
      <c r="H33" s="13"/>
      <c r="I33" s="13"/>
      <c r="J33" s="13"/>
      <c r="K33" s="498"/>
      <c r="L33" s="393"/>
      <c r="M33" s="393"/>
    </row>
    <row r="34" spans="1:13" ht="16.8">
      <c r="A34" s="10"/>
      <c r="B34" s="11" t="s">
        <v>721</v>
      </c>
      <c r="C34" s="12"/>
      <c r="D34" s="12">
        <v>4</v>
      </c>
      <c r="E34" s="13"/>
      <c r="F34" s="13">
        <v>2.5</v>
      </c>
      <c r="G34" s="13">
        <v>12.7</v>
      </c>
      <c r="H34" s="13"/>
      <c r="I34" s="13">
        <f>G34*F34</f>
        <v>31.75</v>
      </c>
      <c r="J34" s="13">
        <f>I34*D34</f>
        <v>127</v>
      </c>
      <c r="K34" s="498"/>
      <c r="L34" s="393"/>
      <c r="M34" s="393"/>
    </row>
    <row r="35" spans="1:13" ht="16.8">
      <c r="A35" s="10"/>
      <c r="B35" s="11" t="s">
        <v>2513</v>
      </c>
      <c r="C35" s="12"/>
      <c r="D35" s="12">
        <v>2</v>
      </c>
      <c r="E35" s="13"/>
      <c r="F35" s="13">
        <v>2.5</v>
      </c>
      <c r="G35" s="13">
        <v>8.1999999999999993</v>
      </c>
      <c r="H35" s="13"/>
      <c r="I35" s="13">
        <f>G35*F35</f>
        <v>20.5</v>
      </c>
      <c r="J35" s="13">
        <f>I35*D35</f>
        <v>41</v>
      </c>
      <c r="K35" s="498"/>
      <c r="L35" s="393"/>
      <c r="M35" s="393"/>
    </row>
    <row r="36" spans="1:13" ht="16.8">
      <c r="A36" s="10"/>
      <c r="B36" s="802" t="s">
        <v>784</v>
      </c>
      <c r="C36" s="12"/>
      <c r="D36" s="12"/>
      <c r="E36" s="13"/>
      <c r="F36" s="13"/>
      <c r="G36" s="13"/>
      <c r="H36" s="13"/>
      <c r="I36" s="13"/>
      <c r="J36" s="13"/>
      <c r="K36" s="498"/>
      <c r="L36" s="393"/>
      <c r="M36" s="393"/>
    </row>
    <row r="37" spans="1:13" ht="16.8">
      <c r="A37" s="10"/>
      <c r="B37" s="11" t="s">
        <v>2514</v>
      </c>
      <c r="C37" s="12"/>
      <c r="D37" s="12">
        <v>2</v>
      </c>
      <c r="E37" s="13"/>
      <c r="F37" s="13"/>
      <c r="G37" s="13"/>
      <c r="H37" s="13"/>
      <c r="I37" s="13">
        <v>131</v>
      </c>
      <c r="J37" s="13">
        <f>I37*D37</f>
        <v>262</v>
      </c>
      <c r="K37" s="498"/>
      <c r="L37" s="393"/>
      <c r="M37" s="393"/>
    </row>
    <row r="38" spans="1:13" ht="16.8">
      <c r="A38" s="10"/>
      <c r="B38" s="14"/>
      <c r="C38" s="12"/>
      <c r="D38" s="12"/>
      <c r="E38" s="13"/>
      <c r="F38" s="13"/>
      <c r="G38" s="13"/>
      <c r="H38" s="13"/>
      <c r="I38" s="15" t="s">
        <v>20</v>
      </c>
      <c r="J38" s="354">
        <f>SUM(J29:J37)</f>
        <v>2792</v>
      </c>
      <c r="K38" s="833"/>
      <c r="L38" s="393">
        <v>1285</v>
      </c>
      <c r="M38" s="393">
        <f>L38*J38</f>
        <v>3587720</v>
      </c>
    </row>
    <row r="39" spans="1:13" s="706" customFormat="1" ht="16.8">
      <c r="A39" s="441">
        <v>5</v>
      </c>
      <c r="B39" s="390" t="s">
        <v>756</v>
      </c>
      <c r="C39" s="707" t="s">
        <v>21</v>
      </c>
      <c r="D39" s="707"/>
      <c r="E39" s="708"/>
      <c r="F39" s="708"/>
      <c r="G39" s="708"/>
      <c r="H39" s="708"/>
      <c r="I39" s="708"/>
      <c r="J39" s="385"/>
      <c r="K39" s="832"/>
      <c r="L39" s="500"/>
      <c r="M39" s="500"/>
    </row>
    <row r="40" spans="1:13" s="301" customFormat="1" ht="16.8">
      <c r="A40" s="10"/>
      <c r="B40" s="14" t="s">
        <v>2515</v>
      </c>
      <c r="C40" s="12"/>
      <c r="D40" s="12">
        <v>1</v>
      </c>
      <c r="E40" s="13"/>
      <c r="F40" s="13"/>
      <c r="G40" s="13">
        <v>7.4999999999999997E-2</v>
      </c>
      <c r="H40" s="13"/>
      <c r="I40" s="13">
        <v>126</v>
      </c>
      <c r="J40" s="344">
        <f>I40*G40*D40</f>
        <v>9.4499999999999993</v>
      </c>
      <c r="K40" s="833"/>
      <c r="L40" s="393"/>
      <c r="M40" s="393"/>
    </row>
    <row r="41" spans="1:13" ht="16.8">
      <c r="A41" s="10"/>
      <c r="B41" s="11" t="s">
        <v>2516</v>
      </c>
      <c r="C41" s="12"/>
      <c r="D41" s="12">
        <v>1</v>
      </c>
      <c r="E41" s="13">
        <v>40</v>
      </c>
      <c r="F41" s="13">
        <v>9.5</v>
      </c>
      <c r="G41" s="13">
        <v>7.4999999999999997E-2</v>
      </c>
      <c r="H41" s="13"/>
      <c r="I41" s="13">
        <f>F41*E41</f>
        <v>380</v>
      </c>
      <c r="J41" s="344">
        <f>I41*G41</f>
        <v>28.5</v>
      </c>
      <c r="K41" s="833"/>
      <c r="L41" s="393"/>
      <c r="M41" s="393"/>
    </row>
    <row r="42" spans="1:13" ht="16.8">
      <c r="A42" s="10"/>
      <c r="B42" s="11" t="s">
        <v>784</v>
      </c>
      <c r="C42" s="12"/>
      <c r="D42" s="12">
        <v>1</v>
      </c>
      <c r="E42" s="13"/>
      <c r="F42" s="13"/>
      <c r="G42" s="13">
        <v>7.4999999999999997E-2</v>
      </c>
      <c r="H42" s="13"/>
      <c r="I42" s="13">
        <v>60</v>
      </c>
      <c r="J42" s="344">
        <f>I42*G42</f>
        <v>4.5</v>
      </c>
      <c r="K42" s="833"/>
      <c r="L42" s="393"/>
      <c r="M42" s="393"/>
    </row>
    <row r="43" spans="1:13" ht="16.8">
      <c r="A43" s="10"/>
      <c r="B43" s="14"/>
      <c r="C43" s="12"/>
      <c r="D43" s="12"/>
      <c r="E43" s="13"/>
      <c r="F43" s="13"/>
      <c r="G43" s="13"/>
      <c r="H43" s="13"/>
      <c r="I43" s="15" t="s">
        <v>20</v>
      </c>
      <c r="J43" s="354">
        <f>SUM(J40:J42)</f>
        <v>42.45</v>
      </c>
      <c r="K43" s="833"/>
      <c r="L43" s="393">
        <v>13500</v>
      </c>
      <c r="M43" s="393">
        <f>L43*J43</f>
        <v>573075</v>
      </c>
    </row>
    <row r="44" spans="1:13" s="706" customFormat="1" ht="16.8">
      <c r="A44" s="441">
        <v>6</v>
      </c>
      <c r="B44" s="390" t="s">
        <v>29</v>
      </c>
      <c r="C44" s="707" t="s">
        <v>21</v>
      </c>
      <c r="D44" s="707"/>
      <c r="E44" s="708"/>
      <c r="F44" s="708"/>
      <c r="G44" s="708"/>
      <c r="H44" s="708"/>
      <c r="I44" s="708"/>
      <c r="J44" s="385"/>
      <c r="K44" s="832"/>
      <c r="L44" s="500"/>
      <c r="M44" s="500"/>
    </row>
    <row r="45" spans="1:13" ht="16.8">
      <c r="A45" s="10"/>
      <c r="B45" s="802" t="s">
        <v>2515</v>
      </c>
      <c r="C45" s="12"/>
      <c r="D45" s="12">
        <v>1</v>
      </c>
      <c r="E45" s="13"/>
      <c r="F45" s="13"/>
      <c r="G45" s="13">
        <v>1</v>
      </c>
      <c r="H45" s="13"/>
      <c r="I45" s="13">
        <f>I40</f>
        <v>126</v>
      </c>
      <c r="J45" s="13">
        <f>I45*G45</f>
        <v>126</v>
      </c>
      <c r="K45" s="498"/>
      <c r="L45" s="393"/>
      <c r="M45" s="393"/>
    </row>
    <row r="46" spans="1:13" ht="16.8">
      <c r="A46" s="10"/>
      <c r="B46" s="802" t="s">
        <v>2508</v>
      </c>
      <c r="C46" s="12"/>
      <c r="D46" s="12"/>
      <c r="E46" s="13"/>
      <c r="F46" s="13"/>
      <c r="G46" s="13"/>
      <c r="H46" s="13"/>
      <c r="I46" s="13"/>
      <c r="J46" s="13"/>
      <c r="K46" s="498"/>
      <c r="L46" s="393"/>
      <c r="M46" s="393"/>
    </row>
    <row r="47" spans="1:13" ht="16.8">
      <c r="A47" s="10"/>
      <c r="B47" s="11" t="s">
        <v>384</v>
      </c>
      <c r="C47" s="12"/>
      <c r="D47" s="12">
        <v>1</v>
      </c>
      <c r="E47" s="13"/>
      <c r="F47" s="13">
        <v>9.5</v>
      </c>
      <c r="G47" s="13"/>
      <c r="H47" s="13"/>
      <c r="I47" s="13">
        <v>102.3</v>
      </c>
      <c r="J47" s="13">
        <f>I47*F47*D47</f>
        <v>971.85</v>
      </c>
      <c r="K47" s="498"/>
      <c r="L47" s="393"/>
      <c r="M47" s="393"/>
    </row>
    <row r="48" spans="1:13" ht="16.8">
      <c r="A48" s="10"/>
      <c r="B48" s="11" t="s">
        <v>571</v>
      </c>
      <c r="C48" s="12"/>
      <c r="D48" s="12"/>
      <c r="E48" s="13"/>
      <c r="F48" s="13"/>
      <c r="G48" s="13"/>
      <c r="H48" s="13"/>
      <c r="I48" s="13"/>
      <c r="J48" s="13"/>
      <c r="K48" s="498"/>
      <c r="L48" s="393"/>
      <c r="M48" s="393"/>
    </row>
    <row r="49" spans="1:13" s="301" customFormat="1" ht="16.8">
      <c r="A49" s="10"/>
      <c r="B49" s="11" t="s">
        <v>2509</v>
      </c>
      <c r="C49" s="12"/>
      <c r="D49" s="12">
        <v>1</v>
      </c>
      <c r="E49" s="13"/>
      <c r="F49" s="13">
        <v>1</v>
      </c>
      <c r="G49" s="13"/>
      <c r="H49" s="13"/>
      <c r="I49" s="13">
        <f>I30</f>
        <v>440</v>
      </c>
      <c r="J49" s="13">
        <f>I49*F49</f>
        <v>440</v>
      </c>
      <c r="K49" s="498"/>
      <c r="L49" s="393"/>
      <c r="M49" s="393"/>
    </row>
    <row r="50" spans="1:13" s="301" customFormat="1" ht="16.8">
      <c r="A50" s="10"/>
      <c r="B50" s="11" t="s">
        <v>2517</v>
      </c>
      <c r="C50" s="12"/>
      <c r="D50" s="12">
        <v>1</v>
      </c>
      <c r="E50" s="13"/>
      <c r="F50" s="13">
        <v>1</v>
      </c>
      <c r="G50" s="13"/>
      <c r="H50" s="13"/>
      <c r="I50" s="13">
        <f>I31</f>
        <v>370</v>
      </c>
      <c r="J50" s="13">
        <f t="shared" ref="J50:J52" si="0">I50*F50</f>
        <v>370</v>
      </c>
      <c r="K50" s="498"/>
      <c r="L50" s="393"/>
      <c r="M50" s="393"/>
    </row>
    <row r="51" spans="1:13" s="301" customFormat="1" ht="16.8">
      <c r="A51" s="10"/>
      <c r="B51" s="11" t="s">
        <v>2518</v>
      </c>
      <c r="C51" s="12"/>
      <c r="D51" s="12">
        <v>1</v>
      </c>
      <c r="E51" s="13">
        <v>8.1999999999999993</v>
      </c>
      <c r="F51" s="13">
        <v>0.5</v>
      </c>
      <c r="G51" s="13">
        <v>15.6</v>
      </c>
      <c r="H51" s="13"/>
      <c r="I51" s="13">
        <f>G51*E51</f>
        <v>127.91999999999999</v>
      </c>
      <c r="J51" s="13">
        <f>I51*F51</f>
        <v>63.959999999999994</v>
      </c>
      <c r="K51" s="498"/>
      <c r="L51" s="393"/>
      <c r="M51" s="393"/>
    </row>
    <row r="52" spans="1:13" ht="16.8">
      <c r="A52" s="10"/>
      <c r="B52" s="11" t="s">
        <v>2519</v>
      </c>
      <c r="C52" s="12"/>
      <c r="D52" s="12">
        <v>1</v>
      </c>
      <c r="E52" s="13"/>
      <c r="F52" s="13">
        <v>1</v>
      </c>
      <c r="G52" s="13"/>
      <c r="H52" s="13"/>
      <c r="I52" s="13">
        <f>I32</f>
        <v>371</v>
      </c>
      <c r="J52" s="13">
        <f t="shared" si="0"/>
        <v>371</v>
      </c>
      <c r="K52" s="498"/>
      <c r="L52" s="393"/>
      <c r="M52" s="393"/>
    </row>
    <row r="53" spans="1:13" ht="16.8">
      <c r="A53" s="10"/>
      <c r="B53" s="802" t="s">
        <v>2512</v>
      </c>
      <c r="C53" s="12"/>
      <c r="D53" s="12"/>
      <c r="E53" s="13"/>
      <c r="F53" s="13"/>
      <c r="G53" s="13"/>
      <c r="H53" s="13"/>
      <c r="I53" s="20"/>
      <c r="J53" s="20"/>
      <c r="K53" s="498"/>
      <c r="L53" s="393"/>
      <c r="M53" s="393"/>
    </row>
    <row r="54" spans="1:13" ht="16.8">
      <c r="A54" s="10"/>
      <c r="B54" s="11" t="s">
        <v>2520</v>
      </c>
      <c r="C54" s="12"/>
      <c r="D54" s="12">
        <v>2</v>
      </c>
      <c r="E54" s="13"/>
      <c r="F54" s="13"/>
      <c r="G54" s="13"/>
      <c r="H54" s="13">
        <v>2.5</v>
      </c>
      <c r="I54" s="20">
        <v>9.9</v>
      </c>
      <c r="J54" s="20">
        <f>I54*H54*D54</f>
        <v>49.5</v>
      </c>
      <c r="K54" s="498"/>
      <c r="L54" s="393"/>
      <c r="M54" s="393"/>
    </row>
    <row r="55" spans="1:13" ht="16.8">
      <c r="A55" s="10"/>
      <c r="B55" s="100" t="s">
        <v>784</v>
      </c>
      <c r="C55" s="12"/>
      <c r="D55" s="12"/>
      <c r="E55" s="13"/>
      <c r="F55" s="13"/>
      <c r="G55" s="13"/>
      <c r="H55" s="13"/>
      <c r="I55" s="381"/>
      <c r="J55" s="381"/>
      <c r="K55" s="498"/>
      <c r="L55" s="393"/>
      <c r="M55" s="393"/>
    </row>
    <row r="56" spans="1:13" ht="16.8">
      <c r="A56" s="10"/>
      <c r="B56" s="11" t="s">
        <v>1213</v>
      </c>
      <c r="C56" s="12"/>
      <c r="D56" s="12">
        <v>1</v>
      </c>
      <c r="E56" s="13">
        <v>23.866</v>
      </c>
      <c r="F56" s="13"/>
      <c r="G56" s="13"/>
      <c r="H56" s="13"/>
      <c r="I56" s="1476">
        <v>2.2000000000000002</v>
      </c>
      <c r="J56" s="396">
        <f>I56*E56*D56</f>
        <v>52.505200000000002</v>
      </c>
      <c r="K56" s="498"/>
      <c r="L56" s="393"/>
      <c r="M56" s="393"/>
    </row>
    <row r="57" spans="1:13" ht="16.8">
      <c r="A57" s="10"/>
      <c r="B57" s="11" t="s">
        <v>581</v>
      </c>
      <c r="C57" s="12"/>
      <c r="D57" s="12">
        <v>1</v>
      </c>
      <c r="E57" s="13"/>
      <c r="F57" s="13">
        <v>1</v>
      </c>
      <c r="G57" s="13"/>
      <c r="H57" s="13"/>
      <c r="I57" s="1476">
        <f>I37</f>
        <v>131</v>
      </c>
      <c r="J57" s="13">
        <f>I57*F57</f>
        <v>131</v>
      </c>
      <c r="K57" s="498"/>
      <c r="L57" s="393"/>
      <c r="M57" s="393"/>
    </row>
    <row r="58" spans="1:13" ht="16.8">
      <c r="A58" s="10"/>
      <c r="B58" s="197"/>
      <c r="C58" s="12"/>
      <c r="D58" s="12"/>
      <c r="E58" s="13"/>
      <c r="F58" s="13"/>
      <c r="G58" s="13"/>
      <c r="H58" s="13"/>
      <c r="I58" s="15" t="s">
        <v>20</v>
      </c>
      <c r="J58" s="354">
        <f>SUM(J45:J57)</f>
        <v>2575.8152</v>
      </c>
      <c r="K58" s="498"/>
      <c r="L58" s="393">
        <v>17500</v>
      </c>
      <c r="M58" s="393">
        <f>L58*J58</f>
        <v>45076766</v>
      </c>
    </row>
    <row r="59" spans="1:13" s="706" customFormat="1" ht="16.8">
      <c r="A59" s="441">
        <v>6</v>
      </c>
      <c r="B59" s="390" t="s">
        <v>2919</v>
      </c>
      <c r="C59" s="707" t="s">
        <v>21</v>
      </c>
      <c r="D59" s="707"/>
      <c r="E59" s="708"/>
      <c r="F59" s="708"/>
      <c r="G59" s="708"/>
      <c r="H59" s="708"/>
      <c r="I59" s="708"/>
      <c r="J59" s="385"/>
      <c r="K59" s="832"/>
      <c r="L59" s="500"/>
      <c r="M59" s="500"/>
    </row>
    <row r="60" spans="1:13" ht="16.8">
      <c r="A60" s="10"/>
      <c r="B60" s="802" t="s">
        <v>2515</v>
      </c>
      <c r="C60" s="12"/>
      <c r="D60" s="12">
        <f>ROUNDUP(30.5/2.4,0)</f>
        <v>13</v>
      </c>
      <c r="E60" s="13">
        <f>10.69-1</f>
        <v>9.69</v>
      </c>
      <c r="F60" s="13">
        <v>0.4</v>
      </c>
      <c r="G60" s="13">
        <v>0.5</v>
      </c>
      <c r="H60" s="13"/>
      <c r="I60" s="13">
        <f>D60*F60*G60</f>
        <v>2.6</v>
      </c>
      <c r="J60" s="13">
        <f>I60*E60</f>
        <v>25.193999999999999</v>
      </c>
      <c r="K60" s="498"/>
      <c r="L60" s="393"/>
      <c r="M60" s="393"/>
    </row>
    <row r="61" spans="1:13" ht="16.8">
      <c r="A61" s="10"/>
      <c r="B61" s="802" t="s">
        <v>2508</v>
      </c>
      <c r="C61" s="12"/>
      <c r="D61" s="12">
        <f>ROUNDUP((18.5+5)/2.4,0)</f>
        <v>10</v>
      </c>
      <c r="E61" s="13">
        <f>2.75+3.75</f>
        <v>6.5</v>
      </c>
      <c r="F61" s="13">
        <f>F60</f>
        <v>0.4</v>
      </c>
      <c r="G61" s="13">
        <f>G60</f>
        <v>0.5</v>
      </c>
      <c r="H61" s="13"/>
      <c r="I61" s="13">
        <f>D61*F61*G61</f>
        <v>2</v>
      </c>
      <c r="J61" s="13">
        <f>I61*E61</f>
        <v>13</v>
      </c>
      <c r="K61" s="498"/>
      <c r="L61" s="393"/>
      <c r="M61" s="393"/>
    </row>
    <row r="62" spans="1:13" ht="16.8">
      <c r="A62" s="10"/>
      <c r="B62" s="11"/>
      <c r="C62" s="12"/>
      <c r="D62" s="12"/>
      <c r="E62" s="13"/>
      <c r="F62" s="13"/>
      <c r="G62" s="13"/>
      <c r="H62" s="13"/>
      <c r="I62" s="15" t="s">
        <v>20</v>
      </c>
      <c r="J62" s="354">
        <f>SUM(J60:J61)</f>
        <v>38.194000000000003</v>
      </c>
      <c r="K62" s="498"/>
      <c r="L62" s="393"/>
      <c r="M62" s="393"/>
    </row>
    <row r="63" spans="1:13" s="706" customFormat="1" ht="16.8">
      <c r="A63" s="441">
        <v>7</v>
      </c>
      <c r="B63" s="390" t="s">
        <v>24</v>
      </c>
      <c r="C63" s="707" t="s">
        <v>25</v>
      </c>
      <c r="D63" s="707"/>
      <c r="E63" s="708"/>
      <c r="F63" s="708"/>
      <c r="G63" s="708"/>
      <c r="H63" s="708"/>
      <c r="I63" s="708"/>
      <c r="J63" s="708"/>
      <c r="K63" s="838"/>
      <c r="L63" s="843"/>
      <c r="M63" s="843"/>
    </row>
    <row r="64" spans="1:13" ht="16.8">
      <c r="A64" s="10"/>
      <c r="B64" s="11" t="s">
        <v>785</v>
      </c>
      <c r="C64" s="12"/>
      <c r="D64" s="12"/>
      <c r="E64" s="399" t="s">
        <v>1492</v>
      </c>
      <c r="F64" s="13"/>
      <c r="G64" s="13"/>
      <c r="H64" s="13"/>
      <c r="I64" s="16">
        <v>0.01</v>
      </c>
      <c r="J64" s="426">
        <f>I64*(J58)*(7850/1000)</f>
        <v>202.20149319999999</v>
      </c>
      <c r="K64" s="498"/>
      <c r="L64" s="393"/>
      <c r="M64" s="393"/>
    </row>
    <row r="65" spans="1:13" ht="16.8">
      <c r="A65" s="10"/>
      <c r="B65" s="14"/>
      <c r="C65" s="12"/>
      <c r="D65" s="12"/>
      <c r="E65" s="13"/>
      <c r="F65" s="13"/>
      <c r="G65" s="13"/>
      <c r="H65" s="13"/>
      <c r="I65" s="15" t="s">
        <v>20</v>
      </c>
      <c r="J65" s="354">
        <f>SUM(J64:J64)</f>
        <v>202.20149319999999</v>
      </c>
      <c r="K65" s="498"/>
      <c r="L65" s="393">
        <v>130000</v>
      </c>
      <c r="M65" s="393">
        <f>L65*J65</f>
        <v>26286194.115999997</v>
      </c>
    </row>
    <row r="66" spans="1:13" s="1483" customFormat="1" ht="16.8">
      <c r="A66" s="1477">
        <v>8</v>
      </c>
      <c r="B66" s="1478" t="s">
        <v>786</v>
      </c>
      <c r="C66" s="1479" t="s">
        <v>19</v>
      </c>
      <c r="D66" s="1479"/>
      <c r="E66" s="1480"/>
      <c r="F66" s="1480"/>
      <c r="G66" s="1480"/>
      <c r="H66" s="1480"/>
      <c r="I66" s="1480"/>
      <c r="J66" s="1480"/>
      <c r="K66" s="1481"/>
      <c r="L66" s="1482"/>
      <c r="M66" s="1482"/>
    </row>
    <row r="67" spans="1:13" ht="16.8">
      <c r="A67" s="14"/>
      <c r="B67" s="11" t="s">
        <v>2521</v>
      </c>
      <c r="C67" s="12"/>
      <c r="D67" s="12">
        <v>1</v>
      </c>
      <c r="E67" s="13"/>
      <c r="F67" s="13"/>
      <c r="G67" s="13"/>
      <c r="H67" s="13"/>
      <c r="I67" s="13">
        <f>I40</f>
        <v>126</v>
      </c>
      <c r="J67" s="13">
        <f>I67*D67</f>
        <v>126</v>
      </c>
      <c r="K67" s="498"/>
      <c r="L67" s="393"/>
      <c r="M67" s="393"/>
    </row>
    <row r="68" spans="1:13" ht="16.8">
      <c r="A68" s="14"/>
      <c r="B68" s="11" t="s">
        <v>551</v>
      </c>
      <c r="C68" s="12"/>
      <c r="D68" s="12">
        <v>1</v>
      </c>
      <c r="E68" s="13">
        <v>30.6</v>
      </c>
      <c r="F68" s="13">
        <v>6.5</v>
      </c>
      <c r="G68" s="13"/>
      <c r="H68" s="13"/>
      <c r="I68" s="13">
        <f>F68*E68</f>
        <v>198.9</v>
      </c>
      <c r="J68" s="13">
        <f>I68*D68</f>
        <v>198.9</v>
      </c>
      <c r="K68" s="498"/>
      <c r="L68" s="393"/>
      <c r="M68" s="393"/>
    </row>
    <row r="69" spans="1:13" ht="16.8">
      <c r="A69" s="14"/>
      <c r="B69" s="14"/>
      <c r="C69" s="12"/>
      <c r="D69" s="12"/>
      <c r="E69" s="13"/>
      <c r="F69" s="13"/>
      <c r="G69" s="13"/>
      <c r="H69" s="13"/>
      <c r="I69" s="15" t="s">
        <v>20</v>
      </c>
      <c r="J69" s="354">
        <f>SUM(J67:J68)</f>
        <v>324.89999999999998</v>
      </c>
      <c r="K69" s="498"/>
      <c r="L69" s="393">
        <v>15000</v>
      </c>
      <c r="M69" s="393">
        <f>L69*J69</f>
        <v>4873500</v>
      </c>
    </row>
    <row r="70" spans="1:13" ht="16.8">
      <c r="A70" s="441">
        <v>9</v>
      </c>
      <c r="B70" s="390" t="s">
        <v>2460</v>
      </c>
      <c r="C70" s="707" t="s">
        <v>19</v>
      </c>
      <c r="D70" s="707"/>
      <c r="E70" s="708"/>
      <c r="F70" s="708"/>
      <c r="G70" s="708"/>
      <c r="H70" s="708"/>
      <c r="I70" s="708"/>
      <c r="J70" s="708"/>
      <c r="K70" s="838"/>
      <c r="L70" s="843"/>
      <c r="M70" s="843"/>
    </row>
    <row r="71" spans="1:13" s="301" customFormat="1" ht="16.8">
      <c r="A71" s="10"/>
      <c r="B71" s="100" t="s">
        <v>1215</v>
      </c>
      <c r="C71" s="12"/>
      <c r="D71" s="12"/>
      <c r="E71" s="13"/>
      <c r="F71" s="13"/>
      <c r="G71" s="13"/>
      <c r="H71" s="13"/>
      <c r="I71" s="13"/>
      <c r="J71" s="13"/>
      <c r="K71" s="835"/>
      <c r="L71" s="826"/>
      <c r="M71" s="826"/>
    </row>
    <row r="72" spans="1:13" s="301" customFormat="1" ht="16.8">
      <c r="A72" s="10"/>
      <c r="B72" s="14" t="s">
        <v>2509</v>
      </c>
      <c r="C72" s="12"/>
      <c r="D72" s="12">
        <v>1</v>
      </c>
      <c r="E72" s="13">
        <v>54</v>
      </c>
      <c r="F72" s="13"/>
      <c r="G72" s="13">
        <v>1.5</v>
      </c>
      <c r="H72" s="13"/>
      <c r="I72" s="13">
        <f>G72*E72</f>
        <v>81</v>
      </c>
      <c r="J72" s="13">
        <f>I72*D72</f>
        <v>81</v>
      </c>
      <c r="K72" s="835"/>
      <c r="L72" s="826"/>
      <c r="M72" s="826"/>
    </row>
    <row r="73" spans="1:13" s="301" customFormat="1" ht="16.8">
      <c r="A73" s="10"/>
      <c r="B73" s="14" t="s">
        <v>2517</v>
      </c>
      <c r="C73" s="12"/>
      <c r="D73" s="12">
        <v>2</v>
      </c>
      <c r="E73" s="13">
        <v>18.5</v>
      </c>
      <c r="F73" s="13"/>
      <c r="G73" s="13">
        <v>1.5</v>
      </c>
      <c r="H73" s="13"/>
      <c r="I73" s="13">
        <f t="shared" ref="I73:I74" si="1">G73*E73</f>
        <v>27.75</v>
      </c>
      <c r="J73" s="13">
        <f t="shared" ref="J73:J74" si="2">I73*D73</f>
        <v>55.5</v>
      </c>
      <c r="K73" s="835"/>
      <c r="L73" s="826"/>
      <c r="M73" s="826"/>
    </row>
    <row r="74" spans="1:13" s="301" customFormat="1" ht="16.8">
      <c r="A74" s="10"/>
      <c r="B74" s="14" t="s">
        <v>2511</v>
      </c>
      <c r="C74" s="12"/>
      <c r="D74" s="12">
        <v>1</v>
      </c>
      <c r="E74" s="13">
        <v>23.51</v>
      </c>
      <c r="F74" s="13"/>
      <c r="G74" s="13">
        <v>1.5</v>
      </c>
      <c r="H74" s="13"/>
      <c r="I74" s="13">
        <f t="shared" si="1"/>
        <v>35.265000000000001</v>
      </c>
      <c r="J74" s="13">
        <f t="shared" si="2"/>
        <v>35.265000000000001</v>
      </c>
      <c r="K74" s="835"/>
      <c r="L74" s="826"/>
      <c r="M74" s="826"/>
    </row>
    <row r="75" spans="1:13" ht="16.8">
      <c r="A75" s="14"/>
      <c r="B75" s="14"/>
      <c r="C75" s="12"/>
      <c r="D75" s="12"/>
      <c r="E75" s="13"/>
      <c r="F75" s="13"/>
      <c r="G75" s="13"/>
      <c r="H75" s="13"/>
      <c r="I75" s="15" t="s">
        <v>20</v>
      </c>
      <c r="J75" s="354">
        <f>SUM(J72:J74)</f>
        <v>171.76499999999999</v>
      </c>
      <c r="K75" s="498"/>
      <c r="L75" s="393"/>
      <c r="M75" s="393"/>
    </row>
    <row r="76" spans="1:13" ht="67.2">
      <c r="A76" s="352">
        <v>10</v>
      </c>
      <c r="B76" s="353" t="s">
        <v>740</v>
      </c>
      <c r="C76" s="353"/>
      <c r="D76" s="353"/>
      <c r="E76" s="353"/>
      <c r="F76" s="353"/>
      <c r="G76" s="353"/>
      <c r="H76" s="353"/>
      <c r="I76" s="353"/>
      <c r="J76" s="353"/>
      <c r="K76" s="839"/>
      <c r="L76" s="827"/>
      <c r="M76" s="827"/>
    </row>
    <row r="77" spans="1:13" ht="16.8">
      <c r="A77" s="10">
        <f>A76+0.1</f>
        <v>10.1</v>
      </c>
      <c r="B77" s="14" t="s">
        <v>155</v>
      </c>
      <c r="C77" s="12" t="s">
        <v>27</v>
      </c>
      <c r="D77" s="12"/>
      <c r="E77" s="14"/>
      <c r="F77" s="14"/>
      <c r="G77" s="14"/>
      <c r="H77" s="14"/>
      <c r="I77" s="14"/>
      <c r="J77" s="14"/>
      <c r="K77" s="498"/>
      <c r="L77" s="393"/>
      <c r="M77" s="393"/>
    </row>
    <row r="78" spans="1:13" ht="16.8">
      <c r="A78" s="10"/>
      <c r="B78" s="14"/>
      <c r="C78" s="12"/>
      <c r="D78" s="12">
        <v>1</v>
      </c>
      <c r="E78" s="14">
        <v>11</v>
      </c>
      <c r="F78" s="14"/>
      <c r="G78" s="503"/>
      <c r="H78" s="14"/>
      <c r="I78" s="14"/>
      <c r="J78" s="14">
        <f>D78*E78</f>
        <v>11</v>
      </c>
      <c r="K78" s="498"/>
      <c r="L78" s="393"/>
      <c r="M78" s="393"/>
    </row>
    <row r="79" spans="1:13" ht="16.8">
      <c r="A79" s="10"/>
      <c r="B79" s="14"/>
      <c r="C79" s="12"/>
      <c r="D79" s="12"/>
      <c r="E79" s="13"/>
      <c r="F79" s="13"/>
      <c r="G79" s="346"/>
      <c r="H79" s="13"/>
      <c r="I79" s="13" t="s">
        <v>20</v>
      </c>
      <c r="J79" s="354">
        <f>SUM(J78:J78)</f>
        <v>11</v>
      </c>
      <c r="K79" s="840"/>
      <c r="L79" s="393">
        <v>1693</v>
      </c>
      <c r="M79" s="393">
        <f>L79*J79</f>
        <v>18623</v>
      </c>
    </row>
    <row r="80" spans="1:13" ht="16.8">
      <c r="A80" s="10"/>
      <c r="B80" s="14"/>
      <c r="C80" s="12"/>
      <c r="D80" s="12"/>
      <c r="E80" s="13"/>
      <c r="F80" s="13"/>
      <c r="G80" s="346"/>
      <c r="H80" s="13"/>
      <c r="I80" s="13"/>
      <c r="J80" s="355"/>
      <c r="K80" s="840"/>
      <c r="L80" s="393"/>
      <c r="M80" s="393"/>
    </row>
    <row r="81" spans="1:13" ht="16.8">
      <c r="A81" s="10">
        <f>A77+0.1</f>
        <v>10.199999999999999</v>
      </c>
      <c r="B81" s="14" t="s">
        <v>174</v>
      </c>
      <c r="C81" s="12" t="s">
        <v>27</v>
      </c>
      <c r="D81" s="12">
        <v>1</v>
      </c>
      <c r="E81" s="14">
        <f>E78</f>
        <v>11</v>
      </c>
      <c r="F81" s="14"/>
      <c r="G81" s="14"/>
      <c r="H81" s="14"/>
      <c r="I81" s="14"/>
      <c r="J81" s="14">
        <f>D81*E81</f>
        <v>11</v>
      </c>
      <c r="K81" s="498"/>
      <c r="L81" s="393"/>
      <c r="M81" s="393"/>
    </row>
    <row r="82" spans="1:13" ht="16.8">
      <c r="A82" s="10"/>
      <c r="B82" s="14"/>
      <c r="C82" s="12"/>
      <c r="D82" s="12"/>
      <c r="E82" s="14"/>
      <c r="F82" s="14"/>
      <c r="G82" s="503"/>
      <c r="H82" s="14"/>
      <c r="I82" s="14"/>
      <c r="J82" s="14"/>
      <c r="K82" s="498"/>
      <c r="L82" s="393"/>
      <c r="M82" s="393"/>
    </row>
    <row r="83" spans="1:13" ht="16.8">
      <c r="A83" s="10"/>
      <c r="B83" s="14"/>
      <c r="C83" s="12"/>
      <c r="D83" s="12"/>
      <c r="E83" s="13"/>
      <c r="F83" s="13"/>
      <c r="G83" s="346"/>
      <c r="H83" s="13"/>
      <c r="I83" s="13" t="s">
        <v>20</v>
      </c>
      <c r="J83" s="354">
        <f>J81</f>
        <v>11</v>
      </c>
      <c r="K83" s="840"/>
      <c r="L83" s="393">
        <v>1245</v>
      </c>
      <c r="M83" s="393">
        <f>L83*J83</f>
        <v>13695</v>
      </c>
    </row>
    <row r="84" spans="1:13" ht="16.8">
      <c r="A84" s="10"/>
      <c r="B84" s="14"/>
      <c r="C84" s="12"/>
      <c r="D84" s="12"/>
      <c r="E84" s="13"/>
      <c r="F84" s="13"/>
      <c r="G84" s="346"/>
      <c r="H84" s="13"/>
      <c r="I84" s="13"/>
      <c r="J84" s="355"/>
      <c r="K84" s="840"/>
      <c r="L84" s="393"/>
      <c r="M84" s="393"/>
    </row>
    <row r="85" spans="1:13" ht="16.8">
      <c r="A85" s="10">
        <f>A81+0.1</f>
        <v>10.299999999999999</v>
      </c>
      <c r="B85" s="14" t="s">
        <v>741</v>
      </c>
      <c r="C85" s="12" t="s">
        <v>85</v>
      </c>
      <c r="D85" s="12">
        <v>1</v>
      </c>
      <c r="E85" s="14">
        <f>11*6</f>
        <v>66</v>
      </c>
      <c r="F85" s="14"/>
      <c r="G85" s="14"/>
      <c r="H85" s="14"/>
      <c r="I85" s="14"/>
      <c r="J85" s="14">
        <f>D85*E85</f>
        <v>66</v>
      </c>
      <c r="K85" s="498"/>
      <c r="L85" s="393"/>
      <c r="M85" s="393"/>
    </row>
    <row r="86" spans="1:13" ht="16.8">
      <c r="A86" s="10"/>
      <c r="B86" s="14"/>
      <c r="C86" s="12"/>
      <c r="D86" s="12"/>
      <c r="E86" s="14"/>
      <c r="F86" s="14"/>
      <c r="G86" s="503"/>
      <c r="H86" s="14"/>
      <c r="I86" s="14"/>
      <c r="J86" s="14"/>
      <c r="K86" s="498"/>
      <c r="L86" s="393"/>
      <c r="M86" s="393"/>
    </row>
    <row r="87" spans="1:13" ht="16.8">
      <c r="A87" s="10"/>
      <c r="B87" s="14"/>
      <c r="C87" s="12"/>
      <c r="D87" s="12"/>
      <c r="E87" s="13"/>
      <c r="F87" s="13"/>
      <c r="G87" s="346"/>
      <c r="H87" s="13"/>
      <c r="I87" s="13" t="s">
        <v>20</v>
      </c>
      <c r="J87" s="354">
        <f>J85</f>
        <v>66</v>
      </c>
      <c r="K87" s="840"/>
      <c r="L87" s="393">
        <v>1208</v>
      </c>
      <c r="M87" s="844">
        <f>L87*J87</f>
        <v>79728</v>
      </c>
    </row>
    <row r="88" spans="1:13" ht="16.8">
      <c r="L88" s="499" t="s">
        <v>20</v>
      </c>
      <c r="M88" s="499">
        <f>SUM(M11:M86)</f>
        <v>84714615.385999992</v>
      </c>
    </row>
    <row r="89" spans="1:13">
      <c r="M89" s="820" t="s">
        <v>1239</v>
      </c>
    </row>
  </sheetData>
  <printOptions horizontalCentered="1"/>
  <pageMargins left="0.7" right="0.7" top="0.71" bottom="0.59" header="0.3" footer="0.16"/>
  <pageSetup paperSize="9" scale="91" fitToHeight="10" orientation="landscape" r:id="rId1"/>
  <rowBreaks count="1" manualBreakCount="1">
    <brk id="62" max="10" man="1"/>
  </row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499984740745262"/>
  </sheetPr>
  <dimension ref="A1:M107"/>
  <sheetViews>
    <sheetView workbookViewId="0"/>
  </sheetViews>
  <sheetFormatPr defaultColWidth="9.109375" defaultRowHeight="16.8"/>
  <cols>
    <col min="1" max="1" width="12.33203125" style="236" customWidth="1"/>
    <col min="2" max="2" width="44.6640625" style="1" bestFit="1" customWidth="1"/>
    <col min="3" max="3" width="9.109375" style="1"/>
    <col min="4" max="4" width="8.44140625" style="1" customWidth="1"/>
    <col min="5" max="6" width="11.109375" style="1" customWidth="1"/>
    <col min="7" max="7" width="11.33203125" style="1" customWidth="1"/>
    <col min="8" max="8" width="10.5546875" style="1" customWidth="1"/>
    <col min="9" max="9" width="12.109375" style="1" customWidth="1"/>
    <col min="10" max="10" width="13.6640625" style="1" customWidth="1"/>
    <col min="11" max="11" width="23.44140625" style="1" customWidth="1"/>
    <col min="12" max="12" width="11.88671875" style="698" bestFit="1" customWidth="1"/>
    <col min="13" max="13" width="11.6640625" style="698" bestFit="1" customWidth="1"/>
    <col min="14" max="16384" width="9.109375" style="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2522</v>
      </c>
      <c r="C6" s="523"/>
      <c r="D6" s="537"/>
      <c r="E6" s="1223"/>
      <c r="J6" s="1276" t="s">
        <v>171</v>
      </c>
      <c r="K6" s="523" t="s">
        <v>1563</v>
      </c>
    </row>
    <row r="7" spans="1:13" s="520" customFormat="1" ht="19.2">
      <c r="A7" s="119" t="s">
        <v>4</v>
      </c>
      <c r="B7" s="1247"/>
      <c r="C7" s="523"/>
      <c r="D7" s="537"/>
      <c r="E7" s="1223"/>
      <c r="J7" s="1276" t="s">
        <v>106</v>
      </c>
      <c r="K7" s="1277">
        <f ca="1">TODAY()</f>
        <v>44942</v>
      </c>
    </row>
    <row r="8" spans="1:13">
      <c r="A8" s="119"/>
      <c r="B8" s="55"/>
    </row>
    <row r="10" spans="1:13">
      <c r="A10" s="804" t="s">
        <v>332</v>
      </c>
      <c r="B10" s="804" t="s">
        <v>8</v>
      </c>
      <c r="C10" s="804" t="s">
        <v>9</v>
      </c>
      <c r="D10" s="804" t="s">
        <v>333</v>
      </c>
      <c r="E10" s="804" t="s">
        <v>11</v>
      </c>
      <c r="F10" s="804" t="s">
        <v>12</v>
      </c>
      <c r="G10" s="804" t="s">
        <v>13</v>
      </c>
      <c r="H10" s="804" t="s">
        <v>15</v>
      </c>
      <c r="I10" s="804" t="s">
        <v>14</v>
      </c>
      <c r="J10" s="804" t="s">
        <v>16</v>
      </c>
      <c r="K10" s="845" t="s">
        <v>17</v>
      </c>
      <c r="L10" s="851" t="s">
        <v>1233</v>
      </c>
      <c r="M10" s="851" t="s">
        <v>1234</v>
      </c>
    </row>
    <row r="11" spans="1:13">
      <c r="A11" s="805">
        <v>1</v>
      </c>
      <c r="B11" s="806" t="s">
        <v>18</v>
      </c>
      <c r="C11" s="807" t="s">
        <v>85</v>
      </c>
      <c r="D11" s="805"/>
      <c r="E11" s="805"/>
      <c r="F11" s="805"/>
      <c r="G11" s="805"/>
      <c r="H11" s="805"/>
      <c r="I11" s="805"/>
      <c r="J11" s="805"/>
      <c r="K11" s="846"/>
      <c r="L11" s="852"/>
      <c r="M11" s="852"/>
    </row>
    <row r="12" spans="1:13">
      <c r="A12" s="356"/>
      <c r="B12" s="11" t="s">
        <v>560</v>
      </c>
      <c r="C12" s="12"/>
      <c r="D12" s="12">
        <v>1</v>
      </c>
      <c r="E12" s="13"/>
      <c r="F12" s="13"/>
      <c r="G12" s="13"/>
      <c r="H12" s="13">
        <v>115</v>
      </c>
      <c r="I12" s="13"/>
      <c r="J12" s="13">
        <f>H12*1.2</f>
        <v>138</v>
      </c>
      <c r="K12" s="1430"/>
      <c r="L12" s="497"/>
      <c r="M12" s="497"/>
    </row>
    <row r="13" spans="1:13">
      <c r="A13" s="356"/>
      <c r="B13" s="808" t="s">
        <v>2523</v>
      </c>
      <c r="C13" s="809"/>
      <c r="D13" s="809">
        <v>1</v>
      </c>
      <c r="E13" s="346"/>
      <c r="F13" s="346"/>
      <c r="G13" s="346"/>
      <c r="H13" s="346">
        <v>65</v>
      </c>
      <c r="I13" s="346"/>
      <c r="J13" s="13">
        <f t="shared" ref="J13:J14" si="0">H13*1.2</f>
        <v>78</v>
      </c>
      <c r="K13" s="1430"/>
      <c r="L13" s="497"/>
      <c r="M13" s="497"/>
    </row>
    <row r="14" spans="1:13">
      <c r="A14" s="356"/>
      <c r="B14" s="808" t="s">
        <v>2524</v>
      </c>
      <c r="C14" s="809"/>
      <c r="D14" s="809">
        <v>1</v>
      </c>
      <c r="E14" s="346"/>
      <c r="F14" s="346"/>
      <c r="G14" s="346"/>
      <c r="H14" s="346">
        <v>25</v>
      </c>
      <c r="I14" s="346"/>
      <c r="J14" s="13">
        <f t="shared" si="0"/>
        <v>30</v>
      </c>
      <c r="K14" s="1430"/>
      <c r="L14" s="497"/>
      <c r="M14" s="497"/>
    </row>
    <row r="15" spans="1:13">
      <c r="A15" s="356"/>
      <c r="B15" s="356"/>
      <c r="C15" s="356"/>
      <c r="D15" s="356"/>
      <c r="E15" s="356"/>
      <c r="F15" s="356"/>
      <c r="G15" s="356"/>
      <c r="H15" s="356"/>
      <c r="I15" s="356" t="s">
        <v>439</v>
      </c>
      <c r="J15" s="357">
        <f>SUM(J12:J14)</f>
        <v>246</v>
      </c>
      <c r="K15" s="847"/>
      <c r="L15" s="856">
        <v>40.5</v>
      </c>
      <c r="M15" s="856">
        <f>L15*J15</f>
        <v>9963</v>
      </c>
    </row>
    <row r="16" spans="1:13">
      <c r="A16" s="811">
        <v>2</v>
      </c>
      <c r="B16" s="812" t="s">
        <v>313</v>
      </c>
      <c r="C16" s="813" t="s">
        <v>306</v>
      </c>
      <c r="D16" s="812"/>
      <c r="E16" s="812"/>
      <c r="F16" s="812"/>
      <c r="G16" s="812"/>
      <c r="H16" s="812"/>
      <c r="I16" s="812"/>
      <c r="J16" s="812"/>
      <c r="K16" s="848"/>
      <c r="L16" s="602"/>
      <c r="M16" s="602"/>
    </row>
    <row r="17" spans="1:13">
      <c r="A17" s="235"/>
      <c r="B17" s="14" t="s">
        <v>560</v>
      </c>
      <c r="C17" s="12"/>
      <c r="D17" s="12">
        <v>1</v>
      </c>
      <c r="E17" s="13">
        <v>11</v>
      </c>
      <c r="F17" s="13"/>
      <c r="G17" s="13"/>
      <c r="H17" s="13">
        <f>AVERAGE(125,255)</f>
        <v>190</v>
      </c>
      <c r="I17" s="13"/>
      <c r="J17" s="13">
        <f>PRODUCT(D17,E17,H17)</f>
        <v>2090</v>
      </c>
      <c r="K17" s="849"/>
      <c r="L17" s="267"/>
      <c r="M17" s="267"/>
    </row>
    <row r="18" spans="1:13">
      <c r="A18" s="235"/>
      <c r="B18" s="14" t="s">
        <v>2525</v>
      </c>
      <c r="C18" s="12"/>
      <c r="D18" s="12">
        <v>1</v>
      </c>
      <c r="E18" s="13"/>
      <c r="F18" s="13">
        <v>1.8</v>
      </c>
      <c r="G18" s="13"/>
      <c r="H18" s="13">
        <v>335</v>
      </c>
      <c r="I18" s="13"/>
      <c r="J18" s="13">
        <f>H18*F18*1.1</f>
        <v>663.30000000000007</v>
      </c>
      <c r="K18" s="849"/>
      <c r="L18" s="267"/>
      <c r="M18" s="267"/>
    </row>
    <row r="19" spans="1:13">
      <c r="A19" s="235"/>
      <c r="B19" s="14" t="s">
        <v>2526</v>
      </c>
      <c r="C19" s="12"/>
      <c r="D19" s="12">
        <v>1</v>
      </c>
      <c r="E19" s="13"/>
      <c r="F19" s="13">
        <v>10.199999999999999</v>
      </c>
      <c r="G19" s="13"/>
      <c r="H19" s="13">
        <v>200</v>
      </c>
      <c r="I19" s="346"/>
      <c r="J19" s="13">
        <f>H19*F19*1.1</f>
        <v>2244</v>
      </c>
      <c r="K19" s="849"/>
      <c r="L19" s="267"/>
      <c r="M19" s="267"/>
    </row>
    <row r="20" spans="1:13">
      <c r="A20" s="235"/>
      <c r="B20" s="231"/>
      <c r="C20" s="232"/>
      <c r="D20" s="232"/>
      <c r="E20" s="232"/>
      <c r="F20" s="232"/>
      <c r="G20" s="232"/>
      <c r="H20" s="232"/>
      <c r="I20" s="356" t="s">
        <v>439</v>
      </c>
      <c r="J20" s="233">
        <f>SUM(J17:J19)</f>
        <v>4997.3</v>
      </c>
      <c r="K20" s="849"/>
      <c r="L20" s="267"/>
      <c r="M20" s="267"/>
    </row>
    <row r="21" spans="1:13">
      <c r="A21" s="235"/>
      <c r="B21" s="231"/>
      <c r="C21" s="1484"/>
      <c r="D21" s="232"/>
      <c r="E21" s="232"/>
      <c r="F21" s="232"/>
      <c r="G21" s="232"/>
      <c r="H21" s="232"/>
      <c r="I21" s="356"/>
      <c r="J21" s="354">
        <f>20%*J20</f>
        <v>999.46</v>
      </c>
      <c r="K21" s="17" t="s">
        <v>853</v>
      </c>
      <c r="L21" s="267"/>
      <c r="M21" s="267"/>
    </row>
    <row r="22" spans="1:13">
      <c r="A22" s="235"/>
      <c r="B22" s="231"/>
      <c r="C22" s="1484"/>
      <c r="D22" s="232"/>
      <c r="E22" s="232"/>
      <c r="F22" s="232"/>
      <c r="G22" s="232"/>
      <c r="H22" s="232"/>
      <c r="I22" s="356"/>
      <c r="J22" s="354">
        <f>80%*J20</f>
        <v>3997.84</v>
      </c>
      <c r="K22" s="17" t="s">
        <v>854</v>
      </c>
      <c r="L22" s="267"/>
      <c r="M22" s="267"/>
    </row>
    <row r="23" spans="1:13">
      <c r="A23" s="596">
        <v>3</v>
      </c>
      <c r="B23" s="712" t="s">
        <v>422</v>
      </c>
      <c r="C23" s="813" t="s">
        <v>306</v>
      </c>
      <c r="D23" s="598"/>
      <c r="E23" s="598"/>
      <c r="F23" s="598"/>
      <c r="G23" s="598"/>
      <c r="H23" s="598"/>
      <c r="I23" s="598"/>
      <c r="J23" s="600"/>
      <c r="K23" s="848"/>
      <c r="L23" s="602"/>
      <c r="M23" s="602"/>
    </row>
    <row r="24" spans="1:13">
      <c r="A24" s="235"/>
      <c r="B24" s="14" t="s">
        <v>560</v>
      </c>
      <c r="C24" s="12"/>
      <c r="D24" s="12">
        <v>1</v>
      </c>
      <c r="E24" s="13">
        <f>E17</f>
        <v>11</v>
      </c>
      <c r="F24" s="13"/>
      <c r="G24" s="13"/>
      <c r="H24" s="13">
        <v>23.5</v>
      </c>
      <c r="I24" s="13"/>
      <c r="J24" s="13">
        <f>D24*E24*H24</f>
        <v>258.5</v>
      </c>
      <c r="K24" s="849"/>
      <c r="L24" s="267"/>
      <c r="M24" s="267"/>
    </row>
    <row r="25" spans="1:13">
      <c r="A25" s="235"/>
      <c r="B25" s="14" t="s">
        <v>1217</v>
      </c>
      <c r="C25" s="12"/>
      <c r="D25" s="12">
        <v>1</v>
      </c>
      <c r="E25" s="13"/>
      <c r="F25" s="13"/>
      <c r="G25" s="13"/>
      <c r="H25" s="13"/>
      <c r="I25" s="13"/>
      <c r="J25" s="13">
        <f>0.1*J18</f>
        <v>66.330000000000013</v>
      </c>
      <c r="K25" s="849"/>
      <c r="L25" s="267"/>
      <c r="M25" s="267"/>
    </row>
    <row r="26" spans="1:13">
      <c r="A26" s="235"/>
      <c r="B26" s="14" t="s">
        <v>2524</v>
      </c>
      <c r="C26" s="12"/>
      <c r="D26" s="12"/>
      <c r="E26" s="13"/>
      <c r="F26" s="13"/>
      <c r="G26" s="13"/>
      <c r="H26" s="13"/>
      <c r="I26" s="346"/>
      <c r="J26" s="13">
        <f>0.1*J19</f>
        <v>224.4</v>
      </c>
      <c r="K26" s="849"/>
      <c r="L26" s="267"/>
      <c r="M26" s="267"/>
    </row>
    <row r="27" spans="1:13">
      <c r="A27" s="235"/>
      <c r="B27" s="231"/>
      <c r="C27" s="232"/>
      <c r="D27" s="232"/>
      <c r="E27" s="232"/>
      <c r="F27" s="232"/>
      <c r="G27" s="232"/>
      <c r="H27" s="232"/>
      <c r="I27" s="356" t="s">
        <v>439</v>
      </c>
      <c r="J27" s="233">
        <f>SUM(J24:J26)</f>
        <v>549.23</v>
      </c>
      <c r="K27" s="849" t="s">
        <v>91</v>
      </c>
      <c r="L27" s="267">
        <v>210</v>
      </c>
      <c r="M27" s="267">
        <f>L27*J27</f>
        <v>115338.3</v>
      </c>
    </row>
    <row r="28" spans="1:13">
      <c r="A28" s="596">
        <v>4</v>
      </c>
      <c r="B28" s="712" t="s">
        <v>314</v>
      </c>
      <c r="C28" s="813" t="s">
        <v>306</v>
      </c>
      <c r="D28" s="598"/>
      <c r="E28" s="598"/>
      <c r="F28" s="598"/>
      <c r="G28" s="598"/>
      <c r="H28" s="598"/>
      <c r="I28" s="598"/>
      <c r="J28" s="598"/>
      <c r="K28" s="848"/>
      <c r="L28" s="602"/>
      <c r="M28" s="602"/>
    </row>
    <row r="29" spans="1:13">
      <c r="A29" s="235"/>
      <c r="B29" s="14" t="s">
        <v>738</v>
      </c>
      <c r="C29" s="12"/>
      <c r="D29" s="12">
        <v>1</v>
      </c>
      <c r="E29" s="13"/>
      <c r="F29" s="13"/>
      <c r="G29" s="13">
        <v>7.4999999999999997E-2</v>
      </c>
      <c r="H29" s="13">
        <f>H12</f>
        <v>115</v>
      </c>
      <c r="I29" s="13"/>
      <c r="J29" s="344">
        <f>H29*G29*D29</f>
        <v>8.625</v>
      </c>
      <c r="K29" s="849"/>
      <c r="L29" s="267"/>
      <c r="M29" s="267"/>
    </row>
    <row r="30" spans="1:13">
      <c r="A30" s="235"/>
      <c r="B30" s="14" t="s">
        <v>737</v>
      </c>
      <c r="C30" s="12"/>
      <c r="D30" s="12">
        <v>1</v>
      </c>
      <c r="E30" s="13"/>
      <c r="F30" s="13"/>
      <c r="G30" s="13">
        <v>7.4999999999999997E-2</v>
      </c>
      <c r="H30" s="13">
        <f t="shared" ref="H30:H31" si="1">H13</f>
        <v>65</v>
      </c>
      <c r="I30" s="13"/>
      <c r="J30" s="344">
        <f>H30*G30*D30</f>
        <v>4.875</v>
      </c>
      <c r="K30" s="849"/>
      <c r="L30" s="267"/>
      <c r="M30" s="267"/>
    </row>
    <row r="31" spans="1:13">
      <c r="A31" s="235"/>
      <c r="B31" s="14" t="s">
        <v>2524</v>
      </c>
      <c r="C31" s="12"/>
      <c r="D31" s="12">
        <v>1</v>
      </c>
      <c r="E31" s="13"/>
      <c r="F31" s="13"/>
      <c r="G31" s="13">
        <v>7.4999999999999997E-2</v>
      </c>
      <c r="H31" s="13">
        <f t="shared" si="1"/>
        <v>25</v>
      </c>
      <c r="I31" s="346"/>
      <c r="J31" s="344">
        <f>H31*G31*D31</f>
        <v>1.875</v>
      </c>
      <c r="K31" s="849"/>
      <c r="L31" s="267"/>
      <c r="M31" s="267"/>
    </row>
    <row r="32" spans="1:13">
      <c r="A32" s="235"/>
      <c r="B32" s="231"/>
      <c r="C32" s="232"/>
      <c r="D32" s="232"/>
      <c r="E32" s="232"/>
      <c r="F32" s="232"/>
      <c r="G32" s="232"/>
      <c r="H32" s="232"/>
      <c r="I32" s="356" t="s">
        <v>439</v>
      </c>
      <c r="J32" s="233">
        <f>SUM(J29:J31)</f>
        <v>15.375</v>
      </c>
      <c r="K32" s="849"/>
      <c r="L32" s="267">
        <v>13500</v>
      </c>
      <c r="M32" s="267">
        <f>L32*J32</f>
        <v>207562.5</v>
      </c>
    </row>
    <row r="33" spans="1:13">
      <c r="A33" s="596">
        <v>6</v>
      </c>
      <c r="B33" s="712" t="s">
        <v>315</v>
      </c>
      <c r="C33" s="813" t="s">
        <v>306</v>
      </c>
      <c r="D33" s="598"/>
      <c r="E33" s="598"/>
      <c r="F33" s="598"/>
      <c r="G33" s="598"/>
      <c r="H33" s="598"/>
      <c r="I33" s="598"/>
      <c r="J33" s="598"/>
      <c r="K33" s="848"/>
      <c r="L33" s="602"/>
      <c r="M33" s="602"/>
    </row>
    <row r="34" spans="1:13">
      <c r="A34" s="235"/>
      <c r="B34" s="1485" t="s">
        <v>560</v>
      </c>
      <c r="C34" s="12"/>
      <c r="D34" s="12"/>
      <c r="E34" s="13"/>
      <c r="F34" s="13"/>
      <c r="G34" s="13"/>
      <c r="H34" s="13"/>
      <c r="I34" s="13"/>
      <c r="J34" s="344"/>
      <c r="K34" s="849"/>
      <c r="L34" s="267"/>
      <c r="M34" s="267"/>
    </row>
    <row r="35" spans="1:13">
      <c r="A35" s="235"/>
      <c r="B35" s="345" t="s">
        <v>1213</v>
      </c>
      <c r="C35" s="12"/>
      <c r="D35" s="12">
        <v>1</v>
      </c>
      <c r="E35" s="13"/>
      <c r="F35" s="13">
        <v>10.199999999999999</v>
      </c>
      <c r="G35" s="13"/>
      <c r="H35" s="13">
        <v>31.77</v>
      </c>
      <c r="I35" s="13"/>
      <c r="J35" s="344">
        <f>D35*H35*F35</f>
        <v>324.05399999999997</v>
      </c>
      <c r="K35" s="849"/>
      <c r="L35" s="267"/>
      <c r="M35" s="267"/>
    </row>
    <row r="36" spans="1:13">
      <c r="A36" s="235"/>
      <c r="B36" s="345" t="s">
        <v>577</v>
      </c>
      <c r="C36" s="12"/>
      <c r="D36" s="12">
        <v>2</v>
      </c>
      <c r="E36" s="13"/>
      <c r="F36" s="13">
        <v>1</v>
      </c>
      <c r="G36" s="13"/>
      <c r="H36" s="13">
        <v>93.475999999999999</v>
      </c>
      <c r="I36" s="13"/>
      <c r="J36" s="344">
        <f>D36*H36*F36</f>
        <v>186.952</v>
      </c>
      <c r="K36" s="849"/>
      <c r="L36" s="267"/>
      <c r="M36" s="267"/>
    </row>
    <row r="37" spans="1:13">
      <c r="A37" s="235"/>
      <c r="B37" s="345" t="s">
        <v>2517</v>
      </c>
      <c r="C37" s="12"/>
      <c r="D37" s="12">
        <v>1</v>
      </c>
      <c r="E37" s="13"/>
      <c r="F37" s="13">
        <v>1</v>
      </c>
      <c r="G37" s="13"/>
      <c r="H37" s="13">
        <v>28.143000000000001</v>
      </c>
      <c r="I37" s="13"/>
      <c r="J37" s="344">
        <f>D37*H37*F37</f>
        <v>28.143000000000001</v>
      </c>
      <c r="K37" s="849"/>
      <c r="L37" s="267"/>
      <c r="M37" s="267"/>
    </row>
    <row r="38" spans="1:13">
      <c r="A38" s="235"/>
      <c r="B38" s="345" t="s">
        <v>2527</v>
      </c>
      <c r="C38" s="12"/>
      <c r="D38" s="12">
        <v>1</v>
      </c>
      <c r="E38" s="13">
        <v>10.199999999999999</v>
      </c>
      <c r="F38" s="13">
        <v>1</v>
      </c>
      <c r="G38" s="13">
        <v>7.85</v>
      </c>
      <c r="H38" s="13"/>
      <c r="I38" s="13"/>
      <c r="J38" s="344">
        <f>PRODUCT(D38:G38)</f>
        <v>80.069999999999993</v>
      </c>
      <c r="K38" s="849"/>
      <c r="L38" s="267"/>
      <c r="M38" s="267"/>
    </row>
    <row r="39" spans="1:13">
      <c r="A39" s="235"/>
      <c r="B39" s="345" t="s">
        <v>2528</v>
      </c>
      <c r="C39" s="12"/>
      <c r="D39" s="12">
        <v>1</v>
      </c>
      <c r="E39" s="13"/>
      <c r="F39" s="13">
        <v>3</v>
      </c>
      <c r="G39" s="13">
        <v>3.4</v>
      </c>
      <c r="H39" s="13"/>
      <c r="I39" s="13"/>
      <c r="J39" s="344">
        <f>-PRODUCT(D39:G39)</f>
        <v>-10.199999999999999</v>
      </c>
      <c r="K39" s="849"/>
      <c r="L39" s="267"/>
      <c r="M39" s="267"/>
    </row>
    <row r="40" spans="1:13">
      <c r="A40" s="235"/>
      <c r="B40" s="1485" t="s">
        <v>2529</v>
      </c>
      <c r="C40" s="12"/>
      <c r="D40" s="12"/>
      <c r="E40" s="13"/>
      <c r="F40" s="13"/>
      <c r="G40" s="13"/>
      <c r="H40" s="13"/>
      <c r="I40" s="13"/>
      <c r="J40" s="344"/>
      <c r="K40" s="849"/>
      <c r="L40" s="267"/>
      <c r="M40" s="267"/>
    </row>
    <row r="41" spans="1:13">
      <c r="A41" s="235"/>
      <c r="B41" s="345" t="s">
        <v>1219</v>
      </c>
      <c r="C41" s="12"/>
      <c r="D41" s="12">
        <v>2</v>
      </c>
      <c r="E41" s="13"/>
      <c r="F41" s="13">
        <v>3.6</v>
      </c>
      <c r="G41" s="13"/>
      <c r="H41" s="13">
        <v>4.4640000000000004</v>
      </c>
      <c r="I41" s="13"/>
      <c r="J41" s="344">
        <f>H41*F41*D41</f>
        <v>32.140800000000006</v>
      </c>
      <c r="K41" s="849"/>
      <c r="L41" s="267"/>
      <c r="M41" s="267"/>
    </row>
    <row r="42" spans="1:13">
      <c r="A42" s="235"/>
      <c r="B42" s="1485" t="s">
        <v>2530</v>
      </c>
      <c r="C42" s="12"/>
      <c r="D42" s="12"/>
      <c r="E42" s="13"/>
      <c r="F42" s="13"/>
      <c r="G42" s="13"/>
      <c r="H42" s="13"/>
      <c r="I42" s="13"/>
      <c r="J42" s="344"/>
      <c r="K42" s="849"/>
      <c r="L42" s="267"/>
      <c r="M42" s="267"/>
    </row>
    <row r="43" spans="1:13">
      <c r="A43" s="235"/>
      <c r="B43" s="345" t="s">
        <v>577</v>
      </c>
      <c r="C43" s="12"/>
      <c r="D43" s="12">
        <v>2</v>
      </c>
      <c r="E43" s="13">
        <v>4.3</v>
      </c>
      <c r="F43" s="13">
        <v>0.7</v>
      </c>
      <c r="G43" s="13">
        <v>10.27</v>
      </c>
      <c r="H43" s="13"/>
      <c r="I43" s="13"/>
      <c r="J43" s="344">
        <f>PRODUCT(D43:G43)</f>
        <v>61.825399999999995</v>
      </c>
      <c r="K43" s="849"/>
      <c r="L43" s="267"/>
      <c r="M43" s="267"/>
    </row>
    <row r="44" spans="1:13">
      <c r="A44" s="235"/>
      <c r="B44" s="345" t="s">
        <v>2520</v>
      </c>
      <c r="C44" s="12"/>
      <c r="D44" s="12">
        <v>1</v>
      </c>
      <c r="E44" s="13"/>
      <c r="F44" s="13">
        <v>1.2</v>
      </c>
      <c r="G44" s="13"/>
      <c r="H44" s="13">
        <v>5.9720000000000004</v>
      </c>
      <c r="I44" s="13"/>
      <c r="J44" s="344">
        <f>PRODUCT(D44:H44)</f>
        <v>7.1664000000000003</v>
      </c>
      <c r="K44" s="849"/>
      <c r="L44" s="267"/>
      <c r="M44" s="267"/>
    </row>
    <row r="45" spans="1:13">
      <c r="A45" s="235"/>
      <c r="B45" s="1485" t="s">
        <v>2525</v>
      </c>
      <c r="C45" s="12"/>
      <c r="D45" s="12"/>
      <c r="E45" s="13"/>
      <c r="F45" s="13"/>
      <c r="G45" s="13"/>
      <c r="H45" s="13"/>
      <c r="I45" s="13"/>
      <c r="J45" s="344"/>
      <c r="K45" s="849"/>
      <c r="L45" s="267"/>
      <c r="M45" s="267"/>
    </row>
    <row r="46" spans="1:13">
      <c r="A46" s="235"/>
      <c r="B46" s="345" t="s">
        <v>149</v>
      </c>
      <c r="C46" s="12"/>
      <c r="D46" s="12">
        <v>1</v>
      </c>
      <c r="E46" s="13">
        <v>25.4</v>
      </c>
      <c r="F46" s="13"/>
      <c r="G46" s="13"/>
      <c r="H46" s="13">
        <v>2.52</v>
      </c>
      <c r="I46" s="13"/>
      <c r="J46" s="344">
        <f>H46*E46*D46</f>
        <v>64.007999999999996</v>
      </c>
      <c r="K46" s="849"/>
      <c r="L46" s="267"/>
      <c r="M46" s="267"/>
    </row>
    <row r="47" spans="1:13">
      <c r="A47" s="235"/>
      <c r="B47" s="1485" t="s">
        <v>2524</v>
      </c>
      <c r="C47" s="12"/>
      <c r="D47" s="12"/>
      <c r="E47" s="13"/>
      <c r="F47" s="13"/>
      <c r="G47" s="13"/>
      <c r="H47" s="13"/>
      <c r="I47" s="13"/>
      <c r="J47" s="344"/>
      <c r="K47" s="849"/>
      <c r="L47" s="267"/>
      <c r="M47" s="267"/>
    </row>
    <row r="48" spans="1:13">
      <c r="A48" s="235"/>
      <c r="B48" s="345" t="s">
        <v>2531</v>
      </c>
      <c r="C48" s="12"/>
      <c r="D48" s="12">
        <v>1</v>
      </c>
      <c r="E48" s="13"/>
      <c r="F48" s="13">
        <v>3</v>
      </c>
      <c r="G48" s="13"/>
      <c r="H48" s="13">
        <v>8.82</v>
      </c>
      <c r="I48" s="346"/>
      <c r="J48" s="344">
        <f>H48*F48*D48</f>
        <v>26.46</v>
      </c>
      <c r="K48" s="849"/>
      <c r="L48" s="267"/>
      <c r="M48" s="267"/>
    </row>
    <row r="49" spans="1:13">
      <c r="A49" s="235"/>
      <c r="B49" s="345" t="s">
        <v>577</v>
      </c>
      <c r="C49" s="12"/>
      <c r="D49" s="12">
        <v>2</v>
      </c>
      <c r="E49" s="13">
        <v>5</v>
      </c>
      <c r="F49" s="13">
        <v>0.7</v>
      </c>
      <c r="G49" s="13">
        <v>7</v>
      </c>
      <c r="H49" s="13"/>
      <c r="I49" s="346"/>
      <c r="J49" s="344">
        <f>PRODUCT(D49:G49)</f>
        <v>49</v>
      </c>
      <c r="K49" s="849"/>
      <c r="L49" s="267"/>
      <c r="M49" s="267"/>
    </row>
    <row r="50" spans="1:13">
      <c r="A50" s="235"/>
      <c r="B50" s="231"/>
      <c r="C50" s="232"/>
      <c r="D50" s="232"/>
      <c r="E50" s="232"/>
      <c r="F50" s="232"/>
      <c r="G50" s="232"/>
      <c r="H50" s="232"/>
      <c r="I50" s="356" t="s">
        <v>439</v>
      </c>
      <c r="J50" s="233">
        <f>SUM(J35:J49)</f>
        <v>849.61959999999999</v>
      </c>
      <c r="K50" s="849"/>
      <c r="L50" s="267">
        <v>17500</v>
      </c>
      <c r="M50" s="267">
        <f>L50*J50</f>
        <v>14868343</v>
      </c>
    </row>
    <row r="51" spans="1:13">
      <c r="A51" s="596">
        <v>7</v>
      </c>
      <c r="B51" s="712" t="s">
        <v>309</v>
      </c>
      <c r="C51" s="598" t="s">
        <v>85</v>
      </c>
      <c r="D51" s="598"/>
      <c r="E51" s="598"/>
      <c r="F51" s="598"/>
      <c r="G51" s="598"/>
      <c r="H51" s="598"/>
      <c r="I51" s="598"/>
      <c r="J51" s="598"/>
      <c r="K51" s="848"/>
      <c r="L51" s="602"/>
      <c r="M51" s="602"/>
    </row>
    <row r="52" spans="1:13">
      <c r="A52" s="235"/>
      <c r="B52" s="1485" t="s">
        <v>560</v>
      </c>
      <c r="C52" s="12"/>
      <c r="D52" s="12"/>
      <c r="E52" s="13"/>
      <c r="F52" s="13"/>
      <c r="G52" s="13"/>
      <c r="H52" s="13"/>
      <c r="I52" s="13"/>
      <c r="J52" s="344"/>
      <c r="K52" s="849"/>
      <c r="L52" s="267"/>
      <c r="M52" s="267"/>
    </row>
    <row r="53" spans="1:13">
      <c r="A53" s="235"/>
      <c r="B53" s="345" t="s">
        <v>1213</v>
      </c>
      <c r="C53" s="12"/>
      <c r="D53" s="12">
        <v>2</v>
      </c>
      <c r="E53" s="13"/>
      <c r="F53" s="13"/>
      <c r="G53" s="13"/>
      <c r="H53" s="13">
        <v>31.77</v>
      </c>
      <c r="I53" s="13"/>
      <c r="J53" s="344">
        <f>H53*D53</f>
        <v>63.54</v>
      </c>
      <c r="K53" s="849"/>
      <c r="L53" s="267"/>
      <c r="M53" s="267"/>
    </row>
    <row r="54" spans="1:13">
      <c r="A54" s="235"/>
      <c r="B54" s="345" t="s">
        <v>577</v>
      </c>
      <c r="C54" s="12"/>
      <c r="D54" s="12">
        <v>4</v>
      </c>
      <c r="E54" s="13"/>
      <c r="F54" s="13"/>
      <c r="G54" s="13"/>
      <c r="H54" s="13">
        <v>93.475999999999999</v>
      </c>
      <c r="I54" s="13"/>
      <c r="J54" s="344">
        <f t="shared" ref="J54:J55" si="2">H54*D54</f>
        <v>373.904</v>
      </c>
      <c r="K54" s="849"/>
      <c r="L54" s="267"/>
      <c r="M54" s="267"/>
    </row>
    <row r="55" spans="1:13">
      <c r="A55" s="235"/>
      <c r="B55" s="345" t="s">
        <v>2517</v>
      </c>
      <c r="C55" s="12"/>
      <c r="D55" s="12">
        <v>2</v>
      </c>
      <c r="E55" s="13"/>
      <c r="F55" s="13"/>
      <c r="G55" s="13"/>
      <c r="H55" s="13">
        <v>28.143000000000001</v>
      </c>
      <c r="I55" s="13"/>
      <c r="J55" s="344">
        <f t="shared" si="2"/>
        <v>56.286000000000001</v>
      </c>
      <c r="K55" s="849"/>
      <c r="L55" s="267"/>
      <c r="M55" s="267"/>
    </row>
    <row r="56" spans="1:13">
      <c r="A56" s="235"/>
      <c r="B56" s="345" t="s">
        <v>2527</v>
      </c>
      <c r="C56" s="12"/>
      <c r="D56" s="12">
        <v>2</v>
      </c>
      <c r="E56" s="13">
        <v>10.199999999999999</v>
      </c>
      <c r="F56" s="13"/>
      <c r="G56" s="13">
        <v>7.85</v>
      </c>
      <c r="H56" s="13"/>
      <c r="I56" s="13"/>
      <c r="J56" s="344">
        <f>PRODUCT(D56:G56)</f>
        <v>160.13999999999999</v>
      </c>
      <c r="K56" s="849"/>
      <c r="L56" s="267"/>
      <c r="M56" s="267"/>
    </row>
    <row r="57" spans="1:13">
      <c r="A57" s="235"/>
      <c r="B57" s="345" t="s">
        <v>2528</v>
      </c>
      <c r="C57" s="12"/>
      <c r="D57" s="12">
        <v>2</v>
      </c>
      <c r="E57" s="13"/>
      <c r="F57" s="13">
        <v>3</v>
      </c>
      <c r="G57" s="13">
        <v>3.4</v>
      </c>
      <c r="H57" s="13"/>
      <c r="I57" s="13"/>
      <c r="J57" s="344">
        <f>-PRODUCT(D57:G57)</f>
        <v>-20.399999999999999</v>
      </c>
      <c r="K57" s="849"/>
      <c r="L57" s="267"/>
      <c r="M57" s="267"/>
    </row>
    <row r="58" spans="1:13">
      <c r="A58" s="235"/>
      <c r="B58" s="1485" t="s">
        <v>2529</v>
      </c>
      <c r="C58" s="12"/>
      <c r="D58" s="12"/>
      <c r="E58" s="13"/>
      <c r="F58" s="13"/>
      <c r="G58" s="13"/>
      <c r="H58" s="13"/>
      <c r="I58" s="13"/>
      <c r="J58" s="344"/>
      <c r="K58" s="849"/>
      <c r="L58" s="267"/>
      <c r="M58" s="267"/>
    </row>
    <row r="59" spans="1:13">
      <c r="A59" s="235"/>
      <c r="B59" s="345" t="s">
        <v>2532</v>
      </c>
      <c r="C59" s="12"/>
      <c r="D59" s="12">
        <v>2</v>
      </c>
      <c r="E59" s="13"/>
      <c r="F59" s="13">
        <v>3.6</v>
      </c>
      <c r="G59" s="13">
        <v>7.2</v>
      </c>
      <c r="H59" s="13"/>
      <c r="I59" s="13"/>
      <c r="J59" s="344">
        <f>PRODUCT(D59:H59)</f>
        <v>51.84</v>
      </c>
      <c r="K59" s="849"/>
      <c r="L59" s="267"/>
      <c r="M59" s="267"/>
    </row>
    <row r="60" spans="1:13">
      <c r="A60" s="235"/>
      <c r="B60" s="345" t="s">
        <v>2533</v>
      </c>
      <c r="C60" s="12"/>
      <c r="D60" s="12">
        <v>2</v>
      </c>
      <c r="E60" s="13">
        <v>3.4</v>
      </c>
      <c r="F60" s="13">
        <v>3.6</v>
      </c>
      <c r="G60" s="13"/>
      <c r="H60" s="13"/>
      <c r="I60" s="13"/>
      <c r="J60" s="344">
        <f>PRODUCT(D60:H60)</f>
        <v>24.48</v>
      </c>
      <c r="K60" s="849"/>
      <c r="L60" s="267"/>
      <c r="M60" s="267"/>
    </row>
    <row r="61" spans="1:13">
      <c r="A61" s="235"/>
      <c r="B61" s="1485" t="s">
        <v>2530</v>
      </c>
      <c r="C61" s="12"/>
      <c r="D61" s="12"/>
      <c r="E61" s="13"/>
      <c r="F61" s="13"/>
      <c r="G61" s="13"/>
      <c r="H61" s="13"/>
      <c r="I61" s="13"/>
      <c r="J61" s="344"/>
      <c r="K61" s="849"/>
      <c r="L61" s="267"/>
      <c r="M61" s="267"/>
    </row>
    <row r="62" spans="1:13">
      <c r="A62" s="235"/>
      <c r="B62" s="345" t="s">
        <v>577</v>
      </c>
      <c r="C62" s="12"/>
      <c r="D62" s="12">
        <v>4</v>
      </c>
      <c r="E62" s="13">
        <v>4.3</v>
      </c>
      <c r="F62" s="13"/>
      <c r="G62" s="13">
        <v>10.27</v>
      </c>
      <c r="H62" s="13"/>
      <c r="I62" s="13"/>
      <c r="J62" s="344">
        <f>PRODUCT(D62:G62)</f>
        <v>176.64399999999998</v>
      </c>
      <c r="K62" s="849"/>
      <c r="L62" s="267"/>
      <c r="M62" s="267"/>
    </row>
    <row r="63" spans="1:13">
      <c r="A63" s="235"/>
      <c r="B63" s="345" t="s">
        <v>2534</v>
      </c>
      <c r="C63" s="12"/>
      <c r="D63" s="12">
        <v>4</v>
      </c>
      <c r="E63" s="13"/>
      <c r="F63" s="13">
        <v>1.2</v>
      </c>
      <c r="G63" s="13">
        <v>7.97</v>
      </c>
      <c r="H63" s="13"/>
      <c r="I63" s="13"/>
      <c r="J63" s="344">
        <f>PRODUCT(D63:H63)</f>
        <v>38.256</v>
      </c>
      <c r="K63" s="849"/>
      <c r="L63" s="267"/>
      <c r="M63" s="267"/>
    </row>
    <row r="64" spans="1:13">
      <c r="A64" s="235"/>
      <c r="B64" s="345" t="s">
        <v>2533</v>
      </c>
      <c r="C64" s="12"/>
      <c r="D64" s="12">
        <v>1</v>
      </c>
      <c r="E64" s="13">
        <v>4.5</v>
      </c>
      <c r="F64" s="13">
        <v>1.2</v>
      </c>
      <c r="G64" s="13"/>
      <c r="H64" s="13"/>
      <c r="I64" s="13"/>
      <c r="J64" s="344">
        <f>PRODUCT(D64:H64)</f>
        <v>5.3999999999999995</v>
      </c>
      <c r="K64" s="849"/>
      <c r="L64" s="267"/>
      <c r="M64" s="267"/>
    </row>
    <row r="65" spans="1:13">
      <c r="A65" s="235"/>
      <c r="B65" s="1485" t="s">
        <v>2525</v>
      </c>
      <c r="C65" s="12"/>
      <c r="D65" s="12"/>
      <c r="E65" s="13"/>
      <c r="F65" s="13"/>
      <c r="G65" s="13"/>
      <c r="H65" s="13"/>
      <c r="I65" s="13"/>
      <c r="J65" s="344"/>
      <c r="K65" s="849"/>
      <c r="L65" s="267"/>
      <c r="M65" s="267"/>
    </row>
    <row r="66" spans="1:13">
      <c r="A66" s="235"/>
      <c r="B66" s="345" t="s">
        <v>581</v>
      </c>
      <c r="C66" s="12"/>
      <c r="D66" s="12">
        <v>1</v>
      </c>
      <c r="E66" s="13">
        <v>25.4</v>
      </c>
      <c r="F66" s="13"/>
      <c r="G66" s="13">
        <v>2.2000000000000002</v>
      </c>
      <c r="H66" s="13"/>
      <c r="I66" s="13"/>
      <c r="J66" s="344">
        <f>PRODUCT(D66:G66)</f>
        <v>55.88</v>
      </c>
      <c r="K66" s="849"/>
      <c r="L66" s="267"/>
      <c r="M66" s="267"/>
    </row>
    <row r="67" spans="1:13">
      <c r="A67" s="235"/>
      <c r="B67" s="345" t="s">
        <v>2533</v>
      </c>
      <c r="C67" s="12"/>
      <c r="D67" s="12">
        <v>1</v>
      </c>
      <c r="E67" s="13">
        <v>25.4</v>
      </c>
      <c r="F67" s="13">
        <v>1.2</v>
      </c>
      <c r="G67" s="13"/>
      <c r="H67" s="13"/>
      <c r="I67" s="13"/>
      <c r="J67" s="344">
        <f>PRODUCT(D67:G67)</f>
        <v>30.479999999999997</v>
      </c>
      <c r="K67" s="849"/>
      <c r="L67" s="267"/>
      <c r="M67" s="267"/>
    </row>
    <row r="68" spans="1:13">
      <c r="A68" s="235"/>
      <c r="B68" s="1485" t="s">
        <v>2524</v>
      </c>
      <c r="C68" s="12"/>
      <c r="D68" s="12"/>
      <c r="E68" s="13"/>
      <c r="F68" s="13"/>
      <c r="G68" s="13"/>
      <c r="H68" s="13"/>
      <c r="I68" s="13"/>
      <c r="J68" s="344"/>
      <c r="K68" s="849"/>
      <c r="L68" s="267"/>
      <c r="M68" s="267"/>
    </row>
    <row r="69" spans="1:13">
      <c r="A69" s="235"/>
      <c r="B69" s="345" t="s">
        <v>581</v>
      </c>
      <c r="C69" s="12"/>
      <c r="D69" s="12">
        <v>4</v>
      </c>
      <c r="E69" s="13">
        <v>5</v>
      </c>
      <c r="F69" s="13">
        <v>0.7</v>
      </c>
      <c r="G69" s="13">
        <v>7</v>
      </c>
      <c r="H69" s="13"/>
      <c r="I69" s="346"/>
      <c r="J69" s="344">
        <f>PRODUCT(D69:G69)</f>
        <v>98</v>
      </c>
      <c r="K69" s="849"/>
      <c r="L69" s="267"/>
      <c r="M69" s="267"/>
    </row>
    <row r="70" spans="1:13">
      <c r="A70" s="235"/>
      <c r="B70" s="345" t="s">
        <v>2534</v>
      </c>
      <c r="C70" s="12"/>
      <c r="D70" s="12">
        <v>4</v>
      </c>
      <c r="E70" s="13"/>
      <c r="F70" s="20">
        <v>3</v>
      </c>
      <c r="G70" s="13">
        <v>3.25</v>
      </c>
      <c r="H70" s="13"/>
      <c r="I70" s="346"/>
      <c r="J70" s="344">
        <f>PRODUCT(D70:G70)</f>
        <v>39</v>
      </c>
      <c r="K70" s="849"/>
      <c r="L70" s="267"/>
      <c r="M70" s="267"/>
    </row>
    <row r="71" spans="1:13">
      <c r="A71" s="235"/>
      <c r="B71" s="345" t="s">
        <v>2533</v>
      </c>
      <c r="C71" s="12"/>
      <c r="D71" s="12">
        <v>1</v>
      </c>
      <c r="E71" s="13">
        <v>5</v>
      </c>
      <c r="F71" s="20">
        <v>3</v>
      </c>
      <c r="G71" s="13"/>
      <c r="H71" s="13"/>
      <c r="I71" s="346"/>
      <c r="J71" s="344">
        <f>PRODUCT(D71:G71)</f>
        <v>15</v>
      </c>
      <c r="K71" s="849"/>
      <c r="L71" s="267"/>
      <c r="M71" s="267"/>
    </row>
    <row r="72" spans="1:13">
      <c r="A72" s="235"/>
      <c r="B72" s="349"/>
      <c r="C72" s="347"/>
      <c r="D72" s="347"/>
      <c r="E72" s="348"/>
      <c r="F72" s="350"/>
      <c r="G72" s="348"/>
      <c r="H72" s="348"/>
      <c r="I72" s="356" t="s">
        <v>439</v>
      </c>
      <c r="J72" s="233">
        <f>SUM(J53:J71)</f>
        <v>1168.45</v>
      </c>
      <c r="K72" s="849"/>
      <c r="L72" s="267">
        <v>1285</v>
      </c>
      <c r="M72" s="267">
        <f>L72*J72</f>
        <v>1501458.25</v>
      </c>
    </row>
    <row r="73" spans="1:13">
      <c r="A73" s="596">
        <v>8</v>
      </c>
      <c r="B73" s="712" t="s">
        <v>24</v>
      </c>
      <c r="C73" s="598" t="s">
        <v>25</v>
      </c>
      <c r="D73" s="598"/>
      <c r="E73" s="598"/>
      <c r="F73" s="598"/>
      <c r="G73" s="598"/>
      <c r="H73" s="601"/>
      <c r="I73" s="601"/>
      <c r="J73" s="601"/>
      <c r="K73" s="848"/>
      <c r="L73" s="602"/>
      <c r="M73" s="602"/>
    </row>
    <row r="74" spans="1:13">
      <c r="A74" s="235"/>
      <c r="B74" s="44" t="s">
        <v>1221</v>
      </c>
      <c r="C74" s="232"/>
      <c r="D74" s="232"/>
      <c r="E74" s="232"/>
      <c r="F74" s="232"/>
      <c r="G74" s="232"/>
      <c r="H74" s="234" t="s">
        <v>1493</v>
      </c>
      <c r="I74" s="232"/>
      <c r="J74" s="233">
        <f>(1%*(J50)*7850)/1000</f>
        <v>66.695138599999993</v>
      </c>
      <c r="K74" s="849"/>
      <c r="L74" s="267"/>
      <c r="M74" s="267"/>
    </row>
    <row r="75" spans="1:13">
      <c r="A75" s="240"/>
      <c r="C75" s="44"/>
      <c r="D75" s="44"/>
      <c r="E75" s="44"/>
      <c r="F75" s="44"/>
      <c r="G75" s="44"/>
      <c r="H75" s="44"/>
      <c r="I75" s="239" t="s">
        <v>439</v>
      </c>
      <c r="J75" s="269">
        <f>SUM(J74)</f>
        <v>66.695138599999993</v>
      </c>
      <c r="K75" s="849"/>
      <c r="L75" s="267">
        <v>130000</v>
      </c>
      <c r="M75" s="267">
        <f>L75*J75</f>
        <v>8670368.0179999992</v>
      </c>
    </row>
    <row r="76" spans="1:13">
      <c r="A76" s="616">
        <v>9</v>
      </c>
      <c r="B76" s="390" t="s">
        <v>2463</v>
      </c>
      <c r="C76" s="810" t="s">
        <v>19</v>
      </c>
      <c r="D76" s="7"/>
      <c r="E76" s="8"/>
      <c r="F76" s="8"/>
      <c r="G76" s="8"/>
      <c r="H76" s="8"/>
      <c r="I76" s="8"/>
      <c r="J76" s="8"/>
      <c r="K76" s="848"/>
      <c r="L76" s="602"/>
      <c r="M76" s="602"/>
    </row>
    <row r="77" spans="1:13">
      <c r="A77" s="238"/>
      <c r="B77" s="14" t="s">
        <v>560</v>
      </c>
      <c r="C77" s="1445"/>
      <c r="D77" s="12">
        <v>1</v>
      </c>
      <c r="E77" s="13">
        <v>7.4</v>
      </c>
      <c r="F77" s="13">
        <v>8.1999999999999993</v>
      </c>
      <c r="G77" s="13"/>
      <c r="H77" s="13"/>
      <c r="I77" s="13"/>
      <c r="J77" s="13">
        <f>PRODUCT(D77:F77)</f>
        <v>60.68</v>
      </c>
      <c r="K77" s="849"/>
      <c r="L77" s="267"/>
      <c r="M77" s="267"/>
    </row>
    <row r="78" spans="1:13">
      <c r="A78" s="240"/>
      <c r="B78" s="14" t="s">
        <v>967</v>
      </c>
      <c r="C78" s="12"/>
      <c r="D78" s="12">
        <v>1</v>
      </c>
      <c r="E78" s="13">
        <v>25.4</v>
      </c>
      <c r="F78" s="13">
        <v>1.2</v>
      </c>
      <c r="G78" s="13"/>
      <c r="H78" s="13"/>
      <c r="I78" s="13"/>
      <c r="J78" s="13">
        <f>PRODUCT(D78:F78)</f>
        <v>30.479999999999997</v>
      </c>
      <c r="K78" s="849"/>
      <c r="L78" s="267"/>
      <c r="M78" s="267"/>
    </row>
    <row r="79" spans="1:13">
      <c r="A79" s="240"/>
      <c r="B79" s="14"/>
      <c r="C79" s="12"/>
      <c r="D79" s="12"/>
      <c r="E79" s="13"/>
      <c r="F79" s="13"/>
      <c r="G79" s="13"/>
      <c r="I79" s="359" t="s">
        <v>20</v>
      </c>
      <c r="J79" s="359">
        <f>SUM(J77:J78)</f>
        <v>91.16</v>
      </c>
      <c r="K79" s="849"/>
      <c r="L79" s="267">
        <v>9236.98</v>
      </c>
      <c r="M79" s="267">
        <f>L79*J79</f>
        <v>842043.09679999994</v>
      </c>
    </row>
    <row r="80" spans="1:13" ht="67.2">
      <c r="A80" s="704">
        <v>10</v>
      </c>
      <c r="B80" s="705" t="s">
        <v>740</v>
      </c>
      <c r="C80" s="705"/>
      <c r="D80" s="705"/>
      <c r="E80" s="705"/>
      <c r="F80" s="705"/>
      <c r="G80" s="705"/>
      <c r="H80" s="705"/>
      <c r="I80" s="705"/>
      <c r="J80" s="705"/>
      <c r="K80" s="850"/>
      <c r="L80" s="853"/>
      <c r="M80" s="853"/>
    </row>
    <row r="81" spans="1:13">
      <c r="A81" s="1486"/>
      <c r="B81" s="1417" t="s">
        <v>738</v>
      </c>
      <c r="C81" s="1417"/>
      <c r="D81" s="1417"/>
      <c r="E81" s="1417"/>
      <c r="F81" s="1417"/>
      <c r="G81" s="1417"/>
      <c r="H81" s="1417"/>
      <c r="I81" s="1417"/>
      <c r="J81" s="1417"/>
      <c r="K81" s="1487"/>
      <c r="L81" s="1488"/>
      <c r="M81" s="1488"/>
    </row>
    <row r="82" spans="1:13">
      <c r="A82" s="10"/>
      <c r="B82" s="14" t="s">
        <v>155</v>
      </c>
      <c r="C82" s="12" t="s">
        <v>27</v>
      </c>
      <c r="D82" s="12">
        <v>1</v>
      </c>
      <c r="E82" s="14">
        <v>10</v>
      </c>
      <c r="F82" s="14"/>
      <c r="G82" s="14"/>
      <c r="H82" s="14"/>
      <c r="I82" s="14"/>
      <c r="J82" s="14">
        <f>D82*E82</f>
        <v>10</v>
      </c>
      <c r="K82" s="498"/>
      <c r="L82" s="393"/>
      <c r="M82" s="393"/>
    </row>
    <row r="83" spans="1:13">
      <c r="A83" s="10"/>
      <c r="B83" s="14"/>
      <c r="C83" s="12"/>
      <c r="D83" s="12"/>
      <c r="E83" s="13"/>
      <c r="F83" s="13"/>
      <c r="G83" s="346"/>
      <c r="H83" s="44"/>
      <c r="I83" s="359" t="s">
        <v>20</v>
      </c>
      <c r="J83" s="355">
        <f>J82</f>
        <v>10</v>
      </c>
      <c r="K83" s="840"/>
      <c r="L83" s="393">
        <v>1693</v>
      </c>
      <c r="M83" s="393">
        <f>L83*J83</f>
        <v>16930</v>
      </c>
    </row>
    <row r="84" spans="1:13">
      <c r="A84" s="10"/>
      <c r="B84" s="14"/>
      <c r="C84" s="12"/>
      <c r="D84" s="12"/>
      <c r="E84" s="13"/>
      <c r="F84" s="13"/>
      <c r="G84" s="346"/>
      <c r="H84" s="44"/>
      <c r="I84" s="13"/>
      <c r="J84" s="355"/>
      <c r="K84" s="840"/>
      <c r="L84" s="393"/>
      <c r="M84" s="393"/>
    </row>
    <row r="85" spans="1:13">
      <c r="A85" s="10"/>
      <c r="B85" s="14" t="s">
        <v>174</v>
      </c>
      <c r="C85" s="12" t="s">
        <v>27</v>
      </c>
      <c r="D85" s="12">
        <v>1</v>
      </c>
      <c r="E85" s="14">
        <v>10</v>
      </c>
      <c r="F85" s="14"/>
      <c r="G85" s="14"/>
      <c r="H85" s="44"/>
      <c r="I85" s="14"/>
      <c r="J85" s="14">
        <f>E85*D85</f>
        <v>10</v>
      </c>
      <c r="K85" s="498"/>
      <c r="L85" s="393"/>
      <c r="M85" s="393"/>
    </row>
    <row r="86" spans="1:13">
      <c r="A86" s="10"/>
      <c r="B86" s="14"/>
      <c r="C86" s="12"/>
      <c r="D86" s="12"/>
      <c r="E86" s="13"/>
      <c r="F86" s="13"/>
      <c r="G86" s="346"/>
      <c r="H86" s="44"/>
      <c r="I86" s="359" t="s">
        <v>20</v>
      </c>
      <c r="J86" s="355">
        <f>J85</f>
        <v>10</v>
      </c>
      <c r="K86" s="840"/>
      <c r="L86" s="393">
        <v>1245</v>
      </c>
      <c r="M86" s="393">
        <f>L86*J86</f>
        <v>12450</v>
      </c>
    </row>
    <row r="87" spans="1:13">
      <c r="A87" s="10"/>
      <c r="B87" s="14"/>
      <c r="C87" s="12"/>
      <c r="D87" s="12"/>
      <c r="E87" s="13"/>
      <c r="F87" s="13"/>
      <c r="G87" s="346"/>
      <c r="H87" s="44"/>
      <c r="I87" s="13"/>
      <c r="J87" s="355"/>
      <c r="K87" s="840"/>
      <c r="L87" s="393"/>
      <c r="M87" s="393"/>
    </row>
    <row r="88" spans="1:13">
      <c r="A88" s="10"/>
      <c r="B88" s="14" t="s">
        <v>741</v>
      </c>
      <c r="C88" s="12" t="s">
        <v>27</v>
      </c>
      <c r="D88" s="12">
        <v>1</v>
      </c>
      <c r="E88" s="14">
        <v>10</v>
      </c>
      <c r="F88" s="14"/>
      <c r="G88" s="14"/>
      <c r="H88" s="44"/>
      <c r="I88" s="14"/>
      <c r="J88" s="14">
        <f>2*E88*D88</f>
        <v>20</v>
      </c>
      <c r="K88" s="498"/>
      <c r="L88" s="393"/>
      <c r="M88" s="393"/>
    </row>
    <row r="89" spans="1:13">
      <c r="A89" s="10"/>
      <c r="B89" s="14"/>
      <c r="C89" s="12"/>
      <c r="D89" s="12"/>
      <c r="E89" s="13"/>
      <c r="F89" s="13"/>
      <c r="G89" s="346"/>
      <c r="H89" s="44"/>
      <c r="I89" s="359" t="s">
        <v>20</v>
      </c>
      <c r="J89" s="355">
        <f>J88</f>
        <v>20</v>
      </c>
      <c r="K89" s="840"/>
      <c r="L89" s="393">
        <v>1208</v>
      </c>
      <c r="M89" s="393">
        <f>L89*J89</f>
        <v>24160</v>
      </c>
    </row>
    <row r="90" spans="1:13">
      <c r="A90" s="14"/>
      <c r="B90" s="1417" t="s">
        <v>2535</v>
      </c>
      <c r="C90" s="12"/>
      <c r="D90" s="12"/>
      <c r="E90" s="13"/>
      <c r="F90" s="13"/>
      <c r="G90" s="13"/>
      <c r="H90" s="15"/>
      <c r="I90" s="13"/>
      <c r="J90" s="355"/>
      <c r="K90" s="498"/>
      <c r="L90" s="393"/>
      <c r="M90" s="393"/>
    </row>
    <row r="91" spans="1:13">
      <c r="A91" s="240"/>
      <c r="B91" s="14" t="s">
        <v>155</v>
      </c>
      <c r="C91" s="12" t="s">
        <v>27</v>
      </c>
      <c r="D91" s="12">
        <v>2</v>
      </c>
      <c r="E91" s="14">
        <v>2.6</v>
      </c>
      <c r="F91" s="14"/>
      <c r="G91" s="14"/>
      <c r="H91" s="14"/>
      <c r="I91" s="14"/>
      <c r="J91" s="14">
        <f>D91*E91</f>
        <v>5.2</v>
      </c>
      <c r="K91" s="44"/>
      <c r="L91" s="499" t="s">
        <v>20</v>
      </c>
      <c r="M91" s="269">
        <f>SUM(M11:M90)</f>
        <v>26268616.164799999</v>
      </c>
    </row>
    <row r="92" spans="1:13">
      <c r="A92" s="240"/>
      <c r="B92" s="14"/>
      <c r="C92" s="12"/>
      <c r="D92" s="12"/>
      <c r="E92" s="13"/>
      <c r="F92" s="13"/>
      <c r="G92" s="346"/>
      <c r="H92" s="44"/>
      <c r="I92" s="359" t="s">
        <v>20</v>
      </c>
      <c r="J92" s="355">
        <f>J91</f>
        <v>5.2</v>
      </c>
      <c r="K92" s="44"/>
      <c r="L92" s="267"/>
      <c r="M92" s="267" t="s">
        <v>1240</v>
      </c>
    </row>
    <row r="93" spans="1:13">
      <c r="A93" s="240"/>
      <c r="B93" s="14"/>
      <c r="C93" s="12"/>
      <c r="D93" s="12"/>
      <c r="E93" s="13"/>
      <c r="F93" s="13"/>
      <c r="G93" s="346"/>
      <c r="H93" s="44"/>
      <c r="I93" s="13"/>
      <c r="J93" s="355"/>
      <c r="K93" s="44"/>
      <c r="L93" s="267"/>
      <c r="M93" s="267"/>
    </row>
    <row r="94" spans="1:13">
      <c r="A94" s="240"/>
      <c r="B94" s="14" t="s">
        <v>174</v>
      </c>
      <c r="C94" s="12" t="s">
        <v>27</v>
      </c>
      <c r="D94" s="12">
        <v>2</v>
      </c>
      <c r="E94" s="14">
        <v>2.6</v>
      </c>
      <c r="F94" s="14"/>
      <c r="G94" s="14"/>
      <c r="H94" s="44"/>
      <c r="I94" s="14"/>
      <c r="J94" s="14">
        <f>E94*D94</f>
        <v>5.2</v>
      </c>
      <c r="K94" s="44"/>
      <c r="L94" s="267"/>
      <c r="M94" s="267"/>
    </row>
    <row r="95" spans="1:13">
      <c r="A95" s="240"/>
      <c r="B95" s="14"/>
      <c r="C95" s="12"/>
      <c r="D95" s="12"/>
      <c r="E95" s="13"/>
      <c r="F95" s="13"/>
      <c r="G95" s="346"/>
      <c r="H95" s="44"/>
      <c r="I95" s="359" t="s">
        <v>20</v>
      </c>
      <c r="J95" s="355">
        <f>J94</f>
        <v>5.2</v>
      </c>
      <c r="K95" s="44"/>
      <c r="L95" s="267"/>
      <c r="M95" s="267"/>
    </row>
    <row r="96" spans="1:13">
      <c r="A96" s="240"/>
      <c r="B96" s="14"/>
      <c r="C96" s="12"/>
      <c r="D96" s="12"/>
      <c r="E96" s="13"/>
      <c r="F96" s="13"/>
      <c r="G96" s="346"/>
      <c r="H96" s="44"/>
      <c r="I96" s="13"/>
      <c r="J96" s="355"/>
      <c r="K96" s="44"/>
      <c r="L96" s="267"/>
      <c r="M96" s="267"/>
    </row>
    <row r="97" spans="1:13">
      <c r="A97" s="240"/>
      <c r="B97" s="14" t="s">
        <v>741</v>
      </c>
      <c r="C97" s="12" t="s">
        <v>27</v>
      </c>
      <c r="D97" s="12">
        <v>2</v>
      </c>
      <c r="E97" s="14">
        <v>2.6</v>
      </c>
      <c r="F97" s="14"/>
      <c r="G97" s="14"/>
      <c r="H97" s="44"/>
      <c r="I97" s="14"/>
      <c r="J97" s="14">
        <f>2*E97*D97</f>
        <v>10.4</v>
      </c>
      <c r="K97" s="44"/>
      <c r="L97" s="267"/>
      <c r="M97" s="267"/>
    </row>
    <row r="98" spans="1:13">
      <c r="A98" s="240"/>
      <c r="B98" s="14"/>
      <c r="C98" s="12"/>
      <c r="D98" s="12"/>
      <c r="E98" s="13"/>
      <c r="F98" s="13"/>
      <c r="G98" s="13"/>
      <c r="H98" s="44"/>
      <c r="I98" s="359" t="s">
        <v>20</v>
      </c>
      <c r="J98" s="355">
        <f>J97</f>
        <v>10.4</v>
      </c>
      <c r="K98" s="44"/>
    </row>
    <row r="99" spans="1:13">
      <c r="A99" s="240"/>
      <c r="B99" s="239" t="s">
        <v>2536</v>
      </c>
      <c r="C99" s="44"/>
      <c r="D99" s="44"/>
      <c r="E99" s="44"/>
      <c r="F99" s="44"/>
      <c r="G99" s="44"/>
      <c r="H99" s="44"/>
      <c r="I99" s="44"/>
      <c r="J99" s="44"/>
      <c r="K99" s="44"/>
    </row>
    <row r="100" spans="1:13">
      <c r="A100" s="240"/>
      <c r="B100" s="14" t="s">
        <v>155</v>
      </c>
      <c r="C100" s="12" t="s">
        <v>27</v>
      </c>
      <c r="D100" s="12">
        <v>1</v>
      </c>
      <c r="E100" s="14">
        <v>4.4000000000000004</v>
      </c>
      <c r="F100" s="14"/>
      <c r="G100" s="14"/>
      <c r="H100" s="14"/>
      <c r="I100" s="14"/>
      <c r="J100" s="14">
        <f>D100*E100</f>
        <v>4.4000000000000004</v>
      </c>
      <c r="K100" s="44"/>
      <c r="L100" s="499" t="s">
        <v>20</v>
      </c>
      <c r="M100" s="269">
        <f>SUM(M20:M99)</f>
        <v>52527269.329599999</v>
      </c>
    </row>
    <row r="101" spans="1:13">
      <c r="A101" s="240"/>
      <c r="B101" s="14"/>
      <c r="C101" s="12"/>
      <c r="D101" s="12"/>
      <c r="E101" s="13"/>
      <c r="F101" s="13"/>
      <c r="G101" s="346"/>
      <c r="H101" s="44"/>
      <c r="I101" s="359" t="s">
        <v>20</v>
      </c>
      <c r="J101" s="355">
        <f>J100</f>
        <v>4.4000000000000004</v>
      </c>
      <c r="K101" s="44"/>
      <c r="L101" s="267"/>
      <c r="M101" s="267" t="s">
        <v>1240</v>
      </c>
    </row>
    <row r="102" spans="1:13">
      <c r="A102" s="240"/>
      <c r="B102" s="14"/>
      <c r="C102" s="12"/>
      <c r="D102" s="12"/>
      <c r="E102" s="13"/>
      <c r="F102" s="13"/>
      <c r="G102" s="346"/>
      <c r="H102" s="44"/>
      <c r="I102" s="13"/>
      <c r="J102" s="355"/>
      <c r="K102" s="44"/>
      <c r="L102" s="267"/>
      <c r="M102" s="267"/>
    </row>
    <row r="103" spans="1:13">
      <c r="A103" s="240"/>
      <c r="B103" s="14" t="s">
        <v>174</v>
      </c>
      <c r="C103" s="12" t="s">
        <v>27</v>
      </c>
      <c r="D103" s="12">
        <v>1</v>
      </c>
      <c r="E103" s="14">
        <v>4.4000000000000004</v>
      </c>
      <c r="F103" s="14"/>
      <c r="G103" s="14"/>
      <c r="H103" s="44"/>
      <c r="I103" s="14"/>
      <c r="J103" s="14">
        <f>E103*D103</f>
        <v>4.4000000000000004</v>
      </c>
      <c r="K103" s="44"/>
      <c r="L103" s="267"/>
      <c r="M103" s="267"/>
    </row>
    <row r="104" spans="1:13">
      <c r="A104" s="240"/>
      <c r="B104" s="14"/>
      <c r="C104" s="12"/>
      <c r="D104" s="12"/>
      <c r="E104" s="13"/>
      <c r="F104" s="13"/>
      <c r="G104" s="346"/>
      <c r="H104" s="44"/>
      <c r="I104" s="359" t="s">
        <v>20</v>
      </c>
      <c r="J104" s="355">
        <f>J103</f>
        <v>4.4000000000000004</v>
      </c>
      <c r="K104" s="44"/>
      <c r="L104" s="267"/>
      <c r="M104" s="267"/>
    </row>
    <row r="105" spans="1:13">
      <c r="A105" s="240"/>
      <c r="B105" s="14"/>
      <c r="C105" s="12"/>
      <c r="D105" s="12"/>
      <c r="E105" s="13"/>
      <c r="F105" s="13"/>
      <c r="G105" s="346"/>
      <c r="H105" s="44"/>
      <c r="I105" s="13"/>
      <c r="J105" s="355"/>
      <c r="K105" s="44"/>
      <c r="L105" s="267"/>
      <c r="M105" s="267"/>
    </row>
    <row r="106" spans="1:13">
      <c r="A106" s="240"/>
      <c r="B106" s="14" t="s">
        <v>741</v>
      </c>
      <c r="C106" s="12" t="s">
        <v>27</v>
      </c>
      <c r="D106" s="12">
        <v>1</v>
      </c>
      <c r="E106" s="14">
        <v>4.4000000000000004</v>
      </c>
      <c r="F106" s="14"/>
      <c r="G106" s="14"/>
      <c r="H106" s="44"/>
      <c r="I106" s="14"/>
      <c r="J106" s="14">
        <f>2*E106*D106</f>
        <v>8.8000000000000007</v>
      </c>
      <c r="K106" s="44"/>
      <c r="L106" s="267"/>
      <c r="M106" s="267"/>
    </row>
    <row r="107" spans="1:13">
      <c r="A107" s="240"/>
      <c r="B107" s="14"/>
      <c r="C107" s="12"/>
      <c r="D107" s="12"/>
      <c r="E107" s="13"/>
      <c r="F107" s="13"/>
      <c r="G107" s="13"/>
      <c r="H107" s="44"/>
      <c r="I107" s="359" t="s">
        <v>20</v>
      </c>
      <c r="J107" s="355">
        <f>J106</f>
        <v>8.8000000000000007</v>
      </c>
      <c r="K107" s="44"/>
    </row>
  </sheetData>
  <printOptions horizontalCentered="1"/>
  <pageMargins left="0.7" right="0.7" top="0.71" bottom="0.59" header="0.3" footer="0.16"/>
  <pageSetup paperSize="9" scale="78" fitToHeight="10" orientation="landscape" r:id="rId1"/>
  <rowBreaks count="1" manualBreakCount="1">
    <brk id="50" max="10" man="1"/>
  </rowBreaks>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6">
    <tabColor rgb="FFFFFF00"/>
    <pageSetUpPr fitToPage="1"/>
  </sheetPr>
  <dimension ref="A1:BW54"/>
  <sheetViews>
    <sheetView workbookViewId="0"/>
  </sheetViews>
  <sheetFormatPr defaultColWidth="9.109375" defaultRowHeight="16.8"/>
  <cols>
    <col min="1" max="1" width="13" style="1311" customWidth="1"/>
    <col min="2" max="2" width="41.5546875" style="1312" customWidth="1"/>
    <col min="3" max="3" width="8.44140625" style="1312" bestFit="1" customWidth="1"/>
    <col min="4" max="4" width="11.44140625" style="1313" bestFit="1" customWidth="1"/>
    <col min="5" max="5" width="9.6640625" style="1313" bestFit="1" customWidth="1"/>
    <col min="6" max="6" width="8.88671875" style="1314" bestFit="1" customWidth="1"/>
    <col min="7" max="7" width="9.88671875" style="1315" bestFit="1" customWidth="1"/>
    <col min="8" max="8" width="12.88671875" style="1314" bestFit="1" customWidth="1"/>
    <col min="9" max="9" width="12.6640625" style="1314" bestFit="1" customWidth="1"/>
    <col min="10" max="10" width="11.6640625" style="1314" bestFit="1" customWidth="1"/>
    <col min="11" max="11" width="12.44140625" style="1314" bestFit="1" customWidth="1"/>
    <col min="12" max="12" width="14.33203125" style="1314" bestFit="1" customWidth="1"/>
    <col min="13" max="13" width="13.44140625" style="1316" customWidth="1"/>
    <col min="14" max="14" width="11.6640625" style="1311" customWidth="1"/>
    <col min="15" max="15" width="11.33203125" style="1311" bestFit="1" customWidth="1"/>
    <col min="16" max="16384" width="9.109375" style="1311"/>
  </cols>
  <sheetData>
    <row r="1" spans="1:19" s="1282" customFormat="1" ht="19.2">
      <c r="A1" s="1281"/>
      <c r="C1" s="1283"/>
      <c r="D1" s="1284"/>
      <c r="E1" s="1285"/>
      <c r="F1" s="1285"/>
      <c r="G1" s="1283"/>
      <c r="O1" s="1311"/>
      <c r="P1" s="1311"/>
      <c r="Q1" s="1311"/>
      <c r="R1" s="1311"/>
      <c r="S1" s="1311"/>
    </row>
    <row r="2" spans="1:19" s="1282" customFormat="1" ht="19.2">
      <c r="A2" s="1281"/>
      <c r="C2" s="1283"/>
      <c r="D2" s="1284"/>
      <c r="E2" s="1285"/>
      <c r="F2" s="1285"/>
      <c r="G2" s="1283"/>
      <c r="O2" s="1311"/>
      <c r="P2" s="1311"/>
      <c r="Q2" s="1311"/>
      <c r="R2" s="1311"/>
      <c r="S2" s="1311"/>
    </row>
    <row r="3" spans="1:19" s="1282" customFormat="1" ht="19.2">
      <c r="A3" s="226" t="s">
        <v>0</v>
      </c>
      <c r="B3" s="1248" t="s">
        <v>2389</v>
      </c>
      <c r="C3" s="1283"/>
      <c r="D3" s="1284"/>
      <c r="E3" s="1285"/>
      <c r="F3" s="1285"/>
      <c r="G3" s="1283"/>
      <c r="O3" s="1311"/>
      <c r="P3" s="1311"/>
      <c r="Q3" s="1311"/>
      <c r="R3" s="1311"/>
      <c r="S3" s="1311"/>
    </row>
    <row r="4" spans="1:19" s="1282" customFormat="1" ht="19.2">
      <c r="A4" s="119" t="s">
        <v>1</v>
      </c>
      <c r="B4" s="1248">
        <v>930100</v>
      </c>
      <c r="C4" s="1283"/>
      <c r="D4" s="1284"/>
      <c r="E4" s="1285"/>
      <c r="F4" s="1285"/>
      <c r="G4" s="1283"/>
      <c r="O4" s="1311"/>
      <c r="P4" s="1311"/>
      <c r="Q4" s="1311"/>
      <c r="R4" s="1311"/>
      <c r="S4" s="1311"/>
    </row>
    <row r="5" spans="1:19" s="1282" customFormat="1" ht="19.2">
      <c r="A5" s="119" t="s">
        <v>2</v>
      </c>
      <c r="B5" s="1247" t="s">
        <v>331</v>
      </c>
      <c r="C5" s="1283"/>
      <c r="D5" s="1284"/>
      <c r="E5" s="1285"/>
      <c r="I5" s="1286" t="s">
        <v>1561</v>
      </c>
      <c r="J5" s="1283" t="s">
        <v>1566</v>
      </c>
      <c r="K5" s="1283"/>
      <c r="L5" s="1283"/>
      <c r="O5" s="1311" t="s">
        <v>1349</v>
      </c>
      <c r="P5" s="1311">
        <v>3</v>
      </c>
      <c r="Q5" s="1311">
        <f>P5/2</f>
        <v>1.5</v>
      </c>
      <c r="R5" s="1311"/>
      <c r="S5" s="1311"/>
    </row>
    <row r="6" spans="1:19" s="1282" customFormat="1" ht="19.2">
      <c r="A6" s="119" t="s">
        <v>3</v>
      </c>
      <c r="B6" s="1247" t="s">
        <v>1577</v>
      </c>
      <c r="C6" s="1283"/>
      <c r="D6" s="1284"/>
      <c r="E6" s="1285"/>
      <c r="I6" s="1286" t="s">
        <v>171</v>
      </c>
      <c r="J6" s="1283" t="s">
        <v>1563</v>
      </c>
      <c r="K6" s="1283"/>
      <c r="L6" s="1283"/>
      <c r="O6" s="1311" t="s">
        <v>1351</v>
      </c>
      <c r="P6" s="1311">
        <v>3.4</v>
      </c>
      <c r="Q6" s="1311"/>
      <c r="R6" s="1311"/>
      <c r="S6" s="1311">
        <f>P6-Q5</f>
        <v>1.9</v>
      </c>
    </row>
    <row r="7" spans="1:19" s="1282" customFormat="1" ht="19.2">
      <c r="A7" s="119" t="s">
        <v>4</v>
      </c>
      <c r="B7" s="1247"/>
      <c r="C7" s="1283"/>
      <c r="D7" s="1284"/>
      <c r="E7" s="1285"/>
      <c r="I7" s="1286" t="s">
        <v>106</v>
      </c>
      <c r="J7" s="1287">
        <f ca="1">TODAY()</f>
        <v>44942</v>
      </c>
      <c r="K7" s="1287"/>
      <c r="L7" s="1287"/>
      <c r="O7" s="1311"/>
      <c r="P7" s="1311">
        <v>0.3</v>
      </c>
      <c r="Q7" s="1311"/>
      <c r="R7" s="1311"/>
      <c r="S7" s="1311"/>
    </row>
    <row r="8" spans="1:19">
      <c r="A8" s="119"/>
      <c r="B8" s="52"/>
    </row>
    <row r="9" spans="1:19">
      <c r="A9" s="119"/>
      <c r="B9" s="55"/>
      <c r="C9" s="1317"/>
      <c r="F9" s="1315"/>
      <c r="G9" s="1314"/>
      <c r="J9" s="1318"/>
      <c r="K9" s="1318"/>
      <c r="L9" s="1318"/>
      <c r="M9" s="1311"/>
    </row>
    <row r="10" spans="1:19" hidden="1">
      <c r="B10" s="1319" t="s">
        <v>1346</v>
      </c>
      <c r="C10" s="1320">
        <v>108.26</v>
      </c>
      <c r="D10" s="1321" t="s">
        <v>27</v>
      </c>
      <c r="E10" s="1322"/>
      <c r="F10" s="1315"/>
      <c r="G10" s="1314"/>
      <c r="J10" s="1316"/>
      <c r="K10" s="1316"/>
      <c r="L10" s="1316"/>
      <c r="M10" s="1311"/>
    </row>
    <row r="11" spans="1:19" hidden="1">
      <c r="B11" s="1319" t="s">
        <v>1347</v>
      </c>
      <c r="C11" s="1320">
        <v>129.79</v>
      </c>
      <c r="D11" s="1321" t="s">
        <v>27</v>
      </c>
      <c r="E11" s="1322"/>
      <c r="F11" s="1315"/>
      <c r="G11" s="1314"/>
      <c r="J11" s="1316"/>
      <c r="K11" s="1316"/>
      <c r="L11" s="1316"/>
      <c r="M11" s="1311"/>
    </row>
    <row r="12" spans="1:19" hidden="1">
      <c r="B12" s="1319" t="s">
        <v>1348</v>
      </c>
      <c r="C12" s="1320">
        <v>3514.58</v>
      </c>
      <c r="D12" s="1321" t="s">
        <v>27</v>
      </c>
      <c r="E12" s="1323"/>
      <c r="F12" s="1315"/>
      <c r="G12" s="1314"/>
      <c r="J12" s="1324"/>
      <c r="K12" s="1324"/>
      <c r="L12" s="1324"/>
      <c r="M12" s="1311"/>
    </row>
    <row r="13" spans="1:19" hidden="1">
      <c r="B13" s="1319" t="s">
        <v>1350</v>
      </c>
      <c r="C13" s="1320">
        <v>1808.35</v>
      </c>
      <c r="D13" s="1321" t="s">
        <v>27</v>
      </c>
      <c r="E13" s="1323"/>
      <c r="F13" s="1315"/>
      <c r="G13" s="1314"/>
      <c r="J13" s="1316"/>
      <c r="K13" s="1316"/>
      <c r="L13" s="1316"/>
      <c r="M13" s="1311"/>
    </row>
    <row r="14" spans="1:19" hidden="1">
      <c r="B14" s="1319" t="s">
        <v>1352</v>
      </c>
      <c r="C14" s="1320">
        <v>557.02</v>
      </c>
      <c r="D14" s="1321" t="s">
        <v>27</v>
      </c>
      <c r="F14" s="1315"/>
      <c r="G14" s="1314"/>
      <c r="J14" s="1316"/>
      <c r="K14" s="1316"/>
      <c r="L14" s="1316"/>
      <c r="M14" s="1311"/>
    </row>
    <row r="15" spans="1:19">
      <c r="B15" s="1325" t="s">
        <v>1353</v>
      </c>
      <c r="C15" s="1326">
        <v>399.315</v>
      </c>
      <c r="D15" s="1327" t="s">
        <v>27</v>
      </c>
      <c r="F15" s="1315"/>
      <c r="G15" s="1314"/>
      <c r="J15" s="1316"/>
      <c r="K15" s="1328"/>
      <c r="L15" s="1328"/>
      <c r="M15" s="1311"/>
    </row>
    <row r="16" spans="1:19" ht="100.8">
      <c r="B16" s="2377" t="s">
        <v>1354</v>
      </c>
      <c r="C16" s="2378"/>
      <c r="D16" s="1329" t="s">
        <v>1355</v>
      </c>
      <c r="E16" s="1330" t="s">
        <v>1356</v>
      </c>
      <c r="F16" s="1331" t="s">
        <v>1357</v>
      </c>
      <c r="G16" s="1332" t="s">
        <v>1358</v>
      </c>
      <c r="H16" s="1332" t="s">
        <v>1359</v>
      </c>
      <c r="I16" s="1332" t="s">
        <v>1360</v>
      </c>
      <c r="J16" s="1333" t="s">
        <v>1361</v>
      </c>
      <c r="K16" s="1334"/>
      <c r="L16" s="1334"/>
      <c r="M16" s="1311"/>
    </row>
    <row r="17" spans="1:75" ht="15.75" customHeight="1">
      <c r="B17" s="2375" t="s">
        <v>1362</v>
      </c>
      <c r="C17" s="2376"/>
      <c r="D17" s="1320">
        <v>0.05</v>
      </c>
      <c r="E17" s="1335">
        <v>1.8</v>
      </c>
      <c r="F17" s="1335">
        <v>0</v>
      </c>
      <c r="G17" s="1336">
        <f t="shared" ref="G17:G22" si="0">PI()*(($P$5+2*D17+2*0.1)^2/8)+($P$5+2*D17+2*0.1)*($S$6+0.2)</f>
        <v>11.206492999699108</v>
      </c>
      <c r="H17" s="1337">
        <f>PI()*Q5+2*S6</f>
        <v>8.5123889803846886</v>
      </c>
      <c r="I17" s="1338">
        <v>0</v>
      </c>
      <c r="J17" s="1339">
        <f>(P5)*0.2</f>
        <v>0.60000000000000009</v>
      </c>
      <c r="K17" s="1340"/>
      <c r="L17" s="1340"/>
      <c r="M17" s="1311"/>
      <c r="N17" s="1311">
        <v>12.16</v>
      </c>
    </row>
    <row r="18" spans="1:75">
      <c r="B18" s="2375" t="s">
        <v>1363</v>
      </c>
      <c r="C18" s="2376"/>
      <c r="D18" s="1320">
        <v>0.05</v>
      </c>
      <c r="E18" s="1335">
        <v>1.5</v>
      </c>
      <c r="F18" s="1335">
        <v>0</v>
      </c>
      <c r="G18" s="1336">
        <f t="shared" si="0"/>
        <v>11.206492999699108</v>
      </c>
      <c r="H18" s="1337">
        <f>H17</f>
        <v>8.5123889803846886</v>
      </c>
      <c r="I18" s="1338">
        <v>0</v>
      </c>
      <c r="J18" s="1339">
        <f>(P5)*0.2</f>
        <v>0.60000000000000009</v>
      </c>
      <c r="K18" s="1340"/>
      <c r="L18" s="1340"/>
      <c r="M18" s="1311"/>
    </row>
    <row r="19" spans="1:75">
      <c r="B19" s="2375" t="s">
        <v>1364</v>
      </c>
      <c r="C19" s="2376"/>
      <c r="D19" s="1320">
        <v>0.1</v>
      </c>
      <c r="E19" s="1341">
        <v>1.5</v>
      </c>
      <c r="F19" s="1335">
        <v>0</v>
      </c>
      <c r="G19" s="1336">
        <f t="shared" si="0"/>
        <v>11.679601384437253</v>
      </c>
      <c r="H19" s="1337">
        <f>H18</f>
        <v>8.5123889803846886</v>
      </c>
      <c r="I19" s="1338">
        <v>0</v>
      </c>
      <c r="J19" s="1342">
        <f>(P5)*0.2</f>
        <v>0.60000000000000009</v>
      </c>
      <c r="K19" s="1337"/>
      <c r="L19" s="1337"/>
      <c r="M19" s="1311"/>
    </row>
    <row r="20" spans="1:75">
      <c r="B20" s="2375" t="s">
        <v>1365</v>
      </c>
      <c r="C20" s="2376"/>
      <c r="D20" s="1320">
        <v>0.12</v>
      </c>
      <c r="E20" s="1341">
        <v>1.2</v>
      </c>
      <c r="F20" s="1335">
        <v>0</v>
      </c>
      <c r="G20" s="1336">
        <f t="shared" si="0"/>
        <v>11.871043853190024</v>
      </c>
      <c r="H20" s="1337">
        <f>H19</f>
        <v>8.5123889803846886</v>
      </c>
      <c r="I20" s="1338">
        <v>0</v>
      </c>
      <c r="J20" s="1339">
        <f>(P5)*0.2</f>
        <v>0.60000000000000009</v>
      </c>
      <c r="K20" s="1340"/>
      <c r="L20" s="1340"/>
      <c r="M20" s="1311"/>
    </row>
    <row r="21" spans="1:75" s="1313" customFormat="1">
      <c r="A21" s="1311"/>
      <c r="B21" s="2375" t="s">
        <v>1366</v>
      </c>
      <c r="C21" s="2376"/>
      <c r="D21" s="1320">
        <v>0.15</v>
      </c>
      <c r="E21" s="1335">
        <v>1.2</v>
      </c>
      <c r="F21" s="1335">
        <v>0</v>
      </c>
      <c r="G21" s="1336">
        <f t="shared" si="0"/>
        <v>12.16056375080937</v>
      </c>
      <c r="H21" s="1337">
        <f>H20</f>
        <v>8.5123889803846886</v>
      </c>
      <c r="I21" s="1338">
        <v>0</v>
      </c>
      <c r="J21" s="1339">
        <f>(P5)*0.2</f>
        <v>0.60000000000000009</v>
      </c>
      <c r="K21" s="1340"/>
      <c r="L21" s="1340"/>
      <c r="M21" s="1343"/>
      <c r="N21" s="1315"/>
    </row>
    <row r="22" spans="1:75" s="1313" customFormat="1" hidden="1">
      <c r="A22" s="1311"/>
      <c r="B22" s="2375" t="s">
        <v>1367</v>
      </c>
      <c r="C22" s="2376"/>
      <c r="D22" s="1320">
        <v>0.2</v>
      </c>
      <c r="E22" s="1335">
        <v>1</v>
      </c>
      <c r="F22" s="1335">
        <v>5.4550000000000001</v>
      </c>
      <c r="G22" s="1336">
        <f t="shared" si="0"/>
        <v>12.649380098815467</v>
      </c>
      <c r="H22" s="1337">
        <f>((P$6-D22)-(Q$5-D22))*2+PI()*(Q$5-D22)</f>
        <v>7.88407044966673</v>
      </c>
      <c r="I22" s="1338">
        <v>13.231</v>
      </c>
      <c r="J22" s="1339">
        <f>(P17-2*D22)*0.1</f>
        <v>-4.0000000000000008E-2</v>
      </c>
      <c r="K22" s="1340"/>
      <c r="L22" s="1340"/>
      <c r="M22" s="1311">
        <f>H22*2+D22*2</f>
        <v>16.168140899333459</v>
      </c>
      <c r="O22" s="1311">
        <f>(N22/1.5)*(D33/1.5)*2</f>
        <v>0</v>
      </c>
    </row>
    <row r="23" spans="1:75" s="1313" customFormat="1">
      <c r="A23" s="1311"/>
      <c r="B23" s="2375" t="s">
        <v>1368</v>
      </c>
      <c r="C23" s="2376"/>
      <c r="D23" s="1320">
        <v>0.1</v>
      </c>
      <c r="E23" s="1335">
        <v>1</v>
      </c>
      <c r="F23" s="1335">
        <f>0.25*H23+(P5)*0.25</f>
        <v>2.8780972450961722</v>
      </c>
      <c r="G23" s="1336">
        <f>G21</f>
        <v>12.16056375080937</v>
      </c>
      <c r="H23" s="1337">
        <f>H21</f>
        <v>8.5123889803846886</v>
      </c>
      <c r="I23" s="1338">
        <f>S6*2+PI()*(Q5-P7)</f>
        <v>7.5699111843077516</v>
      </c>
      <c r="J23" s="1339">
        <f>(P5)*0.25</f>
        <v>0.75</v>
      </c>
      <c r="K23" s="1340"/>
      <c r="L23" s="1340"/>
      <c r="M23" s="1311"/>
    </row>
    <row r="24" spans="1:75">
      <c r="J24" s="1316"/>
      <c r="K24" s="1328"/>
      <c r="L24" s="1328"/>
      <c r="M24" s="1343"/>
    </row>
    <row r="25" spans="1:75">
      <c r="A25" s="1344"/>
      <c r="B25" s="1345" t="s">
        <v>1369</v>
      </c>
      <c r="C25" s="1345" t="s">
        <v>117</v>
      </c>
      <c r="D25" s="1346" t="str">
        <f>B17</f>
        <v>S1</v>
      </c>
      <c r="E25" s="1346" t="str">
        <f>B18</f>
        <v>S2</v>
      </c>
      <c r="F25" s="1346" t="str">
        <f>B19</f>
        <v>S3</v>
      </c>
      <c r="G25" s="1346" t="str">
        <f>B20</f>
        <v>S4</v>
      </c>
      <c r="H25" s="1346" t="str">
        <f>B21</f>
        <v>S5</v>
      </c>
      <c r="I25" s="1346" t="str">
        <f>B23</f>
        <v>S6</v>
      </c>
      <c r="J25" s="1347" t="s">
        <v>439</v>
      </c>
      <c r="K25" s="1348" t="s">
        <v>34</v>
      </c>
      <c r="L25" s="1348" t="s">
        <v>304</v>
      </c>
      <c r="M25" s="1311"/>
      <c r="P25" s="1311">
        <f>H23*15</f>
        <v>127.68583470577033</v>
      </c>
      <c r="Q25" s="1311">
        <v>2000</v>
      </c>
      <c r="R25" s="1311">
        <f>Q25/1.2</f>
        <v>1666.6666666666667</v>
      </c>
      <c r="S25" s="1311">
        <f>R25*P25</f>
        <v>212809.72450961723</v>
      </c>
      <c r="T25" s="1311">
        <f>S25/1000</f>
        <v>212.80972450961724</v>
      </c>
    </row>
    <row r="26" spans="1:75" s="1356" customFormat="1">
      <c r="A26" s="1349" t="s">
        <v>1370</v>
      </c>
      <c r="B26" s="1350" t="s">
        <v>1371</v>
      </c>
      <c r="C26" s="1350" t="s">
        <v>27</v>
      </c>
      <c r="D26" s="1351">
        <v>0</v>
      </c>
      <c r="E26" s="1351">
        <v>0</v>
      </c>
      <c r="F26" s="1351">
        <f>0.5*C15</f>
        <v>199.6575</v>
      </c>
      <c r="G26" s="1351">
        <f>0.3*C15</f>
        <v>119.7945</v>
      </c>
      <c r="H26" s="1351">
        <f>0.1*C15</f>
        <v>39.9315</v>
      </c>
      <c r="I26" s="1351">
        <f>0.1*C15</f>
        <v>39.9315</v>
      </c>
      <c r="J26" s="1352">
        <f t="shared" ref="J26:J34" si="1">SUM(D26:I26)</f>
        <v>399.31500000000005</v>
      </c>
      <c r="K26" s="1353"/>
      <c r="L26" s="1353"/>
      <c r="M26" s="1354">
        <f>H26+I26</f>
        <v>79.863</v>
      </c>
      <c r="N26" s="1355"/>
      <c r="O26" s="1355"/>
      <c r="P26" s="1355"/>
      <c r="Q26" s="1355"/>
      <c r="R26" s="1355"/>
      <c r="S26" s="1355"/>
      <c r="T26" s="1355"/>
      <c r="U26" s="1355"/>
      <c r="V26" s="1355"/>
      <c r="W26" s="1355"/>
      <c r="X26" s="1355"/>
      <c r="Y26" s="1355"/>
      <c r="Z26" s="1355"/>
      <c r="AA26" s="1355"/>
      <c r="AB26" s="1355"/>
      <c r="AC26" s="1355"/>
      <c r="AD26" s="1355"/>
      <c r="AE26" s="1355"/>
      <c r="AF26" s="1355"/>
      <c r="AG26" s="1355"/>
      <c r="AH26" s="1355"/>
      <c r="AI26" s="1355"/>
      <c r="AJ26" s="1355"/>
      <c r="AK26" s="1355"/>
      <c r="AL26" s="1355"/>
      <c r="AM26" s="1355"/>
      <c r="AN26" s="1355"/>
      <c r="AO26" s="1355"/>
      <c r="AP26" s="1355"/>
      <c r="AQ26" s="1355"/>
      <c r="AR26" s="1355"/>
      <c r="AS26" s="1355"/>
      <c r="AT26" s="1355"/>
      <c r="AU26" s="1355"/>
      <c r="AV26" s="1355"/>
      <c r="AW26" s="1355"/>
      <c r="AX26" s="1355"/>
      <c r="AY26" s="1355"/>
      <c r="AZ26" s="1355"/>
      <c r="BA26" s="1355"/>
      <c r="BB26" s="1355"/>
      <c r="BC26" s="1355"/>
      <c r="BD26" s="1355"/>
      <c r="BE26" s="1355"/>
      <c r="BF26" s="1355"/>
      <c r="BG26" s="1355"/>
      <c r="BH26" s="1355"/>
      <c r="BI26" s="1355"/>
      <c r="BJ26" s="1355"/>
      <c r="BK26" s="1355"/>
      <c r="BL26" s="1355"/>
      <c r="BM26" s="1355"/>
      <c r="BN26" s="1355"/>
      <c r="BO26" s="1355"/>
      <c r="BP26" s="1355"/>
      <c r="BQ26" s="1355"/>
      <c r="BR26" s="1355"/>
      <c r="BS26" s="1355"/>
      <c r="BT26" s="1355"/>
      <c r="BU26" s="1355"/>
      <c r="BV26" s="1355"/>
      <c r="BW26" s="1355"/>
    </row>
    <row r="27" spans="1:75" ht="19.2">
      <c r="A27" s="1321">
        <v>1</v>
      </c>
      <c r="B27" s="1319" t="s">
        <v>1116</v>
      </c>
      <c r="C27" s="1319" t="s">
        <v>339</v>
      </c>
      <c r="D27" s="1335">
        <f>G17*D26</f>
        <v>0</v>
      </c>
      <c r="E27" s="1335">
        <f>G18*E26</f>
        <v>0</v>
      </c>
      <c r="F27" s="1335">
        <f>G19*F26</f>
        <v>2331.9200134132811</v>
      </c>
      <c r="G27" s="1335">
        <f>G20*G26</f>
        <v>1422.0857628709723</v>
      </c>
      <c r="H27" s="1335">
        <f>G21*H26</f>
        <v>485.58955141544436</v>
      </c>
      <c r="I27" s="1335">
        <f>G23*I26</f>
        <v>485.58955141544436</v>
      </c>
      <c r="J27" s="1357">
        <f t="shared" si="1"/>
        <v>4725.1848791151424</v>
      </c>
      <c r="K27" s="1228">
        <v>6070.4</v>
      </c>
      <c r="L27" s="1358">
        <f>J27*K27</f>
        <v>28683762.29018056</v>
      </c>
      <c r="M27" s="1359">
        <f>M26/J26</f>
        <v>0.19999999999999998</v>
      </c>
      <c r="O27" s="1343"/>
    </row>
    <row r="28" spans="1:75" ht="19.2">
      <c r="A28" s="1321">
        <v>2</v>
      </c>
      <c r="B28" s="1319" t="s">
        <v>2428</v>
      </c>
      <c r="C28" s="1319" t="s">
        <v>420</v>
      </c>
      <c r="D28" s="1335">
        <f>H18*D18*D27</f>
        <v>0</v>
      </c>
      <c r="E28" s="1335">
        <f>H19*E27</f>
        <v>0</v>
      </c>
      <c r="F28" s="1335">
        <f>F26*H19</f>
        <v>1699.5623028511559</v>
      </c>
      <c r="G28" s="1335">
        <v>0</v>
      </c>
      <c r="H28" s="1335">
        <v>0</v>
      </c>
      <c r="I28" s="1335">
        <f>H23*I26</f>
        <v>339.91246057023119</v>
      </c>
      <c r="J28" s="1357">
        <f>SUM(D28:I28)</f>
        <v>2039.474763421387</v>
      </c>
      <c r="K28" s="1228">
        <v>5469.5</v>
      </c>
      <c r="L28" s="1358">
        <f>J28*K28</f>
        <v>11154907.218533276</v>
      </c>
      <c r="M28" s="1311"/>
    </row>
    <row r="29" spans="1:75" ht="19.2">
      <c r="A29" s="1321">
        <v>3</v>
      </c>
      <c r="B29" s="1319" t="s">
        <v>2429</v>
      </c>
      <c r="C29" s="1319" t="s">
        <v>420</v>
      </c>
      <c r="D29" s="1335">
        <f>H19*D19*D26</f>
        <v>0</v>
      </c>
      <c r="E29" s="1335">
        <f>H20*E26</f>
        <v>0</v>
      </c>
      <c r="F29" s="1335">
        <v>0</v>
      </c>
      <c r="G29" s="1335">
        <f>G26*H21</f>
        <v>1019.7373817106936</v>
      </c>
      <c r="H29" s="1335">
        <v>0</v>
      </c>
      <c r="I29" s="1335">
        <v>0</v>
      </c>
      <c r="J29" s="1357">
        <f t="shared" ref="J29:J30" si="2">SUM(D29:I29)</f>
        <v>1019.7373817106936</v>
      </c>
      <c r="K29" s="1228">
        <v>5469.5</v>
      </c>
      <c r="L29" s="1358">
        <f t="shared" ref="L29:L30" si="3">J29*K29</f>
        <v>5577453.6092666388</v>
      </c>
      <c r="M29" s="1311"/>
    </row>
    <row r="30" spans="1:75" ht="19.2">
      <c r="A30" s="1321">
        <v>4</v>
      </c>
      <c r="B30" s="1319" t="s">
        <v>2430</v>
      </c>
      <c r="C30" s="1319" t="s">
        <v>420</v>
      </c>
      <c r="D30" s="1335">
        <f>H20*D20*D28</f>
        <v>0</v>
      </c>
      <c r="E30" s="1335">
        <f>H21*E28</f>
        <v>0</v>
      </c>
      <c r="F30" s="1335">
        <v>0</v>
      </c>
      <c r="G30" s="1335">
        <v>0</v>
      </c>
      <c r="H30" s="1335">
        <f>H21*H26</f>
        <v>339.91246057023119</v>
      </c>
      <c r="I30" s="1335">
        <v>0</v>
      </c>
      <c r="J30" s="1357">
        <f t="shared" si="2"/>
        <v>339.91246057023119</v>
      </c>
      <c r="K30" s="1228">
        <v>5469.5</v>
      </c>
      <c r="L30" s="1358">
        <f t="shared" si="3"/>
        <v>1859151.2030888796</v>
      </c>
      <c r="M30" s="1311"/>
    </row>
    <row r="31" spans="1:75" ht="19.2">
      <c r="A31" s="1321">
        <v>5</v>
      </c>
      <c r="B31" s="1319" t="s">
        <v>1373</v>
      </c>
      <c r="C31" s="1319" t="s">
        <v>339</v>
      </c>
      <c r="D31" s="1335">
        <f>F17*D26</f>
        <v>0</v>
      </c>
      <c r="E31" s="1335">
        <f>F18*E26</f>
        <v>0</v>
      </c>
      <c r="F31" s="1335">
        <f>F19*F26</f>
        <v>0</v>
      </c>
      <c r="G31" s="1335">
        <f>F20*G26</f>
        <v>0</v>
      </c>
      <c r="H31" s="1335">
        <f>F21*H26</f>
        <v>0</v>
      </c>
      <c r="I31" s="1335">
        <f>F23*0.25*C15</f>
        <v>287.31685035639447</v>
      </c>
      <c r="J31" s="1357">
        <f t="shared" si="1"/>
        <v>287.31685035639447</v>
      </c>
      <c r="K31" s="1228">
        <v>18663.5</v>
      </c>
      <c r="L31" s="1358">
        <f t="shared" ref="L31:L41" si="4">J31*K31</f>
        <v>5362338.0366265681</v>
      </c>
      <c r="M31" s="1360">
        <f>0.2*J26</f>
        <v>79.863000000000014</v>
      </c>
      <c r="N31" s="1316"/>
    </row>
    <row r="32" spans="1:75" ht="19.2">
      <c r="A32" s="1321">
        <v>6</v>
      </c>
      <c r="B32" s="1319" t="s">
        <v>1374</v>
      </c>
      <c r="C32" s="1319" t="s">
        <v>420</v>
      </c>
      <c r="D32" s="1335">
        <f>I17*D26</f>
        <v>0</v>
      </c>
      <c r="E32" s="1335">
        <f>I18*E26</f>
        <v>0</v>
      </c>
      <c r="F32" s="1335">
        <f>I19*F26</f>
        <v>0</v>
      </c>
      <c r="G32" s="1335">
        <f>I20*G26</f>
        <v>0</v>
      </c>
      <c r="H32" s="1335">
        <f>I21*H26</f>
        <v>0</v>
      </c>
      <c r="I32" s="1335">
        <f>I23*I26</f>
        <v>302.277908456185</v>
      </c>
      <c r="J32" s="1357">
        <f t="shared" si="1"/>
        <v>302.277908456185</v>
      </c>
      <c r="K32" s="1227">
        <v>1342.2828571428572</v>
      </c>
      <c r="L32" s="1358">
        <f t="shared" si="4"/>
        <v>405742.45461373503</v>
      </c>
      <c r="M32" s="1311"/>
      <c r="N32" s="1316"/>
    </row>
    <row r="33" spans="1:14" ht="19.2">
      <c r="A33" s="1321">
        <v>7</v>
      </c>
      <c r="B33" s="1319" t="s">
        <v>1375</v>
      </c>
      <c r="C33" s="1319" t="s">
        <v>25</v>
      </c>
      <c r="D33" s="1335">
        <f t="shared" ref="D33:H33" si="5">D31*0.5%*7.85</f>
        <v>0</v>
      </c>
      <c r="E33" s="1335">
        <f t="shared" si="5"/>
        <v>0</v>
      </c>
      <c r="F33" s="1335">
        <f t="shared" si="5"/>
        <v>0</v>
      </c>
      <c r="G33" s="1335">
        <f t="shared" si="5"/>
        <v>0</v>
      </c>
      <c r="H33" s="1335">
        <f t="shared" si="5"/>
        <v>0</v>
      </c>
      <c r="I33" s="1335">
        <f>I31*0.75%*7.85</f>
        <v>16.915779564732723</v>
      </c>
      <c r="J33" s="1357">
        <f t="shared" si="1"/>
        <v>16.915779564732723</v>
      </c>
      <c r="K33" s="1227">
        <v>136863.5</v>
      </c>
      <c r="L33" s="1358">
        <f t="shared" si="4"/>
        <v>2315152.7964577973</v>
      </c>
      <c r="M33" s="1311"/>
      <c r="N33" s="1316"/>
    </row>
    <row r="34" spans="1:14" s="1356" customFormat="1" ht="19.2">
      <c r="A34" s="1507">
        <v>8</v>
      </c>
      <c r="B34" s="1350" t="s">
        <v>2425</v>
      </c>
      <c r="C34" s="1350" t="s">
        <v>311</v>
      </c>
      <c r="D34" s="1351">
        <f>CEILING(H17/E17*D26/E17,1)*2</f>
        <v>0</v>
      </c>
      <c r="E34" s="1508">
        <f>CEILING(H18/E18*E26/E18,1)*2</f>
        <v>0</v>
      </c>
      <c r="F34" s="1508">
        <f>CEILING((H19)/E19*F26/E19,1)</f>
        <v>756</v>
      </c>
      <c r="G34" s="1508">
        <f>CEILING((H20)/E20*G26/E20,1)</f>
        <v>709</v>
      </c>
      <c r="H34" s="1508">
        <v>0</v>
      </c>
      <c r="I34" s="1356">
        <v>0</v>
      </c>
      <c r="J34" s="1509">
        <f t="shared" si="1"/>
        <v>1465</v>
      </c>
      <c r="K34" s="1428">
        <v>5469.5</v>
      </c>
      <c r="L34" s="1353">
        <f t="shared" si="4"/>
        <v>8012817.5</v>
      </c>
      <c r="N34" s="1510"/>
    </row>
    <row r="35" spans="1:14" ht="19.2">
      <c r="A35" s="1321">
        <v>9</v>
      </c>
      <c r="B35" s="1319" t="s">
        <v>2426</v>
      </c>
      <c r="C35" s="1319" t="s">
        <v>311</v>
      </c>
      <c r="D35" s="1335">
        <f>CEILING(H18/E18*D27/E18,1)*2</f>
        <v>0</v>
      </c>
      <c r="E35" s="1361">
        <f>CEILING(H19/E19*E27/E19,1)*2</f>
        <v>0</v>
      </c>
      <c r="F35" s="1361">
        <v>0</v>
      </c>
      <c r="G35" s="1361">
        <v>0</v>
      </c>
      <c r="H35" s="1361">
        <f>CEILING(H21/E21*H26/E21,1)</f>
        <v>237</v>
      </c>
      <c r="I35" s="1335">
        <f>CEILING(H23/E23*H26/E23,1)</f>
        <v>340</v>
      </c>
      <c r="J35" s="1362">
        <f>SUM(D35:I35)</f>
        <v>577</v>
      </c>
      <c r="K35" s="1228">
        <v>5469.5</v>
      </c>
      <c r="L35" s="1358">
        <f t="shared" si="4"/>
        <v>3155901.5</v>
      </c>
      <c r="M35" s="1311"/>
      <c r="N35" s="1316"/>
    </row>
    <row r="36" spans="1:14" ht="19.2">
      <c r="A36" s="1321">
        <v>10</v>
      </c>
      <c r="B36" s="1319" t="s">
        <v>1376</v>
      </c>
      <c r="C36" s="1319" t="s">
        <v>307</v>
      </c>
      <c r="D36" s="1335">
        <v>0</v>
      </c>
      <c r="E36" s="1335">
        <v>0</v>
      </c>
      <c r="F36" s="1335">
        <v>0</v>
      </c>
      <c r="G36" s="1335">
        <v>0</v>
      </c>
      <c r="H36" s="1335">
        <v>0</v>
      </c>
      <c r="I36" s="1335">
        <f>CEILING(((PI()*P5/2)/0.4)*(I26/4),1)</f>
        <v>118</v>
      </c>
      <c r="J36" s="1357">
        <f t="shared" ref="J36:J41" si="6">SUM(D36:I36)</f>
        <v>118</v>
      </c>
      <c r="K36" s="1227">
        <v>12161.5</v>
      </c>
      <c r="L36" s="1358">
        <f t="shared" si="4"/>
        <v>1435057</v>
      </c>
      <c r="M36" s="1311"/>
      <c r="N36" s="1316">
        <f>22*0.2*6230/4</f>
        <v>6853.0000000000009</v>
      </c>
    </row>
    <row r="37" spans="1:14" ht="19.2">
      <c r="A37" s="1321">
        <v>11</v>
      </c>
      <c r="B37" s="1431" t="s">
        <v>2427</v>
      </c>
      <c r="C37" s="1319" t="s">
        <v>25</v>
      </c>
      <c r="D37" s="1335">
        <v>0</v>
      </c>
      <c r="E37" s="1335">
        <v>0</v>
      </c>
      <c r="F37" s="1335">
        <v>0</v>
      </c>
      <c r="G37" s="1335">
        <v>0</v>
      </c>
      <c r="H37" s="1335">
        <f>H23*15*I26/(1000*1.5)</f>
        <v>3.3991246057023119</v>
      </c>
      <c r="I37" s="1335">
        <f>H23*15*I26/(1000*1)</f>
        <v>5.0986869085534678</v>
      </c>
      <c r="J37" s="1357">
        <f t="shared" si="6"/>
        <v>8.4978115142557797</v>
      </c>
      <c r="K37" s="1227">
        <v>271061.5</v>
      </c>
      <c r="L37" s="1358">
        <f t="shared" si="4"/>
        <v>2303429.535771443</v>
      </c>
      <c r="M37" s="1311"/>
      <c r="N37" s="1316"/>
    </row>
    <row r="38" spans="1:14" s="1355" customFormat="1" ht="19.2">
      <c r="A38" s="1321">
        <v>12</v>
      </c>
      <c r="B38" s="1363" t="s">
        <v>1378</v>
      </c>
      <c r="C38" s="1363" t="s">
        <v>19</v>
      </c>
      <c r="D38" s="1364">
        <v>0</v>
      </c>
      <c r="E38" s="1364">
        <f>E26*J18/0.2</f>
        <v>0</v>
      </c>
      <c r="F38" s="1364">
        <f>F26*J19/0.2</f>
        <v>598.97250000000008</v>
      </c>
      <c r="G38" s="1364">
        <f>G26*J20/0.2</f>
        <v>359.38350000000003</v>
      </c>
      <c r="H38" s="1364">
        <f>H26*J21/0.2</f>
        <v>119.79450000000001</v>
      </c>
      <c r="I38" s="1364">
        <f>I26*J23/0.25</f>
        <v>119.7945</v>
      </c>
      <c r="J38" s="1357">
        <f t="shared" si="6"/>
        <v>1197.9450000000002</v>
      </c>
      <c r="K38" s="1227">
        <v>350</v>
      </c>
      <c r="L38" s="1358">
        <f t="shared" si="4"/>
        <v>419280.75000000006</v>
      </c>
      <c r="M38" s="1365"/>
    </row>
    <row r="39" spans="1:14" ht="19.2">
      <c r="A39" s="1321">
        <v>13</v>
      </c>
      <c r="B39" s="1319" t="s">
        <v>1551</v>
      </c>
      <c r="C39" s="1319" t="s">
        <v>339</v>
      </c>
      <c r="D39" s="1335">
        <f>D26*J17</f>
        <v>0</v>
      </c>
      <c r="E39" s="1335">
        <f>E26*J18</f>
        <v>0</v>
      </c>
      <c r="F39" s="1335">
        <f>J19*F26</f>
        <v>119.79450000000001</v>
      </c>
      <c r="G39" s="1335">
        <f>G26*J20</f>
        <v>71.876700000000014</v>
      </c>
      <c r="H39" s="1335">
        <f>H26*J21</f>
        <v>23.958900000000003</v>
      </c>
      <c r="I39" s="1335">
        <f>I26*J23</f>
        <v>29.948625</v>
      </c>
      <c r="J39" s="1357">
        <f t="shared" si="6"/>
        <v>245.57872500000002</v>
      </c>
      <c r="K39" s="1227">
        <v>15664</v>
      </c>
      <c r="L39" s="1358">
        <f t="shared" si="4"/>
        <v>3846745.1484000003</v>
      </c>
      <c r="M39" s="1311"/>
    </row>
    <row r="40" spans="1:14" ht="19.2">
      <c r="A40" s="1321">
        <v>14</v>
      </c>
      <c r="B40" s="1319" t="s">
        <v>24</v>
      </c>
      <c r="C40" s="1319" t="s">
        <v>25</v>
      </c>
      <c r="D40" s="1335">
        <f>8%*(D39+D33)</f>
        <v>0</v>
      </c>
      <c r="E40" s="1335">
        <f>0.75%*E39*7.85</f>
        <v>0</v>
      </c>
      <c r="F40" s="1335">
        <f>0.75%*F39*7.85</f>
        <v>7.0529011875000007</v>
      </c>
      <c r="G40" s="1335">
        <f>0.75%*G39*7.85</f>
        <v>4.2317407125000006</v>
      </c>
      <c r="H40" s="1335">
        <f>0.75%*H39*7.85</f>
        <v>1.4105802375000001</v>
      </c>
      <c r="I40" s="1335">
        <f>0.75%*(I39)*7.85</f>
        <v>1.763225296875</v>
      </c>
      <c r="J40" s="1357">
        <f t="shared" si="6"/>
        <v>14.458447434375</v>
      </c>
      <c r="K40" s="1227">
        <v>136863.5</v>
      </c>
      <c r="L40" s="1358">
        <f t="shared" si="4"/>
        <v>1978833.7204345828</v>
      </c>
      <c r="M40" s="1311"/>
    </row>
    <row r="41" spans="1:14" ht="19.2">
      <c r="A41" s="1321">
        <v>15</v>
      </c>
      <c r="B41" s="1319" t="s">
        <v>1380</v>
      </c>
      <c r="C41" s="1319" t="s">
        <v>420</v>
      </c>
      <c r="D41" s="1335">
        <f>H17*D26</f>
        <v>0</v>
      </c>
      <c r="E41" s="1335">
        <f>E26*H18</f>
        <v>0</v>
      </c>
      <c r="F41" s="1335">
        <f>F26*(H19)*0.1</f>
        <v>169.95623028511559</v>
      </c>
      <c r="G41" s="1335">
        <f>G26*(H20)*0.1</f>
        <v>101.97373817106937</v>
      </c>
      <c r="H41" s="1335">
        <f>H26*H21*0.1</f>
        <v>33.991246057023119</v>
      </c>
      <c r="I41" s="1335">
        <f>I26*H23*0.1</f>
        <v>33.991246057023119</v>
      </c>
      <c r="J41" s="1357">
        <f t="shared" si="6"/>
        <v>339.91246057023113</v>
      </c>
      <c r="K41" s="1227">
        <v>608</v>
      </c>
      <c r="L41" s="1358">
        <f t="shared" si="4"/>
        <v>206666.77602670054</v>
      </c>
      <c r="M41" s="1311"/>
    </row>
    <row r="42" spans="1:14">
      <c r="K42" s="1335" t="s">
        <v>439</v>
      </c>
      <c r="L42" s="1335">
        <f>SUM(L27:L41)</f>
        <v>76717239.53940016</v>
      </c>
    </row>
    <row r="43" spans="1:14">
      <c r="I43" s="1343"/>
      <c r="J43" s="1343"/>
      <c r="K43" s="1343"/>
      <c r="L43" s="1343"/>
    </row>
    <row r="44" spans="1:14">
      <c r="I44" s="1343"/>
      <c r="J44" s="1343"/>
      <c r="K44" s="1343"/>
      <c r="L44" s="1343"/>
    </row>
    <row r="45" spans="1:14">
      <c r="B45" s="1312" t="s">
        <v>1381</v>
      </c>
      <c r="I45" s="1343"/>
      <c r="J45" s="1343"/>
      <c r="K45" s="1343"/>
      <c r="L45" s="1343"/>
    </row>
    <row r="46" spans="1:14">
      <c r="B46" s="1312" t="s">
        <v>1382</v>
      </c>
      <c r="C46" s="1312">
        <v>0</v>
      </c>
      <c r="I46" s="1343"/>
      <c r="J46" s="1343"/>
      <c r="K46" s="1343"/>
      <c r="L46" s="1343"/>
    </row>
    <row r="47" spans="1:14">
      <c r="B47" s="1312" t="s">
        <v>1383</v>
      </c>
      <c r="C47" s="1313">
        <v>500000</v>
      </c>
      <c r="E47" s="1314"/>
      <c r="F47" s="1315"/>
      <c r="G47" s="1314"/>
      <c r="I47" s="1366"/>
      <c r="J47" s="1343"/>
      <c r="K47" s="1343"/>
      <c r="L47" s="1343"/>
    </row>
    <row r="48" spans="1:14">
      <c r="B48" s="1312" t="s">
        <v>1384</v>
      </c>
      <c r="C48" s="1367">
        <f>C46*C47</f>
        <v>0</v>
      </c>
      <c r="E48" s="1314"/>
      <c r="F48" s="1315"/>
      <c r="G48" s="1314"/>
      <c r="J48" s="1366"/>
      <c r="K48" s="1366"/>
      <c r="L48" s="1366"/>
      <c r="M48" s="1311"/>
    </row>
    <row r="49" spans="1:75">
      <c r="C49" s="1313"/>
      <c r="E49" s="1314"/>
      <c r="F49" s="1315"/>
      <c r="G49" s="1314"/>
    </row>
    <row r="50" spans="1:75">
      <c r="C50" s="1368"/>
      <c r="D50" s="1368"/>
      <c r="E50" s="1369"/>
      <c r="F50" s="1370"/>
      <c r="G50" s="1369"/>
    </row>
    <row r="52" spans="1:75">
      <c r="C52" s="1313"/>
      <c r="E52" s="1314"/>
      <c r="F52" s="1315"/>
      <c r="G52" s="1314"/>
    </row>
    <row r="53" spans="1:75" s="1314" customFormat="1">
      <c r="A53" s="1311"/>
      <c r="B53" s="1312"/>
      <c r="C53" s="1313"/>
      <c r="D53" s="1313"/>
      <c r="F53" s="1315"/>
      <c r="M53" s="1316"/>
      <c r="N53" s="1311"/>
      <c r="O53" s="1311"/>
      <c r="P53" s="1311"/>
      <c r="Q53" s="1311"/>
      <c r="R53" s="1311"/>
      <c r="S53" s="1311"/>
      <c r="T53" s="1311"/>
      <c r="U53" s="1311"/>
      <c r="V53" s="1311"/>
      <c r="W53" s="1311"/>
      <c r="X53" s="1311"/>
      <c r="Y53" s="1311"/>
      <c r="Z53" s="1311"/>
      <c r="AA53" s="1311"/>
      <c r="AB53" s="1311"/>
      <c r="AC53" s="1311"/>
      <c r="AD53" s="1311"/>
      <c r="AE53" s="1311"/>
      <c r="AF53" s="1311"/>
      <c r="AG53" s="1311"/>
      <c r="AH53" s="1311"/>
      <c r="AI53" s="1311"/>
      <c r="AJ53" s="1311"/>
      <c r="AK53" s="1311"/>
      <c r="AL53" s="1311"/>
      <c r="AM53" s="1311"/>
      <c r="AN53" s="1311"/>
      <c r="AO53" s="1311"/>
      <c r="AP53" s="1311"/>
      <c r="AQ53" s="1311"/>
      <c r="AR53" s="1311"/>
      <c r="AS53" s="1311"/>
      <c r="AT53" s="1311"/>
      <c r="AU53" s="1311"/>
      <c r="AV53" s="1311"/>
      <c r="AW53" s="1311"/>
      <c r="AX53" s="1311"/>
      <c r="AY53" s="1311"/>
      <c r="AZ53" s="1311"/>
      <c r="BA53" s="1311"/>
      <c r="BB53" s="1311"/>
      <c r="BC53" s="1311"/>
      <c r="BD53" s="1311"/>
      <c r="BE53" s="1311"/>
      <c r="BF53" s="1311"/>
      <c r="BG53" s="1311"/>
      <c r="BH53" s="1311"/>
      <c r="BI53" s="1311"/>
      <c r="BJ53" s="1311"/>
      <c r="BK53" s="1311"/>
      <c r="BL53" s="1311"/>
      <c r="BM53" s="1311"/>
      <c r="BN53" s="1311"/>
      <c r="BO53" s="1311"/>
      <c r="BP53" s="1311"/>
      <c r="BQ53" s="1311"/>
      <c r="BR53" s="1311"/>
      <c r="BS53" s="1311"/>
      <c r="BT53" s="1311"/>
      <c r="BU53" s="1311"/>
      <c r="BV53" s="1311"/>
      <c r="BW53" s="1311"/>
    </row>
    <row r="54" spans="1:75" s="1314" customFormat="1">
      <c r="A54" s="1311"/>
      <c r="B54" s="1312"/>
      <c r="C54" s="1313"/>
      <c r="D54" s="1313"/>
      <c r="F54" s="1315"/>
      <c r="M54" s="1316"/>
      <c r="N54" s="1311"/>
      <c r="O54" s="1311"/>
      <c r="P54" s="1311"/>
      <c r="Q54" s="1311"/>
      <c r="R54" s="1311"/>
      <c r="S54" s="1311"/>
      <c r="T54" s="1311"/>
      <c r="U54" s="1311"/>
      <c r="V54" s="1311"/>
      <c r="W54" s="1311"/>
      <c r="X54" s="1311"/>
      <c r="Y54" s="1311"/>
      <c r="Z54" s="1311"/>
      <c r="AA54" s="1311"/>
      <c r="AB54" s="1311"/>
      <c r="AC54" s="1311"/>
      <c r="AD54" s="1311"/>
      <c r="AE54" s="1311"/>
      <c r="AF54" s="1311"/>
      <c r="AG54" s="1311"/>
      <c r="AH54" s="1311"/>
      <c r="AI54" s="1311"/>
      <c r="AJ54" s="1311"/>
      <c r="AK54" s="1311"/>
      <c r="AL54" s="1311"/>
      <c r="AM54" s="1311"/>
      <c r="AN54" s="1311"/>
      <c r="AO54" s="1311"/>
      <c r="AP54" s="1311"/>
      <c r="AQ54" s="1311"/>
      <c r="AR54" s="1311"/>
      <c r="AS54" s="1311"/>
      <c r="AT54" s="1311"/>
      <c r="AU54" s="1311"/>
      <c r="AV54" s="1311"/>
      <c r="AW54" s="1311"/>
      <c r="AX54" s="1311"/>
      <c r="AY54" s="1311"/>
      <c r="AZ54" s="1311"/>
      <c r="BA54" s="1311"/>
      <c r="BB54" s="1311"/>
      <c r="BC54" s="1311"/>
      <c r="BD54" s="1311"/>
      <c r="BE54" s="1311"/>
      <c r="BF54" s="1311"/>
      <c r="BG54" s="1311"/>
      <c r="BH54" s="1311"/>
      <c r="BI54" s="1311"/>
      <c r="BJ54" s="1311"/>
      <c r="BK54" s="1311"/>
      <c r="BL54" s="1311"/>
      <c r="BM54" s="1311"/>
      <c r="BN54" s="1311"/>
      <c r="BO54" s="1311"/>
      <c r="BP54" s="1311"/>
      <c r="BQ54" s="1311"/>
      <c r="BR54" s="1311"/>
      <c r="BS54" s="1311"/>
      <c r="BT54" s="1311"/>
      <c r="BU54" s="1311"/>
      <c r="BV54" s="1311"/>
      <c r="BW54" s="1311"/>
    </row>
  </sheetData>
  <mergeCells count="8">
    <mergeCell ref="B22:C22"/>
    <mergeCell ref="B23:C23"/>
    <mergeCell ref="B16:C16"/>
    <mergeCell ref="B17:C17"/>
    <mergeCell ref="B18:C18"/>
    <mergeCell ref="B19:C19"/>
    <mergeCell ref="B20:C20"/>
    <mergeCell ref="B21:C21"/>
  </mergeCells>
  <printOptions horizontalCentered="1"/>
  <pageMargins left="0.7" right="0.7" top="0.71" bottom="0.59" header="0.3" footer="0.16"/>
  <pageSetup paperSize="9" scale="65" fitToHeight="10" orientation="landscape"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7">
    <tabColor rgb="FFFFFF00"/>
    <pageSetUpPr fitToPage="1"/>
  </sheetPr>
  <dimension ref="A1:R42"/>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5546875" style="119" customWidth="1"/>
    <col min="12" max="12" width="10" style="119" customWidth="1"/>
    <col min="13" max="13" width="13.33203125" style="119" customWidth="1"/>
    <col min="14" max="14" width="9.109375" style="4" customWidth="1"/>
    <col min="15" max="15" width="9.109375" style="463" customWidth="1"/>
    <col min="16" max="16" width="7.5546875" style="4" customWidth="1"/>
    <col min="17" max="17" width="9.109375" style="4" customWidth="1"/>
    <col min="18" max="19" width="9.109375" style="4"/>
    <col min="20" max="20" width="11.88671875" style="4" customWidth="1"/>
    <col min="21" max="16384" width="9.109375" style="4"/>
  </cols>
  <sheetData>
    <row r="1" spans="1:18" s="1282" customFormat="1" ht="19.2">
      <c r="A1" s="1281"/>
      <c r="C1" s="1283"/>
      <c r="D1" s="1284"/>
      <c r="E1" s="1285"/>
      <c r="F1" s="1285"/>
      <c r="G1" s="1283"/>
    </row>
    <row r="2" spans="1:18" s="1282" customFormat="1" ht="19.2">
      <c r="A2" s="1281"/>
      <c r="C2" s="1283"/>
      <c r="D2" s="1284"/>
      <c r="E2" s="1285"/>
      <c r="F2" s="1285"/>
      <c r="G2" s="1283"/>
    </row>
    <row r="3" spans="1:18" s="1282" customFormat="1" ht="19.2">
      <c r="A3" s="226" t="s">
        <v>0</v>
      </c>
      <c r="B3" s="1248" t="s">
        <v>2389</v>
      </c>
      <c r="C3" s="1283"/>
      <c r="D3" s="1284"/>
      <c r="E3" s="1285"/>
      <c r="F3" s="1285"/>
      <c r="G3" s="1283"/>
    </row>
    <row r="4" spans="1:18" s="1282" customFormat="1" ht="19.2">
      <c r="A4" s="119" t="s">
        <v>1</v>
      </c>
      <c r="B4" s="1248">
        <v>930100</v>
      </c>
      <c r="C4" s="1283"/>
      <c r="D4" s="1284"/>
      <c r="E4" s="1285"/>
      <c r="F4" s="1285"/>
      <c r="G4" s="1283"/>
    </row>
    <row r="5" spans="1:18" s="1282" customFormat="1" ht="19.2">
      <c r="A5" s="119" t="s">
        <v>2</v>
      </c>
      <c r="B5" s="1247" t="s">
        <v>331</v>
      </c>
      <c r="C5" s="1283"/>
      <c r="D5" s="1284"/>
      <c r="E5" s="1285"/>
      <c r="J5" s="1286" t="s">
        <v>1561</v>
      </c>
      <c r="K5" s="1283" t="s">
        <v>1562</v>
      </c>
      <c r="L5" s="1283"/>
      <c r="M5" s="1283"/>
    </row>
    <row r="6" spans="1:18" s="1282" customFormat="1" ht="19.2">
      <c r="A6" s="119" t="s">
        <v>3</v>
      </c>
      <c r="B6" s="1247" t="s">
        <v>1337</v>
      </c>
      <c r="C6" s="1283"/>
      <c r="D6" s="1284"/>
      <c r="E6" s="1285"/>
      <c r="J6" s="1286" t="s">
        <v>171</v>
      </c>
      <c r="K6" s="1283" t="s">
        <v>1563</v>
      </c>
      <c r="L6" s="1283"/>
      <c r="M6" s="1283"/>
    </row>
    <row r="7" spans="1:18" s="1282" customFormat="1" ht="19.2">
      <c r="A7" s="119" t="s">
        <v>4</v>
      </c>
      <c r="B7" s="1247"/>
      <c r="C7" s="1283"/>
      <c r="D7" s="1284"/>
      <c r="E7" s="1285"/>
      <c r="J7" s="1286" t="s">
        <v>106</v>
      </c>
      <c r="K7" s="1287">
        <f ca="1">TODAY()</f>
        <v>44942</v>
      </c>
      <c r="L7" s="1287"/>
      <c r="M7" s="1287"/>
    </row>
    <row r="8" spans="1:18">
      <c r="A8" s="119"/>
      <c r="B8" s="55"/>
      <c r="C8" s="1247"/>
      <c r="D8" s="1247"/>
      <c r="E8" s="1247"/>
      <c r="F8" s="1247"/>
    </row>
    <row r="10" spans="1:18">
      <c r="A10" s="2" t="s">
        <v>7</v>
      </c>
      <c r="B10" s="2" t="s">
        <v>8</v>
      </c>
      <c r="C10" s="2" t="s">
        <v>9</v>
      </c>
      <c r="D10" s="2" t="s">
        <v>10</v>
      </c>
      <c r="E10" s="824" t="s">
        <v>11</v>
      </c>
      <c r="F10" s="824" t="s">
        <v>12</v>
      </c>
      <c r="G10" s="824" t="s">
        <v>13</v>
      </c>
      <c r="H10" s="824" t="s">
        <v>15</v>
      </c>
      <c r="I10" s="824" t="s">
        <v>357</v>
      </c>
      <c r="J10" s="824" t="s">
        <v>16</v>
      </c>
      <c r="K10" s="1004" t="s">
        <v>17</v>
      </c>
      <c r="L10" s="1004" t="s">
        <v>1589</v>
      </c>
      <c r="M10" s="1004" t="s">
        <v>1234</v>
      </c>
    </row>
    <row r="11" spans="1:18" s="1009" customFormat="1">
      <c r="A11" s="1005">
        <v>1</v>
      </c>
      <c r="B11" s="25" t="s">
        <v>18</v>
      </c>
      <c r="C11" s="776" t="s">
        <v>19</v>
      </c>
      <c r="D11" s="776"/>
      <c r="E11" s="1006"/>
      <c r="F11" s="1006"/>
      <c r="G11" s="1006"/>
      <c r="H11" s="1006"/>
      <c r="I11" s="1006"/>
      <c r="J11" s="1289"/>
      <c r="K11" s="1008"/>
      <c r="L11" s="1008"/>
      <c r="M11" s="1008"/>
    </row>
    <row r="12" spans="1:18">
      <c r="A12" s="10"/>
      <c r="B12" s="345" t="s">
        <v>808</v>
      </c>
      <c r="C12" s="12"/>
      <c r="D12" s="45">
        <v>1</v>
      </c>
      <c r="E12" s="945"/>
      <c r="F12" s="945"/>
      <c r="G12" s="825"/>
      <c r="H12" s="825">
        <v>178</v>
      </c>
      <c r="J12" s="825">
        <f>ROUND(D12*H12,2)</f>
        <v>178</v>
      </c>
      <c r="K12" s="24"/>
      <c r="L12" s="24">
        <v>40.5</v>
      </c>
      <c r="M12" s="10">
        <f>J12*L12</f>
        <v>7209</v>
      </c>
    </row>
    <row r="13" spans="1:18">
      <c r="A13" s="10"/>
      <c r="B13" s="14"/>
      <c r="C13" s="12"/>
      <c r="D13" s="12"/>
      <c r="E13" s="825"/>
      <c r="F13" s="825"/>
      <c r="G13" s="825"/>
      <c r="H13" s="825"/>
      <c r="I13" s="1292" t="s">
        <v>20</v>
      </c>
      <c r="J13" s="1292">
        <f>SUM(J12:J12)</f>
        <v>178</v>
      </c>
      <c r="K13" s="24"/>
      <c r="L13" s="24"/>
      <c r="M13" s="10"/>
    </row>
    <row r="14" spans="1:18" ht="67.2">
      <c r="A14" s="7">
        <f>A11+1</f>
        <v>2</v>
      </c>
      <c r="B14" s="443" t="s">
        <v>782</v>
      </c>
      <c r="C14" s="7" t="s">
        <v>21</v>
      </c>
      <c r="D14" s="7"/>
      <c r="E14" s="912"/>
      <c r="F14" s="912"/>
      <c r="G14" s="912"/>
      <c r="H14" s="912"/>
      <c r="I14" s="912"/>
      <c r="J14" s="912"/>
      <c r="K14" s="1294"/>
      <c r="L14" s="1294"/>
      <c r="M14" s="1305"/>
      <c r="R14" s="4">
        <f>70*21</f>
        <v>1470</v>
      </c>
    </row>
    <row r="15" spans="1:18" ht="33.6">
      <c r="A15" s="10">
        <v>2.1</v>
      </c>
      <c r="B15" s="343" t="s">
        <v>1338</v>
      </c>
      <c r="C15" s="12"/>
      <c r="D15" s="12">
        <v>1</v>
      </c>
      <c r="E15" s="825">
        <v>30</v>
      </c>
      <c r="F15" s="825"/>
      <c r="G15" s="825"/>
      <c r="H15" s="825">
        <v>180</v>
      </c>
      <c r="I15" s="825">
        <f>E15*H15</f>
        <v>5400</v>
      </c>
      <c r="J15" s="825"/>
      <c r="K15" s="24"/>
      <c r="L15" s="24"/>
      <c r="M15" s="10"/>
      <c r="N15" s="4">
        <v>1075.5</v>
      </c>
    </row>
    <row r="16" spans="1:18" ht="19.2">
      <c r="A16" s="14"/>
      <c r="B16" s="14"/>
      <c r="C16" s="12"/>
      <c r="D16" s="12"/>
      <c r="E16" s="825"/>
      <c r="F16" s="825"/>
      <c r="G16" s="825"/>
      <c r="H16" s="825"/>
      <c r="I16" s="1292" t="s">
        <v>20</v>
      </c>
      <c r="J16" s="1292">
        <f>0.7*I15</f>
        <v>3779.9999999999995</v>
      </c>
      <c r="K16" s="24" t="s">
        <v>1339</v>
      </c>
      <c r="L16" s="1228">
        <v>325.16500000000002</v>
      </c>
      <c r="M16" s="1306">
        <f>J16*L16</f>
        <v>1229123.7</v>
      </c>
    </row>
    <row r="17" spans="1:17">
      <c r="A17" s="10">
        <v>2.2000000000000002</v>
      </c>
      <c r="B17" s="14" t="s">
        <v>1340</v>
      </c>
      <c r="C17" s="12"/>
      <c r="D17" s="12">
        <v>1</v>
      </c>
      <c r="E17" s="825"/>
      <c r="F17" s="825"/>
      <c r="G17" s="825"/>
      <c r="H17" s="825"/>
      <c r="I17" s="825"/>
      <c r="J17" s="825">
        <f>I15*0.3</f>
        <v>1620</v>
      </c>
      <c r="K17" s="24"/>
      <c r="L17" s="24"/>
      <c r="M17" s="10"/>
    </row>
    <row r="18" spans="1:17" ht="19.2">
      <c r="A18" s="10"/>
      <c r="B18" s="345"/>
      <c r="C18" s="12"/>
      <c r="D18" s="45"/>
      <c r="E18" s="14"/>
      <c r="F18" s="14"/>
      <c r="G18" s="14"/>
      <c r="H18" s="14"/>
      <c r="I18" s="1292" t="s">
        <v>20</v>
      </c>
      <c r="J18" s="1292">
        <f>30%*I15</f>
        <v>1620</v>
      </c>
      <c r="K18" s="1307" t="s">
        <v>1341</v>
      </c>
      <c r="L18" s="1228">
        <v>1342.6849999999999</v>
      </c>
      <c r="M18" s="1308">
        <f>J18*L18</f>
        <v>2175149.6999999997</v>
      </c>
    </row>
    <row r="19" spans="1:17" s="1009" customFormat="1" ht="33.6">
      <c r="A19" s="1005">
        <v>3</v>
      </c>
      <c r="B19" s="1013" t="s">
        <v>2431</v>
      </c>
      <c r="C19" s="776" t="s">
        <v>307</v>
      </c>
      <c r="D19" s="776"/>
      <c r="E19" s="1006"/>
      <c r="F19" s="1006"/>
      <c r="G19" s="1006"/>
      <c r="H19" s="1006"/>
      <c r="I19" s="1006"/>
      <c r="J19" s="1289"/>
      <c r="K19" s="1008"/>
      <c r="L19" s="1008"/>
      <c r="M19" s="1008"/>
    </row>
    <row r="20" spans="1:17" ht="17.399999999999999">
      <c r="A20" s="10"/>
      <c r="B20" s="14"/>
      <c r="C20" s="12"/>
      <c r="D20" s="12"/>
      <c r="E20" s="825" t="s">
        <v>1342</v>
      </c>
      <c r="F20" s="825"/>
      <c r="G20" s="825"/>
      <c r="H20" s="825"/>
      <c r="I20" s="825"/>
      <c r="J20" s="1297"/>
      <c r="K20" s="477"/>
      <c r="L20" s="477"/>
      <c r="M20" s="477"/>
    </row>
    <row r="21" spans="1:17">
      <c r="A21" s="10"/>
      <c r="B21" s="345" t="s">
        <v>809</v>
      </c>
      <c r="C21" s="12"/>
      <c r="D21" s="12">
        <v>1</v>
      </c>
      <c r="E21" s="825">
        <f>1.5*1.5</f>
        <v>2.25</v>
      </c>
      <c r="F21" s="825"/>
      <c r="G21" s="825"/>
      <c r="H21" s="825">
        <v>448</v>
      </c>
      <c r="I21" s="825"/>
      <c r="J21" s="1299">
        <f>H21/E21*1.2</f>
        <v>238.93333333333334</v>
      </c>
      <c r="K21" s="477"/>
      <c r="L21" s="477"/>
      <c r="M21" s="477"/>
    </row>
    <row r="22" spans="1:17">
      <c r="A22" s="10"/>
      <c r="B22" s="14"/>
      <c r="C22" s="12"/>
      <c r="D22" s="12"/>
      <c r="E22" s="825"/>
      <c r="F22" s="825"/>
      <c r="G22" s="825"/>
      <c r="H22" s="825"/>
      <c r="I22" s="1292" t="s">
        <v>20</v>
      </c>
      <c r="J22" s="1292">
        <f>ROUNDUP(SUM(J21:J21),0)</f>
        <v>239</v>
      </c>
      <c r="K22" s="477"/>
      <c r="L22" s="24">
        <v>5469.5</v>
      </c>
      <c r="M22" s="10">
        <f>J22*L22</f>
        <v>1307210.5</v>
      </c>
    </row>
    <row r="23" spans="1:17" s="1009" customFormat="1">
      <c r="A23" s="1005">
        <v>4</v>
      </c>
      <c r="B23" s="25" t="s">
        <v>2639</v>
      </c>
      <c r="C23" s="776" t="s">
        <v>19</v>
      </c>
      <c r="D23" s="776"/>
      <c r="E23" s="1006"/>
      <c r="F23" s="1006"/>
      <c r="G23" s="1006"/>
      <c r="H23" s="1006"/>
      <c r="I23" s="1006"/>
      <c r="J23" s="1289"/>
      <c r="K23" s="1008"/>
      <c r="L23" s="1008"/>
      <c r="M23" s="1008"/>
    </row>
    <row r="24" spans="1:17">
      <c r="A24" s="10"/>
      <c r="B24" s="14" t="s">
        <v>808</v>
      </c>
      <c r="C24" s="12"/>
      <c r="D24" s="12"/>
      <c r="E24" s="825"/>
      <c r="F24" s="825"/>
      <c r="G24" s="825"/>
      <c r="H24" s="825"/>
      <c r="I24" s="825"/>
      <c r="J24" s="825"/>
      <c r="K24" s="24"/>
      <c r="L24" s="24"/>
      <c r="M24" s="10"/>
    </row>
    <row r="25" spans="1:17">
      <c r="A25" s="10"/>
      <c r="B25" s="345" t="s">
        <v>809</v>
      </c>
      <c r="C25" s="12"/>
      <c r="D25" s="12">
        <f>D21</f>
        <v>1</v>
      </c>
      <c r="E25" s="825"/>
      <c r="F25" s="825">
        <v>0.1</v>
      </c>
      <c r="G25" s="825"/>
      <c r="H25" s="825">
        <f>H21</f>
        <v>448</v>
      </c>
      <c r="I25" s="825"/>
      <c r="J25" s="825">
        <f>H25</f>
        <v>448</v>
      </c>
      <c r="K25" s="477"/>
      <c r="L25" s="477"/>
      <c r="M25" s="477"/>
      <c r="Q25" s="4">
        <f>5.83*2</f>
        <v>11.66</v>
      </c>
    </row>
    <row r="26" spans="1:17">
      <c r="A26" s="10"/>
      <c r="B26" s="345" t="s">
        <v>2432</v>
      </c>
      <c r="C26" s="12"/>
      <c r="D26" s="12">
        <v>1</v>
      </c>
      <c r="E26" s="825"/>
      <c r="F26" s="825">
        <v>0.1</v>
      </c>
      <c r="G26" s="825"/>
      <c r="H26" s="825">
        <f>0.2*H25</f>
        <v>89.600000000000009</v>
      </c>
      <c r="I26" s="825"/>
      <c r="J26" s="825">
        <f>H26</f>
        <v>89.600000000000009</v>
      </c>
      <c r="K26" s="477"/>
      <c r="L26" s="477"/>
      <c r="M26" s="477"/>
    </row>
    <row r="27" spans="1:17" ht="19.2">
      <c r="A27" s="10"/>
      <c r="B27" s="137"/>
      <c r="C27" s="12"/>
      <c r="D27" s="12"/>
      <c r="E27" s="825"/>
      <c r="F27" s="825"/>
      <c r="G27" s="825"/>
      <c r="H27" s="825"/>
      <c r="I27" s="1292" t="s">
        <v>20</v>
      </c>
      <c r="J27" s="1292">
        <f>SUM(J25:J26)</f>
        <v>537.6</v>
      </c>
      <c r="K27" s="24"/>
      <c r="L27" s="1228">
        <v>5557.2000000000007</v>
      </c>
      <c r="M27" s="1309">
        <f>J27*L27</f>
        <v>2987550.7200000007</v>
      </c>
      <c r="N27" s="4">
        <v>11.1</v>
      </c>
    </row>
    <row r="28" spans="1:17">
      <c r="A28" s="5"/>
      <c r="B28" s="6"/>
      <c r="C28" s="7"/>
      <c r="D28" s="7"/>
      <c r="E28" s="912"/>
      <c r="F28" s="912"/>
      <c r="G28" s="912"/>
      <c r="H28" s="912"/>
      <c r="I28" s="912"/>
      <c r="J28" s="1301"/>
      <c r="K28" s="475"/>
      <c r="L28" s="475"/>
      <c r="M28" s="475"/>
    </row>
    <row r="29" spans="1:17" s="1009" customFormat="1">
      <c r="A29" s="1005">
        <v>5</v>
      </c>
      <c r="B29" s="25" t="s">
        <v>1344</v>
      </c>
      <c r="C29" s="776" t="s">
        <v>1345</v>
      </c>
      <c r="D29" s="776"/>
      <c r="E29" s="1006"/>
      <c r="F29" s="1006"/>
      <c r="G29" s="1006"/>
      <c r="H29" s="1006"/>
      <c r="I29" s="1006"/>
      <c r="J29" s="1289"/>
      <c r="K29" s="1008"/>
      <c r="L29" s="1008"/>
      <c r="M29" s="1310"/>
    </row>
    <row r="30" spans="1:17">
      <c r="A30" s="14"/>
      <c r="B30" s="14"/>
      <c r="C30" s="12"/>
      <c r="D30" s="12">
        <v>1</v>
      </c>
      <c r="E30" s="825"/>
      <c r="F30" s="825"/>
      <c r="G30" s="825"/>
      <c r="H30" s="825">
        <f>H25</f>
        <v>448</v>
      </c>
      <c r="I30" s="825"/>
      <c r="J30" s="825">
        <f>H30*D30*1.2</f>
        <v>537.6</v>
      </c>
      <c r="K30" s="1015"/>
      <c r="L30" s="1015"/>
      <c r="M30" s="15"/>
    </row>
    <row r="31" spans="1:17" ht="19.2">
      <c r="A31" s="14"/>
      <c r="B31" s="14"/>
      <c r="C31" s="12"/>
      <c r="D31" s="12"/>
      <c r="E31" s="825"/>
      <c r="F31" s="825"/>
      <c r="G31" s="825"/>
      <c r="H31" s="825"/>
      <c r="I31" s="1292" t="s">
        <v>20</v>
      </c>
      <c r="J31" s="825">
        <f>J30</f>
        <v>537.6</v>
      </c>
      <c r="K31" s="1015"/>
      <c r="L31" s="1228">
        <v>608</v>
      </c>
      <c r="M31" s="1015">
        <f>J31*L31</f>
        <v>326860.79999999999</v>
      </c>
    </row>
    <row r="32" spans="1:17">
      <c r="A32" s="5">
        <v>6</v>
      </c>
      <c r="B32" s="6" t="s">
        <v>1191</v>
      </c>
      <c r="C32" s="7" t="s">
        <v>307</v>
      </c>
      <c r="D32" s="7"/>
      <c r="E32" s="912"/>
      <c r="F32" s="912"/>
      <c r="G32" s="912"/>
      <c r="H32" s="912"/>
      <c r="I32" s="912"/>
      <c r="J32" s="1301"/>
      <c r="K32" s="475"/>
      <c r="L32" s="475"/>
      <c r="M32" s="475"/>
      <c r="Q32" s="4">
        <f>1.5*2</f>
        <v>3</v>
      </c>
    </row>
    <row r="33" spans="1:17">
      <c r="A33" s="14"/>
      <c r="B33" s="14"/>
      <c r="C33" s="12"/>
      <c r="D33" s="12"/>
      <c r="E33" s="825" t="str">
        <f>E20</f>
        <v>no per m2</v>
      </c>
      <c r="F33" s="825"/>
      <c r="G33" s="825"/>
      <c r="H33" s="825"/>
      <c r="I33" s="825"/>
      <c r="J33" s="825"/>
      <c r="K33" s="1015"/>
      <c r="L33" s="1015"/>
      <c r="M33" s="1015"/>
    </row>
    <row r="34" spans="1:17">
      <c r="A34" s="14"/>
      <c r="B34" s="14"/>
      <c r="C34" s="12"/>
      <c r="D34" s="12">
        <v>1</v>
      </c>
      <c r="E34" s="825">
        <v>3</v>
      </c>
      <c r="F34" s="825"/>
      <c r="G34" s="825"/>
      <c r="H34" s="825">
        <f>H21</f>
        <v>448</v>
      </c>
      <c r="I34" s="825"/>
      <c r="J34" s="825">
        <f>H34/E34*1.2</f>
        <v>179.20000000000002</v>
      </c>
      <c r="K34" s="1015"/>
      <c r="L34" s="1015"/>
      <c r="M34" s="1015"/>
    </row>
    <row r="35" spans="1:17">
      <c r="A35" s="14"/>
      <c r="B35" s="14"/>
      <c r="C35" s="12"/>
      <c r="D35" s="12"/>
      <c r="E35" s="825"/>
      <c r="F35" s="825"/>
      <c r="G35" s="825"/>
      <c r="H35" s="825"/>
      <c r="I35" s="825" t="s">
        <v>20</v>
      </c>
      <c r="J35" s="825">
        <f>CEILING(J34,1)</f>
        <v>180</v>
      </c>
      <c r="K35" s="1015"/>
      <c r="L35" s="1015">
        <v>618</v>
      </c>
      <c r="M35" s="1015">
        <f>L35*J35</f>
        <v>111240</v>
      </c>
    </row>
    <row r="36" spans="1:17">
      <c r="K36" s="1016"/>
      <c r="L36" s="1016"/>
      <c r="M36" s="1016">
        <f>SUM(M12:M35)</f>
        <v>8144344.4199999999</v>
      </c>
      <c r="O36" s="484"/>
      <c r="P36" s="485"/>
      <c r="Q36" s="485"/>
    </row>
    <row r="37" spans="1:17">
      <c r="K37" s="1016"/>
      <c r="L37" s="1016"/>
      <c r="M37" s="1016"/>
      <c r="O37" s="484"/>
      <c r="P37" s="485"/>
      <c r="Q37" s="485"/>
    </row>
    <row r="38" spans="1:17">
      <c r="K38" s="1016"/>
      <c r="L38" s="1016"/>
      <c r="M38" s="1016"/>
      <c r="O38" s="484"/>
      <c r="P38" s="485"/>
      <c r="Q38" s="485"/>
    </row>
    <row r="39" spans="1:17">
      <c r="K39" s="1016"/>
      <c r="L39" s="1016"/>
      <c r="M39" s="1016"/>
      <c r="O39" s="484"/>
      <c r="P39" s="485"/>
      <c r="Q39" s="485"/>
    </row>
    <row r="40" spans="1:17">
      <c r="O40" s="484"/>
      <c r="P40" s="485"/>
      <c r="Q40" s="485"/>
    </row>
    <row r="41" spans="1:17">
      <c r="O41" s="484"/>
      <c r="P41" s="485"/>
      <c r="Q41" s="485"/>
    </row>
    <row r="42" spans="1:17" ht="15.75" customHeight="1">
      <c r="O42" s="484"/>
      <c r="P42" s="485"/>
      <c r="Q42" s="485"/>
    </row>
  </sheetData>
  <printOptions horizontalCentered="1"/>
  <pageMargins left="0.7" right="0.7" top="0.71" bottom="0.59" header="0.3" footer="0.16"/>
  <pageSetup paperSize="9" scale="81" orientation="landscape"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9">
    <tabColor rgb="FFFFFF00"/>
    <pageSetUpPr fitToPage="1"/>
  </sheetPr>
  <dimension ref="A1:R43"/>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3" width="18" style="119" customWidth="1"/>
    <col min="14" max="14" width="9.109375" style="4" customWidth="1"/>
    <col min="15" max="15" width="9.109375" style="463" customWidth="1"/>
    <col min="16" max="16" width="7.5546875" style="4" customWidth="1"/>
    <col min="17" max="17" width="9.109375" style="4" customWidth="1"/>
    <col min="18" max="19" width="9.109375" style="4"/>
    <col min="20" max="20" width="11.88671875" style="4" customWidth="1"/>
    <col min="21" max="16384" width="9.109375" style="4"/>
  </cols>
  <sheetData>
    <row r="1" spans="1:18" s="1282" customFormat="1" ht="19.2">
      <c r="A1" s="1281"/>
      <c r="C1" s="1283"/>
      <c r="D1" s="1284"/>
      <c r="E1" s="1285"/>
      <c r="F1" s="1285"/>
      <c r="G1" s="1283"/>
    </row>
    <row r="2" spans="1:18" s="1282" customFormat="1" ht="19.2">
      <c r="A2" s="1281"/>
      <c r="C2" s="1283"/>
      <c r="D2" s="1284"/>
      <c r="E2" s="1285"/>
      <c r="F2" s="1285"/>
      <c r="G2" s="1283"/>
    </row>
    <row r="3" spans="1:18" s="1282" customFormat="1" ht="19.2">
      <c r="A3" s="226" t="s">
        <v>0</v>
      </c>
      <c r="B3" s="1248" t="s">
        <v>2389</v>
      </c>
      <c r="C3" s="1283"/>
      <c r="D3" s="1284"/>
      <c r="E3" s="1285"/>
      <c r="F3" s="1285"/>
      <c r="G3" s="1283"/>
    </row>
    <row r="4" spans="1:18" s="1282" customFormat="1" ht="19.2">
      <c r="A4" s="119" t="s">
        <v>1</v>
      </c>
      <c r="B4" s="1248">
        <v>930100</v>
      </c>
      <c r="C4" s="1283"/>
      <c r="D4" s="1284"/>
      <c r="E4" s="1285"/>
      <c r="F4" s="1285"/>
      <c r="G4" s="1283"/>
    </row>
    <row r="5" spans="1:18" s="1282" customFormat="1" ht="19.2">
      <c r="A5" s="119" t="s">
        <v>2</v>
      </c>
      <c r="B5" s="1247" t="s">
        <v>331</v>
      </c>
      <c r="C5" s="1283"/>
      <c r="D5" s="1284"/>
      <c r="E5" s="1285"/>
      <c r="J5" s="1286" t="s">
        <v>1561</v>
      </c>
      <c r="K5" s="1283" t="s">
        <v>1562</v>
      </c>
      <c r="L5" s="1283"/>
      <c r="M5" s="1283"/>
    </row>
    <row r="6" spans="1:18" s="1282" customFormat="1" ht="19.2">
      <c r="A6" s="119" t="s">
        <v>3</v>
      </c>
      <c r="B6" s="1247" t="s">
        <v>1337</v>
      </c>
      <c r="C6" s="1283"/>
      <c r="D6" s="1284"/>
      <c r="E6" s="1285"/>
      <c r="J6" s="1286" t="s">
        <v>171</v>
      </c>
      <c r="K6" s="1283" t="s">
        <v>1563</v>
      </c>
      <c r="L6" s="1283"/>
      <c r="M6" s="1283"/>
    </row>
    <row r="7" spans="1:18" s="1282" customFormat="1" ht="19.2">
      <c r="A7" s="119" t="s">
        <v>4</v>
      </c>
      <c r="B7" s="1247"/>
      <c r="C7" s="1283"/>
      <c r="D7" s="1284"/>
      <c r="E7" s="1285"/>
      <c r="J7" s="1286" t="s">
        <v>106</v>
      </c>
      <c r="K7" s="1287">
        <f ca="1">TODAY()</f>
        <v>44942</v>
      </c>
      <c r="L7" s="1287"/>
      <c r="M7" s="1287"/>
    </row>
    <row r="8" spans="1:18">
      <c r="A8" s="119"/>
      <c r="B8" s="55"/>
      <c r="C8" s="1247"/>
      <c r="D8" s="1247"/>
      <c r="E8" s="1247"/>
      <c r="F8" s="1247"/>
    </row>
    <row r="10" spans="1:18">
      <c r="A10" s="2" t="s">
        <v>7</v>
      </c>
      <c r="B10" s="2" t="s">
        <v>8</v>
      </c>
      <c r="C10" s="2" t="s">
        <v>9</v>
      </c>
      <c r="D10" s="2" t="s">
        <v>10</v>
      </c>
      <c r="E10" s="824" t="s">
        <v>11</v>
      </c>
      <c r="F10" s="824" t="s">
        <v>12</v>
      </c>
      <c r="G10" s="824" t="s">
        <v>13</v>
      </c>
      <c r="H10" s="824" t="s">
        <v>15</v>
      </c>
      <c r="I10" s="824" t="s">
        <v>357</v>
      </c>
      <c r="J10" s="824" t="s">
        <v>16</v>
      </c>
      <c r="K10" s="1288" t="s">
        <v>17</v>
      </c>
      <c r="L10" s="1004" t="s">
        <v>1589</v>
      </c>
      <c r="M10" s="1004" t="s">
        <v>1590</v>
      </c>
    </row>
    <row r="11" spans="1:18" s="1009" customFormat="1">
      <c r="A11" s="1005">
        <v>1</v>
      </c>
      <c r="B11" s="25" t="s">
        <v>18</v>
      </c>
      <c r="C11" s="776" t="s">
        <v>19</v>
      </c>
      <c r="D11" s="776"/>
      <c r="E11" s="1006"/>
      <c r="F11" s="1006"/>
      <c r="G11" s="1006"/>
      <c r="H11" s="1006"/>
      <c r="I11" s="1006"/>
      <c r="J11" s="1289"/>
      <c r="K11" s="1290"/>
      <c r="L11" s="1008"/>
      <c r="M11" s="1008"/>
    </row>
    <row r="12" spans="1:18">
      <c r="A12" s="10"/>
      <c r="B12" s="345" t="s">
        <v>808</v>
      </c>
      <c r="C12" s="12"/>
      <c r="D12" s="45">
        <v>1</v>
      </c>
      <c r="E12" s="945"/>
      <c r="F12" s="945"/>
      <c r="G12" s="825"/>
      <c r="H12" s="825">
        <v>125</v>
      </c>
      <c r="J12" s="825">
        <f>ROUND(D12*H12,2)</f>
        <v>125</v>
      </c>
      <c r="K12" s="1291"/>
      <c r="L12" s="24"/>
      <c r="M12" s="24"/>
    </row>
    <row r="13" spans="1:18">
      <c r="A13" s="10"/>
      <c r="B13" s="14"/>
      <c r="C13" s="12"/>
      <c r="D13" s="12"/>
      <c r="E13" s="825"/>
      <c r="F13" s="825"/>
      <c r="G13" s="825"/>
      <c r="H13" s="825"/>
      <c r="I13" s="1292" t="s">
        <v>20</v>
      </c>
      <c r="J13" s="1292">
        <f>SUM(J12:J12)</f>
        <v>125</v>
      </c>
      <c r="K13" s="1291"/>
      <c r="L13" s="24">
        <v>40.5</v>
      </c>
      <c r="M13" s="24">
        <f>J13*L13</f>
        <v>5062.5</v>
      </c>
    </row>
    <row r="14" spans="1:18" ht="45" customHeight="1">
      <c r="A14" s="7">
        <f>A11+1</f>
        <v>2</v>
      </c>
      <c r="B14" s="443" t="s">
        <v>782</v>
      </c>
      <c r="C14" s="7" t="s">
        <v>21</v>
      </c>
      <c r="D14" s="7"/>
      <c r="E14" s="912"/>
      <c r="F14" s="912"/>
      <c r="G14" s="912"/>
      <c r="H14" s="912"/>
      <c r="I14" s="912"/>
      <c r="J14" s="912"/>
      <c r="K14" s="1293"/>
      <c r="L14" s="1294"/>
      <c r="M14" s="24">
        <f t="shared" ref="M14:M36" si="0">J14*L14</f>
        <v>0</v>
      </c>
      <c r="R14" s="4">
        <f>70*21</f>
        <v>1470</v>
      </c>
    </row>
    <row r="15" spans="1:18" ht="33.6">
      <c r="A15" s="10">
        <v>2.1</v>
      </c>
      <c r="B15" s="343" t="s">
        <v>1338</v>
      </c>
      <c r="C15" s="12"/>
      <c r="D15" s="12">
        <v>1</v>
      </c>
      <c r="E15" s="825">
        <v>10</v>
      </c>
      <c r="F15" s="825"/>
      <c r="G15" s="825"/>
      <c r="H15" s="825">
        <v>100</v>
      </c>
      <c r="I15" s="825">
        <f>E15*H15</f>
        <v>1000</v>
      </c>
      <c r="J15" s="825">
        <f>I15</f>
        <v>1000</v>
      </c>
      <c r="K15" s="1291"/>
      <c r="L15" s="24"/>
      <c r="M15" s="24">
        <f t="shared" si="0"/>
        <v>0</v>
      </c>
      <c r="N15" s="4">
        <v>1075.5</v>
      </c>
    </row>
    <row r="16" spans="1:18">
      <c r="A16" s="14"/>
      <c r="B16" s="14"/>
      <c r="C16" s="12"/>
      <c r="D16" s="12"/>
      <c r="E16" s="825"/>
      <c r="F16" s="825"/>
      <c r="G16" s="825"/>
      <c r="H16" s="825"/>
      <c r="I16" s="1292" t="s">
        <v>20</v>
      </c>
      <c r="J16" s="1292">
        <f>0.7*I15</f>
        <v>700</v>
      </c>
      <c r="K16" s="1291" t="s">
        <v>1339</v>
      </c>
      <c r="L16" s="24">
        <v>325.17</v>
      </c>
      <c r="M16" s="24">
        <f t="shared" si="0"/>
        <v>227619</v>
      </c>
    </row>
    <row r="17" spans="1:17">
      <c r="A17" s="10">
        <v>2.2000000000000002</v>
      </c>
      <c r="B17" s="14" t="s">
        <v>1340</v>
      </c>
      <c r="C17" s="12"/>
      <c r="D17" s="12">
        <v>1</v>
      </c>
      <c r="E17" s="825"/>
      <c r="F17" s="825"/>
      <c r="G17" s="825"/>
      <c r="H17" s="825"/>
      <c r="I17" s="825"/>
      <c r="J17" s="825">
        <f>I15*0.3</f>
        <v>300</v>
      </c>
      <c r="K17" s="1291"/>
      <c r="L17" s="24"/>
      <c r="M17" s="24">
        <f t="shared" si="0"/>
        <v>0</v>
      </c>
    </row>
    <row r="18" spans="1:17">
      <c r="A18" s="10"/>
      <c r="B18" s="345"/>
      <c r="C18" s="12"/>
      <c r="D18" s="45"/>
      <c r="E18" s="14"/>
      <c r="F18" s="14"/>
      <c r="G18" s="14"/>
      <c r="H18" s="14"/>
      <c r="I18" s="1292" t="s">
        <v>20</v>
      </c>
      <c r="J18" s="1292">
        <f>SUM(J17)</f>
        <v>300</v>
      </c>
      <c r="K18" s="1295" t="s">
        <v>1341</v>
      </c>
      <c r="L18" s="1296">
        <v>1342.69</v>
      </c>
      <c r="M18" s="24">
        <f t="shared" si="0"/>
        <v>402807</v>
      </c>
    </row>
    <row r="19" spans="1:17" s="1009" customFormat="1" ht="33.6">
      <c r="A19" s="1005">
        <v>3</v>
      </c>
      <c r="B19" s="1013" t="s">
        <v>1591</v>
      </c>
      <c r="C19" s="776" t="s">
        <v>307</v>
      </c>
      <c r="D19" s="776"/>
      <c r="E19" s="1006"/>
      <c r="F19" s="1006"/>
      <c r="G19" s="1006"/>
      <c r="H19" s="1006"/>
      <c r="I19" s="1006"/>
      <c r="J19" s="1289"/>
      <c r="K19" s="1290"/>
      <c r="L19" s="1008"/>
      <c r="M19" s="24">
        <f t="shared" si="0"/>
        <v>0</v>
      </c>
    </row>
    <row r="20" spans="1:17" ht="17.399999999999999">
      <c r="A20" s="10"/>
      <c r="B20" s="14"/>
      <c r="C20" s="12"/>
      <c r="D20" s="12"/>
      <c r="E20" s="825" t="s">
        <v>1342</v>
      </c>
      <c r="F20" s="825"/>
      <c r="G20" s="825"/>
      <c r="H20" s="825"/>
      <c r="I20" s="825"/>
      <c r="J20" s="1297"/>
      <c r="K20" s="1298"/>
      <c r="L20" s="477"/>
      <c r="M20" s="24">
        <f t="shared" si="0"/>
        <v>0</v>
      </c>
    </row>
    <row r="21" spans="1:17">
      <c r="A21" s="10"/>
      <c r="B21" s="345" t="s">
        <v>809</v>
      </c>
      <c r="C21" s="12"/>
      <c r="D21" s="12">
        <v>1</v>
      </c>
      <c r="E21" s="825">
        <f>1.5*1.5</f>
        <v>2.25</v>
      </c>
      <c r="F21" s="825"/>
      <c r="G21" s="825"/>
      <c r="H21" s="825">
        <v>141</v>
      </c>
      <c r="I21" s="825"/>
      <c r="J21" s="1299">
        <f>H21/E21</f>
        <v>62.666666666666664</v>
      </c>
      <c r="K21" s="1298"/>
      <c r="L21" s="477"/>
      <c r="M21" s="24">
        <f t="shared" si="0"/>
        <v>0</v>
      </c>
    </row>
    <row r="22" spans="1:17">
      <c r="A22" s="10"/>
      <c r="B22" s="345" t="s">
        <v>2432</v>
      </c>
      <c r="C22" s="12"/>
      <c r="D22" s="12">
        <v>1</v>
      </c>
      <c r="E22" s="825">
        <f>E21</f>
        <v>2.25</v>
      </c>
      <c r="F22" s="825"/>
      <c r="G22" s="825"/>
      <c r="H22" s="825">
        <f>0.2*H21</f>
        <v>28.200000000000003</v>
      </c>
      <c r="I22" s="825"/>
      <c r="J22" s="1299">
        <f>H22/E22</f>
        <v>12.533333333333335</v>
      </c>
      <c r="K22" s="1298"/>
      <c r="L22" s="477"/>
      <c r="M22" s="24"/>
    </row>
    <row r="23" spans="1:17">
      <c r="A23" s="10"/>
      <c r="B23" s="14"/>
      <c r="C23" s="12"/>
      <c r="D23" s="12"/>
      <c r="E23" s="825"/>
      <c r="F23" s="825"/>
      <c r="G23" s="825"/>
      <c r="H23" s="825"/>
      <c r="I23" s="1292" t="s">
        <v>20</v>
      </c>
      <c r="J23" s="1292">
        <f>ROUNDUP(SUM(J21:J22),0)</f>
        <v>76</v>
      </c>
      <c r="K23" s="1298"/>
      <c r="L23" s="1300">
        <v>5469.5</v>
      </c>
      <c r="M23" s="24">
        <f t="shared" si="0"/>
        <v>415682</v>
      </c>
    </row>
    <row r="24" spans="1:17" s="1009" customFormat="1">
      <c r="A24" s="1005">
        <v>4</v>
      </c>
      <c r="B24" s="25" t="s">
        <v>2641</v>
      </c>
      <c r="C24" s="776" t="s">
        <v>19</v>
      </c>
      <c r="D24" s="776"/>
      <c r="E24" s="1006"/>
      <c r="F24" s="1006"/>
      <c r="G24" s="1006"/>
      <c r="H24" s="1006"/>
      <c r="I24" s="1006"/>
      <c r="J24" s="1289"/>
      <c r="K24" s="1290"/>
      <c r="L24" s="1008"/>
      <c r="M24" s="24">
        <f t="shared" si="0"/>
        <v>0</v>
      </c>
    </row>
    <row r="25" spans="1:17">
      <c r="A25" s="10"/>
      <c r="B25" s="14" t="s">
        <v>808</v>
      </c>
      <c r="C25" s="12"/>
      <c r="D25" s="12"/>
      <c r="E25" s="825"/>
      <c r="F25" s="825"/>
      <c r="G25" s="825"/>
      <c r="H25" s="825"/>
      <c r="I25" s="825"/>
      <c r="J25" s="825"/>
      <c r="K25" s="1291"/>
      <c r="L25" s="24"/>
      <c r="M25" s="24">
        <f t="shared" si="0"/>
        <v>0</v>
      </c>
    </row>
    <row r="26" spans="1:17">
      <c r="A26" s="10"/>
      <c r="B26" s="345" t="s">
        <v>809</v>
      </c>
      <c r="C26" s="12"/>
      <c r="D26" s="12">
        <f>D21</f>
        <v>1</v>
      </c>
      <c r="E26" s="825"/>
      <c r="F26" s="825">
        <v>0.1</v>
      </c>
      <c r="G26" s="825"/>
      <c r="H26" s="825">
        <f>H21</f>
        <v>141</v>
      </c>
      <c r="I26" s="825"/>
      <c r="J26" s="825">
        <f>H26</f>
        <v>141</v>
      </c>
      <c r="K26" s="1298"/>
      <c r="L26" s="477"/>
      <c r="M26" s="24">
        <f t="shared" si="0"/>
        <v>0</v>
      </c>
      <c r="Q26" s="4">
        <f>5.83*2</f>
        <v>11.66</v>
      </c>
    </row>
    <row r="27" spans="1:17">
      <c r="A27" s="10"/>
      <c r="B27" s="345" t="s">
        <v>2432</v>
      </c>
      <c r="C27" s="12"/>
      <c r="D27" s="12">
        <v>1</v>
      </c>
      <c r="E27" s="825"/>
      <c r="F27" s="825">
        <v>0.1</v>
      </c>
      <c r="G27" s="825"/>
      <c r="H27" s="825">
        <f>0.2*H26</f>
        <v>28.200000000000003</v>
      </c>
      <c r="I27" s="825"/>
      <c r="J27" s="825">
        <f>H27</f>
        <v>28.200000000000003</v>
      </c>
      <c r="K27" s="1298"/>
      <c r="L27" s="477"/>
      <c r="M27" s="24"/>
    </row>
    <row r="28" spans="1:17">
      <c r="A28" s="10"/>
      <c r="B28" s="137"/>
      <c r="C28" s="12"/>
      <c r="D28" s="12"/>
      <c r="E28" s="825"/>
      <c r="F28" s="825"/>
      <c r="G28" s="825"/>
      <c r="H28" s="825"/>
      <c r="I28" s="1292" t="s">
        <v>20</v>
      </c>
      <c r="J28" s="1292">
        <f>SUM(J26:J27)</f>
        <v>169.2</v>
      </c>
      <c r="K28" s="1291"/>
      <c r="L28" s="24">
        <v>5557.2</v>
      </c>
      <c r="M28" s="24">
        <f t="shared" si="0"/>
        <v>940278.23999999987</v>
      </c>
      <c r="N28" s="4">
        <v>11.1</v>
      </c>
    </row>
    <row r="29" spans="1:17">
      <c r="A29" s="5"/>
      <c r="B29" s="6"/>
      <c r="C29" s="7"/>
      <c r="D29" s="7"/>
      <c r="E29" s="912"/>
      <c r="F29" s="912"/>
      <c r="G29" s="912"/>
      <c r="H29" s="912"/>
      <c r="I29" s="912"/>
      <c r="J29" s="1301"/>
      <c r="K29" s="1302"/>
      <c r="L29" s="475"/>
      <c r="M29" s="24">
        <f t="shared" si="0"/>
        <v>0</v>
      </c>
    </row>
    <row r="30" spans="1:17" s="1009" customFormat="1">
      <c r="A30" s="1005">
        <v>5</v>
      </c>
      <c r="B30" s="25" t="s">
        <v>1344</v>
      </c>
      <c r="C30" s="776" t="s">
        <v>1345</v>
      </c>
      <c r="D30" s="776"/>
      <c r="E30" s="1006"/>
      <c r="F30" s="1006"/>
      <c r="G30" s="1006"/>
      <c r="H30" s="1006"/>
      <c r="I30" s="1006"/>
      <c r="J30" s="1289"/>
      <c r="K30" s="1290"/>
      <c r="L30" s="1008"/>
      <c r="M30" s="24">
        <f t="shared" si="0"/>
        <v>0</v>
      </c>
    </row>
    <row r="31" spans="1:17">
      <c r="A31" s="14"/>
      <c r="B31" s="14"/>
      <c r="C31" s="12"/>
      <c r="D31" s="12">
        <v>1</v>
      </c>
      <c r="E31" s="825"/>
      <c r="F31" s="825"/>
      <c r="G31" s="825"/>
      <c r="H31" s="825">
        <f>H26</f>
        <v>141</v>
      </c>
      <c r="I31" s="825"/>
      <c r="J31" s="825">
        <f>H31*D31*1.2</f>
        <v>169.2</v>
      </c>
      <c r="K31" s="1303"/>
      <c r="L31" s="1015"/>
      <c r="M31" s="24">
        <f t="shared" si="0"/>
        <v>0</v>
      </c>
    </row>
    <row r="32" spans="1:17">
      <c r="A32" s="14"/>
      <c r="B32" s="14"/>
      <c r="C32" s="12"/>
      <c r="D32" s="12"/>
      <c r="E32" s="825"/>
      <c r="F32" s="825"/>
      <c r="G32" s="825"/>
      <c r="H32" s="825"/>
      <c r="I32" s="1292" t="s">
        <v>20</v>
      </c>
      <c r="J32" s="825">
        <f>J31</f>
        <v>169.2</v>
      </c>
      <c r="K32" s="1303"/>
      <c r="L32" s="1015">
        <v>608</v>
      </c>
      <c r="M32" s="24">
        <f t="shared" si="0"/>
        <v>102873.59999999999</v>
      </c>
    </row>
    <row r="33" spans="1:17">
      <c r="A33" s="5">
        <v>6</v>
      </c>
      <c r="B33" s="6" t="s">
        <v>1191</v>
      </c>
      <c r="C33" s="7" t="s">
        <v>307</v>
      </c>
      <c r="D33" s="7"/>
      <c r="E33" s="912"/>
      <c r="F33" s="912"/>
      <c r="G33" s="912"/>
      <c r="H33" s="912"/>
      <c r="I33" s="912"/>
      <c r="J33" s="1301"/>
      <c r="K33" s="1302"/>
      <c r="L33" s="475"/>
      <c r="M33" s="24">
        <f t="shared" si="0"/>
        <v>0</v>
      </c>
      <c r="Q33" s="4">
        <f>1.5*2</f>
        <v>3</v>
      </c>
    </row>
    <row r="34" spans="1:17">
      <c r="A34" s="14"/>
      <c r="B34" s="14"/>
      <c r="C34" s="12"/>
      <c r="D34" s="12"/>
      <c r="E34" s="825" t="str">
        <f>E20</f>
        <v>no per m2</v>
      </c>
      <c r="F34" s="825"/>
      <c r="G34" s="825"/>
      <c r="H34" s="825"/>
      <c r="I34" s="825"/>
      <c r="J34" s="825"/>
      <c r="K34" s="1303"/>
      <c r="L34" s="1015"/>
      <c r="M34" s="24">
        <f t="shared" si="0"/>
        <v>0</v>
      </c>
    </row>
    <row r="35" spans="1:17">
      <c r="A35" s="14"/>
      <c r="B35" s="14"/>
      <c r="C35" s="12"/>
      <c r="D35" s="12">
        <v>1</v>
      </c>
      <c r="E35" s="825">
        <v>3</v>
      </c>
      <c r="F35" s="825"/>
      <c r="G35" s="825"/>
      <c r="H35" s="825">
        <f>H21</f>
        <v>141</v>
      </c>
      <c r="I35" s="825"/>
      <c r="J35" s="825">
        <f>H35/E35*1.2</f>
        <v>56.4</v>
      </c>
      <c r="K35" s="1303"/>
      <c r="L35" s="1015"/>
      <c r="M35" s="24">
        <f t="shared" si="0"/>
        <v>0</v>
      </c>
    </row>
    <row r="36" spans="1:17">
      <c r="A36" s="14"/>
      <c r="B36" s="14"/>
      <c r="C36" s="12"/>
      <c r="D36" s="12"/>
      <c r="E36" s="825"/>
      <c r="F36" s="825"/>
      <c r="G36" s="825"/>
      <c r="H36" s="825"/>
      <c r="I36" s="825" t="s">
        <v>20</v>
      </c>
      <c r="J36" s="825">
        <f>CEILING(J35,1)</f>
        <v>57</v>
      </c>
      <c r="K36" s="1303"/>
      <c r="L36" s="1015">
        <v>618</v>
      </c>
      <c r="M36" s="24">
        <f t="shared" si="0"/>
        <v>35226</v>
      </c>
    </row>
    <row r="37" spans="1:17">
      <c r="K37" s="1016"/>
      <c r="L37" s="1015"/>
      <c r="M37" s="1015">
        <f>SUM(M13:M36)</f>
        <v>2129548.34</v>
      </c>
      <c r="O37" s="484"/>
      <c r="P37" s="485"/>
      <c r="Q37" s="485"/>
    </row>
    <row r="38" spans="1:17">
      <c r="K38" s="1016"/>
      <c r="L38" s="1016"/>
      <c r="M38" s="1016"/>
      <c r="O38" s="484"/>
      <c r="P38" s="485"/>
      <c r="Q38" s="485"/>
    </row>
    <row r="39" spans="1:17">
      <c r="K39" s="1016"/>
      <c r="L39" s="1016"/>
      <c r="M39" s="1016"/>
      <c r="O39" s="484"/>
      <c r="P39" s="485"/>
      <c r="Q39" s="485"/>
    </row>
    <row r="40" spans="1:17">
      <c r="K40" s="1016"/>
      <c r="L40" s="1016"/>
      <c r="M40" s="1016"/>
      <c r="O40" s="484"/>
      <c r="P40" s="485"/>
      <c r="Q40" s="485"/>
    </row>
    <row r="41" spans="1:17">
      <c r="O41" s="484"/>
      <c r="P41" s="485"/>
      <c r="Q41" s="485"/>
    </row>
    <row r="42" spans="1:17">
      <c r="O42" s="484"/>
      <c r="P42" s="485"/>
      <c r="Q42" s="485"/>
    </row>
    <row r="43" spans="1:17" ht="15.75" customHeight="1">
      <c r="O43" s="484"/>
      <c r="P43" s="485"/>
      <c r="Q43" s="485"/>
    </row>
  </sheetData>
  <printOptions horizontalCentered="1"/>
  <pageMargins left="0.7" right="0.7" top="0.71" bottom="0.59" header="0.3" footer="0.16"/>
  <pageSetup paperSize="9" scale="76" orientation="landscape"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1282" customFormat="1" ht="19.2">
      <c r="A1" s="1281"/>
      <c r="C1" s="1283"/>
      <c r="D1" s="1284"/>
      <c r="E1" s="1285"/>
      <c r="F1" s="1285"/>
      <c r="G1" s="1283"/>
    </row>
    <row r="2" spans="1:16" s="1282" customFormat="1" ht="19.2">
      <c r="A2" s="1281"/>
      <c r="C2" s="1283"/>
      <c r="D2" s="1284"/>
      <c r="E2" s="1285"/>
      <c r="F2" s="1285"/>
      <c r="G2" s="1283"/>
    </row>
    <row r="3" spans="1:16" s="1282" customFormat="1" ht="19.2">
      <c r="A3" s="226" t="s">
        <v>0</v>
      </c>
      <c r="B3" s="1248" t="s">
        <v>2389</v>
      </c>
      <c r="C3" s="1283"/>
      <c r="D3" s="1284"/>
      <c r="E3" s="1285"/>
      <c r="F3" s="1285"/>
      <c r="G3" s="1283"/>
    </row>
    <row r="4" spans="1:16" s="1282" customFormat="1" ht="19.2">
      <c r="A4" s="119" t="s">
        <v>1</v>
      </c>
      <c r="B4" s="1248">
        <v>930100</v>
      </c>
      <c r="C4" s="1283"/>
      <c r="D4" s="1284"/>
      <c r="E4" s="1285"/>
      <c r="F4" s="1285"/>
      <c r="G4" s="1283"/>
    </row>
    <row r="5" spans="1:16" s="1282" customFormat="1" ht="19.2">
      <c r="A5" s="119" t="s">
        <v>2</v>
      </c>
      <c r="B5" s="1247" t="s">
        <v>331</v>
      </c>
      <c r="C5" s="1283"/>
      <c r="D5" s="1284"/>
      <c r="E5" s="1285"/>
      <c r="J5" s="1286" t="s">
        <v>1561</v>
      </c>
      <c r="K5" s="1283" t="s">
        <v>1562</v>
      </c>
    </row>
    <row r="6" spans="1:16" s="1282" customFormat="1" ht="19.2">
      <c r="A6" s="119" t="s">
        <v>3</v>
      </c>
      <c r="B6" s="1247" t="s">
        <v>2930</v>
      </c>
      <c r="C6" s="1283"/>
      <c r="D6" s="1284"/>
      <c r="E6" s="1285"/>
      <c r="J6" s="1286" t="s">
        <v>171</v>
      </c>
      <c r="K6" s="1283" t="s">
        <v>1563</v>
      </c>
    </row>
    <row r="7" spans="1:16" s="1282" customFormat="1" ht="19.2">
      <c r="A7" s="119" t="s">
        <v>4</v>
      </c>
      <c r="B7" s="1247"/>
      <c r="C7" s="1283"/>
      <c r="D7" s="1284"/>
      <c r="E7" s="1285"/>
      <c r="J7" s="1286" t="s">
        <v>106</v>
      </c>
      <c r="K7" s="1287">
        <f ca="1">TODAY()</f>
        <v>44942</v>
      </c>
    </row>
    <row r="8" spans="1:16">
      <c r="A8" s="119"/>
      <c r="B8" s="55"/>
      <c r="C8" s="1247"/>
      <c r="D8" s="1247"/>
      <c r="E8" s="1247"/>
      <c r="F8" s="1247"/>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771"/>
      <c r="K11" s="1008"/>
    </row>
    <row r="12" spans="1:16">
      <c r="A12" s="10"/>
      <c r="B12" s="345" t="s">
        <v>1516</v>
      </c>
      <c r="C12" s="12"/>
      <c r="D12" s="45">
        <v>1</v>
      </c>
      <c r="E12" s="945"/>
      <c r="F12" s="945"/>
      <c r="G12" s="825"/>
      <c r="H12" s="825">
        <v>140</v>
      </c>
      <c r="J12" s="825">
        <f>ROUND(D12*H12,2)</f>
        <v>140</v>
      </c>
      <c r="K12" s="24"/>
    </row>
    <row r="13" spans="1:16">
      <c r="A13" s="10"/>
      <c r="B13" s="14"/>
      <c r="C13" s="12"/>
      <c r="D13" s="12"/>
      <c r="E13" s="825"/>
      <c r="F13" s="825"/>
      <c r="G13" s="825"/>
      <c r="H13" s="825"/>
      <c r="I13" s="1772" t="s">
        <v>20</v>
      </c>
      <c r="J13" s="1772">
        <f>SUM(J12:J12)</f>
        <v>140</v>
      </c>
      <c r="K13" s="24"/>
    </row>
    <row r="14" spans="1:16" ht="67.2">
      <c r="A14" s="7">
        <f>A11+1</f>
        <v>2</v>
      </c>
      <c r="B14" s="443" t="s">
        <v>782</v>
      </c>
      <c r="C14" s="7" t="s">
        <v>21</v>
      </c>
      <c r="D14" s="7"/>
      <c r="E14" s="912"/>
      <c r="F14" s="912"/>
      <c r="G14" s="912"/>
      <c r="H14" s="912"/>
      <c r="I14" s="912"/>
      <c r="J14" s="912"/>
      <c r="K14" s="1773"/>
      <c r="P14" s="4">
        <f>70*21</f>
        <v>1470</v>
      </c>
    </row>
    <row r="15" spans="1:16">
      <c r="A15" s="10">
        <v>2.2000000000000002</v>
      </c>
      <c r="B15" s="14" t="s">
        <v>1340</v>
      </c>
      <c r="C15" s="12"/>
      <c r="D15" s="12">
        <v>1</v>
      </c>
      <c r="E15" s="825"/>
      <c r="F15" s="825">
        <f>(11.5+22.2)/2</f>
        <v>16.850000000000001</v>
      </c>
      <c r="G15" s="825"/>
      <c r="H15" s="825">
        <v>72</v>
      </c>
      <c r="I15" s="825"/>
      <c r="J15" s="825">
        <f>H15*F15</f>
        <v>1213.2</v>
      </c>
      <c r="K15" s="24"/>
    </row>
    <row r="16" spans="1:16">
      <c r="A16" s="10"/>
      <c r="B16" s="345"/>
      <c r="C16" s="12"/>
      <c r="D16" s="45"/>
      <c r="E16" s="14"/>
      <c r="F16" s="14"/>
      <c r="G16" s="14"/>
      <c r="H16" s="14"/>
      <c r="I16" s="1772" t="s">
        <v>20</v>
      </c>
      <c r="J16" s="1772">
        <f>SUM(J15)</f>
        <v>1213.2</v>
      </c>
      <c r="K16" s="1774"/>
    </row>
    <row r="17" spans="1:15" s="1009" customFormat="1" ht="33.6">
      <c r="A17" s="1005">
        <v>3</v>
      </c>
      <c r="B17" s="1013" t="s">
        <v>2431</v>
      </c>
      <c r="C17" s="776" t="s">
        <v>307</v>
      </c>
      <c r="D17" s="776"/>
      <c r="E17" s="1006"/>
      <c r="F17" s="1006"/>
      <c r="G17" s="1006"/>
      <c r="H17" s="1006"/>
      <c r="I17" s="1006"/>
      <c r="J17" s="1771"/>
      <c r="K17" s="1008"/>
    </row>
    <row r="18" spans="1:15" ht="17.399999999999999">
      <c r="A18" s="10"/>
      <c r="B18" s="14"/>
      <c r="C18" s="12"/>
      <c r="D18" s="12"/>
      <c r="E18" s="825" t="s">
        <v>1342</v>
      </c>
      <c r="F18" s="825"/>
      <c r="G18" s="825"/>
      <c r="H18" s="825"/>
      <c r="I18" s="825"/>
      <c r="J18" s="1775"/>
      <c r="K18" s="477"/>
    </row>
    <row r="19" spans="1:15">
      <c r="A19" s="10"/>
      <c r="B19" s="345" t="s">
        <v>2562</v>
      </c>
      <c r="C19" s="12"/>
      <c r="D19" s="12">
        <v>1</v>
      </c>
      <c r="E19" s="825">
        <f>1.5*1.5</f>
        <v>2.25</v>
      </c>
      <c r="F19" s="825"/>
      <c r="G19" s="825"/>
      <c r="H19" s="825">
        <f>((12+(1.1*22+12))/2)*22</f>
        <v>530.20000000000005</v>
      </c>
      <c r="I19" s="825"/>
      <c r="J19" s="1776">
        <f>H19/E19</f>
        <v>235.64444444444447</v>
      </c>
      <c r="K19" s="477"/>
    </row>
    <row r="20" spans="1:15">
      <c r="A20" s="10"/>
      <c r="B20" s="14"/>
      <c r="C20" s="12"/>
      <c r="D20" s="12"/>
      <c r="E20" s="825"/>
      <c r="F20" s="825"/>
      <c r="G20" s="825"/>
      <c r="H20" s="825"/>
      <c r="I20" s="1772" t="s">
        <v>20</v>
      </c>
      <c r="J20" s="1772">
        <f>ROUNDUP(SUM(J19:J19),0)</f>
        <v>236</v>
      </c>
      <c r="K20" s="477"/>
    </row>
    <row r="21" spans="1:15" s="1009" customFormat="1">
      <c r="A21" s="1005">
        <v>4</v>
      </c>
      <c r="B21" s="25" t="s">
        <v>1343</v>
      </c>
      <c r="C21" s="776" t="s">
        <v>19</v>
      </c>
      <c r="D21" s="776"/>
      <c r="E21" s="1006"/>
      <c r="F21" s="1006"/>
      <c r="G21" s="1006"/>
      <c r="H21" s="1006"/>
      <c r="I21" s="1006"/>
      <c r="J21" s="1771"/>
      <c r="K21" s="1008"/>
    </row>
    <row r="22" spans="1:15">
      <c r="A22" s="10"/>
      <c r="B22" s="14" t="s">
        <v>808</v>
      </c>
      <c r="C22" s="12"/>
      <c r="D22" s="12"/>
      <c r="E22" s="825"/>
      <c r="F22" s="825"/>
      <c r="G22" s="825"/>
      <c r="H22" s="825"/>
      <c r="I22" s="825"/>
      <c r="J22" s="825"/>
      <c r="K22" s="24"/>
    </row>
    <row r="23" spans="1:15">
      <c r="A23" s="10"/>
      <c r="B23" s="345" t="s">
        <v>2561</v>
      </c>
      <c r="C23" s="12"/>
      <c r="D23" s="12">
        <f>D19</f>
        <v>1</v>
      </c>
      <c r="E23" s="825"/>
      <c r="F23" s="825"/>
      <c r="G23" s="825"/>
      <c r="H23" s="825">
        <f>H19</f>
        <v>530.20000000000005</v>
      </c>
      <c r="I23" s="825"/>
      <c r="J23" s="825">
        <f>H23</f>
        <v>530.20000000000005</v>
      </c>
      <c r="K23" s="477"/>
      <c r="O23" s="4">
        <f>5.83*2</f>
        <v>11.66</v>
      </c>
    </row>
    <row r="24" spans="1:15">
      <c r="A24" s="10"/>
      <c r="B24" s="137"/>
      <c r="C24" s="12"/>
      <c r="D24" s="12"/>
      <c r="E24" s="825"/>
      <c r="F24" s="825"/>
      <c r="G24" s="825"/>
      <c r="H24" s="825"/>
      <c r="I24" s="1772" t="s">
        <v>20</v>
      </c>
      <c r="J24" s="1772">
        <f>SUM(J23:J23)</f>
        <v>530.20000000000005</v>
      </c>
      <c r="K24" s="24"/>
      <c r="L24" s="4">
        <v>11.1</v>
      </c>
    </row>
    <row r="25" spans="1:15">
      <c r="A25" s="5"/>
      <c r="B25" s="6"/>
      <c r="C25" s="7"/>
      <c r="D25" s="7"/>
      <c r="E25" s="912"/>
      <c r="F25" s="912"/>
      <c r="G25" s="912"/>
      <c r="H25" s="912"/>
      <c r="I25" s="912"/>
      <c r="J25" s="1777"/>
      <c r="K25" s="475"/>
    </row>
    <row r="26" spans="1:15" s="1009" customFormat="1">
      <c r="A26" s="1005">
        <v>5</v>
      </c>
      <c r="B26" s="25" t="s">
        <v>1344</v>
      </c>
      <c r="C26" s="776" t="s">
        <v>1345</v>
      </c>
      <c r="D26" s="776"/>
      <c r="E26" s="1006"/>
      <c r="F26" s="1006"/>
      <c r="G26" s="1006"/>
      <c r="H26" s="1006"/>
      <c r="I26" s="1006"/>
      <c r="J26" s="1771"/>
      <c r="K26" s="1008"/>
    </row>
    <row r="27" spans="1:15">
      <c r="A27" s="14"/>
      <c r="B27" s="14"/>
      <c r="C27" s="12"/>
      <c r="D27" s="12">
        <v>1</v>
      </c>
      <c r="E27" s="825"/>
      <c r="F27" s="825"/>
      <c r="G27" s="825"/>
      <c r="H27" s="825">
        <f>H23</f>
        <v>530.20000000000005</v>
      </c>
      <c r="I27" s="825"/>
      <c r="J27" s="825">
        <f>H27*D27</f>
        <v>530.20000000000005</v>
      </c>
      <c r="K27" s="1015"/>
    </row>
    <row r="28" spans="1:15">
      <c r="A28" s="14"/>
      <c r="B28" s="14"/>
      <c r="C28" s="12"/>
      <c r="D28" s="12"/>
      <c r="E28" s="825"/>
      <c r="F28" s="825"/>
      <c r="G28" s="825"/>
      <c r="H28" s="825"/>
      <c r="I28" s="1772" t="s">
        <v>20</v>
      </c>
      <c r="J28" s="825">
        <f>J27</f>
        <v>530.20000000000005</v>
      </c>
      <c r="K28" s="1015"/>
    </row>
    <row r="29" spans="1:15">
      <c r="A29" s="5">
        <v>6</v>
      </c>
      <c r="B29" s="6" t="s">
        <v>1191</v>
      </c>
      <c r="C29" s="7" t="s">
        <v>307</v>
      </c>
      <c r="D29" s="7"/>
      <c r="E29" s="912"/>
      <c r="F29" s="912"/>
      <c r="G29" s="912"/>
      <c r="H29" s="912"/>
      <c r="I29" s="912"/>
      <c r="J29" s="1777"/>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530.20000000000005</v>
      </c>
      <c r="I31" s="825"/>
      <c r="J31" s="825">
        <f>H31/E31</f>
        <v>176.73333333333335</v>
      </c>
      <c r="K31" s="1015"/>
    </row>
    <row r="32" spans="1:15">
      <c r="A32" s="14"/>
      <c r="B32" s="14"/>
      <c r="C32" s="12"/>
      <c r="D32" s="12"/>
      <c r="E32" s="825"/>
      <c r="F32" s="825"/>
      <c r="G32" s="825"/>
      <c r="H32" s="825"/>
      <c r="I32" s="825" t="s">
        <v>20</v>
      </c>
      <c r="J32" s="825">
        <f>CEILING(J31,1)</f>
        <v>177</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94" fitToHeight="10" orientation="landscape"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1282" customFormat="1" ht="19.2">
      <c r="A1" s="1281"/>
      <c r="C1" s="1283"/>
      <c r="D1" s="1284"/>
      <c r="E1" s="1285"/>
      <c r="F1" s="1285"/>
      <c r="G1" s="1283"/>
    </row>
    <row r="2" spans="1:16" s="1282" customFormat="1" ht="19.2">
      <c r="A2" s="1281"/>
      <c r="C2" s="1283"/>
      <c r="D2" s="1284"/>
      <c r="E2" s="1285"/>
      <c r="F2" s="1285"/>
      <c r="G2" s="1283"/>
    </row>
    <row r="3" spans="1:16" s="1282" customFormat="1" ht="19.2">
      <c r="A3" s="226" t="s">
        <v>0</v>
      </c>
      <c r="B3" s="1248" t="s">
        <v>2389</v>
      </c>
      <c r="C3" s="1283"/>
      <c r="D3" s="1284"/>
      <c r="E3" s="1285"/>
      <c r="F3" s="1285"/>
      <c r="G3" s="1283"/>
    </row>
    <row r="4" spans="1:16" s="1282" customFormat="1" ht="19.2">
      <c r="A4" s="119" t="s">
        <v>1</v>
      </c>
      <c r="B4" s="1248">
        <v>930100</v>
      </c>
      <c r="C4" s="1283"/>
      <c r="D4" s="1284"/>
      <c r="E4" s="1285"/>
      <c r="F4" s="1285"/>
      <c r="G4" s="1283"/>
    </row>
    <row r="5" spans="1:16" s="1282" customFormat="1" ht="19.2">
      <c r="A5" s="119" t="s">
        <v>2</v>
      </c>
      <c r="B5" s="1247" t="s">
        <v>331</v>
      </c>
      <c r="C5" s="1283"/>
      <c r="D5" s="1284"/>
      <c r="E5" s="1285"/>
      <c r="J5" s="1286" t="s">
        <v>1561</v>
      </c>
      <c r="K5" s="1283" t="s">
        <v>1562</v>
      </c>
    </row>
    <row r="6" spans="1:16" s="1282" customFormat="1" ht="19.2">
      <c r="A6" s="119" t="s">
        <v>3</v>
      </c>
      <c r="B6" s="1247" t="s">
        <v>2930</v>
      </c>
      <c r="C6" s="1283"/>
      <c r="D6" s="1284"/>
      <c r="E6" s="1285"/>
      <c r="J6" s="1286" t="s">
        <v>171</v>
      </c>
      <c r="K6" s="1283" t="s">
        <v>1563</v>
      </c>
    </row>
    <row r="7" spans="1:16" s="1282" customFormat="1" ht="19.2">
      <c r="A7" s="119" t="s">
        <v>4</v>
      </c>
      <c r="B7" s="1247"/>
      <c r="C7" s="1283"/>
      <c r="D7" s="1284"/>
      <c r="E7" s="1285"/>
      <c r="J7" s="1286" t="s">
        <v>106</v>
      </c>
      <c r="K7" s="1287">
        <f ca="1">TODAY()</f>
        <v>44942</v>
      </c>
    </row>
    <row r="8" spans="1:16">
      <c r="A8" s="119"/>
      <c r="B8" s="55"/>
      <c r="C8" s="1247"/>
      <c r="D8" s="1247"/>
      <c r="E8" s="1247"/>
      <c r="F8" s="1247"/>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771"/>
      <c r="K11" s="1008"/>
    </row>
    <row r="12" spans="1:16">
      <c r="A12" s="10"/>
      <c r="B12" s="345" t="s">
        <v>1516</v>
      </c>
      <c r="C12" s="12"/>
      <c r="D12" s="45">
        <v>1</v>
      </c>
      <c r="E12" s="945"/>
      <c r="F12" s="945"/>
      <c r="G12" s="825"/>
      <c r="H12" s="825">
        <v>200</v>
      </c>
      <c r="J12" s="825">
        <f>ROUND(D12*H12,2)</f>
        <v>200</v>
      </c>
      <c r="K12" s="24"/>
    </row>
    <row r="13" spans="1:16">
      <c r="A13" s="10"/>
      <c r="B13" s="14"/>
      <c r="C13" s="12"/>
      <c r="D13" s="12"/>
      <c r="E13" s="825"/>
      <c r="F13" s="825"/>
      <c r="G13" s="825"/>
      <c r="H13" s="825"/>
      <c r="I13" s="1772" t="s">
        <v>20</v>
      </c>
      <c r="J13" s="1772">
        <f>SUM(J12:J12)</f>
        <v>200</v>
      </c>
      <c r="K13" s="24"/>
    </row>
    <row r="14" spans="1:16" ht="67.2">
      <c r="A14" s="7">
        <f>A11+1</f>
        <v>2</v>
      </c>
      <c r="B14" s="443" t="s">
        <v>782</v>
      </c>
      <c r="C14" s="7" t="s">
        <v>21</v>
      </c>
      <c r="D14" s="7"/>
      <c r="E14" s="912"/>
      <c r="F14" s="912"/>
      <c r="G14" s="912"/>
      <c r="H14" s="912"/>
      <c r="I14" s="912"/>
      <c r="J14" s="912"/>
      <c r="K14" s="1773"/>
      <c r="P14" s="4">
        <f>70*21</f>
        <v>1470</v>
      </c>
    </row>
    <row r="15" spans="1:16">
      <c r="A15" s="10">
        <v>2.2000000000000002</v>
      </c>
      <c r="B15" s="14" t="s">
        <v>1340</v>
      </c>
      <c r="C15" s="12"/>
      <c r="D15" s="12">
        <v>1</v>
      </c>
      <c r="E15" s="825"/>
      <c r="F15" s="825">
        <f>(12+26)/2</f>
        <v>19</v>
      </c>
      <c r="G15" s="825"/>
      <c r="H15" s="825">
        <v>335</v>
      </c>
      <c r="I15" s="825"/>
      <c r="J15" s="825">
        <f>H15*F15</f>
        <v>6365</v>
      </c>
      <c r="K15" s="24"/>
    </row>
    <row r="16" spans="1:16">
      <c r="A16" s="10"/>
      <c r="B16" s="345"/>
      <c r="C16" s="12"/>
      <c r="D16" s="45"/>
      <c r="E16" s="14"/>
      <c r="F16" s="14"/>
      <c r="G16" s="14"/>
      <c r="H16" s="14"/>
      <c r="I16" s="1772" t="s">
        <v>20</v>
      </c>
      <c r="J16" s="1772">
        <f>SUM(J15)</f>
        <v>6365</v>
      </c>
      <c r="K16" s="1774"/>
    </row>
    <row r="17" spans="1:15" s="1009" customFormat="1" ht="33.6">
      <c r="A17" s="1005">
        <v>3</v>
      </c>
      <c r="B17" s="1013" t="s">
        <v>2431</v>
      </c>
      <c r="C17" s="776" t="s">
        <v>307</v>
      </c>
      <c r="D17" s="776"/>
      <c r="E17" s="1006"/>
      <c r="F17" s="1006"/>
      <c r="G17" s="1006"/>
      <c r="H17" s="1006"/>
      <c r="I17" s="1006"/>
      <c r="J17" s="1771"/>
      <c r="K17" s="1008"/>
    </row>
    <row r="18" spans="1:15" ht="17.399999999999999">
      <c r="A18" s="10"/>
      <c r="B18" s="14"/>
      <c r="C18" s="12"/>
      <c r="D18" s="12"/>
      <c r="E18" s="825" t="s">
        <v>1342</v>
      </c>
      <c r="F18" s="825"/>
      <c r="G18" s="825"/>
      <c r="H18" s="825"/>
      <c r="I18" s="825"/>
      <c r="J18" s="1775"/>
      <c r="K18" s="477"/>
    </row>
    <row r="19" spans="1:15">
      <c r="A19" s="10"/>
      <c r="B19" s="345" t="s">
        <v>2562</v>
      </c>
      <c r="C19" s="12"/>
      <c r="D19" s="12">
        <v>1</v>
      </c>
      <c r="E19" s="825">
        <f>1.5*1.5</f>
        <v>2.25</v>
      </c>
      <c r="F19" s="825"/>
      <c r="G19" s="825"/>
      <c r="H19" s="825">
        <f>((12+(1.1*25+12))/2)*25</f>
        <v>643.75</v>
      </c>
      <c r="I19" s="825"/>
      <c r="J19" s="1776">
        <f>H19/E19</f>
        <v>286.11111111111109</v>
      </c>
      <c r="K19" s="477"/>
    </row>
    <row r="20" spans="1:15">
      <c r="A20" s="10"/>
      <c r="B20" s="14"/>
      <c r="C20" s="12"/>
      <c r="D20" s="12"/>
      <c r="E20" s="825"/>
      <c r="F20" s="825"/>
      <c r="G20" s="825"/>
      <c r="H20" s="825"/>
      <c r="I20" s="1772" t="s">
        <v>20</v>
      </c>
      <c r="J20" s="1772">
        <f>ROUNDUP(SUM(J19:J19),0)</f>
        <v>287</v>
      </c>
      <c r="K20" s="477"/>
    </row>
    <row r="21" spans="1:15" s="1009" customFormat="1">
      <c r="A21" s="1005">
        <v>4</v>
      </c>
      <c r="B21" s="25" t="s">
        <v>1343</v>
      </c>
      <c r="C21" s="776" t="s">
        <v>19</v>
      </c>
      <c r="D21" s="776"/>
      <c r="E21" s="1006"/>
      <c r="F21" s="1006"/>
      <c r="G21" s="1006"/>
      <c r="H21" s="1006"/>
      <c r="I21" s="1006"/>
      <c r="J21" s="1771"/>
      <c r="K21" s="1008"/>
    </row>
    <row r="22" spans="1:15">
      <c r="A22" s="10"/>
      <c r="B22" s="14" t="s">
        <v>808</v>
      </c>
      <c r="C22" s="12"/>
      <c r="D22" s="12"/>
      <c r="E22" s="825"/>
      <c r="F22" s="825"/>
      <c r="G22" s="825"/>
      <c r="H22" s="825"/>
      <c r="I22" s="825"/>
      <c r="J22" s="825"/>
      <c r="K22" s="24"/>
    </row>
    <row r="23" spans="1:15">
      <c r="A23" s="10"/>
      <c r="B23" s="345" t="s">
        <v>2561</v>
      </c>
      <c r="C23" s="12"/>
      <c r="D23" s="12">
        <f>D19</f>
        <v>1</v>
      </c>
      <c r="E23" s="825"/>
      <c r="F23" s="825"/>
      <c r="G23" s="825"/>
      <c r="H23" s="825">
        <f>H19</f>
        <v>643.75</v>
      </c>
      <c r="I23" s="825"/>
      <c r="J23" s="825">
        <f>H23</f>
        <v>643.75</v>
      </c>
      <c r="K23" s="477"/>
      <c r="O23" s="4">
        <f>5.83*2</f>
        <v>11.66</v>
      </c>
    </row>
    <row r="24" spans="1:15">
      <c r="A24" s="10"/>
      <c r="B24" s="137"/>
      <c r="C24" s="12"/>
      <c r="D24" s="12"/>
      <c r="E24" s="825"/>
      <c r="F24" s="825"/>
      <c r="G24" s="825"/>
      <c r="H24" s="825"/>
      <c r="I24" s="1772" t="s">
        <v>20</v>
      </c>
      <c r="J24" s="1772">
        <f>SUM(J23:J23)</f>
        <v>643.75</v>
      </c>
      <c r="K24" s="24"/>
      <c r="L24" s="4">
        <v>11.1</v>
      </c>
    </row>
    <row r="25" spans="1:15">
      <c r="A25" s="5"/>
      <c r="B25" s="6"/>
      <c r="C25" s="7"/>
      <c r="D25" s="7"/>
      <c r="E25" s="912"/>
      <c r="F25" s="912"/>
      <c r="G25" s="912"/>
      <c r="H25" s="912"/>
      <c r="I25" s="912"/>
      <c r="J25" s="1777"/>
      <c r="K25" s="475"/>
    </row>
    <row r="26" spans="1:15" s="1009" customFormat="1">
      <c r="A26" s="1005">
        <v>5</v>
      </c>
      <c r="B26" s="25" t="s">
        <v>1344</v>
      </c>
      <c r="C26" s="776" t="s">
        <v>1345</v>
      </c>
      <c r="D26" s="776"/>
      <c r="E26" s="1006"/>
      <c r="F26" s="1006"/>
      <c r="G26" s="1006"/>
      <c r="H26" s="1006"/>
      <c r="I26" s="1006"/>
      <c r="J26" s="1771"/>
      <c r="K26" s="1008"/>
    </row>
    <row r="27" spans="1:15">
      <c r="A27" s="14"/>
      <c r="B27" s="14"/>
      <c r="C27" s="12"/>
      <c r="D27" s="12">
        <v>1</v>
      </c>
      <c r="E27" s="825"/>
      <c r="F27" s="825"/>
      <c r="G27" s="825"/>
      <c r="H27" s="825">
        <f>H23</f>
        <v>643.75</v>
      </c>
      <c r="I27" s="825"/>
      <c r="J27" s="825">
        <f>H27*D27</f>
        <v>643.75</v>
      </c>
      <c r="K27" s="1015"/>
    </row>
    <row r="28" spans="1:15">
      <c r="A28" s="14"/>
      <c r="B28" s="14"/>
      <c r="C28" s="12"/>
      <c r="D28" s="12"/>
      <c r="E28" s="825"/>
      <c r="F28" s="825"/>
      <c r="G28" s="825"/>
      <c r="H28" s="825"/>
      <c r="I28" s="1772" t="s">
        <v>20</v>
      </c>
      <c r="J28" s="825">
        <f>J27</f>
        <v>643.75</v>
      </c>
      <c r="K28" s="1015"/>
    </row>
    <row r="29" spans="1:15">
      <c r="A29" s="5">
        <v>6</v>
      </c>
      <c r="B29" s="6" t="s">
        <v>1191</v>
      </c>
      <c r="C29" s="7" t="s">
        <v>307</v>
      </c>
      <c r="D29" s="7"/>
      <c r="E29" s="912"/>
      <c r="F29" s="912"/>
      <c r="G29" s="912"/>
      <c r="H29" s="912"/>
      <c r="I29" s="912"/>
      <c r="J29" s="1777"/>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643.75</v>
      </c>
      <c r="I31" s="825"/>
      <c r="J31" s="825">
        <f>H31/E31</f>
        <v>214.58333333333334</v>
      </c>
      <c r="K31" s="1015"/>
    </row>
    <row r="32" spans="1:15">
      <c r="A32" s="14"/>
      <c r="B32" s="14"/>
      <c r="C32" s="12"/>
      <c r="D32" s="12"/>
      <c r="E32" s="825"/>
      <c r="F32" s="825"/>
      <c r="G32" s="825"/>
      <c r="H32" s="825"/>
      <c r="I32" s="825" t="s">
        <v>20</v>
      </c>
      <c r="J32" s="825">
        <f>CEILING(J31,1)</f>
        <v>215</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94" fitToHeight="10" orientation="landscape"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rgb="FF7030A0"/>
  </sheetPr>
  <dimension ref="A1:M49"/>
  <sheetViews>
    <sheetView workbookViewId="0"/>
  </sheetViews>
  <sheetFormatPr defaultColWidth="9.109375" defaultRowHeight="16.8"/>
  <cols>
    <col min="1" max="1" width="12.33203125" style="236" customWidth="1"/>
    <col min="2" max="2" width="46.44140625" style="1" bestFit="1" customWidth="1"/>
    <col min="3" max="3" width="9.109375" style="1"/>
    <col min="4" max="4" width="8.44140625" style="1" customWidth="1"/>
    <col min="5" max="6" width="11.109375" style="1" customWidth="1"/>
    <col min="7" max="7" width="11.33203125" style="1" customWidth="1"/>
    <col min="8" max="8" width="10.5546875" style="1" customWidth="1"/>
    <col min="9" max="9" width="12.109375" style="1" customWidth="1"/>
    <col min="10" max="10" width="13.6640625" style="1" customWidth="1"/>
    <col min="11" max="11" width="25.5546875" style="1" customWidth="1"/>
    <col min="12" max="12" width="11.88671875" style="698" bestFit="1" customWidth="1"/>
    <col min="13" max="13" width="11.6640625" style="698" bestFit="1" customWidth="1"/>
    <col min="14" max="16384" width="9.109375" style="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2642</v>
      </c>
      <c r="C6" s="523"/>
      <c r="D6" s="537"/>
      <c r="E6" s="1223"/>
      <c r="J6" s="1276" t="s">
        <v>171</v>
      </c>
      <c r="K6" s="523" t="s">
        <v>1563</v>
      </c>
    </row>
    <row r="7" spans="1:13" s="520" customFormat="1" ht="19.2">
      <c r="A7" s="119" t="s">
        <v>4</v>
      </c>
      <c r="B7" s="1247"/>
      <c r="C7" s="523"/>
      <c r="D7" s="537"/>
      <c r="E7" s="1223"/>
      <c r="J7" s="1276" t="s">
        <v>106</v>
      </c>
      <c r="K7" s="1277">
        <f ca="1">TODAY()</f>
        <v>44942</v>
      </c>
    </row>
    <row r="8" spans="1:13">
      <c r="A8" s="119"/>
      <c r="B8" s="55"/>
    </row>
    <row r="10" spans="1:13">
      <c r="A10" s="804" t="s">
        <v>332</v>
      </c>
      <c r="B10" s="804" t="s">
        <v>8</v>
      </c>
      <c r="C10" s="804" t="s">
        <v>9</v>
      </c>
      <c r="D10" s="804" t="s">
        <v>333</v>
      </c>
      <c r="E10" s="804" t="s">
        <v>11</v>
      </c>
      <c r="F10" s="804" t="s">
        <v>12</v>
      </c>
      <c r="G10" s="804" t="s">
        <v>13</v>
      </c>
      <c r="H10" s="804" t="s">
        <v>15</v>
      </c>
      <c r="I10" s="804" t="s">
        <v>14</v>
      </c>
      <c r="J10" s="804" t="s">
        <v>16</v>
      </c>
      <c r="K10" s="845" t="s">
        <v>17</v>
      </c>
      <c r="L10" s="851" t="s">
        <v>1233</v>
      </c>
      <c r="M10" s="851" t="s">
        <v>1234</v>
      </c>
    </row>
    <row r="11" spans="1:13">
      <c r="A11" s="805">
        <v>1</v>
      </c>
      <c r="B11" s="806" t="s">
        <v>18</v>
      </c>
      <c r="C11" s="807" t="s">
        <v>85</v>
      </c>
      <c r="D11" s="805"/>
      <c r="E11" s="805"/>
      <c r="F11" s="805"/>
      <c r="G11" s="805"/>
      <c r="H11" s="805"/>
      <c r="I11" s="805"/>
      <c r="J11" s="805"/>
      <c r="K11" s="846"/>
      <c r="L11" s="852"/>
      <c r="M11" s="852"/>
    </row>
    <row r="12" spans="1:13">
      <c r="A12" s="356"/>
      <c r="B12" s="11" t="s">
        <v>2643</v>
      </c>
      <c r="C12" s="12"/>
      <c r="D12" s="12">
        <v>1</v>
      </c>
      <c r="E12" s="13"/>
      <c r="F12" s="13"/>
      <c r="G12" s="13"/>
      <c r="H12" s="766">
        <v>550</v>
      </c>
      <c r="I12" s="13"/>
      <c r="J12" s="13">
        <f>H12</f>
        <v>550</v>
      </c>
      <c r="K12" s="1430"/>
      <c r="L12" s="497"/>
      <c r="M12" s="497"/>
    </row>
    <row r="13" spans="1:13">
      <c r="A13" s="356"/>
      <c r="B13" s="356"/>
      <c r="C13" s="356"/>
      <c r="D13" s="356"/>
      <c r="E13" s="356"/>
      <c r="F13" s="356"/>
      <c r="G13" s="356"/>
      <c r="H13" s="356"/>
      <c r="I13" s="356" t="s">
        <v>439</v>
      </c>
      <c r="J13" s="357">
        <f>SUM(J12:J12)</f>
        <v>550</v>
      </c>
      <c r="K13" s="847"/>
      <c r="L13" s="856">
        <v>40.5</v>
      </c>
      <c r="M13" s="856">
        <f>L13*J13</f>
        <v>22275</v>
      </c>
    </row>
    <row r="14" spans="1:13">
      <c r="A14" s="811">
        <v>2</v>
      </c>
      <c r="B14" s="812" t="s">
        <v>313</v>
      </c>
      <c r="C14" s="813" t="s">
        <v>306</v>
      </c>
      <c r="D14" s="812"/>
      <c r="E14" s="812"/>
      <c r="F14" s="812"/>
      <c r="G14" s="812"/>
      <c r="H14" s="812"/>
      <c r="I14" s="812"/>
      <c r="J14" s="812"/>
      <c r="K14" s="848"/>
      <c r="L14" s="602"/>
      <c r="M14" s="602"/>
    </row>
    <row r="15" spans="1:13">
      <c r="A15" s="235"/>
      <c r="B15" s="14" t="s">
        <v>2644</v>
      </c>
      <c r="C15" s="12"/>
      <c r="D15" s="12">
        <v>1</v>
      </c>
      <c r="E15" s="13">
        <f>(94.71-34.751)</f>
        <v>59.958999999999996</v>
      </c>
      <c r="F15" s="13"/>
      <c r="G15" s="13"/>
      <c r="H15" s="766">
        <v>57.293999999999997</v>
      </c>
      <c r="I15" s="13"/>
      <c r="J15" s="13">
        <f>E15*H15</f>
        <v>3435.2909459999996</v>
      </c>
      <c r="K15" s="849"/>
      <c r="L15" s="267"/>
      <c r="M15" s="267"/>
    </row>
    <row r="16" spans="1:13">
      <c r="A16" s="235"/>
      <c r="B16" s="231"/>
      <c r="C16" s="232"/>
      <c r="D16" s="232"/>
      <c r="E16" s="232"/>
      <c r="F16" s="232"/>
      <c r="G16" s="232"/>
      <c r="H16" s="232"/>
      <c r="I16" s="356" t="s">
        <v>439</v>
      </c>
      <c r="J16" s="233">
        <f>SUM(J15:J15)</f>
        <v>3435.2909459999996</v>
      </c>
      <c r="K16" s="849"/>
      <c r="L16" s="267"/>
      <c r="M16" s="267"/>
    </row>
    <row r="17" spans="1:13">
      <c r="A17" s="235"/>
      <c r="B17" s="231"/>
      <c r="C17" s="1484"/>
      <c r="D17" s="232"/>
      <c r="E17" s="232"/>
      <c r="F17" s="232"/>
      <c r="G17" s="232"/>
      <c r="H17" s="232"/>
      <c r="I17" s="356"/>
      <c r="J17" s="233">
        <f>80%*J16</f>
        <v>2748.2327568000001</v>
      </c>
      <c r="K17" s="849" t="s">
        <v>2629</v>
      </c>
      <c r="L17" s="267"/>
      <c r="M17" s="267"/>
    </row>
    <row r="18" spans="1:13">
      <c r="A18" s="235"/>
      <c r="B18" s="231"/>
      <c r="C18" s="1484"/>
      <c r="D18" s="232"/>
      <c r="E18" s="232"/>
      <c r="F18" s="232"/>
      <c r="G18" s="232"/>
      <c r="H18" s="232"/>
      <c r="I18" s="356"/>
      <c r="J18" s="233">
        <f>20%*J16</f>
        <v>687.05818920000002</v>
      </c>
      <c r="K18" s="849" t="s">
        <v>2630</v>
      </c>
      <c r="L18" s="267"/>
      <c r="M18" s="267"/>
    </row>
    <row r="19" spans="1:13">
      <c r="A19" s="596">
        <v>3</v>
      </c>
      <c r="B19" s="712" t="s">
        <v>422</v>
      </c>
      <c r="C19" s="813" t="s">
        <v>306</v>
      </c>
      <c r="D19" s="598"/>
      <c r="E19" s="598"/>
      <c r="F19" s="598"/>
      <c r="G19" s="598"/>
      <c r="H19" s="598"/>
      <c r="I19" s="598"/>
      <c r="J19" s="600"/>
      <c r="K19" s="848"/>
      <c r="L19" s="602"/>
      <c r="M19" s="602"/>
    </row>
    <row r="20" spans="1:13">
      <c r="A20" s="235"/>
      <c r="B20" s="14" t="s">
        <v>2645</v>
      </c>
      <c r="C20" s="12"/>
      <c r="D20" s="12">
        <v>1</v>
      </c>
      <c r="E20" s="13">
        <f>E15</f>
        <v>59.958999999999996</v>
      </c>
      <c r="F20" s="13"/>
      <c r="G20" s="13"/>
      <c r="H20" s="766">
        <v>5.4169999999999998</v>
      </c>
      <c r="I20" s="13"/>
      <c r="J20" s="13">
        <f>E20*H20</f>
        <v>324.79790299999996</v>
      </c>
      <c r="K20" s="849"/>
      <c r="L20" s="267"/>
      <c r="M20" s="267"/>
    </row>
    <row r="21" spans="1:13">
      <c r="A21" s="235"/>
      <c r="B21" s="231"/>
      <c r="C21" s="232"/>
      <c r="D21" s="232"/>
      <c r="E21" s="232"/>
      <c r="F21" s="232"/>
      <c r="G21" s="232"/>
      <c r="H21" s="232"/>
      <c r="I21" s="356" t="s">
        <v>439</v>
      </c>
      <c r="J21" s="233">
        <f>SUM(J20:J20)</f>
        <v>324.79790299999996</v>
      </c>
      <c r="K21" s="849" t="s">
        <v>91</v>
      </c>
      <c r="L21" s="267">
        <v>210</v>
      </c>
      <c r="M21" s="267">
        <f>L21*J21</f>
        <v>68207.559629999989</v>
      </c>
    </row>
    <row r="22" spans="1:13">
      <c r="A22" s="596">
        <v>4</v>
      </c>
      <c r="B22" s="712" t="s">
        <v>314</v>
      </c>
      <c r="C22" s="813" t="s">
        <v>306</v>
      </c>
      <c r="D22" s="598"/>
      <c r="E22" s="598"/>
      <c r="F22" s="598"/>
      <c r="G22" s="598"/>
      <c r="H22" s="598"/>
      <c r="I22" s="598"/>
      <c r="J22" s="598"/>
      <c r="K22" s="848"/>
      <c r="L22" s="602"/>
      <c r="M22" s="602"/>
    </row>
    <row r="23" spans="1:13">
      <c r="A23" s="235"/>
      <c r="B23" s="14" t="s">
        <v>2644</v>
      </c>
      <c r="C23" s="12"/>
      <c r="D23" s="12">
        <v>1</v>
      </c>
      <c r="E23" s="13">
        <v>94.71</v>
      </c>
      <c r="F23" s="13">
        <v>3.4</v>
      </c>
      <c r="G23" s="13">
        <v>7.4999999999999997E-2</v>
      </c>
      <c r="H23" s="766">
        <f>E23*F23</f>
        <v>322.01399999999995</v>
      </c>
      <c r="I23" s="13"/>
      <c r="J23" s="344">
        <f>H23*G23*D23</f>
        <v>24.151049999999994</v>
      </c>
      <c r="K23" s="849"/>
      <c r="L23" s="267"/>
      <c r="M23" s="267"/>
    </row>
    <row r="24" spans="1:13">
      <c r="A24" s="235"/>
      <c r="B24" s="231"/>
      <c r="C24" s="232"/>
      <c r="D24" s="232"/>
      <c r="E24" s="232"/>
      <c r="F24" s="232"/>
      <c r="G24" s="232"/>
      <c r="H24" s="232"/>
      <c r="I24" s="356" t="s">
        <v>439</v>
      </c>
      <c r="J24" s="233">
        <f>SUM(J23:J23)</f>
        <v>24.151049999999994</v>
      </c>
      <c r="K24" s="849"/>
      <c r="L24" s="267">
        <v>13500</v>
      </c>
      <c r="M24" s="267">
        <f>L24*J24</f>
        <v>326039.17499999993</v>
      </c>
    </row>
    <row r="25" spans="1:13">
      <c r="A25" s="596">
        <v>6</v>
      </c>
      <c r="B25" s="712" t="s">
        <v>315</v>
      </c>
      <c r="C25" s="813" t="s">
        <v>306</v>
      </c>
      <c r="D25" s="598"/>
      <c r="E25" s="598"/>
      <c r="F25" s="598"/>
      <c r="G25" s="598"/>
      <c r="H25" s="598"/>
      <c r="I25" s="598"/>
      <c r="J25" s="598"/>
      <c r="K25" s="848"/>
      <c r="L25" s="602"/>
      <c r="M25" s="602"/>
    </row>
    <row r="26" spans="1:13">
      <c r="A26" s="235"/>
      <c r="B26" s="345" t="s">
        <v>2644</v>
      </c>
      <c r="C26" s="12"/>
      <c r="D26" s="12">
        <v>1</v>
      </c>
      <c r="E26" s="13">
        <f>E23</f>
        <v>94.71</v>
      </c>
      <c r="F26" s="13"/>
      <c r="G26" s="13"/>
      <c r="H26" s="766">
        <f>(3.4*3-2.4*2)</f>
        <v>5.3999999999999995</v>
      </c>
      <c r="I26" s="13"/>
      <c r="J26" s="344">
        <f>H26*E26</f>
        <v>511.43399999999991</v>
      </c>
      <c r="K26" s="849"/>
      <c r="L26" s="267"/>
      <c r="M26" s="267"/>
    </row>
    <row r="27" spans="1:13">
      <c r="A27" s="235"/>
      <c r="B27" s="231"/>
      <c r="C27" s="232"/>
      <c r="D27" s="232"/>
      <c r="E27" s="232"/>
      <c r="F27" s="232"/>
      <c r="G27" s="232"/>
      <c r="H27" s="232"/>
      <c r="I27" s="356" t="s">
        <v>439</v>
      </c>
      <c r="J27" s="233">
        <f>SUM(J26:J26)</f>
        <v>511.43399999999991</v>
      </c>
      <c r="K27" s="849"/>
      <c r="L27" s="267">
        <v>17500</v>
      </c>
      <c r="M27" s="267">
        <f>L27*J27</f>
        <v>8950094.9999999981</v>
      </c>
    </row>
    <row r="28" spans="1:13" s="601" customFormat="1">
      <c r="A28" s="596">
        <v>7</v>
      </c>
      <c r="B28" s="712" t="s">
        <v>2649</v>
      </c>
      <c r="C28" s="598" t="s">
        <v>46</v>
      </c>
      <c r="D28" s="598">
        <v>1</v>
      </c>
      <c r="E28" s="1511">
        <f>E15</f>
        <v>59.958999999999996</v>
      </c>
      <c r="F28" s="598"/>
      <c r="G28" s="598"/>
      <c r="H28" s="598"/>
      <c r="I28" s="805"/>
      <c r="J28" s="1512">
        <f>E28</f>
        <v>59.958999999999996</v>
      </c>
      <c r="K28" s="848"/>
      <c r="L28" s="602"/>
      <c r="M28" s="602"/>
    </row>
    <row r="29" spans="1:13">
      <c r="A29" s="235"/>
      <c r="B29" s="231"/>
      <c r="C29" s="232"/>
      <c r="D29" s="232"/>
      <c r="E29" s="232"/>
      <c r="F29" s="232"/>
      <c r="G29" s="232"/>
      <c r="H29" s="232"/>
      <c r="I29" s="356" t="s">
        <v>439</v>
      </c>
      <c r="J29" s="233">
        <f>SUM(J28)</f>
        <v>59.958999999999996</v>
      </c>
      <c r="K29" s="849"/>
      <c r="L29" s="267"/>
      <c r="M29" s="267"/>
    </row>
    <row r="30" spans="1:13">
      <c r="A30" s="596">
        <v>8</v>
      </c>
      <c r="B30" s="712" t="s">
        <v>309</v>
      </c>
      <c r="C30" s="598" t="s">
        <v>85</v>
      </c>
      <c r="D30" s="598"/>
      <c r="E30" s="598"/>
      <c r="F30" s="598"/>
      <c r="G30" s="598"/>
      <c r="H30" s="598"/>
      <c r="I30" s="598"/>
      <c r="J30" s="598"/>
      <c r="K30" s="848"/>
      <c r="L30" s="602"/>
      <c r="M30" s="602"/>
    </row>
    <row r="31" spans="1:13">
      <c r="A31" s="235"/>
      <c r="B31" s="231" t="s">
        <v>2644</v>
      </c>
      <c r="C31" s="232"/>
      <c r="D31" s="232"/>
      <c r="E31" s="232"/>
      <c r="F31" s="232"/>
      <c r="G31" s="232"/>
      <c r="H31" s="232"/>
      <c r="I31" s="232"/>
      <c r="J31" s="232"/>
      <c r="K31" s="849"/>
      <c r="L31" s="267"/>
      <c r="M31" s="267"/>
    </row>
    <row r="32" spans="1:13">
      <c r="A32" s="235"/>
      <c r="B32" s="358" t="s">
        <v>2646</v>
      </c>
      <c r="C32" s="347"/>
      <c r="D32" s="347">
        <v>2</v>
      </c>
      <c r="E32" s="348">
        <v>94.71</v>
      </c>
      <c r="F32" s="348"/>
      <c r="G32" s="348">
        <v>2.4</v>
      </c>
      <c r="H32" s="1456">
        <f>G32*E32</f>
        <v>227.30399999999997</v>
      </c>
      <c r="I32" s="348"/>
      <c r="J32" s="351">
        <f>H32*D32</f>
        <v>454.60799999999995</v>
      </c>
      <c r="K32" s="849"/>
      <c r="L32" s="267"/>
      <c r="M32" s="267"/>
    </row>
    <row r="33" spans="1:13">
      <c r="A33" s="235"/>
      <c r="B33" s="358" t="s">
        <v>2647</v>
      </c>
      <c r="C33" s="347"/>
      <c r="D33" s="347">
        <v>2</v>
      </c>
      <c r="E33" s="348">
        <f>E32</f>
        <v>94.71</v>
      </c>
      <c r="F33" s="348"/>
      <c r="G33" s="348">
        <v>3.4</v>
      </c>
      <c r="H33" s="1456">
        <f>G33*E33</f>
        <v>322.01399999999995</v>
      </c>
      <c r="I33" s="348"/>
      <c r="J33" s="351">
        <f>H33*D33</f>
        <v>644.02799999999991</v>
      </c>
      <c r="K33" s="849"/>
      <c r="L33" s="267"/>
      <c r="M33" s="267"/>
    </row>
    <row r="34" spans="1:13">
      <c r="A34" s="235"/>
      <c r="B34" s="358" t="s">
        <v>2648</v>
      </c>
      <c r="C34" s="347"/>
      <c r="D34" s="347">
        <v>1</v>
      </c>
      <c r="E34" s="348">
        <f>E33</f>
        <v>94.71</v>
      </c>
      <c r="F34" s="348">
        <v>2.4</v>
      </c>
      <c r="G34" s="348"/>
      <c r="H34" s="348">
        <f>F34*E34</f>
        <v>227.30399999999997</v>
      </c>
      <c r="I34" s="348"/>
      <c r="J34" s="348">
        <f>D34*E34*F34</f>
        <v>227.30399999999997</v>
      </c>
      <c r="K34" s="849"/>
      <c r="L34" s="267"/>
      <c r="M34" s="267"/>
    </row>
    <row r="35" spans="1:13">
      <c r="A35" s="235"/>
      <c r="B35" s="349"/>
      <c r="C35" s="347"/>
      <c r="D35" s="347"/>
      <c r="E35" s="348"/>
      <c r="F35" s="1454"/>
      <c r="G35" s="348"/>
      <c r="H35" s="348"/>
      <c r="I35" s="356" t="s">
        <v>439</v>
      </c>
      <c r="J35" s="233">
        <f>SUM(J32:J34)</f>
        <v>1325.94</v>
      </c>
      <c r="K35" s="849"/>
      <c r="L35" s="267">
        <v>1285</v>
      </c>
      <c r="M35" s="267">
        <f>L35*J35</f>
        <v>1703832.9000000001</v>
      </c>
    </row>
    <row r="36" spans="1:13">
      <c r="A36" s="596">
        <v>9</v>
      </c>
      <c r="B36" s="712" t="s">
        <v>24</v>
      </c>
      <c r="C36" s="598" t="s">
        <v>25</v>
      </c>
      <c r="D36" s="598"/>
      <c r="E36" s="598"/>
      <c r="F36" s="598"/>
      <c r="G36" s="598"/>
      <c r="H36" s="601"/>
      <c r="I36" s="601"/>
      <c r="J36" s="601"/>
      <c r="K36" s="848"/>
      <c r="L36" s="602"/>
      <c r="M36" s="602"/>
    </row>
    <row r="37" spans="1:13">
      <c r="A37" s="235"/>
      <c r="B37" s="44" t="s">
        <v>2644</v>
      </c>
      <c r="C37" s="232"/>
      <c r="D37" s="232"/>
      <c r="E37" s="232"/>
      <c r="F37" s="232"/>
      <c r="G37" s="232"/>
      <c r="H37" s="234" t="s">
        <v>1493</v>
      </c>
      <c r="I37" s="232"/>
      <c r="J37" s="233">
        <f>(1%*(J27)*7850)/1000</f>
        <v>40.147568999999997</v>
      </c>
      <c r="K37" s="849"/>
      <c r="L37" s="267"/>
      <c r="M37" s="267"/>
    </row>
    <row r="38" spans="1:13" ht="15.75" customHeight="1">
      <c r="A38" s="240"/>
      <c r="C38" s="44"/>
      <c r="D38" s="44"/>
      <c r="E38" s="44"/>
      <c r="F38" s="44"/>
      <c r="G38" s="44"/>
      <c r="H38" s="44"/>
      <c r="I38" s="239" t="s">
        <v>439</v>
      </c>
      <c r="J38" s="269">
        <f>SUM(J37)</f>
        <v>40.147568999999997</v>
      </c>
      <c r="K38" s="849"/>
      <c r="L38" s="267">
        <v>130000</v>
      </c>
      <c r="M38" s="267">
        <f>L38*J38</f>
        <v>5219183.97</v>
      </c>
    </row>
    <row r="39" spans="1:13" ht="50.4">
      <c r="A39" s="704">
        <v>11</v>
      </c>
      <c r="B39" s="1513" t="s">
        <v>740</v>
      </c>
      <c r="C39" s="705"/>
      <c r="D39" s="705"/>
      <c r="E39" s="705"/>
      <c r="F39" s="705"/>
      <c r="G39" s="705"/>
      <c r="H39" s="705"/>
      <c r="I39" s="705"/>
      <c r="J39" s="705"/>
      <c r="K39" s="850"/>
      <c r="L39" s="853"/>
      <c r="M39" s="853"/>
    </row>
    <row r="40" spans="1:13">
      <c r="A40" s="10"/>
      <c r="B40" s="14" t="s">
        <v>155</v>
      </c>
      <c r="C40" s="12" t="s">
        <v>27</v>
      </c>
      <c r="D40" s="12">
        <v>4</v>
      </c>
      <c r="E40" s="14">
        <v>10</v>
      </c>
      <c r="F40" s="14"/>
      <c r="G40" s="14"/>
      <c r="H40" s="14"/>
      <c r="I40" s="14"/>
      <c r="J40" s="14">
        <f>D40*E40</f>
        <v>40</v>
      </c>
      <c r="K40" s="498"/>
      <c r="L40" s="393"/>
      <c r="M40" s="393"/>
    </row>
    <row r="41" spans="1:13">
      <c r="A41" s="10"/>
      <c r="B41" s="14"/>
      <c r="C41" s="12"/>
      <c r="D41" s="12"/>
      <c r="E41" s="13"/>
      <c r="F41" s="13"/>
      <c r="G41" s="346"/>
      <c r="H41" s="44"/>
      <c r="I41" s="359" t="s">
        <v>20</v>
      </c>
      <c r="J41" s="355">
        <f>J40</f>
        <v>40</v>
      </c>
      <c r="K41" s="840"/>
      <c r="L41" s="393">
        <v>1693</v>
      </c>
      <c r="M41" s="393">
        <f>L41*J41</f>
        <v>67720</v>
      </c>
    </row>
    <row r="42" spans="1:13">
      <c r="A42" s="10"/>
      <c r="B42" s="14"/>
      <c r="C42" s="12"/>
      <c r="D42" s="12"/>
      <c r="E42" s="13"/>
      <c r="F42" s="13"/>
      <c r="G42" s="346"/>
      <c r="H42" s="44"/>
      <c r="I42" s="13"/>
      <c r="J42" s="355"/>
      <c r="K42" s="840"/>
      <c r="L42" s="393"/>
      <c r="M42" s="393"/>
    </row>
    <row r="43" spans="1:13">
      <c r="A43" s="10"/>
      <c r="B43" s="14" t="s">
        <v>174</v>
      </c>
      <c r="C43" s="12" t="s">
        <v>27</v>
      </c>
      <c r="D43" s="12">
        <v>4</v>
      </c>
      <c r="E43" s="14">
        <v>10</v>
      </c>
      <c r="F43" s="14"/>
      <c r="G43" s="14"/>
      <c r="H43" s="44"/>
      <c r="I43" s="14"/>
      <c r="J43" s="14">
        <f>E43*D43</f>
        <v>40</v>
      </c>
      <c r="K43" s="498"/>
      <c r="L43" s="393"/>
      <c r="M43" s="393"/>
    </row>
    <row r="44" spans="1:13">
      <c r="A44" s="10"/>
      <c r="B44" s="14"/>
      <c r="C44" s="12"/>
      <c r="D44" s="12"/>
      <c r="E44" s="13"/>
      <c r="F44" s="13"/>
      <c r="G44" s="346"/>
      <c r="H44" s="44"/>
      <c r="I44" s="359" t="s">
        <v>20</v>
      </c>
      <c r="J44" s="355">
        <f>J43</f>
        <v>40</v>
      </c>
      <c r="K44" s="840"/>
      <c r="L44" s="393">
        <v>1245</v>
      </c>
      <c r="M44" s="393">
        <f>L44*J44</f>
        <v>49800</v>
      </c>
    </row>
    <row r="45" spans="1:13">
      <c r="A45" s="10"/>
      <c r="B45" s="14"/>
      <c r="C45" s="12"/>
      <c r="D45" s="12"/>
      <c r="E45" s="13"/>
      <c r="F45" s="13"/>
      <c r="G45" s="346"/>
      <c r="H45" s="44"/>
      <c r="I45" s="13"/>
      <c r="J45" s="355"/>
      <c r="K45" s="840"/>
      <c r="L45" s="393"/>
      <c r="M45" s="393"/>
    </row>
    <row r="46" spans="1:13">
      <c r="A46" s="10"/>
      <c r="B46" s="14" t="s">
        <v>741</v>
      </c>
      <c r="C46" s="12" t="s">
        <v>85</v>
      </c>
      <c r="D46" s="12">
        <v>4</v>
      </c>
      <c r="E46" s="14">
        <v>10</v>
      </c>
      <c r="F46" s="14"/>
      <c r="G46" s="14"/>
      <c r="H46" s="44"/>
      <c r="I46" s="14"/>
      <c r="J46" s="14">
        <f>2*E46*D46</f>
        <v>80</v>
      </c>
      <c r="K46" s="498"/>
      <c r="L46" s="393"/>
      <c r="M46" s="393"/>
    </row>
    <row r="47" spans="1:13">
      <c r="A47" s="10"/>
      <c r="B47" s="14"/>
      <c r="C47" s="12"/>
      <c r="D47" s="12"/>
      <c r="E47" s="13"/>
      <c r="F47" s="13"/>
      <c r="G47" s="346"/>
      <c r="H47" s="44"/>
      <c r="I47" s="359" t="s">
        <v>20</v>
      </c>
      <c r="J47" s="355">
        <f>J46</f>
        <v>80</v>
      </c>
      <c r="K47" s="840"/>
      <c r="L47" s="393">
        <v>1208</v>
      </c>
      <c r="M47" s="393">
        <f>L47*J47</f>
        <v>96640</v>
      </c>
    </row>
    <row r="48" spans="1:13">
      <c r="L48" s="499" t="s">
        <v>20</v>
      </c>
      <c r="M48" s="269">
        <f>SUM(M11:M47)</f>
        <v>16503793.604629997</v>
      </c>
    </row>
    <row r="49" spans="13:13">
      <c r="M49" s="698" t="s">
        <v>1240</v>
      </c>
    </row>
  </sheetData>
  <printOptions horizontalCentered="1"/>
  <pageMargins left="0.7" right="0.7" top="0.71" bottom="0.59" header="0.3" footer="0.16"/>
  <pageSetup paperSize="9" scale="78" fitToHeight="10" orientation="landscape" r:id="rId1"/>
  <rowBreaks count="1" manualBreakCount="1">
    <brk id="29" max="10" man="1"/>
  </rowBreaks>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tabColor theme="6" tint="-0.249977111117893"/>
  </sheetPr>
  <dimension ref="A1:J373"/>
  <sheetViews>
    <sheetView workbookViewId="0"/>
  </sheetViews>
  <sheetFormatPr defaultColWidth="9.109375" defaultRowHeight="16.8"/>
  <cols>
    <col min="1" max="1" width="15.88671875" style="1426" customWidth="1"/>
    <col min="2" max="2" width="19.33203125" style="1419" customWidth="1"/>
    <col min="3" max="3" width="31.44140625" style="1247" customWidth="1"/>
    <col min="4" max="4" width="9.109375" style="1419"/>
    <col min="5" max="5" width="19.6640625" style="1419" customWidth="1"/>
    <col min="6" max="6" width="9.109375" style="1247"/>
    <col min="7" max="7" width="27.109375" style="1247" customWidth="1"/>
    <col min="8" max="8" width="15.33203125" style="1247" customWidth="1"/>
    <col min="9" max="9" width="31.109375" style="1247" customWidth="1"/>
    <col min="10" max="16384" width="9.109375" style="1247"/>
  </cols>
  <sheetData>
    <row r="1" spans="1:10" ht="18">
      <c r="A1" s="1377" t="s">
        <v>1614</v>
      </c>
      <c r="B1" s="1378"/>
      <c r="C1" s="1377"/>
      <c r="D1" s="1377"/>
      <c r="E1" s="1377"/>
      <c r="F1" s="1377"/>
      <c r="G1" s="1377"/>
      <c r="H1" s="1377"/>
      <c r="I1" s="1377"/>
      <c r="J1" s="1377"/>
    </row>
    <row r="2" spans="1:10" ht="18">
      <c r="A2" s="1379" t="s">
        <v>1615</v>
      </c>
      <c r="B2" s="1380"/>
      <c r="C2" s="1377"/>
      <c r="D2" s="1380"/>
      <c r="E2" s="1380"/>
      <c r="F2" s="1377"/>
      <c r="G2" s="1381"/>
      <c r="H2" s="1382"/>
      <c r="I2" s="1377"/>
      <c r="J2" s="1377"/>
    </row>
    <row r="3" spans="1:10" ht="42.75" customHeight="1">
      <c r="A3" s="1376" t="s">
        <v>1606</v>
      </c>
      <c r="B3" s="1376" t="s">
        <v>1608</v>
      </c>
      <c r="C3" s="1383" t="s">
        <v>1616</v>
      </c>
      <c r="D3" s="1376" t="s">
        <v>172</v>
      </c>
      <c r="E3" s="1384" t="s">
        <v>116</v>
      </c>
      <c r="F3" s="2380" t="s">
        <v>1617</v>
      </c>
      <c r="G3" s="2380"/>
      <c r="H3" s="2381" t="s">
        <v>1618</v>
      </c>
      <c r="I3" s="2381"/>
      <c r="J3" s="1385"/>
    </row>
    <row r="4" spans="1:10">
      <c r="A4" s="1386"/>
      <c r="B4" s="1387"/>
      <c r="C4" s="1271"/>
      <c r="D4" s="1387"/>
      <c r="E4" s="1388"/>
      <c r="F4" s="1389" t="s">
        <v>1619</v>
      </c>
      <c r="G4" s="1389" t="s">
        <v>1620</v>
      </c>
      <c r="H4" s="1389" t="s">
        <v>1619</v>
      </c>
      <c r="I4" s="1389" t="s">
        <v>1620</v>
      </c>
    </row>
    <row r="5" spans="1:10" ht="33.6">
      <c r="A5" s="1390" t="s">
        <v>1607</v>
      </c>
      <c r="B5" s="1387"/>
      <c r="C5" s="1391" t="s">
        <v>1621</v>
      </c>
      <c r="D5" s="1387"/>
      <c r="E5" s="1387"/>
      <c r="F5" s="1271"/>
      <c r="G5" s="1271"/>
      <c r="H5" s="1271"/>
      <c r="I5" s="1271"/>
    </row>
    <row r="6" spans="1:10" ht="117.6">
      <c r="A6" s="1392" t="s">
        <v>1609</v>
      </c>
      <c r="B6" s="1387">
        <v>8</v>
      </c>
      <c r="C6" s="1393" t="s">
        <v>1622</v>
      </c>
      <c r="D6" s="1387" t="s">
        <v>305</v>
      </c>
      <c r="E6" s="1387"/>
      <c r="F6" s="1271"/>
      <c r="G6" s="1271"/>
      <c r="H6" s="1271"/>
      <c r="I6" s="1271"/>
    </row>
    <row r="7" spans="1:10">
      <c r="A7" s="1392"/>
      <c r="B7" s="1387"/>
      <c r="C7" s="1393"/>
      <c r="D7" s="1387"/>
      <c r="E7" s="1387"/>
      <c r="F7" s="1271"/>
      <c r="G7" s="1271"/>
      <c r="H7" s="1271"/>
      <c r="I7" s="1271"/>
    </row>
    <row r="8" spans="1:10">
      <c r="A8" s="2379" t="s">
        <v>1623</v>
      </c>
      <c r="B8" s="2379"/>
      <c r="C8" s="2379"/>
      <c r="D8" s="1387"/>
      <c r="E8" s="1387"/>
      <c r="F8" s="1271"/>
      <c r="G8" s="1271"/>
      <c r="H8" s="1271"/>
      <c r="I8" s="1271"/>
    </row>
    <row r="9" spans="1:10">
      <c r="A9" s="1394"/>
      <c r="B9" s="1395"/>
      <c r="C9" s="1396"/>
      <c r="D9" s="1395"/>
      <c r="E9" s="1395"/>
      <c r="F9" s="1396"/>
      <c r="G9" s="1396"/>
      <c r="H9" s="1396"/>
      <c r="I9" s="1396"/>
    </row>
    <row r="10" spans="1:10">
      <c r="A10" s="1390" t="s">
        <v>1624</v>
      </c>
      <c r="B10" s="1387"/>
      <c r="C10" s="1391" t="s">
        <v>1625</v>
      </c>
      <c r="D10" s="1387"/>
      <c r="E10" s="1387"/>
      <c r="F10" s="1271"/>
      <c r="G10" s="1271"/>
      <c r="H10" s="1271"/>
      <c r="I10" s="1271"/>
    </row>
    <row r="11" spans="1:10">
      <c r="A11" s="1390" t="s">
        <v>1626</v>
      </c>
      <c r="B11" s="1387"/>
      <c r="C11" s="1397" t="s">
        <v>18</v>
      </c>
      <c r="D11" s="1387"/>
      <c r="E11" s="1387"/>
      <c r="F11" s="1271"/>
      <c r="G11" s="1271"/>
      <c r="H11" s="1271"/>
      <c r="I11" s="1271"/>
    </row>
    <row r="12" spans="1:10" ht="117.6">
      <c r="A12" s="1398" t="s">
        <v>1627</v>
      </c>
      <c r="B12" s="1387" t="s">
        <v>1610</v>
      </c>
      <c r="C12" s="1393" t="s">
        <v>2386</v>
      </c>
      <c r="D12" s="1387" t="s">
        <v>1628</v>
      </c>
      <c r="E12" s="1399">
        <v>6963.9570000000003</v>
      </c>
      <c r="F12" s="1271"/>
      <c r="G12" s="1271"/>
      <c r="H12" s="1271"/>
      <c r="I12" s="1271"/>
    </row>
    <row r="13" spans="1:10" ht="107.25" customHeight="1">
      <c r="A13" s="1390" t="s">
        <v>1629</v>
      </c>
      <c r="B13" s="1400">
        <v>11</v>
      </c>
      <c r="C13" s="1401" t="s">
        <v>1612</v>
      </c>
      <c r="D13" s="1402" t="s">
        <v>1630</v>
      </c>
      <c r="E13" s="1403"/>
      <c r="F13" s="1271"/>
      <c r="G13" s="1271"/>
      <c r="H13" s="1271"/>
      <c r="I13" s="1271"/>
    </row>
    <row r="14" spans="1:10" ht="17.399999999999999">
      <c r="A14" s="1398" t="s">
        <v>1631</v>
      </c>
      <c r="B14" s="1387"/>
      <c r="C14" s="1271" t="s">
        <v>1632</v>
      </c>
      <c r="D14" s="1402" t="s">
        <v>1630</v>
      </c>
      <c r="E14" s="1404">
        <v>42011.732317500006</v>
      </c>
      <c r="F14" s="1271"/>
      <c r="G14" s="1271"/>
      <c r="H14" s="1271"/>
      <c r="I14" s="1271"/>
    </row>
    <row r="15" spans="1:10" ht="17.399999999999999">
      <c r="A15" s="1398" t="s">
        <v>1633</v>
      </c>
      <c r="B15" s="1387"/>
      <c r="C15" s="1271" t="s">
        <v>1634</v>
      </c>
      <c r="D15" s="1402" t="s">
        <v>1630</v>
      </c>
      <c r="E15" s="1404">
        <v>4667.9702575000001</v>
      </c>
      <c r="F15" s="1271"/>
      <c r="G15" s="1271"/>
      <c r="H15" s="1271"/>
      <c r="I15" s="1271"/>
    </row>
    <row r="16" spans="1:10">
      <c r="A16" s="1390" t="s">
        <v>1635</v>
      </c>
      <c r="B16" s="1387">
        <v>20</v>
      </c>
      <c r="C16" s="1397" t="s">
        <v>309</v>
      </c>
      <c r="D16" s="1387"/>
      <c r="E16" s="1387"/>
      <c r="F16" s="1271"/>
      <c r="G16" s="1271"/>
      <c r="H16" s="1271"/>
      <c r="I16" s="1271"/>
    </row>
    <row r="17" spans="1:9" ht="84">
      <c r="A17" s="1398" t="s">
        <v>1636</v>
      </c>
      <c r="B17" s="1387"/>
      <c r="C17" s="1405" t="s">
        <v>1637</v>
      </c>
      <c r="D17" s="1402" t="s">
        <v>1628</v>
      </c>
      <c r="E17" s="1404">
        <v>4043.8725999999997</v>
      </c>
      <c r="F17" s="1271"/>
      <c r="G17" s="1271"/>
      <c r="H17" s="1271"/>
      <c r="I17" s="1271"/>
    </row>
    <row r="18" spans="1:9" ht="84">
      <c r="A18" s="1390" t="s">
        <v>1638</v>
      </c>
      <c r="B18" s="1387">
        <v>15</v>
      </c>
      <c r="C18" s="1406" t="s">
        <v>1639</v>
      </c>
      <c r="D18" s="1387"/>
      <c r="E18" s="1387"/>
      <c r="F18" s="1271"/>
      <c r="G18" s="1271"/>
      <c r="H18" s="1271"/>
      <c r="I18" s="1271"/>
    </row>
    <row r="19" spans="1:9" ht="17.399999999999999">
      <c r="A19" s="1398" t="s">
        <v>1640</v>
      </c>
      <c r="B19" s="1387"/>
      <c r="C19" s="1407" t="s">
        <v>1641</v>
      </c>
      <c r="D19" s="1402" t="s">
        <v>1630</v>
      </c>
      <c r="E19" s="1404">
        <v>497.60210000000006</v>
      </c>
      <c r="F19" s="1271"/>
      <c r="G19" s="1271"/>
      <c r="H19" s="1271"/>
      <c r="I19" s="1271"/>
    </row>
    <row r="20" spans="1:9" ht="33.6">
      <c r="A20" s="1398" t="s">
        <v>1642</v>
      </c>
      <c r="B20" s="1387"/>
      <c r="C20" s="1407" t="s">
        <v>1643</v>
      </c>
      <c r="D20" s="1402" t="s">
        <v>1630</v>
      </c>
      <c r="E20" s="1404">
        <v>6220.08</v>
      </c>
      <c r="F20" s="1271"/>
      <c r="G20" s="1271"/>
      <c r="H20" s="1271"/>
      <c r="I20" s="1271"/>
    </row>
    <row r="21" spans="1:9" ht="17.399999999999999">
      <c r="A21" s="1398" t="s">
        <v>1644</v>
      </c>
      <c r="B21" s="1387"/>
      <c r="C21" s="1407" t="s">
        <v>1645</v>
      </c>
      <c r="D21" s="1402" t="s">
        <v>1630</v>
      </c>
      <c r="E21" s="1404">
        <v>11364.305600000002</v>
      </c>
      <c r="F21" s="1271"/>
      <c r="G21" s="1271"/>
      <c r="H21" s="1271"/>
      <c r="I21" s="1271"/>
    </row>
    <row r="22" spans="1:9" ht="17.399999999999999">
      <c r="A22" s="1398" t="s">
        <v>1646</v>
      </c>
      <c r="B22" s="1387"/>
      <c r="C22" s="1407" t="s">
        <v>1647</v>
      </c>
      <c r="D22" s="1402" t="s">
        <v>1630</v>
      </c>
      <c r="E22" s="1404">
        <v>840</v>
      </c>
      <c r="F22" s="1271"/>
      <c r="G22" s="1271"/>
      <c r="H22" s="1271"/>
      <c r="I22" s="1271"/>
    </row>
    <row r="23" spans="1:9">
      <c r="A23" s="1390" t="s">
        <v>1648</v>
      </c>
      <c r="B23" s="1387">
        <v>21</v>
      </c>
      <c r="C23" s="1270" t="s">
        <v>1649</v>
      </c>
      <c r="D23" s="1387"/>
      <c r="E23" s="1387"/>
      <c r="F23" s="1271"/>
      <c r="G23" s="1271"/>
      <c r="H23" s="1271"/>
      <c r="I23" s="1271"/>
    </row>
    <row r="24" spans="1:9" ht="100.8">
      <c r="A24" s="1398" t="s">
        <v>1650</v>
      </c>
      <c r="B24" s="1387"/>
      <c r="C24" s="1405" t="s">
        <v>1248</v>
      </c>
      <c r="D24" s="1408" t="s">
        <v>25</v>
      </c>
      <c r="E24" s="1404">
        <v>565.58300000000008</v>
      </c>
      <c r="F24" s="1271"/>
      <c r="G24" s="1271"/>
      <c r="H24" s="1271"/>
      <c r="I24" s="1271"/>
    </row>
    <row r="25" spans="1:9" ht="67.2">
      <c r="A25" s="1390" t="s">
        <v>1651</v>
      </c>
      <c r="B25" s="1387">
        <v>23</v>
      </c>
      <c r="C25" s="1406" t="s">
        <v>1652</v>
      </c>
      <c r="D25" s="1387"/>
      <c r="E25" s="1387"/>
      <c r="F25" s="1271"/>
      <c r="G25" s="1271"/>
      <c r="H25" s="1271"/>
      <c r="I25" s="1271"/>
    </row>
    <row r="26" spans="1:9" ht="17.399999999999999">
      <c r="A26" s="1398" t="s">
        <v>1653</v>
      </c>
      <c r="B26" s="1387"/>
      <c r="C26" s="1407" t="s">
        <v>1654</v>
      </c>
      <c r="D26" s="1402" t="s">
        <v>1630</v>
      </c>
      <c r="E26" s="1404">
        <v>1646.25</v>
      </c>
      <c r="F26" s="1271"/>
      <c r="G26" s="1271"/>
      <c r="H26" s="1271"/>
      <c r="I26" s="1271"/>
    </row>
    <row r="27" spans="1:9" ht="17.399999999999999">
      <c r="A27" s="1398" t="s">
        <v>1655</v>
      </c>
      <c r="B27" s="1387"/>
      <c r="C27" s="1407" t="s">
        <v>1656</v>
      </c>
      <c r="D27" s="1402" t="s">
        <v>1630</v>
      </c>
      <c r="E27" s="1404">
        <v>952.59999999999991</v>
      </c>
      <c r="F27" s="1271"/>
      <c r="G27" s="1271"/>
      <c r="H27" s="1271"/>
      <c r="I27" s="1271"/>
    </row>
    <row r="28" spans="1:9">
      <c r="A28" s="1390" t="s">
        <v>1657</v>
      </c>
      <c r="B28" s="1387"/>
      <c r="C28" s="1270" t="s">
        <v>761</v>
      </c>
      <c r="D28" s="1387"/>
      <c r="E28" s="1387"/>
      <c r="F28" s="1271"/>
      <c r="G28" s="1271"/>
      <c r="H28" s="1271"/>
      <c r="I28" s="1271"/>
    </row>
    <row r="29" spans="1:9" ht="67.2">
      <c r="A29" s="1398" t="s">
        <v>1658</v>
      </c>
      <c r="B29" s="1404">
        <v>11.1</v>
      </c>
      <c r="C29" s="1407" t="s">
        <v>1659</v>
      </c>
      <c r="D29" s="1402" t="s">
        <v>1630</v>
      </c>
      <c r="E29" s="1404">
        <v>548.75</v>
      </c>
      <c r="F29" s="1271"/>
      <c r="G29" s="1271"/>
      <c r="H29" s="1271"/>
      <c r="I29" s="1271"/>
    </row>
    <row r="30" spans="1:9">
      <c r="A30" s="1390" t="s">
        <v>1660</v>
      </c>
      <c r="B30" s="1387"/>
      <c r="C30" s="1270" t="s">
        <v>1661</v>
      </c>
      <c r="D30" s="1387"/>
      <c r="E30" s="1387"/>
      <c r="F30" s="1271"/>
      <c r="G30" s="1271"/>
      <c r="H30" s="1271"/>
      <c r="I30" s="1271"/>
    </row>
    <row r="31" spans="1:9" ht="50.4">
      <c r="A31" s="1398" t="s">
        <v>1662</v>
      </c>
      <c r="B31" s="1387">
        <v>24</v>
      </c>
      <c r="C31" s="1407" t="s">
        <v>1663</v>
      </c>
      <c r="D31" s="1402" t="s">
        <v>1630</v>
      </c>
      <c r="E31" s="1404">
        <v>439</v>
      </c>
      <c r="F31" s="1271"/>
      <c r="G31" s="1271"/>
      <c r="H31" s="1271"/>
      <c r="I31" s="1271"/>
    </row>
    <row r="32" spans="1:9">
      <c r="A32" s="1386"/>
      <c r="B32" s="1387"/>
      <c r="C32" s="1271"/>
      <c r="D32" s="1387"/>
      <c r="E32" s="1387"/>
      <c r="F32" s="1271"/>
      <c r="G32" s="1271"/>
      <c r="H32" s="1271"/>
      <c r="I32" s="1271"/>
    </row>
    <row r="33" spans="1:9" ht="67.2">
      <c r="A33" s="1390" t="s">
        <v>1664</v>
      </c>
      <c r="B33" s="1387"/>
      <c r="C33" s="1407" t="s">
        <v>1665</v>
      </c>
      <c r="D33" s="1387"/>
      <c r="E33" s="1387"/>
      <c r="F33" s="1271"/>
      <c r="G33" s="1271"/>
      <c r="H33" s="1271"/>
      <c r="I33" s="1271"/>
    </row>
    <row r="34" spans="1:9">
      <c r="A34" s="1398" t="s">
        <v>1666</v>
      </c>
      <c r="B34" s="1387"/>
      <c r="C34" s="1407" t="s">
        <v>42</v>
      </c>
      <c r="D34" s="1387" t="s">
        <v>27</v>
      </c>
      <c r="E34" s="1404">
        <v>686.4</v>
      </c>
      <c r="F34" s="1271"/>
      <c r="G34" s="1271"/>
      <c r="H34" s="1271"/>
      <c r="I34" s="1271"/>
    </row>
    <row r="35" spans="1:9">
      <c r="A35" s="1398" t="s">
        <v>1667</v>
      </c>
      <c r="B35" s="1387"/>
      <c r="C35" s="1407" t="s">
        <v>44</v>
      </c>
      <c r="D35" s="1387" t="s">
        <v>27</v>
      </c>
      <c r="E35" s="1404">
        <v>1372.8</v>
      </c>
      <c r="F35" s="1271"/>
      <c r="G35" s="1271"/>
      <c r="H35" s="1271"/>
      <c r="I35" s="1271"/>
    </row>
    <row r="36" spans="1:9" ht="17.399999999999999">
      <c r="A36" s="1398" t="s">
        <v>1668</v>
      </c>
      <c r="B36" s="1387"/>
      <c r="C36" s="1407" t="s">
        <v>175</v>
      </c>
      <c r="D36" s="1387" t="s">
        <v>1628</v>
      </c>
      <c r="E36" s="1404">
        <v>1545.08</v>
      </c>
      <c r="F36" s="1271"/>
      <c r="G36" s="1271"/>
      <c r="H36" s="1271"/>
      <c r="I36" s="1271"/>
    </row>
    <row r="37" spans="1:9">
      <c r="A37" s="1398" t="s">
        <v>1669</v>
      </c>
      <c r="B37" s="1387"/>
      <c r="C37" s="1407" t="s">
        <v>1670</v>
      </c>
      <c r="D37" s="1387" t="s">
        <v>47</v>
      </c>
      <c r="E37" s="1404">
        <v>12731.6</v>
      </c>
      <c r="F37" s="1271"/>
      <c r="G37" s="1271"/>
      <c r="H37" s="1271"/>
      <c r="I37" s="1271"/>
    </row>
    <row r="38" spans="1:9">
      <c r="A38" s="2379" t="s">
        <v>1671</v>
      </c>
      <c r="B38" s="2379"/>
      <c r="C38" s="2379"/>
      <c r="D38" s="1387"/>
      <c r="E38" s="1387"/>
      <c r="F38" s="1271"/>
      <c r="G38" s="1271"/>
      <c r="H38" s="1271"/>
      <c r="I38" s="1271"/>
    </row>
    <row r="39" spans="1:9">
      <c r="A39" s="1394"/>
      <c r="B39" s="1395"/>
      <c r="C39" s="1396"/>
      <c r="D39" s="1395"/>
      <c r="E39" s="1395"/>
      <c r="F39" s="1396"/>
      <c r="G39" s="1396"/>
      <c r="H39" s="1396"/>
      <c r="I39" s="1396"/>
    </row>
    <row r="40" spans="1:9" ht="33.6">
      <c r="A40" s="1390" t="s">
        <v>1672</v>
      </c>
      <c r="B40" s="1387"/>
      <c r="C40" s="1391" t="s">
        <v>1673</v>
      </c>
      <c r="D40" s="1387"/>
      <c r="E40" s="1387"/>
      <c r="F40" s="1271"/>
      <c r="G40" s="1271"/>
      <c r="H40" s="1271"/>
      <c r="I40" s="1271"/>
    </row>
    <row r="41" spans="1:9">
      <c r="A41" s="1390" t="s">
        <v>1674</v>
      </c>
      <c r="B41" s="1387"/>
      <c r="C41" s="1397" t="s">
        <v>18</v>
      </c>
      <c r="D41" s="1387"/>
      <c r="E41" s="1387"/>
      <c r="F41" s="1271"/>
      <c r="G41" s="1271"/>
      <c r="H41" s="1271"/>
      <c r="I41" s="1271"/>
    </row>
    <row r="42" spans="1:9" ht="117.6">
      <c r="A42" s="1398" t="s">
        <v>1675</v>
      </c>
      <c r="B42" s="1387" t="s">
        <v>1610</v>
      </c>
      <c r="C42" s="1393" t="s">
        <v>1676</v>
      </c>
      <c r="D42" s="1387" t="s">
        <v>1628</v>
      </c>
      <c r="E42" s="1387">
        <v>1708.8500000000001</v>
      </c>
      <c r="F42" s="1271"/>
      <c r="G42" s="1271"/>
      <c r="H42" s="1271"/>
      <c r="I42" s="1271"/>
    </row>
    <row r="43" spans="1:9" ht="100.8">
      <c r="A43" s="1390" t="s">
        <v>1677</v>
      </c>
      <c r="B43" s="1400">
        <v>11</v>
      </c>
      <c r="C43" s="1401" t="s">
        <v>1678</v>
      </c>
      <c r="D43" s="1387"/>
      <c r="E43" s="1387"/>
      <c r="F43" s="1271"/>
      <c r="G43" s="1271"/>
      <c r="H43" s="1271"/>
      <c r="I43" s="1271"/>
    </row>
    <row r="44" spans="1:9" ht="17.399999999999999">
      <c r="A44" s="1398" t="s">
        <v>1613</v>
      </c>
      <c r="B44" s="1387"/>
      <c r="C44" s="1271" t="s">
        <v>1632</v>
      </c>
      <c r="D44" s="1402" t="s">
        <v>1630</v>
      </c>
      <c r="E44" s="1409">
        <v>18195.660000000003</v>
      </c>
      <c r="F44" s="1271"/>
      <c r="G44" s="1271"/>
      <c r="H44" s="1271"/>
      <c r="I44" s="1271"/>
    </row>
    <row r="45" spans="1:9">
      <c r="A45" s="1390" t="s">
        <v>1679</v>
      </c>
      <c r="B45" s="1387">
        <v>11.9</v>
      </c>
      <c r="C45" s="1270" t="s">
        <v>31</v>
      </c>
      <c r="D45" s="1387"/>
      <c r="E45" s="1387"/>
      <c r="F45" s="1271"/>
      <c r="G45" s="1271"/>
      <c r="H45" s="1271"/>
      <c r="I45" s="1271"/>
    </row>
    <row r="46" spans="1:9" ht="50.4">
      <c r="A46" s="1398" t="s">
        <v>1680</v>
      </c>
      <c r="B46" s="1387"/>
      <c r="C46" s="1406" t="s">
        <v>1681</v>
      </c>
      <c r="D46" s="1402" t="s">
        <v>1630</v>
      </c>
      <c r="E46" s="1409">
        <v>10500.9</v>
      </c>
      <c r="F46" s="1271"/>
      <c r="G46" s="1271"/>
      <c r="H46" s="1271"/>
      <c r="I46" s="1271"/>
    </row>
    <row r="47" spans="1:9">
      <c r="A47" s="1390" t="s">
        <v>1682</v>
      </c>
      <c r="B47" s="1387">
        <v>20</v>
      </c>
      <c r="C47" s="1397" t="s">
        <v>309</v>
      </c>
      <c r="D47" s="1387"/>
      <c r="E47" s="1387"/>
      <c r="F47" s="1271"/>
      <c r="G47" s="1271"/>
      <c r="H47" s="1271"/>
      <c r="I47" s="1271"/>
    </row>
    <row r="48" spans="1:9" ht="84">
      <c r="A48" s="1398" t="s">
        <v>1683</v>
      </c>
      <c r="B48" s="1387"/>
      <c r="C48" s="1405" t="s">
        <v>1637</v>
      </c>
      <c r="D48" s="1387" t="s">
        <v>1628</v>
      </c>
      <c r="E48" s="1409">
        <v>7578.1788899999983</v>
      </c>
      <c r="F48" s="1271"/>
      <c r="G48" s="1271"/>
      <c r="H48" s="1271"/>
      <c r="I48" s="1271"/>
    </row>
    <row r="49" spans="1:9" ht="84">
      <c r="A49" s="1390" t="s">
        <v>1684</v>
      </c>
      <c r="B49" s="1387">
        <v>15</v>
      </c>
      <c r="C49" s="1406" t="s">
        <v>1639</v>
      </c>
      <c r="D49" s="1387"/>
      <c r="E49" s="1387"/>
      <c r="F49" s="1271"/>
      <c r="G49" s="1271"/>
      <c r="H49" s="1271"/>
      <c r="I49" s="1271"/>
    </row>
    <row r="50" spans="1:9" ht="17.399999999999999">
      <c r="A50" s="1398" t="s">
        <v>1685</v>
      </c>
      <c r="B50" s="1387"/>
      <c r="C50" s="1407" t="s">
        <v>1641</v>
      </c>
      <c r="D50" s="1402" t="s">
        <v>1630</v>
      </c>
      <c r="E50" s="1409">
        <v>182.24666666666664</v>
      </c>
      <c r="F50" s="1271"/>
      <c r="G50" s="1271"/>
      <c r="H50" s="1271"/>
      <c r="I50" s="1271"/>
    </row>
    <row r="51" spans="1:9" ht="33.6">
      <c r="A51" s="1398" t="s">
        <v>1686</v>
      </c>
      <c r="B51" s="1387"/>
      <c r="C51" s="1407" t="s">
        <v>1643</v>
      </c>
      <c r="D51" s="1402" t="s">
        <v>1630</v>
      </c>
      <c r="E51" s="1409">
        <v>308.01600000000002</v>
      </c>
      <c r="F51" s="1271"/>
      <c r="G51" s="1271"/>
      <c r="H51" s="1271"/>
      <c r="I51" s="1271"/>
    </row>
    <row r="52" spans="1:9" ht="17.399999999999999">
      <c r="A52" s="1398" t="s">
        <v>1687</v>
      </c>
      <c r="B52" s="1387"/>
      <c r="C52" s="1407" t="s">
        <v>1645</v>
      </c>
      <c r="D52" s="1402" t="s">
        <v>1630</v>
      </c>
      <c r="E52" s="1409">
        <v>5923.5930790000002</v>
      </c>
      <c r="F52" s="1271"/>
      <c r="G52" s="1271"/>
      <c r="H52" s="1271"/>
      <c r="I52" s="1271"/>
    </row>
    <row r="53" spans="1:9" ht="17.399999999999999">
      <c r="A53" s="1398" t="s">
        <v>1688</v>
      </c>
      <c r="B53" s="1387"/>
      <c r="C53" s="1407" t="s">
        <v>1689</v>
      </c>
      <c r="D53" s="1402" t="s">
        <v>1630</v>
      </c>
      <c r="E53" s="1409">
        <v>119.767</v>
      </c>
      <c r="F53" s="1271"/>
      <c r="G53" s="1271"/>
      <c r="H53" s="1271"/>
      <c r="I53" s="1271"/>
    </row>
    <row r="54" spans="1:9">
      <c r="A54" s="1390" t="s">
        <v>1690</v>
      </c>
      <c r="B54" s="1387">
        <v>21</v>
      </c>
      <c r="C54" s="1270" t="s">
        <v>1649</v>
      </c>
      <c r="D54" s="1387"/>
      <c r="E54" s="1387"/>
      <c r="F54" s="1271"/>
      <c r="G54" s="1271"/>
      <c r="H54" s="1271"/>
      <c r="I54" s="1271"/>
    </row>
    <row r="55" spans="1:9" ht="100.8">
      <c r="A55" s="1398" t="s">
        <v>1691</v>
      </c>
      <c r="B55" s="1387"/>
      <c r="C55" s="1405" t="s">
        <v>1248</v>
      </c>
      <c r="D55" s="1408" t="s">
        <v>25</v>
      </c>
      <c r="E55" s="1409">
        <v>733.83999999999992</v>
      </c>
      <c r="F55" s="1271"/>
      <c r="G55" s="1271"/>
      <c r="H55" s="1271"/>
      <c r="I55" s="1271"/>
    </row>
    <row r="56" spans="1:9">
      <c r="A56" s="1390" t="s">
        <v>1692</v>
      </c>
      <c r="B56" s="1387"/>
      <c r="C56" s="1270" t="s">
        <v>1693</v>
      </c>
      <c r="D56" s="1387"/>
      <c r="E56" s="1387"/>
      <c r="F56" s="1271"/>
      <c r="G56" s="1271"/>
      <c r="H56" s="1271"/>
      <c r="I56" s="1271"/>
    </row>
    <row r="57" spans="1:9" ht="84">
      <c r="A57" s="1398" t="s">
        <v>1694</v>
      </c>
      <c r="B57" s="1387">
        <v>22.5</v>
      </c>
      <c r="C57" s="1405" t="s">
        <v>1695</v>
      </c>
      <c r="D57" s="1402" t="s">
        <v>1630</v>
      </c>
      <c r="E57" s="1409">
        <v>342.69947999999999</v>
      </c>
      <c r="F57" s="1271"/>
      <c r="G57" s="1271"/>
      <c r="H57" s="1271"/>
      <c r="I57" s="1271"/>
    </row>
    <row r="58" spans="1:9">
      <c r="A58" s="1390" t="s">
        <v>1696</v>
      </c>
      <c r="B58" s="1387"/>
      <c r="C58" s="1410" t="s">
        <v>1697</v>
      </c>
      <c r="D58" s="1402"/>
      <c r="E58" s="1409"/>
      <c r="F58" s="1271"/>
      <c r="G58" s="1271"/>
      <c r="H58" s="1271"/>
      <c r="I58" s="1271"/>
    </row>
    <row r="59" spans="1:9" ht="50.4">
      <c r="A59" s="1398" t="s">
        <v>1698</v>
      </c>
      <c r="B59" s="1387" t="s">
        <v>1699</v>
      </c>
      <c r="C59" s="1405" t="s">
        <v>1700</v>
      </c>
      <c r="D59" s="1402" t="s">
        <v>47</v>
      </c>
      <c r="E59" s="1409">
        <v>38574.9</v>
      </c>
      <c r="F59" s="1271"/>
      <c r="G59" s="1271"/>
      <c r="H59" s="1271"/>
      <c r="I59" s="1271"/>
    </row>
    <row r="60" spans="1:9">
      <c r="A60" s="1390" t="s">
        <v>1701</v>
      </c>
      <c r="B60" s="1387"/>
      <c r="C60" s="1270" t="s">
        <v>1702</v>
      </c>
      <c r="D60" s="1387"/>
      <c r="E60" s="1387"/>
      <c r="F60" s="1271"/>
      <c r="G60" s="1271"/>
      <c r="H60" s="1271"/>
      <c r="I60" s="1271"/>
    </row>
    <row r="61" spans="1:9" ht="50.4">
      <c r="A61" s="1398" t="s">
        <v>1703</v>
      </c>
      <c r="B61" s="1387">
        <v>30</v>
      </c>
      <c r="C61" s="1406" t="s">
        <v>1704</v>
      </c>
      <c r="D61" s="1402" t="s">
        <v>1630</v>
      </c>
      <c r="E61" s="1409">
        <v>107.25</v>
      </c>
      <c r="F61" s="1271"/>
      <c r="G61" s="1271"/>
      <c r="H61" s="1271"/>
      <c r="I61" s="1271"/>
    </row>
    <row r="62" spans="1:9">
      <c r="A62" s="1390" t="s">
        <v>1705</v>
      </c>
      <c r="B62" s="1387">
        <v>22</v>
      </c>
      <c r="C62" s="1270" t="s">
        <v>1706</v>
      </c>
      <c r="D62" s="1387"/>
      <c r="E62" s="1387"/>
      <c r="F62" s="1271"/>
      <c r="G62" s="1271"/>
      <c r="H62" s="1271"/>
      <c r="I62" s="1271"/>
    </row>
    <row r="63" spans="1:9" ht="67.2">
      <c r="A63" s="1398" t="s">
        <v>1707</v>
      </c>
      <c r="B63" s="1387"/>
      <c r="C63" s="1406" t="s">
        <v>1708</v>
      </c>
      <c r="D63" s="1402" t="s">
        <v>1630</v>
      </c>
      <c r="E63" s="1409">
        <v>153.34825000000001</v>
      </c>
      <c r="F63" s="1271"/>
      <c r="G63" s="1271"/>
      <c r="H63" s="1271"/>
      <c r="I63" s="1271"/>
    </row>
    <row r="64" spans="1:9" ht="67.2">
      <c r="A64" s="1398" t="s">
        <v>1709</v>
      </c>
      <c r="B64" s="1387"/>
      <c r="C64" s="1406" t="s">
        <v>1710</v>
      </c>
      <c r="D64" s="1402" t="s">
        <v>1630</v>
      </c>
      <c r="E64" s="1409">
        <v>127.01763281999999</v>
      </c>
      <c r="F64" s="1271"/>
      <c r="G64" s="1271"/>
      <c r="H64" s="1271"/>
      <c r="I64" s="1271"/>
    </row>
    <row r="65" spans="1:9">
      <c r="A65" s="1398"/>
      <c r="B65" s="1387"/>
      <c r="C65" s="1406"/>
      <c r="D65" s="1402"/>
      <c r="E65" s="1409"/>
      <c r="F65" s="1271"/>
      <c r="G65" s="1271"/>
      <c r="H65" s="1271"/>
      <c r="I65" s="1271"/>
    </row>
    <row r="66" spans="1:9" ht="67.2">
      <c r="A66" s="1390" t="s">
        <v>1711</v>
      </c>
      <c r="B66" s="1387"/>
      <c r="C66" s="1405" t="s">
        <v>1712</v>
      </c>
      <c r="D66" s="1402"/>
      <c r="E66" s="1409"/>
      <c r="F66" s="1271"/>
      <c r="G66" s="1271"/>
      <c r="H66" s="1271"/>
      <c r="I66" s="1271"/>
    </row>
    <row r="67" spans="1:9">
      <c r="A67" s="1398" t="s">
        <v>1713</v>
      </c>
      <c r="B67" s="1387"/>
      <c r="C67" s="1405" t="s">
        <v>174</v>
      </c>
      <c r="D67" s="1411" t="s">
        <v>27</v>
      </c>
      <c r="E67" s="1409">
        <v>180.96</v>
      </c>
      <c r="F67" s="1271"/>
      <c r="G67" s="1271"/>
      <c r="H67" s="1271"/>
      <c r="I67" s="1271"/>
    </row>
    <row r="68" spans="1:9">
      <c r="A68" s="1398" t="s">
        <v>1714</v>
      </c>
      <c r="B68" s="1387"/>
      <c r="C68" s="1405" t="s">
        <v>176</v>
      </c>
      <c r="D68" s="1411" t="s">
        <v>27</v>
      </c>
      <c r="E68" s="1409">
        <v>361.92</v>
      </c>
      <c r="F68" s="1271"/>
      <c r="G68" s="1271"/>
      <c r="H68" s="1271"/>
      <c r="I68" s="1271"/>
    </row>
    <row r="69" spans="1:9" ht="17.399999999999999">
      <c r="A69" s="1398" t="s">
        <v>1715</v>
      </c>
      <c r="B69" s="1387"/>
      <c r="C69" s="1405" t="s">
        <v>175</v>
      </c>
      <c r="D69" s="1412" t="s">
        <v>1628</v>
      </c>
      <c r="E69" s="1409">
        <v>255.63589999999999</v>
      </c>
      <c r="F69" s="1271"/>
      <c r="G69" s="1271"/>
      <c r="H69" s="1271"/>
      <c r="I69" s="1271"/>
    </row>
    <row r="70" spans="1:9">
      <c r="A70" s="1398" t="s">
        <v>1716</v>
      </c>
      <c r="B70" s="1387"/>
      <c r="C70" s="1405" t="s">
        <v>1717</v>
      </c>
      <c r="D70" s="1411" t="s">
        <v>47</v>
      </c>
      <c r="E70" s="1409">
        <v>1087.4499999999998</v>
      </c>
      <c r="F70" s="1271"/>
      <c r="G70" s="1271"/>
      <c r="H70" s="1271"/>
      <c r="I70" s="1271"/>
    </row>
    <row r="71" spans="1:9" ht="50.4">
      <c r="A71" s="1390" t="s">
        <v>1718</v>
      </c>
      <c r="B71" s="1387" t="s">
        <v>1719</v>
      </c>
      <c r="C71" s="1405" t="s">
        <v>1720</v>
      </c>
      <c r="D71" s="1412" t="s">
        <v>1630</v>
      </c>
      <c r="E71" s="1409">
        <v>163.60987500000002</v>
      </c>
      <c r="F71" s="1271"/>
      <c r="G71" s="1271"/>
      <c r="H71" s="1271"/>
      <c r="I71" s="1271"/>
    </row>
    <row r="72" spans="1:9" ht="50.4">
      <c r="A72" s="1390" t="s">
        <v>1721</v>
      </c>
      <c r="B72" s="1387" t="s">
        <v>1722</v>
      </c>
      <c r="C72" s="1405" t="s">
        <v>1723</v>
      </c>
      <c r="D72" s="1412" t="s">
        <v>1628</v>
      </c>
      <c r="E72" s="1409">
        <v>698.82449999999994</v>
      </c>
      <c r="F72" s="1271"/>
      <c r="G72" s="1271"/>
      <c r="H72" s="1271"/>
      <c r="I72" s="1271"/>
    </row>
    <row r="73" spans="1:9" ht="33.6">
      <c r="A73" s="1390" t="s">
        <v>1724</v>
      </c>
      <c r="B73" s="1387"/>
      <c r="C73" s="1405" t="s">
        <v>1725</v>
      </c>
      <c r="D73" s="1412" t="s">
        <v>27</v>
      </c>
      <c r="E73" s="1409">
        <v>82.5</v>
      </c>
      <c r="F73" s="1271"/>
      <c r="G73" s="1271"/>
      <c r="H73" s="1271"/>
      <c r="I73" s="1271"/>
    </row>
    <row r="74" spans="1:9">
      <c r="A74" s="1413" t="s">
        <v>1726</v>
      </c>
      <c r="B74" s="1400"/>
      <c r="C74" s="1413"/>
      <c r="D74" s="1392"/>
      <c r="E74" s="1387"/>
      <c r="F74" s="1271"/>
      <c r="G74" s="1271"/>
      <c r="H74" s="1271"/>
      <c r="I74" s="1271"/>
    </row>
    <row r="75" spans="1:9">
      <c r="A75" s="1394"/>
      <c r="B75" s="1395"/>
      <c r="C75" s="1396"/>
      <c r="D75" s="1395"/>
      <c r="E75" s="1395"/>
      <c r="F75" s="1396"/>
      <c r="G75" s="1396"/>
      <c r="H75" s="1396"/>
      <c r="I75" s="1396"/>
    </row>
    <row r="76" spans="1:9" ht="33.6">
      <c r="A76" s="1390" t="s">
        <v>1727</v>
      </c>
      <c r="B76" s="1387"/>
      <c r="C76" s="1391" t="s">
        <v>1728</v>
      </c>
      <c r="D76" s="1387"/>
      <c r="E76" s="1387"/>
      <c r="F76" s="1271"/>
      <c r="G76" s="1271"/>
      <c r="H76" s="1271"/>
      <c r="I76" s="1271"/>
    </row>
    <row r="77" spans="1:9">
      <c r="A77" s="1390" t="s">
        <v>1729</v>
      </c>
      <c r="B77" s="1387"/>
      <c r="C77" s="1397" t="s">
        <v>18</v>
      </c>
      <c r="D77" s="1387"/>
      <c r="E77" s="1387"/>
      <c r="F77" s="1271"/>
      <c r="G77" s="1271"/>
      <c r="H77" s="1271"/>
      <c r="I77" s="1271"/>
    </row>
    <row r="78" spans="1:9" ht="117.6">
      <c r="A78" s="1398" t="s">
        <v>1730</v>
      </c>
      <c r="B78" s="1387" t="s">
        <v>1610</v>
      </c>
      <c r="C78" s="1393" t="s">
        <v>1676</v>
      </c>
      <c r="D78" s="1387" t="s">
        <v>1628</v>
      </c>
      <c r="E78" s="1404">
        <v>1225.2239999999999</v>
      </c>
      <c r="F78" s="1271"/>
      <c r="G78" s="1271"/>
      <c r="H78" s="1271"/>
      <c r="I78" s="1271"/>
    </row>
    <row r="79" spans="1:9" ht="100.8">
      <c r="A79" s="1390" t="s">
        <v>1731</v>
      </c>
      <c r="B79" s="1387">
        <v>11</v>
      </c>
      <c r="C79" s="1401" t="s">
        <v>1678</v>
      </c>
      <c r="D79" s="1387"/>
      <c r="E79" s="1387"/>
      <c r="F79" s="1271"/>
      <c r="G79" s="1271"/>
      <c r="H79" s="1271"/>
      <c r="I79" s="1271"/>
    </row>
    <row r="80" spans="1:9" ht="17.399999999999999">
      <c r="A80" s="1398" t="s">
        <v>1732</v>
      </c>
      <c r="B80" s="1387"/>
      <c r="C80" s="1271" t="s">
        <v>1632</v>
      </c>
      <c r="D80" s="1402" t="s">
        <v>1630</v>
      </c>
      <c r="E80" s="1404">
        <v>20905.544687499998</v>
      </c>
      <c r="F80" s="1271"/>
      <c r="G80" s="1271"/>
      <c r="H80" s="1271"/>
      <c r="I80" s="1271"/>
    </row>
    <row r="81" spans="1:9">
      <c r="A81" s="1390" t="s">
        <v>1733</v>
      </c>
      <c r="B81" s="1387">
        <v>11.9</v>
      </c>
      <c r="C81" s="1270" t="s">
        <v>31</v>
      </c>
      <c r="D81" s="1387"/>
      <c r="E81" s="1387"/>
      <c r="F81" s="1271"/>
      <c r="G81" s="1271"/>
      <c r="H81" s="1271"/>
      <c r="I81" s="1271"/>
    </row>
    <row r="82" spans="1:9" ht="50.4">
      <c r="A82" s="1398" t="s">
        <v>1734</v>
      </c>
      <c r="B82" s="1387"/>
      <c r="C82" s="1406" t="s">
        <v>1681</v>
      </c>
      <c r="D82" s="1402" t="s">
        <v>1630</v>
      </c>
      <c r="E82" s="1404">
        <v>10750.46996875</v>
      </c>
      <c r="F82" s="1271"/>
      <c r="G82" s="1271"/>
      <c r="H82" s="1271"/>
      <c r="I82" s="1271"/>
    </row>
    <row r="83" spans="1:9">
      <c r="A83" s="1390" t="s">
        <v>1735</v>
      </c>
      <c r="B83" s="1387">
        <v>20</v>
      </c>
      <c r="C83" s="1397" t="s">
        <v>309</v>
      </c>
      <c r="D83" s="1387"/>
      <c r="E83" s="1387"/>
      <c r="F83" s="1271"/>
      <c r="G83" s="1271"/>
      <c r="H83" s="1271"/>
      <c r="I83" s="1271"/>
    </row>
    <row r="84" spans="1:9" ht="84">
      <c r="A84" s="1398" t="s">
        <v>1736</v>
      </c>
      <c r="B84" s="1387">
        <v>20</v>
      </c>
      <c r="C84" s="1405" t="s">
        <v>1637</v>
      </c>
      <c r="D84" s="1387" t="s">
        <v>1628</v>
      </c>
      <c r="E84" s="1404">
        <v>9189.8341</v>
      </c>
      <c r="F84" s="1271"/>
      <c r="G84" s="1271"/>
      <c r="H84" s="1271"/>
      <c r="I84" s="1271"/>
    </row>
    <row r="85" spans="1:9" ht="84">
      <c r="A85" s="1390" t="s">
        <v>1737</v>
      </c>
      <c r="B85" s="1387">
        <v>15</v>
      </c>
      <c r="C85" s="1406" t="s">
        <v>1639</v>
      </c>
      <c r="D85" s="1387"/>
      <c r="E85" s="1387"/>
      <c r="F85" s="1271"/>
      <c r="G85" s="1271"/>
      <c r="H85" s="1271"/>
      <c r="I85" s="1271"/>
    </row>
    <row r="86" spans="1:9" ht="17.399999999999999">
      <c r="A86" s="1398" t="s">
        <v>1738</v>
      </c>
      <c r="B86" s="1387"/>
      <c r="C86" s="1407" t="s">
        <v>1641</v>
      </c>
      <c r="D86" s="1402" t="s">
        <v>1630</v>
      </c>
      <c r="E86" s="1404">
        <v>184.15518000000003</v>
      </c>
      <c r="F86" s="1271"/>
      <c r="G86" s="1271"/>
      <c r="H86" s="1271"/>
      <c r="I86" s="1271"/>
    </row>
    <row r="87" spans="1:9" ht="33.6">
      <c r="A87" s="1398" t="s">
        <v>1739</v>
      </c>
      <c r="B87" s="1387"/>
      <c r="C87" s="1407" t="s">
        <v>1643</v>
      </c>
      <c r="D87" s="1402" t="s">
        <v>1630</v>
      </c>
      <c r="E87" s="1404">
        <v>404.84400000000011</v>
      </c>
      <c r="F87" s="1271"/>
      <c r="G87" s="1271"/>
      <c r="H87" s="1271"/>
      <c r="I87" s="1271"/>
    </row>
    <row r="88" spans="1:9" ht="17.399999999999999">
      <c r="A88" s="1398" t="s">
        <v>1740</v>
      </c>
      <c r="B88" s="1387"/>
      <c r="C88" s="1407" t="s">
        <v>1645</v>
      </c>
      <c r="D88" s="1402" t="s">
        <v>1630</v>
      </c>
      <c r="E88" s="1404">
        <v>4635.4759929831062</v>
      </c>
      <c r="F88" s="1271"/>
      <c r="G88" s="1271"/>
      <c r="H88" s="1271"/>
      <c r="I88" s="1271"/>
    </row>
    <row r="89" spans="1:9" ht="17.399999999999999">
      <c r="A89" s="1398" t="s">
        <v>1741</v>
      </c>
      <c r="B89" s="1387"/>
      <c r="C89" s="1407" t="s">
        <v>1689</v>
      </c>
      <c r="D89" s="1402" t="s">
        <v>1630</v>
      </c>
      <c r="E89" s="1404">
        <v>1.2149999999999999</v>
      </c>
      <c r="F89" s="1271"/>
      <c r="G89" s="1271"/>
      <c r="H89" s="1271"/>
      <c r="I89" s="1271"/>
    </row>
    <row r="90" spans="1:9">
      <c r="A90" s="1390" t="s">
        <v>1742</v>
      </c>
      <c r="B90" s="1387">
        <v>21</v>
      </c>
      <c r="C90" s="1270" t="s">
        <v>1649</v>
      </c>
      <c r="D90" s="1387"/>
      <c r="E90" s="1387"/>
      <c r="F90" s="1271"/>
      <c r="G90" s="1271"/>
      <c r="H90" s="1271"/>
      <c r="I90" s="1271"/>
    </row>
    <row r="91" spans="1:9" ht="100.8">
      <c r="A91" s="1398" t="s">
        <v>1743</v>
      </c>
      <c r="B91" s="1387"/>
      <c r="C91" s="1405" t="s">
        <v>1248</v>
      </c>
      <c r="D91" s="1408" t="s">
        <v>25</v>
      </c>
      <c r="E91" s="1409">
        <v>460.11</v>
      </c>
      <c r="F91" s="1271"/>
      <c r="G91" s="1271"/>
      <c r="H91" s="1271"/>
      <c r="I91" s="1271"/>
    </row>
    <row r="92" spans="1:9">
      <c r="A92" s="1390" t="s">
        <v>1744</v>
      </c>
      <c r="B92" s="1387"/>
      <c r="C92" s="1270" t="s">
        <v>1693</v>
      </c>
      <c r="D92" s="1387"/>
      <c r="E92" s="1387"/>
      <c r="F92" s="1271"/>
      <c r="G92" s="1271"/>
      <c r="H92" s="1271"/>
      <c r="I92" s="1271"/>
    </row>
    <row r="93" spans="1:9" ht="84">
      <c r="A93" s="1398" t="s">
        <v>1745</v>
      </c>
      <c r="B93" s="1387">
        <v>22.5</v>
      </c>
      <c r="C93" s="1405" t="s">
        <v>1695</v>
      </c>
      <c r="D93" s="1402" t="s">
        <v>1630</v>
      </c>
      <c r="E93" s="1409">
        <v>78.45</v>
      </c>
      <c r="F93" s="1271"/>
      <c r="G93" s="1271"/>
      <c r="H93" s="1271"/>
      <c r="I93" s="1271"/>
    </row>
    <row r="94" spans="1:9">
      <c r="A94" s="1390" t="s">
        <v>1746</v>
      </c>
      <c r="B94" s="1387"/>
      <c r="C94" s="1410" t="s">
        <v>1747</v>
      </c>
      <c r="D94" s="1402"/>
      <c r="E94" s="1409"/>
      <c r="F94" s="1271"/>
      <c r="G94" s="1271"/>
      <c r="H94" s="1271"/>
      <c r="I94" s="1271"/>
    </row>
    <row r="95" spans="1:9" ht="50.4">
      <c r="A95" s="1398" t="s">
        <v>1698</v>
      </c>
      <c r="B95" s="1387" t="s">
        <v>1699</v>
      </c>
      <c r="C95" s="1405" t="s">
        <v>1700</v>
      </c>
      <c r="D95" s="1387" t="s">
        <v>47</v>
      </c>
      <c r="E95" s="1409">
        <v>64296.398399999998</v>
      </c>
      <c r="F95" s="1271"/>
      <c r="G95" s="1271"/>
      <c r="H95" s="1271"/>
      <c r="I95" s="1271"/>
    </row>
    <row r="96" spans="1:9">
      <c r="A96" s="1390" t="s">
        <v>1746</v>
      </c>
      <c r="B96" s="1387">
        <v>30</v>
      </c>
      <c r="C96" s="1270" t="s">
        <v>1702</v>
      </c>
      <c r="D96" s="1387"/>
      <c r="E96" s="1387"/>
      <c r="F96" s="1271"/>
      <c r="G96" s="1271"/>
      <c r="H96" s="1271"/>
      <c r="I96" s="1271"/>
    </row>
    <row r="97" spans="1:9" ht="50.4">
      <c r="A97" s="1398" t="s">
        <v>1698</v>
      </c>
      <c r="B97" s="1387"/>
      <c r="C97" s="1406" t="s">
        <v>1704</v>
      </c>
      <c r="D97" s="1402" t="s">
        <v>1630</v>
      </c>
      <c r="E97" s="1409">
        <v>135.25</v>
      </c>
      <c r="F97" s="1271"/>
      <c r="G97" s="1271"/>
      <c r="H97" s="1271"/>
      <c r="I97" s="1271"/>
    </row>
    <row r="98" spans="1:9">
      <c r="A98" s="1390" t="s">
        <v>1748</v>
      </c>
      <c r="B98" s="1387">
        <v>22</v>
      </c>
      <c r="C98" s="1270" t="s">
        <v>1706</v>
      </c>
      <c r="D98" s="1387"/>
      <c r="E98" s="1387"/>
      <c r="F98" s="1271"/>
      <c r="G98" s="1271"/>
      <c r="H98" s="1271"/>
      <c r="I98" s="1271"/>
    </row>
    <row r="99" spans="1:9" ht="67.2">
      <c r="A99" s="1398" t="s">
        <v>1749</v>
      </c>
      <c r="B99" s="1387"/>
      <c r="C99" s="1406" t="s">
        <v>1708</v>
      </c>
      <c r="D99" s="1402" t="s">
        <v>1630</v>
      </c>
      <c r="E99" s="1409">
        <v>265.2</v>
      </c>
      <c r="F99" s="1271"/>
      <c r="G99" s="1271"/>
      <c r="H99" s="1271"/>
      <c r="I99" s="1271"/>
    </row>
    <row r="100" spans="1:9" ht="67.2">
      <c r="A100" s="1398" t="s">
        <v>1750</v>
      </c>
      <c r="B100" s="1387"/>
      <c r="C100" s="1406" t="s">
        <v>1710</v>
      </c>
      <c r="D100" s="1402" t="s">
        <v>1630</v>
      </c>
      <c r="E100" s="1409">
        <v>446.80341066</v>
      </c>
      <c r="F100" s="1271"/>
      <c r="G100" s="1271"/>
      <c r="H100" s="1271"/>
      <c r="I100" s="1271"/>
    </row>
    <row r="101" spans="1:9" ht="67.2">
      <c r="A101" s="1390" t="s">
        <v>1751</v>
      </c>
      <c r="B101" s="1387"/>
      <c r="C101" s="1405" t="s">
        <v>1712</v>
      </c>
      <c r="D101" s="1387"/>
      <c r="E101" s="1387"/>
      <c r="F101" s="1271"/>
      <c r="G101" s="1271"/>
      <c r="H101" s="1271"/>
      <c r="I101" s="1271"/>
    </row>
    <row r="102" spans="1:9">
      <c r="A102" s="1398" t="s">
        <v>1752</v>
      </c>
      <c r="B102" s="1387"/>
      <c r="C102" s="1405" t="s">
        <v>174</v>
      </c>
      <c r="D102" s="1411" t="s">
        <v>27</v>
      </c>
      <c r="E102" s="1409">
        <v>259.12</v>
      </c>
      <c r="F102" s="1271"/>
      <c r="G102" s="1271"/>
      <c r="H102" s="1271"/>
      <c r="I102" s="1271"/>
    </row>
    <row r="103" spans="1:9">
      <c r="A103" s="1398" t="s">
        <v>1753</v>
      </c>
      <c r="B103" s="1387"/>
      <c r="C103" s="1405" t="s">
        <v>176</v>
      </c>
      <c r="D103" s="1411" t="s">
        <v>27</v>
      </c>
      <c r="E103" s="1409">
        <v>518.24</v>
      </c>
      <c r="F103" s="1271"/>
      <c r="G103" s="1271"/>
      <c r="H103" s="1271"/>
      <c r="I103" s="1271"/>
    </row>
    <row r="104" spans="1:9">
      <c r="A104" s="1398" t="s">
        <v>1754</v>
      </c>
      <c r="B104" s="1387"/>
      <c r="C104" s="1405" t="s">
        <v>175</v>
      </c>
      <c r="D104" s="1411" t="s">
        <v>27</v>
      </c>
      <c r="E104" s="1409">
        <v>176.53280000000001</v>
      </c>
      <c r="F104" s="1271"/>
      <c r="G104" s="1271"/>
      <c r="H104" s="1271"/>
      <c r="I104" s="1271"/>
    </row>
    <row r="105" spans="1:9" ht="50.4">
      <c r="A105" s="1390" t="s">
        <v>1755</v>
      </c>
      <c r="B105" s="1387" t="s">
        <v>1719</v>
      </c>
      <c r="C105" s="1405" t="s">
        <v>1720</v>
      </c>
      <c r="D105" s="1412" t="s">
        <v>1630</v>
      </c>
      <c r="E105" s="1409">
        <v>461.7285</v>
      </c>
      <c r="F105" s="1271"/>
      <c r="G105" s="1271"/>
      <c r="H105" s="1271"/>
      <c r="I105" s="1271"/>
    </row>
    <row r="106" spans="1:9" ht="50.4">
      <c r="A106" s="1390" t="s">
        <v>1756</v>
      </c>
      <c r="B106" s="1387" t="s">
        <v>1722</v>
      </c>
      <c r="C106" s="1405" t="s">
        <v>1723</v>
      </c>
      <c r="D106" s="1412" t="s">
        <v>1628</v>
      </c>
      <c r="E106" s="1409">
        <v>1663.3332500000001</v>
      </c>
      <c r="F106" s="1271"/>
      <c r="G106" s="1271"/>
      <c r="H106" s="1271"/>
      <c r="I106" s="1271"/>
    </row>
    <row r="107" spans="1:9" ht="33.6">
      <c r="A107" s="1390" t="s">
        <v>1757</v>
      </c>
      <c r="B107" s="1387"/>
      <c r="C107" s="1405" t="s">
        <v>1725</v>
      </c>
      <c r="D107" s="1412" t="s">
        <v>27</v>
      </c>
      <c r="E107" s="1409">
        <v>197.5</v>
      </c>
      <c r="F107" s="1271"/>
      <c r="G107" s="1271"/>
      <c r="H107" s="1271"/>
      <c r="I107" s="1271"/>
    </row>
    <row r="108" spans="1:9">
      <c r="A108" s="1413" t="s">
        <v>1758</v>
      </c>
      <c r="B108" s="1387"/>
      <c r="C108" s="1271"/>
      <c r="D108" s="1387"/>
      <c r="E108" s="1387"/>
      <c r="F108" s="1271"/>
      <c r="G108" s="1271"/>
      <c r="H108" s="1271"/>
      <c r="I108" s="1271"/>
    </row>
    <row r="109" spans="1:9">
      <c r="A109" s="1396"/>
      <c r="B109" s="1395"/>
      <c r="C109" s="1396"/>
      <c r="D109" s="1395"/>
      <c r="E109" s="1395"/>
      <c r="F109" s="1396"/>
      <c r="G109" s="1396"/>
      <c r="H109" s="1396"/>
      <c r="I109" s="1396"/>
    </row>
    <row r="110" spans="1:9">
      <c r="A110" s="1390" t="s">
        <v>1759</v>
      </c>
      <c r="B110" s="1387"/>
      <c r="C110" s="1391" t="s">
        <v>137</v>
      </c>
      <c r="D110" s="1387"/>
      <c r="E110" s="1387"/>
      <c r="F110" s="1271"/>
      <c r="G110" s="1271"/>
      <c r="H110" s="1271"/>
      <c r="I110" s="1271"/>
    </row>
    <row r="111" spans="1:9">
      <c r="A111" s="1390" t="s">
        <v>1760</v>
      </c>
      <c r="B111" s="1387"/>
      <c r="C111" s="1397" t="s">
        <v>18</v>
      </c>
      <c r="D111" s="1387"/>
      <c r="E111" s="1387"/>
      <c r="F111" s="1271"/>
      <c r="G111" s="1271"/>
      <c r="H111" s="1271"/>
      <c r="I111" s="1271"/>
    </row>
    <row r="112" spans="1:9" ht="117.6">
      <c r="A112" s="1398" t="s">
        <v>1761</v>
      </c>
      <c r="B112" s="1387" t="s">
        <v>1610</v>
      </c>
      <c r="C112" s="1393" t="s">
        <v>1676</v>
      </c>
      <c r="D112" s="1387" t="s">
        <v>1628</v>
      </c>
      <c r="E112" s="1404">
        <v>764</v>
      </c>
      <c r="F112" s="1271"/>
      <c r="G112" s="1271"/>
      <c r="H112" s="1271"/>
      <c r="I112" s="1271"/>
    </row>
    <row r="113" spans="1:9" ht="117.6">
      <c r="A113" s="1390" t="s">
        <v>1762</v>
      </c>
      <c r="B113" s="1387">
        <v>11</v>
      </c>
      <c r="C113" s="1401" t="s">
        <v>1612</v>
      </c>
      <c r="D113" s="1402" t="s">
        <v>1630</v>
      </c>
      <c r="E113" s="1387"/>
      <c r="F113" s="1271"/>
      <c r="G113" s="1271"/>
      <c r="H113" s="1271"/>
      <c r="I113" s="1271"/>
    </row>
    <row r="114" spans="1:9" ht="17.399999999999999">
      <c r="A114" s="1398" t="s">
        <v>1763</v>
      </c>
      <c r="B114" s="1387"/>
      <c r="C114" s="1271" t="s">
        <v>1632</v>
      </c>
      <c r="D114" s="1402" t="s">
        <v>1630</v>
      </c>
      <c r="E114" s="1404">
        <v>10747.3745</v>
      </c>
      <c r="F114" s="1271"/>
      <c r="G114" s="1271"/>
      <c r="H114" s="1271"/>
      <c r="I114" s="1271"/>
    </row>
    <row r="115" spans="1:9" ht="17.399999999999999">
      <c r="A115" s="1398" t="s">
        <v>1764</v>
      </c>
      <c r="B115" s="1387"/>
      <c r="C115" s="1271" t="s">
        <v>1634</v>
      </c>
      <c r="D115" s="1402" t="s">
        <v>1630</v>
      </c>
      <c r="E115" s="1404">
        <v>1896.5954999999999</v>
      </c>
      <c r="F115" s="1271"/>
      <c r="G115" s="1271"/>
      <c r="H115" s="1271"/>
      <c r="I115" s="1271"/>
    </row>
    <row r="116" spans="1:9">
      <c r="A116" s="1390" t="s">
        <v>1765</v>
      </c>
      <c r="B116" s="1387">
        <v>11.9</v>
      </c>
      <c r="C116" s="1270" t="s">
        <v>31</v>
      </c>
      <c r="D116" s="1387"/>
      <c r="E116" s="1387"/>
      <c r="F116" s="1271"/>
      <c r="G116" s="1271"/>
      <c r="H116" s="1271"/>
      <c r="I116" s="1271"/>
    </row>
    <row r="117" spans="1:9" ht="50.4">
      <c r="A117" s="1398" t="s">
        <v>1766</v>
      </c>
      <c r="B117" s="1387"/>
      <c r="C117" s="1406" t="s">
        <v>1681</v>
      </c>
      <c r="D117" s="1402" t="s">
        <v>1630</v>
      </c>
      <c r="E117" s="1404">
        <v>6595.43</v>
      </c>
      <c r="F117" s="1271"/>
      <c r="G117" s="1271"/>
      <c r="H117" s="1271"/>
      <c r="I117" s="1271"/>
    </row>
    <row r="118" spans="1:9">
      <c r="A118" s="1390" t="s">
        <v>1767</v>
      </c>
      <c r="B118" s="1387">
        <v>20</v>
      </c>
      <c r="C118" s="1397" t="s">
        <v>309</v>
      </c>
      <c r="D118" s="1387"/>
      <c r="E118" s="1387"/>
      <c r="F118" s="1271"/>
      <c r="G118" s="1271"/>
      <c r="H118" s="1271"/>
      <c r="I118" s="1271"/>
    </row>
    <row r="119" spans="1:9" ht="84">
      <c r="A119" s="1398" t="s">
        <v>1768</v>
      </c>
      <c r="B119" s="1387"/>
      <c r="C119" s="1405" t="s">
        <v>1637</v>
      </c>
      <c r="D119" s="1387" t="s">
        <v>1628</v>
      </c>
      <c r="E119" s="1404">
        <v>3876.0820000000003</v>
      </c>
      <c r="F119" s="1271"/>
      <c r="G119" s="1271"/>
      <c r="H119" s="1271"/>
      <c r="I119" s="1271"/>
    </row>
    <row r="120" spans="1:9" ht="84">
      <c r="A120" s="1390" t="s">
        <v>1769</v>
      </c>
      <c r="B120" s="1387">
        <v>15</v>
      </c>
      <c r="C120" s="1406" t="s">
        <v>1639</v>
      </c>
      <c r="D120" s="1387"/>
      <c r="E120" s="1387"/>
      <c r="F120" s="1271"/>
      <c r="G120" s="1271"/>
      <c r="H120" s="1271"/>
      <c r="I120" s="1271"/>
    </row>
    <row r="121" spans="1:9" ht="17.399999999999999">
      <c r="A121" s="1398" t="s">
        <v>1770</v>
      </c>
      <c r="B121" s="1387"/>
      <c r="C121" s="1407" t="s">
        <v>1641</v>
      </c>
      <c r="D121" s="1402" t="s">
        <v>1630</v>
      </c>
      <c r="E121" s="1404">
        <v>103.801</v>
      </c>
      <c r="F121" s="1271"/>
      <c r="G121" s="1271"/>
      <c r="H121" s="1271"/>
      <c r="I121" s="1271"/>
    </row>
    <row r="122" spans="1:9" ht="17.399999999999999">
      <c r="A122" s="1398" t="s">
        <v>1771</v>
      </c>
      <c r="B122" s="1387"/>
      <c r="C122" s="1407" t="s">
        <v>1645</v>
      </c>
      <c r="D122" s="1402" t="s">
        <v>1630</v>
      </c>
      <c r="E122" s="1404">
        <v>1627.0587999999998</v>
      </c>
      <c r="F122" s="1271"/>
      <c r="G122" s="1271"/>
      <c r="H122" s="1271"/>
      <c r="I122" s="1271"/>
    </row>
    <row r="123" spans="1:9">
      <c r="A123" s="1390" t="s">
        <v>1772</v>
      </c>
      <c r="B123" s="1387">
        <v>21</v>
      </c>
      <c r="C123" s="1270" t="s">
        <v>1649</v>
      </c>
      <c r="D123" s="1387"/>
      <c r="E123" s="1387"/>
      <c r="F123" s="1271"/>
      <c r="G123" s="1271"/>
      <c r="H123" s="1271"/>
      <c r="I123" s="1271"/>
    </row>
    <row r="124" spans="1:9" ht="100.8">
      <c r="A124" s="1398" t="s">
        <v>1773</v>
      </c>
      <c r="B124" s="1387"/>
      <c r="C124" s="1405" t="s">
        <v>1248</v>
      </c>
      <c r="D124" s="1408" t="s">
        <v>25</v>
      </c>
      <c r="E124" s="1404">
        <v>216.28</v>
      </c>
      <c r="F124" s="1271"/>
      <c r="G124" s="1271"/>
      <c r="H124" s="1271"/>
      <c r="I124" s="1271"/>
    </row>
    <row r="125" spans="1:9">
      <c r="A125" s="1390" t="s">
        <v>1774</v>
      </c>
      <c r="B125" s="1387">
        <v>22</v>
      </c>
      <c r="C125" s="1270" t="s">
        <v>1706</v>
      </c>
      <c r="D125" s="1387"/>
      <c r="E125" s="1387"/>
      <c r="F125" s="1271"/>
      <c r="G125" s="1271"/>
      <c r="H125" s="1271"/>
      <c r="I125" s="1271"/>
    </row>
    <row r="126" spans="1:9" ht="67.2">
      <c r="A126" s="1398" t="s">
        <v>1775</v>
      </c>
      <c r="B126" s="1387"/>
      <c r="C126" s="1406" t="s">
        <v>1710</v>
      </c>
      <c r="D126" s="1402" t="s">
        <v>1630</v>
      </c>
      <c r="E126" s="1409">
        <v>118.64999999999999</v>
      </c>
      <c r="F126" s="1271"/>
      <c r="G126" s="1271"/>
      <c r="H126" s="1271"/>
      <c r="I126" s="1271"/>
    </row>
    <row r="127" spans="1:9" ht="67.2">
      <c r="A127" s="1390" t="s">
        <v>1776</v>
      </c>
      <c r="B127" s="1387"/>
      <c r="C127" s="1405" t="s">
        <v>1712</v>
      </c>
      <c r="D127" s="1387"/>
      <c r="E127" s="1387"/>
      <c r="F127" s="1271"/>
      <c r="G127" s="1271"/>
      <c r="H127" s="1271"/>
      <c r="I127" s="1271"/>
    </row>
    <row r="128" spans="1:9">
      <c r="A128" s="1398" t="s">
        <v>1777</v>
      </c>
      <c r="B128" s="1387"/>
      <c r="C128" s="1405" t="s">
        <v>174</v>
      </c>
      <c r="D128" s="1411" t="s">
        <v>27</v>
      </c>
      <c r="E128" s="1409">
        <v>340.79999999999995</v>
      </c>
      <c r="F128" s="1271"/>
      <c r="G128" s="1271"/>
      <c r="H128" s="1271"/>
      <c r="I128" s="1271"/>
    </row>
    <row r="129" spans="1:9">
      <c r="A129" s="1398" t="s">
        <v>1778</v>
      </c>
      <c r="B129" s="1387"/>
      <c r="C129" s="1405" t="s">
        <v>176</v>
      </c>
      <c r="D129" s="1411" t="s">
        <v>27</v>
      </c>
      <c r="E129" s="1409">
        <v>170.39999999999998</v>
      </c>
      <c r="F129" s="1271"/>
      <c r="G129" s="1271"/>
      <c r="H129" s="1271"/>
      <c r="I129" s="1271"/>
    </row>
    <row r="130" spans="1:9">
      <c r="A130" s="1398" t="s">
        <v>1779</v>
      </c>
      <c r="B130" s="1387"/>
      <c r="C130" s="1405" t="s">
        <v>175</v>
      </c>
      <c r="D130" s="1411" t="s">
        <v>27</v>
      </c>
      <c r="E130" s="1409">
        <v>85.199999999999989</v>
      </c>
      <c r="F130" s="1271"/>
      <c r="G130" s="1271"/>
      <c r="H130" s="1271"/>
      <c r="I130" s="1271"/>
    </row>
    <row r="131" spans="1:9">
      <c r="A131" s="1413" t="s">
        <v>1780</v>
      </c>
      <c r="B131" s="1387"/>
      <c r="C131" s="1271"/>
      <c r="D131" s="1387"/>
      <c r="E131" s="1387"/>
      <c r="F131" s="1271"/>
      <c r="G131" s="1271"/>
      <c r="H131" s="1271"/>
      <c r="I131" s="1271"/>
    </row>
    <row r="132" spans="1:9">
      <c r="A132" s="1394"/>
      <c r="B132" s="1395"/>
      <c r="C132" s="1396"/>
      <c r="D132" s="1395"/>
      <c r="E132" s="1395"/>
      <c r="F132" s="1396"/>
      <c r="G132" s="1396"/>
      <c r="H132" s="1396"/>
      <c r="I132" s="1396"/>
    </row>
    <row r="133" spans="1:9" ht="33.6">
      <c r="A133" s="1390" t="s">
        <v>1781</v>
      </c>
      <c r="B133" s="1387"/>
      <c r="C133" s="1391" t="s">
        <v>1782</v>
      </c>
      <c r="D133" s="1387"/>
      <c r="E133" s="1387"/>
      <c r="F133" s="1271"/>
      <c r="G133" s="1271"/>
      <c r="H133" s="1271"/>
      <c r="I133" s="1271"/>
    </row>
    <row r="134" spans="1:9">
      <c r="A134" s="1390" t="s">
        <v>1783</v>
      </c>
      <c r="B134" s="1387"/>
      <c r="C134" s="1397" t="s">
        <v>18</v>
      </c>
      <c r="D134" s="1387"/>
      <c r="E134" s="1387"/>
      <c r="F134" s="1271"/>
      <c r="G134" s="1271"/>
      <c r="H134" s="1271"/>
      <c r="I134" s="1271"/>
    </row>
    <row r="135" spans="1:9" ht="117.6">
      <c r="A135" s="1398" t="s">
        <v>1784</v>
      </c>
      <c r="B135" s="1387" t="s">
        <v>1610</v>
      </c>
      <c r="C135" s="1393" t="s">
        <v>1676</v>
      </c>
      <c r="D135" s="1387" t="s">
        <v>1628</v>
      </c>
      <c r="E135" s="1404">
        <v>5718.56</v>
      </c>
      <c r="F135" s="1271"/>
      <c r="G135" s="1271"/>
      <c r="H135" s="1271"/>
      <c r="I135" s="1271"/>
    </row>
    <row r="136" spans="1:9" ht="117.6">
      <c r="A136" s="1390" t="s">
        <v>1785</v>
      </c>
      <c r="B136" s="1400">
        <v>11</v>
      </c>
      <c r="C136" s="1401" t="s">
        <v>1612</v>
      </c>
      <c r="D136" s="1402" t="s">
        <v>1630</v>
      </c>
      <c r="E136" s="1387"/>
      <c r="F136" s="1271"/>
      <c r="G136" s="1271"/>
      <c r="H136" s="1271"/>
      <c r="I136" s="1271"/>
    </row>
    <row r="137" spans="1:9" ht="17.399999999999999">
      <c r="A137" s="1398" t="s">
        <v>1786</v>
      </c>
      <c r="B137" s="1387"/>
      <c r="C137" s="1271" t="s">
        <v>1632</v>
      </c>
      <c r="D137" s="1402" t="s">
        <v>1630</v>
      </c>
      <c r="E137" s="1404">
        <v>36832.642</v>
      </c>
      <c r="F137" s="1271"/>
      <c r="G137" s="1271"/>
      <c r="H137" s="1271"/>
      <c r="I137" s="1271"/>
    </row>
    <row r="138" spans="1:9" ht="17.399999999999999">
      <c r="A138" s="1398" t="s">
        <v>1787</v>
      </c>
      <c r="B138" s="1387"/>
      <c r="C138" s="1271" t="s">
        <v>63</v>
      </c>
      <c r="D138" s="1402" t="s">
        <v>1630</v>
      </c>
      <c r="E138" s="1404">
        <v>6499.8780000000006</v>
      </c>
      <c r="F138" s="1271"/>
      <c r="G138" s="1271"/>
      <c r="H138" s="1271"/>
      <c r="I138" s="1271"/>
    </row>
    <row r="139" spans="1:9">
      <c r="A139" s="1390" t="s">
        <v>1788</v>
      </c>
      <c r="B139" s="1387">
        <v>11.9</v>
      </c>
      <c r="C139" s="1270" t="s">
        <v>31</v>
      </c>
      <c r="D139" s="1387"/>
      <c r="E139" s="1387"/>
      <c r="F139" s="1271"/>
      <c r="G139" s="1271"/>
      <c r="H139" s="1271"/>
      <c r="I139" s="1271"/>
    </row>
    <row r="140" spans="1:9" ht="50.4">
      <c r="A140" s="1398" t="s">
        <v>1789</v>
      </c>
      <c r="B140" s="1387"/>
      <c r="C140" s="1406" t="s">
        <v>1681</v>
      </c>
      <c r="D140" s="1402" t="s">
        <v>1630</v>
      </c>
      <c r="E140" s="1404">
        <v>12274.06</v>
      </c>
      <c r="F140" s="1271"/>
      <c r="G140" s="1271"/>
      <c r="H140" s="1271"/>
      <c r="I140" s="1271"/>
    </row>
    <row r="141" spans="1:9">
      <c r="A141" s="1390" t="s">
        <v>1790</v>
      </c>
      <c r="B141" s="1387">
        <v>20</v>
      </c>
      <c r="C141" s="1397" t="s">
        <v>309</v>
      </c>
      <c r="D141" s="1387"/>
      <c r="E141" s="1387"/>
      <c r="F141" s="1271"/>
      <c r="G141" s="1271"/>
      <c r="H141" s="1271"/>
      <c r="I141" s="1271"/>
    </row>
    <row r="142" spans="1:9" ht="84">
      <c r="A142" s="1398" t="s">
        <v>1791</v>
      </c>
      <c r="B142" s="1387"/>
      <c r="C142" s="1405" t="s">
        <v>1637</v>
      </c>
      <c r="D142" s="1387" t="s">
        <v>1628</v>
      </c>
      <c r="E142" s="1404">
        <v>17852.767220000002</v>
      </c>
      <c r="F142" s="1271"/>
      <c r="G142" s="1271"/>
      <c r="H142" s="1271"/>
      <c r="I142" s="1271"/>
    </row>
    <row r="143" spans="1:9" ht="84">
      <c r="A143" s="1390" t="s">
        <v>1792</v>
      </c>
      <c r="B143" s="1387">
        <v>15</v>
      </c>
      <c r="C143" s="1406" t="s">
        <v>1639</v>
      </c>
      <c r="D143" s="1387"/>
      <c r="E143" s="1387"/>
      <c r="F143" s="1271"/>
      <c r="G143" s="1271"/>
      <c r="H143" s="1271"/>
      <c r="I143" s="1271"/>
    </row>
    <row r="144" spans="1:9" ht="17.399999999999999">
      <c r="A144" s="1398" t="s">
        <v>1793</v>
      </c>
      <c r="B144" s="1387"/>
      <c r="C144" s="1407" t="s">
        <v>1641</v>
      </c>
      <c r="D144" s="1402" t="s">
        <v>1630</v>
      </c>
      <c r="E144" s="1404">
        <v>491.010625</v>
      </c>
      <c r="F144" s="1271"/>
      <c r="G144" s="1271"/>
      <c r="H144" s="1271"/>
      <c r="I144" s="1271"/>
    </row>
    <row r="145" spans="1:9" ht="33.6">
      <c r="A145" s="1398" t="s">
        <v>1794</v>
      </c>
      <c r="B145" s="1387"/>
      <c r="C145" s="1407" t="s">
        <v>1643</v>
      </c>
      <c r="D145" s="1402" t="s">
        <v>1630</v>
      </c>
      <c r="E145" s="1404">
        <v>644.52</v>
      </c>
      <c r="F145" s="1271"/>
      <c r="G145" s="1271"/>
      <c r="H145" s="1271"/>
      <c r="I145" s="1271"/>
    </row>
    <row r="146" spans="1:9">
      <c r="A146" s="1398" t="s">
        <v>1795</v>
      </c>
      <c r="B146" s="1387"/>
      <c r="C146" s="1407" t="s">
        <v>1645</v>
      </c>
      <c r="D146" s="1402"/>
      <c r="E146" s="1404">
        <v>10559.866841499999</v>
      </c>
      <c r="F146" s="1271"/>
      <c r="G146" s="1271"/>
      <c r="H146" s="1271"/>
      <c r="I146" s="1271"/>
    </row>
    <row r="147" spans="1:9">
      <c r="A147" s="1390" t="s">
        <v>1796</v>
      </c>
      <c r="B147" s="1387">
        <v>21</v>
      </c>
      <c r="C147" s="1270" t="s">
        <v>1649</v>
      </c>
      <c r="D147" s="1387"/>
      <c r="E147" s="1387"/>
      <c r="F147" s="1271"/>
      <c r="G147" s="1271"/>
      <c r="H147" s="1271"/>
      <c r="I147" s="1271"/>
    </row>
    <row r="148" spans="1:9" ht="100.8">
      <c r="A148" s="1398" t="s">
        <v>1797</v>
      </c>
      <c r="B148" s="1387"/>
      <c r="C148" s="1405" t="s">
        <v>1248</v>
      </c>
      <c r="D148" s="1408" t="s">
        <v>25</v>
      </c>
      <c r="E148" s="1404">
        <v>828.95</v>
      </c>
      <c r="F148" s="1271"/>
      <c r="G148" s="1271"/>
      <c r="H148" s="1271"/>
      <c r="I148" s="1271"/>
    </row>
    <row r="149" spans="1:9">
      <c r="A149" s="1390" t="s">
        <v>1798</v>
      </c>
      <c r="B149" s="1387">
        <v>22</v>
      </c>
      <c r="C149" s="1270" t="s">
        <v>1706</v>
      </c>
      <c r="D149" s="1387"/>
      <c r="E149" s="1387"/>
      <c r="F149" s="1271"/>
      <c r="G149" s="1271"/>
      <c r="H149" s="1271"/>
      <c r="I149" s="1271"/>
    </row>
    <row r="150" spans="1:9" ht="50.4">
      <c r="A150" s="1398" t="s">
        <v>1799</v>
      </c>
      <c r="B150" s="1387"/>
      <c r="C150" s="1406" t="s">
        <v>1800</v>
      </c>
      <c r="D150" s="1402" t="s">
        <v>1630</v>
      </c>
      <c r="E150" s="1404">
        <v>265.7560057</v>
      </c>
      <c r="F150" s="1271"/>
      <c r="G150" s="1271"/>
      <c r="H150" s="1271"/>
      <c r="I150" s="1271"/>
    </row>
    <row r="151" spans="1:9">
      <c r="A151" s="1390" t="s">
        <v>1801</v>
      </c>
      <c r="B151" s="1387">
        <v>13</v>
      </c>
      <c r="C151" s="1270" t="s">
        <v>1802</v>
      </c>
      <c r="D151" s="1387"/>
      <c r="E151" s="1387"/>
      <c r="F151" s="1271"/>
      <c r="G151" s="1271"/>
      <c r="H151" s="1271"/>
      <c r="I151" s="1271"/>
    </row>
    <row r="152" spans="1:9" ht="84">
      <c r="A152" s="1398" t="s">
        <v>1803</v>
      </c>
      <c r="B152" s="1387"/>
      <c r="C152" s="1405" t="s">
        <v>1804</v>
      </c>
      <c r="D152" s="1387" t="s">
        <v>1079</v>
      </c>
      <c r="E152" s="1404">
        <v>813</v>
      </c>
      <c r="F152" s="1271"/>
      <c r="G152" s="1271"/>
      <c r="H152" s="1271"/>
      <c r="I152" s="1271"/>
    </row>
    <row r="153" spans="1:9">
      <c r="A153" s="1390" t="s">
        <v>1805</v>
      </c>
      <c r="B153" s="1387">
        <v>19</v>
      </c>
      <c r="C153" s="1270" t="s">
        <v>347</v>
      </c>
      <c r="D153" s="1387"/>
      <c r="E153" s="1387"/>
      <c r="F153" s="1271"/>
      <c r="G153" s="1271"/>
      <c r="H153" s="1271"/>
      <c r="I153" s="1271"/>
    </row>
    <row r="154" spans="1:9" ht="84">
      <c r="A154" s="1398" t="s">
        <v>1806</v>
      </c>
      <c r="B154" s="1387"/>
      <c r="C154" s="1405" t="s">
        <v>1807</v>
      </c>
      <c r="D154" s="1402" t="s">
        <v>1630</v>
      </c>
      <c r="E154" s="1404">
        <v>425.74840000000006</v>
      </c>
      <c r="F154" s="1271"/>
      <c r="G154" s="1271"/>
      <c r="H154" s="1271"/>
      <c r="I154" s="1271"/>
    </row>
    <row r="155" spans="1:9">
      <c r="A155" s="1390" t="s">
        <v>1808</v>
      </c>
      <c r="B155" s="1387"/>
      <c r="C155" s="1270" t="s">
        <v>1344</v>
      </c>
      <c r="D155" s="1387"/>
      <c r="E155" s="1387"/>
      <c r="F155" s="1271"/>
      <c r="G155" s="1271"/>
      <c r="H155" s="1271"/>
      <c r="I155" s="1271"/>
    </row>
    <row r="156" spans="1:9" ht="33.6">
      <c r="A156" s="1398" t="s">
        <v>1809</v>
      </c>
      <c r="B156" s="1387">
        <v>13.6</v>
      </c>
      <c r="C156" s="1414" t="s">
        <v>1810</v>
      </c>
      <c r="D156" s="1387" t="s">
        <v>1628</v>
      </c>
      <c r="E156" s="1404">
        <v>2310</v>
      </c>
      <c r="F156" s="1271"/>
      <c r="G156" s="1271"/>
      <c r="H156" s="1271"/>
      <c r="I156" s="1271"/>
    </row>
    <row r="157" spans="1:9">
      <c r="A157" s="1390" t="s">
        <v>1811</v>
      </c>
      <c r="B157" s="1387"/>
      <c r="C157" s="1270" t="s">
        <v>1812</v>
      </c>
      <c r="D157" s="1387"/>
      <c r="E157" s="1387"/>
      <c r="F157" s="1271"/>
      <c r="G157" s="1271"/>
      <c r="H157" s="1271"/>
      <c r="I157" s="1271"/>
    </row>
    <row r="158" spans="1:9" ht="33.6">
      <c r="A158" s="1398" t="s">
        <v>1813</v>
      </c>
      <c r="B158" s="1387"/>
      <c r="C158" s="1406" t="s">
        <v>1814</v>
      </c>
      <c r="D158" s="1387" t="s">
        <v>46</v>
      </c>
      <c r="E158" s="1404">
        <v>780</v>
      </c>
      <c r="F158" s="1271"/>
      <c r="G158" s="1271"/>
      <c r="H158" s="1271"/>
      <c r="I158" s="1271"/>
    </row>
    <row r="159" spans="1:9">
      <c r="A159" s="1398" t="s">
        <v>1815</v>
      </c>
      <c r="B159" s="1387"/>
      <c r="C159" s="1271" t="s">
        <v>1816</v>
      </c>
      <c r="D159" s="1387" t="s">
        <v>46</v>
      </c>
      <c r="E159" s="1404">
        <v>203.29000000000002</v>
      </c>
      <c r="F159" s="1271"/>
      <c r="G159" s="1271"/>
      <c r="H159" s="1271"/>
      <c r="I159" s="1271"/>
    </row>
    <row r="160" spans="1:9" ht="50.4">
      <c r="A160" s="1398" t="s">
        <v>1817</v>
      </c>
      <c r="B160" s="1387" t="s">
        <v>1719</v>
      </c>
      <c r="C160" s="1405" t="s">
        <v>1818</v>
      </c>
      <c r="D160" s="1411" t="s">
        <v>1630</v>
      </c>
      <c r="E160" s="1404">
        <v>229.39</v>
      </c>
      <c r="F160" s="1271"/>
      <c r="G160" s="1271"/>
      <c r="H160" s="1271"/>
      <c r="I160" s="1271"/>
    </row>
    <row r="161" spans="1:9" ht="50.4">
      <c r="A161" s="1398" t="s">
        <v>1819</v>
      </c>
      <c r="B161" s="1387" t="s">
        <v>1722</v>
      </c>
      <c r="C161" s="1405" t="s">
        <v>1723</v>
      </c>
      <c r="D161" s="1411" t="s">
        <v>1628</v>
      </c>
      <c r="E161" s="1404">
        <v>440.936758</v>
      </c>
      <c r="F161" s="1271"/>
      <c r="G161" s="1271"/>
      <c r="H161" s="1271"/>
      <c r="I161" s="1271"/>
    </row>
    <row r="162" spans="1:9" ht="67.2">
      <c r="A162" s="1390" t="s">
        <v>1820</v>
      </c>
      <c r="B162" s="1387"/>
      <c r="C162" s="1405" t="s">
        <v>1712</v>
      </c>
      <c r="D162" s="1387"/>
      <c r="E162" s="1387"/>
      <c r="F162" s="1271"/>
      <c r="G162" s="1271"/>
      <c r="H162" s="1271"/>
      <c r="I162" s="1271"/>
    </row>
    <row r="163" spans="1:9">
      <c r="A163" s="1398" t="s">
        <v>1821</v>
      </c>
      <c r="B163" s="1387"/>
      <c r="C163" s="1405" t="s">
        <v>174</v>
      </c>
      <c r="D163" s="1411" t="s">
        <v>27</v>
      </c>
      <c r="E163" s="1404">
        <v>1664.1</v>
      </c>
      <c r="F163" s="1271"/>
      <c r="G163" s="1271"/>
      <c r="H163" s="1271"/>
      <c r="I163" s="1271"/>
    </row>
    <row r="164" spans="1:9">
      <c r="A164" s="1398" t="s">
        <v>1822</v>
      </c>
      <c r="B164" s="1387"/>
      <c r="C164" s="1405" t="s">
        <v>176</v>
      </c>
      <c r="D164" s="1411" t="s">
        <v>27</v>
      </c>
      <c r="E164" s="1404">
        <v>832.05</v>
      </c>
      <c r="F164" s="1271"/>
      <c r="G164" s="1271"/>
      <c r="H164" s="1271"/>
      <c r="I164" s="1271"/>
    </row>
    <row r="165" spans="1:9">
      <c r="A165" s="1398" t="s">
        <v>1823</v>
      </c>
      <c r="B165" s="1387"/>
      <c r="C165" s="1405" t="s">
        <v>175</v>
      </c>
      <c r="D165" s="1411" t="s">
        <v>27</v>
      </c>
      <c r="E165" s="1404">
        <v>104.94000000000001</v>
      </c>
      <c r="F165" s="1271"/>
      <c r="G165" s="1271"/>
      <c r="H165" s="1271"/>
      <c r="I165" s="1271"/>
    </row>
    <row r="166" spans="1:9">
      <c r="A166" s="1413" t="s">
        <v>1824</v>
      </c>
      <c r="B166" s="1387"/>
      <c r="C166" s="1271"/>
      <c r="D166" s="1387"/>
      <c r="E166" s="1387"/>
      <c r="F166" s="1271"/>
      <c r="G166" s="1271"/>
      <c r="H166" s="1271"/>
      <c r="I166" s="1271"/>
    </row>
    <row r="167" spans="1:9">
      <c r="A167" s="1394"/>
      <c r="B167" s="1395"/>
      <c r="C167" s="1396"/>
      <c r="D167" s="1395"/>
      <c r="E167" s="1395"/>
      <c r="F167" s="1396"/>
      <c r="G167" s="1396"/>
      <c r="H167" s="1396"/>
      <c r="I167" s="1396"/>
    </row>
    <row r="168" spans="1:9">
      <c r="A168" s="1390" t="s">
        <v>1825</v>
      </c>
      <c r="B168" s="1387"/>
      <c r="C168" s="1391" t="s">
        <v>1826</v>
      </c>
      <c r="D168" s="1387"/>
      <c r="E168" s="1387"/>
      <c r="F168" s="1271"/>
      <c r="G168" s="1271"/>
      <c r="H168" s="1271"/>
      <c r="I168" s="1271"/>
    </row>
    <row r="169" spans="1:9">
      <c r="A169" s="1390" t="s">
        <v>1827</v>
      </c>
      <c r="B169" s="1387"/>
      <c r="C169" s="1397" t="s">
        <v>18</v>
      </c>
      <c r="D169" s="1387"/>
      <c r="E169" s="1387"/>
      <c r="F169" s="1271"/>
      <c r="G169" s="1271"/>
      <c r="H169" s="1271"/>
      <c r="I169" s="1271"/>
    </row>
    <row r="170" spans="1:9" ht="117.6">
      <c r="A170" s="1398" t="s">
        <v>1828</v>
      </c>
      <c r="B170" s="1387" t="s">
        <v>1610</v>
      </c>
      <c r="C170" s="1393" t="s">
        <v>1676</v>
      </c>
      <c r="D170" s="1387" t="s">
        <v>1628</v>
      </c>
      <c r="E170" s="1404">
        <v>557.84</v>
      </c>
      <c r="F170" s="1271"/>
      <c r="G170" s="1271"/>
      <c r="H170" s="1271"/>
      <c r="I170" s="1271"/>
    </row>
    <row r="171" spans="1:9" ht="117.6">
      <c r="A171" s="1390" t="s">
        <v>1829</v>
      </c>
      <c r="B171" s="1400">
        <v>11</v>
      </c>
      <c r="C171" s="1401" t="s">
        <v>1612</v>
      </c>
      <c r="D171" s="1402" t="s">
        <v>1630</v>
      </c>
      <c r="E171" s="1387"/>
      <c r="F171" s="1271"/>
      <c r="G171" s="1271"/>
      <c r="H171" s="1271"/>
      <c r="I171" s="1271"/>
    </row>
    <row r="172" spans="1:9" ht="17.399999999999999">
      <c r="A172" s="1398" t="s">
        <v>1830</v>
      </c>
      <c r="B172" s="1387"/>
      <c r="C172" s="1271" t="s">
        <v>1632</v>
      </c>
      <c r="D172" s="1402" t="s">
        <v>1630</v>
      </c>
      <c r="E172" s="1404">
        <v>13755.6</v>
      </c>
      <c r="F172" s="1271"/>
      <c r="G172" s="1271"/>
      <c r="H172" s="1271"/>
      <c r="I172" s="1271"/>
    </row>
    <row r="173" spans="1:9">
      <c r="A173" s="1390" t="s">
        <v>1831</v>
      </c>
      <c r="B173" s="1387">
        <v>11.9</v>
      </c>
      <c r="C173" s="1270" t="s">
        <v>31</v>
      </c>
      <c r="D173" s="1387"/>
      <c r="E173" s="1387"/>
      <c r="F173" s="1271"/>
      <c r="G173" s="1271"/>
      <c r="H173" s="1271"/>
      <c r="I173" s="1271"/>
    </row>
    <row r="174" spans="1:9" ht="50.4">
      <c r="A174" s="1398" t="s">
        <v>1832</v>
      </c>
      <c r="B174" s="1387"/>
      <c r="C174" s="1406" t="s">
        <v>1681</v>
      </c>
      <c r="D174" s="1402" t="s">
        <v>1630</v>
      </c>
      <c r="E174" s="1404">
        <v>137.56</v>
      </c>
      <c r="F174" s="1271"/>
      <c r="G174" s="1271"/>
      <c r="H174" s="1271"/>
      <c r="I174" s="1271"/>
    </row>
    <row r="175" spans="1:9">
      <c r="A175" s="1390" t="s">
        <v>1833</v>
      </c>
      <c r="B175" s="1387">
        <v>20</v>
      </c>
      <c r="C175" s="1397" t="s">
        <v>309</v>
      </c>
      <c r="D175" s="1387"/>
      <c r="E175" s="1387"/>
      <c r="F175" s="1271"/>
      <c r="G175" s="1271"/>
      <c r="H175" s="1271"/>
      <c r="I175" s="1271"/>
    </row>
    <row r="176" spans="1:9" ht="84">
      <c r="A176" s="1398" t="s">
        <v>1834</v>
      </c>
      <c r="B176" s="1387"/>
      <c r="C176" s="1405" t="s">
        <v>1637</v>
      </c>
      <c r="D176" s="1387" t="s">
        <v>1628</v>
      </c>
      <c r="E176" s="1404">
        <v>673.15</v>
      </c>
      <c r="F176" s="1271"/>
      <c r="G176" s="1271"/>
      <c r="H176" s="1271"/>
      <c r="I176" s="1271"/>
    </row>
    <row r="177" spans="1:9" ht="84">
      <c r="A177" s="1390" t="s">
        <v>1835</v>
      </c>
      <c r="B177" s="1387">
        <v>15</v>
      </c>
      <c r="C177" s="1406" t="s">
        <v>1639</v>
      </c>
      <c r="D177" s="1387"/>
      <c r="E177" s="1387"/>
      <c r="F177" s="1271"/>
      <c r="G177" s="1271"/>
      <c r="H177" s="1271"/>
      <c r="I177" s="1271"/>
    </row>
    <row r="178" spans="1:9" ht="17.399999999999999">
      <c r="A178" s="1398" t="s">
        <v>1836</v>
      </c>
      <c r="B178" s="1387"/>
      <c r="C178" s="1407" t="s">
        <v>1641</v>
      </c>
      <c r="D178" s="1402" t="s">
        <v>1630</v>
      </c>
      <c r="E178" s="1404">
        <v>14.4</v>
      </c>
      <c r="F178" s="1271"/>
      <c r="G178" s="1271"/>
      <c r="H178" s="1271"/>
      <c r="I178" s="1271"/>
    </row>
    <row r="179" spans="1:9" ht="17.399999999999999">
      <c r="A179" s="1398" t="s">
        <v>1837</v>
      </c>
      <c r="B179" s="1387"/>
      <c r="C179" s="1407" t="s">
        <v>1645</v>
      </c>
      <c r="D179" s="1402" t="s">
        <v>1630</v>
      </c>
      <c r="E179" s="1404">
        <v>211.2</v>
      </c>
      <c r="F179" s="1271"/>
      <c r="G179" s="1271"/>
      <c r="H179" s="1271"/>
      <c r="I179" s="1271"/>
    </row>
    <row r="180" spans="1:9">
      <c r="A180" s="1390" t="s">
        <v>1838</v>
      </c>
      <c r="B180" s="1387">
        <v>21</v>
      </c>
      <c r="C180" s="1270" t="s">
        <v>1649</v>
      </c>
      <c r="D180" s="1387"/>
      <c r="E180" s="1387"/>
      <c r="F180" s="1271"/>
      <c r="G180" s="1271"/>
      <c r="H180" s="1271"/>
      <c r="I180" s="1271"/>
    </row>
    <row r="181" spans="1:9" ht="100.8">
      <c r="A181" s="1398" t="s">
        <v>1839</v>
      </c>
      <c r="B181" s="1387"/>
      <c r="C181" s="1405" t="s">
        <v>1248</v>
      </c>
      <c r="D181" s="1408" t="s">
        <v>25</v>
      </c>
      <c r="E181" s="1404">
        <v>28.07</v>
      </c>
      <c r="F181" s="1271"/>
      <c r="G181" s="1271"/>
      <c r="H181" s="1271"/>
      <c r="I181" s="1271"/>
    </row>
    <row r="182" spans="1:9" ht="67.2">
      <c r="A182" s="1390" t="s">
        <v>1840</v>
      </c>
      <c r="B182" s="1387"/>
      <c r="C182" s="1405" t="s">
        <v>1712</v>
      </c>
      <c r="D182" s="1387"/>
      <c r="E182" s="1387"/>
      <c r="F182" s="1271"/>
      <c r="G182" s="1271"/>
      <c r="H182" s="1271"/>
      <c r="I182" s="1271"/>
    </row>
    <row r="183" spans="1:9">
      <c r="A183" s="1398" t="s">
        <v>1841</v>
      </c>
      <c r="B183" s="1387"/>
      <c r="C183" s="1405" t="s">
        <v>174</v>
      </c>
      <c r="D183" s="1411" t="s">
        <v>27</v>
      </c>
      <c r="E183" s="1404">
        <v>105.60000000000001</v>
      </c>
      <c r="F183" s="1271"/>
      <c r="G183" s="1271"/>
      <c r="H183" s="1271"/>
      <c r="I183" s="1271"/>
    </row>
    <row r="184" spans="1:9">
      <c r="A184" s="1398" t="s">
        <v>1842</v>
      </c>
      <c r="B184" s="1387"/>
      <c r="C184" s="1405" t="s">
        <v>176</v>
      </c>
      <c r="D184" s="1411" t="s">
        <v>27</v>
      </c>
      <c r="E184" s="1404">
        <v>52.800000000000004</v>
      </c>
      <c r="F184" s="1271"/>
      <c r="G184" s="1271"/>
      <c r="H184" s="1271"/>
      <c r="I184" s="1271"/>
    </row>
    <row r="185" spans="1:9">
      <c r="A185" s="1398" t="s">
        <v>1843</v>
      </c>
      <c r="B185" s="1387"/>
      <c r="C185" s="1405" t="s">
        <v>175</v>
      </c>
      <c r="D185" s="1411" t="s">
        <v>27</v>
      </c>
      <c r="E185" s="1404">
        <v>52.800000000000004</v>
      </c>
      <c r="F185" s="1271"/>
      <c r="G185" s="1271"/>
      <c r="H185" s="1271"/>
      <c r="I185" s="1271"/>
    </row>
    <row r="186" spans="1:9">
      <c r="A186" s="1413" t="s">
        <v>1844</v>
      </c>
      <c r="B186" s="1387"/>
      <c r="C186" s="1271"/>
      <c r="D186" s="1387"/>
      <c r="E186" s="1387"/>
      <c r="F186" s="1271"/>
      <c r="G186" s="1271"/>
      <c r="H186" s="1271"/>
      <c r="I186" s="1271"/>
    </row>
    <row r="187" spans="1:9">
      <c r="A187" s="1394"/>
      <c r="B187" s="1395"/>
      <c r="C187" s="1396"/>
      <c r="D187" s="1395"/>
      <c r="E187" s="1395"/>
      <c r="F187" s="1396"/>
      <c r="G187" s="1396"/>
      <c r="H187" s="1396"/>
      <c r="I187" s="1396"/>
    </row>
    <row r="188" spans="1:9">
      <c r="A188" s="1390" t="s">
        <v>1845</v>
      </c>
      <c r="B188" s="1387"/>
      <c r="C188" s="1391" t="s">
        <v>795</v>
      </c>
      <c r="D188" s="1387"/>
      <c r="E188" s="1387"/>
      <c r="F188" s="1271"/>
      <c r="G188" s="1271"/>
      <c r="H188" s="1271"/>
      <c r="I188" s="1271"/>
    </row>
    <row r="189" spans="1:9">
      <c r="A189" s="1390" t="s">
        <v>1846</v>
      </c>
      <c r="B189" s="1387"/>
      <c r="C189" s="1397" t="s">
        <v>18</v>
      </c>
      <c r="D189" s="1387"/>
      <c r="E189" s="1387"/>
      <c r="F189" s="1271"/>
      <c r="G189" s="1271"/>
      <c r="H189" s="1271"/>
      <c r="I189" s="1271"/>
    </row>
    <row r="190" spans="1:9" ht="117.6">
      <c r="A190" s="1398" t="s">
        <v>1847</v>
      </c>
      <c r="B190" s="1387" t="s">
        <v>1610</v>
      </c>
      <c r="C190" s="1393" t="s">
        <v>1676</v>
      </c>
      <c r="D190" s="1387" t="s">
        <v>1628</v>
      </c>
      <c r="E190" s="1404">
        <v>646.75</v>
      </c>
      <c r="F190" s="1271"/>
      <c r="G190" s="1271"/>
      <c r="H190" s="1271"/>
      <c r="I190" s="1271"/>
    </row>
    <row r="191" spans="1:9" ht="117.6">
      <c r="A191" s="1390" t="s">
        <v>1848</v>
      </c>
      <c r="B191" s="1400">
        <v>11</v>
      </c>
      <c r="C191" s="1401" t="s">
        <v>1612</v>
      </c>
      <c r="D191" s="1402" t="s">
        <v>1630</v>
      </c>
      <c r="E191" s="1387"/>
      <c r="F191" s="1271"/>
      <c r="G191" s="1271"/>
      <c r="H191" s="1271"/>
      <c r="I191" s="1271"/>
    </row>
    <row r="192" spans="1:9" ht="17.399999999999999">
      <c r="A192" s="1398" t="s">
        <v>1849</v>
      </c>
      <c r="B192" s="1387"/>
      <c r="C192" s="1271" t="s">
        <v>63</v>
      </c>
      <c r="D192" s="1402" t="s">
        <v>1630</v>
      </c>
      <c r="E192" s="1404">
        <v>1850</v>
      </c>
      <c r="F192" s="1271"/>
      <c r="G192" s="1271"/>
      <c r="H192" s="1271"/>
      <c r="I192" s="1271"/>
    </row>
    <row r="193" spans="1:9" ht="17.399999999999999">
      <c r="A193" s="1398" t="s">
        <v>1850</v>
      </c>
      <c r="B193" s="1387"/>
      <c r="C193" s="1271" t="s">
        <v>1851</v>
      </c>
      <c r="D193" s="1402" t="s">
        <v>1630</v>
      </c>
      <c r="E193" s="1415">
        <f>E192*0.05</f>
        <v>92.5</v>
      </c>
      <c r="F193" s="1271"/>
      <c r="G193" s="1271"/>
      <c r="H193" s="1271"/>
      <c r="I193" s="1271"/>
    </row>
    <row r="194" spans="1:9">
      <c r="A194" s="1390" t="s">
        <v>1852</v>
      </c>
      <c r="B194" s="1387"/>
      <c r="C194" s="1270" t="s">
        <v>31</v>
      </c>
      <c r="D194" s="1387"/>
      <c r="E194" s="1387"/>
      <c r="F194" s="1271"/>
      <c r="G194" s="1271"/>
      <c r="H194" s="1271"/>
      <c r="I194" s="1271"/>
    </row>
    <row r="195" spans="1:9" ht="50.4">
      <c r="A195" s="1398" t="s">
        <v>1853</v>
      </c>
      <c r="B195" s="1387"/>
      <c r="C195" s="1406" t="s">
        <v>1681</v>
      </c>
      <c r="D195" s="1402" t="s">
        <v>1630</v>
      </c>
      <c r="E195" s="1404">
        <v>1969.6399999999999</v>
      </c>
      <c r="F195" s="1271"/>
      <c r="G195" s="1271"/>
      <c r="H195" s="1271"/>
      <c r="I195" s="1271"/>
    </row>
    <row r="196" spans="1:9" ht="84">
      <c r="A196" s="1390" t="s">
        <v>1854</v>
      </c>
      <c r="B196" s="1387">
        <v>13</v>
      </c>
      <c r="C196" s="1405" t="s">
        <v>1855</v>
      </c>
      <c r="D196" s="1387" t="s">
        <v>307</v>
      </c>
      <c r="E196" s="1404">
        <v>289</v>
      </c>
      <c r="F196" s="1271"/>
      <c r="G196" s="1271"/>
      <c r="H196" s="1271"/>
      <c r="I196" s="1271"/>
    </row>
    <row r="197" spans="1:9" ht="84">
      <c r="A197" s="1390" t="s">
        <v>1856</v>
      </c>
      <c r="B197" s="1387">
        <v>13</v>
      </c>
      <c r="C197" s="1405" t="s">
        <v>1857</v>
      </c>
      <c r="D197" s="1387" t="s">
        <v>1858</v>
      </c>
      <c r="E197" s="1404">
        <v>23</v>
      </c>
      <c r="F197" s="1271"/>
      <c r="G197" s="1271"/>
      <c r="H197" s="1271"/>
      <c r="I197" s="1271"/>
    </row>
    <row r="198" spans="1:9">
      <c r="A198" s="1390" t="s">
        <v>1859</v>
      </c>
      <c r="B198" s="1387">
        <v>19</v>
      </c>
      <c r="C198" s="1270" t="s">
        <v>1860</v>
      </c>
      <c r="D198" s="1387"/>
      <c r="E198" s="1387"/>
      <c r="F198" s="1271"/>
      <c r="G198" s="1271"/>
      <c r="H198" s="1271"/>
      <c r="I198" s="1271"/>
    </row>
    <row r="199" spans="1:9" ht="84">
      <c r="A199" s="1398" t="s">
        <v>1861</v>
      </c>
      <c r="B199" s="1387"/>
      <c r="C199" s="1405" t="s">
        <v>1862</v>
      </c>
      <c r="D199" s="1402" t="s">
        <v>1630</v>
      </c>
      <c r="E199" s="1404">
        <v>59.3</v>
      </c>
      <c r="F199" s="1271"/>
      <c r="G199" s="1271"/>
      <c r="H199" s="1271"/>
      <c r="I199" s="1271"/>
    </row>
    <row r="200" spans="1:9">
      <c r="A200" s="1413" t="s">
        <v>1863</v>
      </c>
      <c r="B200" s="1387"/>
      <c r="C200" s="1271"/>
      <c r="D200" s="1387"/>
      <c r="E200" s="1387"/>
      <c r="F200" s="1271"/>
      <c r="G200" s="1271"/>
      <c r="H200" s="1271"/>
      <c r="I200" s="1271"/>
    </row>
    <row r="201" spans="1:9">
      <c r="A201" s="1394"/>
      <c r="B201" s="1395"/>
      <c r="C201" s="1396"/>
      <c r="D201" s="1395"/>
      <c r="E201" s="1395"/>
      <c r="F201" s="1396"/>
      <c r="G201" s="1396"/>
      <c r="H201" s="1396"/>
      <c r="I201" s="1396"/>
    </row>
    <row r="202" spans="1:9">
      <c r="A202" s="1390" t="s">
        <v>1864</v>
      </c>
      <c r="B202" s="1387"/>
      <c r="C202" s="1391" t="s">
        <v>1485</v>
      </c>
      <c r="D202" s="1387"/>
      <c r="E202" s="1387"/>
      <c r="F202" s="1271"/>
      <c r="G202" s="1271"/>
      <c r="H202" s="1271"/>
      <c r="I202" s="1271"/>
    </row>
    <row r="203" spans="1:9" ht="151.19999999999999">
      <c r="A203" s="1390" t="s">
        <v>1865</v>
      </c>
      <c r="B203" s="1400">
        <v>12</v>
      </c>
      <c r="C203" s="1416" t="s">
        <v>1866</v>
      </c>
      <c r="D203" s="1402" t="s">
        <v>1630</v>
      </c>
      <c r="E203" s="1387"/>
      <c r="F203" s="1271"/>
      <c r="G203" s="1271"/>
      <c r="H203" s="1271"/>
      <c r="I203" s="1271"/>
    </row>
    <row r="204" spans="1:9" ht="33.6">
      <c r="A204" s="1398" t="s">
        <v>1867</v>
      </c>
      <c r="B204" s="1387"/>
      <c r="C204" s="1406" t="s">
        <v>1868</v>
      </c>
      <c r="D204" s="1402" t="s">
        <v>1630</v>
      </c>
      <c r="E204" s="1409">
        <v>40092.151753319034</v>
      </c>
      <c r="F204" s="1271"/>
      <c r="G204" s="1271"/>
      <c r="H204" s="1271"/>
      <c r="I204" s="1271"/>
    </row>
    <row r="205" spans="1:9" ht="33.6">
      <c r="A205" s="1398" t="s">
        <v>1869</v>
      </c>
      <c r="B205" s="1387"/>
      <c r="C205" s="1406" t="s">
        <v>1870</v>
      </c>
      <c r="D205" s="1402" t="s">
        <v>1630</v>
      </c>
      <c r="E205" s="1409">
        <v>8430.4033793597628</v>
      </c>
      <c r="F205" s="1271"/>
      <c r="G205" s="1271"/>
      <c r="H205" s="1271"/>
      <c r="I205" s="1271"/>
    </row>
    <row r="206" spans="1:9">
      <c r="A206" s="1390" t="s">
        <v>1871</v>
      </c>
      <c r="B206" s="1387">
        <v>19</v>
      </c>
      <c r="C206" s="1270" t="s">
        <v>1872</v>
      </c>
      <c r="D206" s="1387"/>
      <c r="E206" s="1387"/>
      <c r="F206" s="1271"/>
      <c r="G206" s="1271"/>
      <c r="H206" s="1271"/>
      <c r="I206" s="1271"/>
    </row>
    <row r="207" spans="1:9" ht="84">
      <c r="A207" s="1398" t="s">
        <v>1873</v>
      </c>
      <c r="B207" s="1387"/>
      <c r="C207" s="1405" t="s">
        <v>1874</v>
      </c>
      <c r="D207" s="1402" t="s">
        <v>1630</v>
      </c>
      <c r="E207" s="1409">
        <v>37.585214790116169</v>
      </c>
      <c r="F207" s="1271"/>
      <c r="G207" s="1271"/>
      <c r="H207" s="1271"/>
      <c r="I207" s="1271"/>
    </row>
    <row r="208" spans="1:9" ht="84">
      <c r="A208" s="1398" t="s">
        <v>1875</v>
      </c>
      <c r="B208" s="1387"/>
      <c r="C208" s="1405" t="s">
        <v>1876</v>
      </c>
      <c r="D208" s="1402" t="s">
        <v>1630</v>
      </c>
      <c r="E208" s="1409">
        <v>777.00767170797542</v>
      </c>
      <c r="F208" s="1271"/>
      <c r="G208" s="1271"/>
      <c r="H208" s="1271"/>
      <c r="I208" s="1271"/>
    </row>
    <row r="209" spans="1:9" ht="84">
      <c r="A209" s="1398" t="s">
        <v>1877</v>
      </c>
      <c r="B209" s="1387"/>
      <c r="C209" s="1405" t="s">
        <v>1878</v>
      </c>
      <c r="D209" s="1402" t="s">
        <v>1630</v>
      </c>
      <c r="E209" s="1409">
        <v>1127.9248597542269</v>
      </c>
      <c r="F209" s="1271"/>
      <c r="G209" s="1271"/>
      <c r="H209" s="1271"/>
      <c r="I209" s="1271"/>
    </row>
    <row r="210" spans="1:9" ht="84">
      <c r="A210" s="1398" t="s">
        <v>1879</v>
      </c>
      <c r="B210" s="1387"/>
      <c r="C210" s="1405" t="s">
        <v>1862</v>
      </c>
      <c r="D210" s="1402" t="s">
        <v>1630</v>
      </c>
      <c r="E210" s="1409">
        <v>143.96492601793642</v>
      </c>
      <c r="F210" s="1271"/>
      <c r="G210" s="1271"/>
      <c r="H210" s="1271"/>
      <c r="I210" s="1271"/>
    </row>
    <row r="211" spans="1:9" ht="84">
      <c r="A211" s="1398" t="s">
        <v>1880</v>
      </c>
      <c r="B211" s="1387"/>
      <c r="C211" s="1405" t="s">
        <v>1881</v>
      </c>
      <c r="D211" s="1402" t="s">
        <v>1630</v>
      </c>
      <c r="E211" s="1409">
        <v>192.89823766023312</v>
      </c>
      <c r="F211" s="1271"/>
      <c r="G211" s="1271"/>
      <c r="H211" s="1271"/>
      <c r="I211" s="1271"/>
    </row>
    <row r="212" spans="1:9" ht="84">
      <c r="A212" s="1398" t="s">
        <v>1882</v>
      </c>
      <c r="B212" s="1387"/>
      <c r="C212" s="1405" t="s">
        <v>1883</v>
      </c>
      <c r="D212" s="1402" t="s">
        <v>1630</v>
      </c>
      <c r="E212" s="1409">
        <v>352.82872957934774</v>
      </c>
      <c r="F212" s="1271"/>
      <c r="G212" s="1271"/>
      <c r="H212" s="1271"/>
      <c r="I212" s="1271"/>
    </row>
    <row r="213" spans="1:9" ht="84">
      <c r="A213" s="1390" t="s">
        <v>1884</v>
      </c>
      <c r="B213" s="1387">
        <v>15</v>
      </c>
      <c r="C213" s="1406" t="s">
        <v>1639</v>
      </c>
      <c r="D213" s="1387"/>
      <c r="E213" s="1387"/>
      <c r="F213" s="1271"/>
      <c r="G213" s="1271"/>
      <c r="H213" s="1271"/>
      <c r="I213" s="1271"/>
    </row>
    <row r="214" spans="1:9" ht="17.399999999999999">
      <c r="A214" s="1398" t="s">
        <v>1885</v>
      </c>
      <c r="B214" s="1387"/>
      <c r="C214" s="1407" t="s">
        <v>1645</v>
      </c>
      <c r="D214" s="1402" t="s">
        <v>1630</v>
      </c>
      <c r="E214" s="1409">
        <v>2698.1767724440651</v>
      </c>
      <c r="F214" s="1271"/>
      <c r="G214" s="1271"/>
      <c r="H214" s="1271"/>
      <c r="I214" s="1271"/>
    </row>
    <row r="215" spans="1:9">
      <c r="A215" s="1390" t="s">
        <v>1886</v>
      </c>
      <c r="B215" s="1387">
        <v>21</v>
      </c>
      <c r="C215" s="1270" t="s">
        <v>1649</v>
      </c>
      <c r="D215" s="1387"/>
      <c r="E215" s="1387"/>
      <c r="F215" s="1271"/>
      <c r="G215" s="1271"/>
      <c r="H215" s="1271"/>
      <c r="I215" s="1271"/>
    </row>
    <row r="216" spans="1:9" ht="100.8">
      <c r="A216" s="1398" t="s">
        <v>1887</v>
      </c>
      <c r="B216" s="1387"/>
      <c r="C216" s="1405" t="s">
        <v>1248</v>
      </c>
      <c r="D216" s="1408" t="s">
        <v>25</v>
      </c>
      <c r="E216" s="1409">
        <v>97.861017570249999</v>
      </c>
      <c r="F216" s="1271"/>
      <c r="G216" s="1271"/>
      <c r="H216" s="1271"/>
      <c r="I216" s="1271"/>
    </row>
    <row r="217" spans="1:9">
      <c r="A217" s="1390" t="s">
        <v>1888</v>
      </c>
      <c r="B217" s="1387">
        <v>20</v>
      </c>
      <c r="C217" s="1397" t="s">
        <v>309</v>
      </c>
      <c r="D217" s="1387"/>
      <c r="E217" s="1387"/>
      <c r="F217" s="1271"/>
      <c r="G217" s="1271"/>
      <c r="H217" s="1271"/>
      <c r="I217" s="1271"/>
    </row>
    <row r="218" spans="1:9" ht="84">
      <c r="A218" s="1398" t="s">
        <v>1889</v>
      </c>
      <c r="B218" s="1387"/>
      <c r="C218" s="1405" t="s">
        <v>1637</v>
      </c>
      <c r="D218" s="1387" t="s">
        <v>1628</v>
      </c>
      <c r="E218" s="1409">
        <v>303.82438714378213</v>
      </c>
      <c r="F218" s="1271"/>
      <c r="G218" s="1271"/>
      <c r="H218" s="1271"/>
      <c r="I218" s="1271"/>
    </row>
    <row r="219" spans="1:9" ht="84">
      <c r="A219" s="1390" t="s">
        <v>1890</v>
      </c>
      <c r="B219" s="1387">
        <v>13</v>
      </c>
      <c r="C219" s="1405" t="s">
        <v>1891</v>
      </c>
      <c r="D219" s="1387" t="s">
        <v>311</v>
      </c>
      <c r="E219" s="1409">
        <v>15569</v>
      </c>
      <c r="F219" s="1271"/>
      <c r="G219" s="1271"/>
      <c r="H219" s="1271"/>
      <c r="I219" s="1271"/>
    </row>
    <row r="220" spans="1:9" ht="84">
      <c r="A220" s="1390" t="s">
        <v>1892</v>
      </c>
      <c r="B220" s="1387">
        <v>13</v>
      </c>
      <c r="C220" s="1405" t="s">
        <v>1857</v>
      </c>
      <c r="D220" s="1387" t="s">
        <v>311</v>
      </c>
      <c r="E220" s="1409">
        <v>3301</v>
      </c>
      <c r="F220" s="1271"/>
      <c r="G220" s="1271"/>
      <c r="H220" s="1271"/>
      <c r="I220" s="1271"/>
    </row>
    <row r="221" spans="1:9" ht="50.4">
      <c r="A221" s="1390" t="s">
        <v>1893</v>
      </c>
      <c r="B221" s="1387">
        <v>13</v>
      </c>
      <c r="C221" s="343" t="s">
        <v>1894</v>
      </c>
      <c r="D221" s="1387" t="s">
        <v>25</v>
      </c>
      <c r="E221" s="1409">
        <v>35.282872957934771</v>
      </c>
      <c r="F221" s="1271"/>
      <c r="G221" s="1271"/>
      <c r="H221" s="1271"/>
      <c r="I221" s="1271"/>
    </row>
    <row r="222" spans="1:9" ht="67.2">
      <c r="A222" s="1390" t="s">
        <v>1895</v>
      </c>
      <c r="B222" s="1387">
        <v>13.6</v>
      </c>
      <c r="C222" s="1414" t="s">
        <v>1896</v>
      </c>
      <c r="D222" s="1387" t="s">
        <v>1628</v>
      </c>
      <c r="E222" s="1409">
        <v>765</v>
      </c>
      <c r="F222" s="1271"/>
      <c r="G222" s="1271"/>
      <c r="H222" s="1271"/>
      <c r="I222" s="1271"/>
    </row>
    <row r="223" spans="1:9">
      <c r="A223" s="1390" t="s">
        <v>1897</v>
      </c>
      <c r="B223" s="1247"/>
      <c r="C223" s="1417" t="s">
        <v>1898</v>
      </c>
      <c r="D223" s="1387"/>
      <c r="E223" s="1409"/>
      <c r="F223" s="1271"/>
      <c r="G223" s="1271"/>
      <c r="H223" s="1271"/>
      <c r="I223" s="1271"/>
    </row>
    <row r="224" spans="1:9" ht="67.2">
      <c r="A224" s="1398" t="s">
        <v>1899</v>
      </c>
      <c r="B224" s="1387">
        <v>18</v>
      </c>
      <c r="C224" s="343" t="s">
        <v>1900</v>
      </c>
      <c r="D224" s="1387" t="s">
        <v>25</v>
      </c>
      <c r="E224" s="1409">
        <v>350</v>
      </c>
      <c r="F224" s="1271"/>
      <c r="G224" s="1271"/>
      <c r="H224" s="1271"/>
      <c r="I224" s="1271"/>
    </row>
    <row r="225" spans="1:9" ht="33.6">
      <c r="A225" s="1398" t="s">
        <v>1901</v>
      </c>
      <c r="B225" s="1387">
        <v>14</v>
      </c>
      <c r="C225" s="343" t="s">
        <v>1902</v>
      </c>
      <c r="D225" s="1387" t="s">
        <v>27</v>
      </c>
      <c r="E225" s="1409">
        <v>250</v>
      </c>
      <c r="F225" s="1271"/>
      <c r="G225" s="1271"/>
      <c r="H225" s="1271"/>
      <c r="I225" s="1271"/>
    </row>
    <row r="226" spans="1:9">
      <c r="A226" s="1413" t="s">
        <v>1903</v>
      </c>
      <c r="B226" s="1387"/>
      <c r="C226" s="1271"/>
      <c r="D226" s="1387"/>
      <c r="E226" s="1387"/>
      <c r="F226" s="1271"/>
      <c r="G226" s="1271"/>
      <c r="H226" s="1271"/>
      <c r="I226" s="1271"/>
    </row>
    <row r="227" spans="1:9">
      <c r="A227" s="1394"/>
      <c r="B227" s="1395"/>
      <c r="C227" s="1396"/>
      <c r="D227" s="1395"/>
      <c r="E227" s="1395"/>
      <c r="F227" s="1396"/>
      <c r="G227" s="1396"/>
      <c r="H227" s="1396"/>
      <c r="I227" s="1396"/>
    </row>
    <row r="228" spans="1:9" ht="33.6">
      <c r="A228" s="1390" t="s">
        <v>1904</v>
      </c>
      <c r="B228" s="1387"/>
      <c r="C228" s="1391" t="s">
        <v>1905</v>
      </c>
      <c r="D228" s="1387"/>
      <c r="E228" s="1387"/>
      <c r="F228" s="1271"/>
      <c r="G228" s="1271"/>
      <c r="H228" s="1271"/>
      <c r="I228" s="1271"/>
    </row>
    <row r="229" spans="1:9">
      <c r="A229" s="1390" t="s">
        <v>1906</v>
      </c>
      <c r="B229" s="1387"/>
      <c r="C229" s="1397" t="s">
        <v>18</v>
      </c>
      <c r="D229" s="1387"/>
      <c r="E229" s="1387"/>
      <c r="F229" s="1271"/>
      <c r="G229" s="1271"/>
      <c r="H229" s="1271"/>
      <c r="I229" s="1271"/>
    </row>
    <row r="230" spans="1:9" ht="117.6">
      <c r="A230" s="1398" t="s">
        <v>1907</v>
      </c>
      <c r="B230" s="1387" t="s">
        <v>1610</v>
      </c>
      <c r="C230" s="1393" t="s">
        <v>1676</v>
      </c>
      <c r="D230" s="1387" t="s">
        <v>1628</v>
      </c>
      <c r="E230" s="1387">
        <v>400</v>
      </c>
      <c r="F230" s="1271"/>
      <c r="G230" s="1271"/>
      <c r="H230" s="1271"/>
      <c r="I230" s="1271"/>
    </row>
    <row r="231" spans="1:9">
      <c r="A231" s="1390" t="s">
        <v>1908</v>
      </c>
      <c r="B231" s="1387"/>
      <c r="C231" s="1397" t="s">
        <v>492</v>
      </c>
      <c r="D231" s="1387"/>
      <c r="E231" s="1387"/>
      <c r="F231" s="1271"/>
      <c r="G231" s="1271"/>
      <c r="H231" s="1271"/>
      <c r="I231" s="1271"/>
    </row>
    <row r="232" spans="1:9" ht="84">
      <c r="A232" s="1398" t="s">
        <v>1909</v>
      </c>
      <c r="B232" s="1387">
        <v>11</v>
      </c>
      <c r="C232" s="1406" t="s">
        <v>1910</v>
      </c>
      <c r="D232" s="1402" t="s">
        <v>1630</v>
      </c>
      <c r="E232" s="1409">
        <v>6207.9617125000004</v>
      </c>
      <c r="F232" s="1271"/>
      <c r="G232" s="1271"/>
      <c r="H232" s="1271"/>
      <c r="I232" s="1271"/>
    </row>
    <row r="233" spans="1:9" ht="67.2">
      <c r="A233" s="1398" t="s">
        <v>1911</v>
      </c>
      <c r="B233" s="1387">
        <v>11</v>
      </c>
      <c r="C233" s="1406" t="s">
        <v>1912</v>
      </c>
      <c r="D233" s="1402" t="s">
        <v>1630</v>
      </c>
      <c r="E233" s="1409">
        <v>538.66241250000007</v>
      </c>
      <c r="F233" s="1271"/>
      <c r="G233" s="1271"/>
      <c r="H233" s="1271"/>
      <c r="I233" s="1271"/>
    </row>
    <row r="234" spans="1:9" ht="168">
      <c r="A234" s="1398" t="s">
        <v>1913</v>
      </c>
      <c r="B234" s="1387">
        <v>12</v>
      </c>
      <c r="C234" s="1416" t="s">
        <v>1914</v>
      </c>
      <c r="D234" s="1402" t="s">
        <v>1630</v>
      </c>
      <c r="E234" s="1409">
        <v>1185.5043804959057</v>
      </c>
      <c r="F234" s="1271"/>
      <c r="G234" s="1271"/>
      <c r="H234" s="1271"/>
      <c r="I234" s="1271"/>
    </row>
    <row r="235" spans="1:9" ht="184.8">
      <c r="A235" s="1398" t="s">
        <v>1915</v>
      </c>
      <c r="B235" s="1387">
        <v>12</v>
      </c>
      <c r="C235" s="1416" t="s">
        <v>1916</v>
      </c>
      <c r="D235" s="1402" t="s">
        <v>1630</v>
      </c>
      <c r="E235" s="1409">
        <v>2743.1405303441825</v>
      </c>
      <c r="F235" s="1271"/>
      <c r="G235" s="1271"/>
      <c r="H235" s="1271"/>
      <c r="I235" s="1271"/>
    </row>
    <row r="236" spans="1:9" ht="84">
      <c r="A236" s="1390" t="s">
        <v>1917</v>
      </c>
      <c r="B236" s="1387">
        <v>15</v>
      </c>
      <c r="C236" s="1406" t="s">
        <v>1639</v>
      </c>
      <c r="D236" s="1387"/>
      <c r="E236" s="1387"/>
      <c r="F236" s="1271"/>
      <c r="G236" s="1271"/>
      <c r="H236" s="1271"/>
      <c r="I236" s="1271"/>
    </row>
    <row r="237" spans="1:9" ht="17.399999999999999">
      <c r="A237" s="1398" t="s">
        <v>1918</v>
      </c>
      <c r="B237" s="1387"/>
      <c r="C237" s="1407" t="s">
        <v>1645</v>
      </c>
      <c r="D237" s="1402" t="s">
        <v>1630</v>
      </c>
      <c r="E237" s="1418">
        <v>739.28997360873234</v>
      </c>
      <c r="F237" s="1271"/>
      <c r="G237" s="1271"/>
      <c r="H237" s="1271"/>
      <c r="I237" s="1271"/>
    </row>
    <row r="238" spans="1:9">
      <c r="A238" s="1390" t="s">
        <v>1919</v>
      </c>
      <c r="B238" s="1387">
        <v>21</v>
      </c>
      <c r="C238" s="1270" t="s">
        <v>1649</v>
      </c>
      <c r="D238" s="1387"/>
      <c r="E238" s="1387"/>
      <c r="F238" s="1271"/>
      <c r="G238" s="1271"/>
      <c r="H238" s="1271"/>
      <c r="I238" s="1271"/>
    </row>
    <row r="239" spans="1:9" ht="100.8">
      <c r="A239" s="1398" t="s">
        <v>1920</v>
      </c>
      <c r="B239" s="1387"/>
      <c r="C239" s="1405" t="s">
        <v>1248</v>
      </c>
      <c r="D239" s="1408" t="s">
        <v>25</v>
      </c>
      <c r="E239" s="1418">
        <v>58.668925380285486</v>
      </c>
      <c r="F239" s="1271"/>
      <c r="G239" s="1271"/>
      <c r="H239" s="1271"/>
      <c r="I239" s="1271"/>
    </row>
    <row r="240" spans="1:9">
      <c r="A240" s="1390" t="s">
        <v>1921</v>
      </c>
      <c r="B240" s="1387">
        <v>20</v>
      </c>
      <c r="C240" s="1397" t="s">
        <v>309</v>
      </c>
      <c r="D240" s="1387"/>
      <c r="E240" s="1387"/>
      <c r="F240" s="1271"/>
      <c r="G240" s="1271"/>
      <c r="H240" s="1271"/>
      <c r="I240" s="1271"/>
    </row>
    <row r="241" spans="1:9" ht="84">
      <c r="A241" s="1398" t="s">
        <v>1922</v>
      </c>
      <c r="B241" s="1387"/>
      <c r="C241" s="1405" t="s">
        <v>1923</v>
      </c>
      <c r="D241" s="1387" t="s">
        <v>1628</v>
      </c>
      <c r="E241" s="1418">
        <v>1118.9798833688899</v>
      </c>
      <c r="F241" s="1271"/>
      <c r="G241" s="1271"/>
      <c r="H241" s="1271"/>
      <c r="I241" s="1271"/>
    </row>
    <row r="242" spans="1:9">
      <c r="A242" s="1390" t="s">
        <v>1924</v>
      </c>
      <c r="B242" s="1387">
        <v>19</v>
      </c>
      <c r="C242" s="1270" t="s">
        <v>1872</v>
      </c>
      <c r="D242" s="1387"/>
      <c r="E242" s="1387"/>
      <c r="F242" s="1271"/>
      <c r="G242" s="1271"/>
      <c r="H242" s="1271"/>
      <c r="I242" s="1271"/>
    </row>
    <row r="243" spans="1:9" ht="84">
      <c r="A243" s="1398" t="s">
        <v>1925</v>
      </c>
      <c r="B243" s="1387"/>
      <c r="C243" s="1405" t="s">
        <v>1807</v>
      </c>
      <c r="D243" s="1402" t="s">
        <v>1630</v>
      </c>
      <c r="E243" s="1418">
        <v>181.93767410000001</v>
      </c>
      <c r="F243" s="1271"/>
      <c r="G243" s="1271"/>
      <c r="H243" s="1271"/>
      <c r="I243" s="1271"/>
    </row>
    <row r="244" spans="1:9" ht="84">
      <c r="A244" s="1398" t="s">
        <v>1926</v>
      </c>
      <c r="B244" s="1387"/>
      <c r="C244" s="1405" t="s">
        <v>1927</v>
      </c>
      <c r="D244" s="1402" t="s">
        <v>1630</v>
      </c>
      <c r="E244" s="1418">
        <v>34.381439999999998</v>
      </c>
      <c r="F244" s="1271"/>
      <c r="G244" s="1271"/>
      <c r="H244" s="1271"/>
      <c r="I244" s="1271"/>
    </row>
    <row r="245" spans="1:9">
      <c r="A245" s="1390" t="s">
        <v>1928</v>
      </c>
      <c r="B245" s="1387">
        <v>13</v>
      </c>
      <c r="C245" s="1270" t="s">
        <v>1929</v>
      </c>
      <c r="D245" s="1387"/>
      <c r="E245" s="1387"/>
      <c r="F245" s="1271"/>
      <c r="G245" s="1271"/>
      <c r="H245" s="1271"/>
      <c r="I245" s="1271"/>
    </row>
    <row r="246" spans="1:9" ht="84">
      <c r="A246" s="1398" t="s">
        <v>1930</v>
      </c>
      <c r="B246" s="1387"/>
      <c r="C246" s="1405" t="s">
        <v>1931</v>
      </c>
      <c r="D246" s="1387" t="s">
        <v>1079</v>
      </c>
      <c r="E246" s="1418">
        <v>211</v>
      </c>
      <c r="F246" s="1271"/>
      <c r="G246" s="1271"/>
      <c r="H246" s="1271"/>
      <c r="I246" s="1271"/>
    </row>
    <row r="247" spans="1:9" ht="84">
      <c r="A247" s="1398" t="s">
        <v>1932</v>
      </c>
      <c r="B247" s="1387"/>
      <c r="C247" s="1405" t="s">
        <v>1933</v>
      </c>
      <c r="D247" s="1387" t="s">
        <v>1079</v>
      </c>
      <c r="E247" s="1418">
        <v>282</v>
      </c>
      <c r="F247" s="1271"/>
      <c r="G247" s="1271"/>
      <c r="H247" s="1271"/>
      <c r="I247" s="1271"/>
    </row>
    <row r="248" spans="1:9">
      <c r="A248" s="1390" t="s">
        <v>1934</v>
      </c>
      <c r="B248" s="1387"/>
      <c r="C248" s="1249" t="s">
        <v>1898</v>
      </c>
      <c r="D248" s="1387"/>
      <c r="E248" s="1418"/>
      <c r="F248" s="1271"/>
      <c r="G248" s="1271"/>
      <c r="H248" s="1271"/>
      <c r="I248" s="1271"/>
    </row>
    <row r="249" spans="1:9" ht="67.2">
      <c r="A249" s="1398" t="s">
        <v>1935</v>
      </c>
      <c r="B249" s="1387">
        <v>18</v>
      </c>
      <c r="C249" s="343" t="s">
        <v>1900</v>
      </c>
      <c r="D249" s="1387" t="s">
        <v>25</v>
      </c>
      <c r="E249" s="1409">
        <v>1.5</v>
      </c>
      <c r="F249" s="1271"/>
      <c r="G249" s="1271"/>
      <c r="H249" s="1271"/>
      <c r="I249" s="1271"/>
    </row>
    <row r="250" spans="1:9" ht="33.6">
      <c r="A250" s="1398" t="s">
        <v>1936</v>
      </c>
      <c r="B250" s="1387">
        <v>14</v>
      </c>
      <c r="C250" s="343" t="s">
        <v>1902</v>
      </c>
      <c r="D250" s="1387" t="s">
        <v>27</v>
      </c>
      <c r="E250" s="1409">
        <v>15</v>
      </c>
      <c r="F250" s="1271"/>
      <c r="G250" s="1271"/>
      <c r="H250" s="1271"/>
      <c r="I250" s="1271"/>
    </row>
    <row r="251" spans="1:9">
      <c r="A251" s="1413" t="s">
        <v>1937</v>
      </c>
      <c r="B251" s="1387"/>
      <c r="C251" s="1271"/>
      <c r="D251" s="1387"/>
      <c r="E251" s="1387"/>
      <c r="F251" s="1271"/>
      <c r="G251" s="1271"/>
      <c r="H251" s="1271"/>
      <c r="I251" s="1271"/>
    </row>
    <row r="252" spans="1:9">
      <c r="A252" s="1394"/>
      <c r="B252" s="1395"/>
      <c r="C252" s="1396"/>
      <c r="D252" s="1395"/>
      <c r="E252" s="1395"/>
      <c r="F252" s="1396"/>
      <c r="G252" s="1396"/>
      <c r="H252" s="1396"/>
      <c r="I252" s="1396"/>
    </row>
    <row r="253" spans="1:9" ht="33.6">
      <c r="A253" s="1390" t="s">
        <v>1938</v>
      </c>
      <c r="B253" s="1387"/>
      <c r="C253" s="1391" t="s">
        <v>1939</v>
      </c>
      <c r="D253" s="1387"/>
      <c r="E253" s="1387"/>
      <c r="F253" s="1271"/>
      <c r="G253" s="1271"/>
      <c r="H253" s="1271"/>
      <c r="I253" s="1271"/>
    </row>
    <row r="254" spans="1:9">
      <c r="A254" s="1390" t="s">
        <v>1940</v>
      </c>
      <c r="B254" s="1387">
        <v>12</v>
      </c>
      <c r="C254" s="1397" t="s">
        <v>1941</v>
      </c>
      <c r="D254" s="1387"/>
      <c r="E254" s="1387"/>
      <c r="F254" s="1271"/>
      <c r="G254" s="1271"/>
      <c r="H254" s="1271"/>
      <c r="I254" s="1271"/>
    </row>
    <row r="255" spans="1:9" ht="164.25" customHeight="1">
      <c r="A255" s="1398" t="s">
        <v>1942</v>
      </c>
      <c r="B255" s="1387"/>
      <c r="C255" s="1416" t="s">
        <v>1943</v>
      </c>
      <c r="D255" s="1402" t="s">
        <v>1630</v>
      </c>
      <c r="E255" s="1409">
        <v>2335.6486767579509</v>
      </c>
      <c r="F255" s="1271"/>
      <c r="G255" s="1271"/>
      <c r="H255" s="1271"/>
      <c r="I255" s="1271"/>
    </row>
    <row r="256" spans="1:9" ht="155.25" customHeight="1">
      <c r="A256" s="1398" t="s">
        <v>1944</v>
      </c>
      <c r="B256" s="1387"/>
      <c r="C256" s="1416" t="s">
        <v>1945</v>
      </c>
      <c r="D256" s="1402" t="s">
        <v>1630</v>
      </c>
      <c r="E256" s="1409">
        <v>1759.2918860102841</v>
      </c>
      <c r="F256" s="1271"/>
      <c r="G256" s="1271"/>
      <c r="H256" s="1271"/>
      <c r="I256" s="1271"/>
    </row>
    <row r="257" spans="1:9" ht="84">
      <c r="A257" s="1390" t="s">
        <v>1946</v>
      </c>
      <c r="B257" s="1387">
        <v>15</v>
      </c>
      <c r="C257" s="1406" t="s">
        <v>1639</v>
      </c>
      <c r="D257" s="1387"/>
      <c r="E257" s="1387"/>
      <c r="F257" s="1271"/>
      <c r="G257" s="1271"/>
      <c r="H257" s="1271"/>
      <c r="I257" s="1271"/>
    </row>
    <row r="258" spans="1:9" ht="17.399999999999999">
      <c r="A258" s="1398" t="s">
        <v>1947</v>
      </c>
      <c r="B258" s="1387"/>
      <c r="C258" s="1407" t="s">
        <v>1645</v>
      </c>
      <c r="D258" s="1402" t="s">
        <v>1630</v>
      </c>
      <c r="E258" s="1409">
        <v>2163.8789003603997</v>
      </c>
      <c r="F258" s="1271"/>
      <c r="G258" s="1271"/>
      <c r="H258" s="1271"/>
      <c r="I258" s="1271"/>
    </row>
    <row r="259" spans="1:9">
      <c r="A259" s="1390" t="s">
        <v>1948</v>
      </c>
      <c r="B259" s="1387">
        <v>21</v>
      </c>
      <c r="C259" s="1270" t="s">
        <v>1649</v>
      </c>
      <c r="D259" s="1387"/>
      <c r="E259" s="1387"/>
      <c r="F259" s="1271"/>
      <c r="G259" s="1271"/>
      <c r="H259" s="1271"/>
      <c r="I259" s="1271"/>
    </row>
    <row r="260" spans="1:9" ht="100.8">
      <c r="A260" s="1398" t="s">
        <v>1949</v>
      </c>
      <c r="B260" s="1387"/>
      <c r="C260" s="1405" t="s">
        <v>1248</v>
      </c>
      <c r="D260" s="1408" t="s">
        <v>25</v>
      </c>
      <c r="E260" s="1409">
        <v>169.87</v>
      </c>
      <c r="F260" s="1271"/>
      <c r="G260" s="1271"/>
      <c r="H260" s="1271"/>
      <c r="I260" s="1271"/>
    </row>
    <row r="261" spans="1:9">
      <c r="A261" s="1390" t="s">
        <v>1950</v>
      </c>
      <c r="B261" s="1387">
        <v>20</v>
      </c>
      <c r="C261" s="1397" t="s">
        <v>309</v>
      </c>
      <c r="D261" s="1387"/>
      <c r="E261" s="1387"/>
      <c r="F261" s="1271"/>
      <c r="G261" s="1271"/>
      <c r="H261" s="1271"/>
      <c r="I261" s="1271"/>
    </row>
    <row r="262" spans="1:9" ht="84">
      <c r="A262" s="1398" t="s">
        <v>1951</v>
      </c>
      <c r="B262" s="1387"/>
      <c r="C262" s="1405" t="s">
        <v>1923</v>
      </c>
      <c r="D262" s="1387" t="s">
        <v>1628</v>
      </c>
      <c r="E262" s="1409">
        <v>701.6</v>
      </c>
      <c r="F262" s="1271"/>
      <c r="G262" s="1271"/>
      <c r="H262" s="1271"/>
      <c r="I262" s="1271"/>
    </row>
    <row r="263" spans="1:9" ht="84">
      <c r="A263" s="1390" t="s">
        <v>1952</v>
      </c>
      <c r="B263" s="1387">
        <v>19</v>
      </c>
      <c r="C263" s="1405" t="s">
        <v>1862</v>
      </c>
      <c r="D263" s="1402" t="s">
        <v>1630</v>
      </c>
      <c r="E263" s="1409">
        <v>285.47950000000003</v>
      </c>
      <c r="F263" s="1271"/>
      <c r="G263" s="1271"/>
      <c r="H263" s="1271"/>
      <c r="I263" s="1271"/>
    </row>
    <row r="264" spans="1:9">
      <c r="A264" s="1390" t="s">
        <v>1953</v>
      </c>
      <c r="B264" s="1387">
        <v>13</v>
      </c>
      <c r="C264" s="1270" t="s">
        <v>1929</v>
      </c>
      <c r="D264" s="1387"/>
      <c r="E264" s="1387"/>
      <c r="F264" s="1271"/>
      <c r="G264" s="1271"/>
      <c r="H264" s="1271"/>
      <c r="I264" s="1271"/>
    </row>
    <row r="265" spans="1:9" ht="84">
      <c r="A265" s="1398" t="s">
        <v>1954</v>
      </c>
      <c r="B265" s="1387"/>
      <c r="C265" s="1405" t="s">
        <v>1955</v>
      </c>
      <c r="D265" s="1387" t="s">
        <v>1079</v>
      </c>
      <c r="E265" s="1409">
        <v>743</v>
      </c>
      <c r="F265" s="1271"/>
      <c r="G265" s="1271"/>
      <c r="H265" s="1271"/>
      <c r="I265" s="1271"/>
    </row>
    <row r="266" spans="1:9" ht="84">
      <c r="A266" s="1398" t="s">
        <v>1956</v>
      </c>
      <c r="B266" s="1387"/>
      <c r="C266" s="1405" t="s">
        <v>1957</v>
      </c>
      <c r="D266" s="1387" t="s">
        <v>1079</v>
      </c>
      <c r="E266" s="1409">
        <v>566</v>
      </c>
      <c r="F266" s="1271"/>
      <c r="G266" s="1271"/>
      <c r="H266" s="1271"/>
      <c r="I266" s="1271"/>
    </row>
    <row r="267" spans="1:9">
      <c r="A267" s="1413" t="s">
        <v>1958</v>
      </c>
      <c r="B267" s="1387"/>
      <c r="C267" s="1271"/>
      <c r="D267" s="1387"/>
      <c r="E267" s="1387"/>
      <c r="F267" s="1271"/>
      <c r="G267" s="1271"/>
      <c r="H267" s="1271"/>
      <c r="I267" s="1271"/>
    </row>
    <row r="268" spans="1:9">
      <c r="A268" s="1394"/>
      <c r="B268" s="1395"/>
      <c r="C268" s="1396"/>
      <c r="D268" s="1395"/>
      <c r="E268" s="1395"/>
      <c r="F268" s="1396"/>
      <c r="G268" s="1396"/>
      <c r="H268" s="1396"/>
      <c r="I268" s="1396"/>
    </row>
    <row r="269" spans="1:9">
      <c r="A269" s="1390" t="s">
        <v>1959</v>
      </c>
      <c r="B269" s="1387"/>
      <c r="C269" s="1391" t="s">
        <v>688</v>
      </c>
      <c r="D269" s="1387"/>
      <c r="E269" s="1387"/>
      <c r="F269" s="1271"/>
      <c r="G269" s="1271"/>
      <c r="H269" s="1271"/>
      <c r="I269" s="1271"/>
    </row>
    <row r="270" spans="1:9">
      <c r="A270" s="1390" t="s">
        <v>1960</v>
      </c>
      <c r="B270" s="1387"/>
      <c r="C270" s="1397" t="s">
        <v>1961</v>
      </c>
      <c r="D270" s="1387"/>
      <c r="E270" s="1387"/>
      <c r="F270" s="1271"/>
      <c r="G270" s="1271"/>
      <c r="H270" s="1271"/>
      <c r="I270" s="1271"/>
    </row>
    <row r="271" spans="1:9" ht="184.8">
      <c r="A271" s="1398" t="s">
        <v>1962</v>
      </c>
      <c r="B271" s="1387">
        <v>12</v>
      </c>
      <c r="C271" s="1416" t="s">
        <v>1963</v>
      </c>
      <c r="D271" s="1402" t="s">
        <v>1630</v>
      </c>
      <c r="E271" s="1418">
        <v>7486.1490000000003</v>
      </c>
      <c r="F271" s="1271"/>
      <c r="G271" s="1271"/>
      <c r="H271" s="1271"/>
      <c r="I271" s="1271"/>
    </row>
    <row r="272" spans="1:9" ht="84">
      <c r="A272" s="1390" t="s">
        <v>1964</v>
      </c>
      <c r="B272" s="1387">
        <v>15</v>
      </c>
      <c r="C272" s="1406" t="s">
        <v>1639</v>
      </c>
      <c r="D272" s="1387"/>
      <c r="E272" s="1387"/>
      <c r="F272" s="1271"/>
      <c r="G272" s="1271"/>
      <c r="H272" s="1271"/>
      <c r="I272" s="1271"/>
    </row>
    <row r="273" spans="1:9" ht="17.399999999999999">
      <c r="A273" s="1398" t="s">
        <v>1965</v>
      </c>
      <c r="B273" s="1387"/>
      <c r="C273" s="1407" t="s">
        <v>1645</v>
      </c>
      <c r="D273" s="1402" t="s">
        <v>1630</v>
      </c>
      <c r="E273" s="1418">
        <v>1261.5185000000001</v>
      </c>
      <c r="F273" s="1271"/>
      <c r="G273" s="1271"/>
      <c r="H273" s="1271"/>
      <c r="I273" s="1271"/>
    </row>
    <row r="274" spans="1:9" ht="17.399999999999999">
      <c r="A274" s="1398" t="s">
        <v>1966</v>
      </c>
      <c r="B274" s="1387"/>
      <c r="C274" s="1407" t="s">
        <v>1967</v>
      </c>
      <c r="D274" s="1402" t="s">
        <v>1630</v>
      </c>
      <c r="E274" s="1418">
        <v>39.492000000000004</v>
      </c>
      <c r="F274" s="1271"/>
      <c r="G274" s="1271"/>
      <c r="H274" s="1271"/>
      <c r="I274" s="1271"/>
    </row>
    <row r="275" spans="1:9">
      <c r="A275" s="1390" t="s">
        <v>1968</v>
      </c>
      <c r="B275" s="1387">
        <v>21</v>
      </c>
      <c r="C275" s="1270" t="s">
        <v>1649</v>
      </c>
      <c r="D275" s="1387"/>
      <c r="E275" s="1387"/>
      <c r="F275" s="1271"/>
      <c r="G275" s="1271"/>
      <c r="H275" s="1271"/>
      <c r="I275" s="1271"/>
    </row>
    <row r="276" spans="1:9" ht="100.8">
      <c r="A276" s="1398" t="s">
        <v>1969</v>
      </c>
      <c r="B276" s="1387"/>
      <c r="C276" s="1405" t="s">
        <v>1248</v>
      </c>
      <c r="D276" s="1408" t="s">
        <v>25</v>
      </c>
      <c r="E276" s="1418">
        <v>172.22738702499998</v>
      </c>
      <c r="F276" s="1271"/>
      <c r="G276" s="1271"/>
      <c r="H276" s="1271"/>
      <c r="I276" s="1271"/>
    </row>
    <row r="277" spans="1:9">
      <c r="A277" s="1390" t="s">
        <v>1970</v>
      </c>
      <c r="B277" s="1387">
        <v>20</v>
      </c>
      <c r="C277" s="1397" t="s">
        <v>309</v>
      </c>
      <c r="D277" s="1387"/>
      <c r="E277" s="1387"/>
      <c r="F277" s="1271"/>
      <c r="G277" s="1271"/>
      <c r="H277" s="1271"/>
      <c r="I277" s="1271"/>
    </row>
    <row r="278" spans="1:9" ht="84">
      <c r="A278" s="1398" t="s">
        <v>1971</v>
      </c>
      <c r="B278" s="1387"/>
      <c r="C278" s="1405" t="s">
        <v>1249</v>
      </c>
      <c r="D278" s="1387" t="s">
        <v>1628</v>
      </c>
      <c r="E278" s="1418">
        <v>1920.9019999999998</v>
      </c>
      <c r="F278" s="1271"/>
      <c r="G278" s="1271"/>
      <c r="H278" s="1271"/>
      <c r="I278" s="1271"/>
    </row>
    <row r="279" spans="1:9">
      <c r="A279" s="1390" t="s">
        <v>1972</v>
      </c>
      <c r="B279" s="1387"/>
      <c r="C279" s="1397" t="s">
        <v>1250</v>
      </c>
      <c r="D279" s="1387"/>
      <c r="E279" s="1387"/>
      <c r="F279" s="1271"/>
      <c r="G279" s="1271"/>
      <c r="H279" s="1271"/>
      <c r="I279" s="1271"/>
    </row>
    <row r="280" spans="1:9" ht="50.4">
      <c r="A280" s="1398" t="s">
        <v>1973</v>
      </c>
      <c r="B280" s="1387"/>
      <c r="C280" s="1405" t="s">
        <v>2794</v>
      </c>
      <c r="D280" s="1387" t="s">
        <v>1079</v>
      </c>
      <c r="E280" s="1418">
        <v>504</v>
      </c>
      <c r="F280" s="1271"/>
      <c r="G280" s="1271"/>
      <c r="H280" s="1271"/>
      <c r="I280" s="1271"/>
    </row>
    <row r="281" spans="1:9" ht="17.399999999999999">
      <c r="A281" s="1398" t="s">
        <v>1974</v>
      </c>
      <c r="B281" s="1387"/>
      <c r="C281" s="1405" t="s">
        <v>1975</v>
      </c>
      <c r="D281" s="1387" t="s">
        <v>1628</v>
      </c>
      <c r="E281" s="1418">
        <v>507</v>
      </c>
      <c r="F281" s="1271"/>
      <c r="G281" s="1271"/>
      <c r="H281" s="1271"/>
      <c r="I281" s="1271"/>
    </row>
    <row r="282" spans="1:9" ht="33.6">
      <c r="A282" s="1390" t="s">
        <v>1976</v>
      </c>
      <c r="B282" s="1387"/>
      <c r="C282" s="1405" t="s">
        <v>1977</v>
      </c>
      <c r="D282" s="1402" t="s">
        <v>1630</v>
      </c>
      <c r="E282" s="1418">
        <v>58.592500000000001</v>
      </c>
      <c r="F282" s="1271"/>
      <c r="G282" s="1271"/>
      <c r="H282" s="1271"/>
      <c r="I282" s="1271"/>
    </row>
    <row r="283" spans="1:9" ht="33.6">
      <c r="A283" s="1390" t="s">
        <v>1978</v>
      </c>
      <c r="B283" s="1387"/>
      <c r="C283" s="1406" t="s">
        <v>1979</v>
      </c>
      <c r="D283" s="1387" t="s">
        <v>1628</v>
      </c>
      <c r="E283" s="1418">
        <v>36.72</v>
      </c>
      <c r="F283" s="1271"/>
      <c r="G283" s="1271"/>
      <c r="H283" s="1271"/>
      <c r="I283" s="1271"/>
    </row>
    <row r="284" spans="1:9">
      <c r="A284" s="1390" t="s">
        <v>1980</v>
      </c>
      <c r="C284" s="1270" t="s">
        <v>1981</v>
      </c>
      <c r="D284" s="1387"/>
      <c r="E284" s="1387"/>
      <c r="F284" s="1271"/>
      <c r="G284" s="1271"/>
      <c r="H284" s="1271"/>
      <c r="I284" s="1271"/>
    </row>
    <row r="285" spans="1:9" ht="84">
      <c r="A285" s="1398" t="s">
        <v>1982</v>
      </c>
      <c r="B285" s="1387">
        <v>13</v>
      </c>
      <c r="C285" s="1405" t="s">
        <v>1983</v>
      </c>
      <c r="D285" s="1387" t="s">
        <v>1079</v>
      </c>
      <c r="E285" s="1404">
        <v>306</v>
      </c>
      <c r="F285" s="1271"/>
      <c r="G285" s="1271"/>
      <c r="H285" s="1271"/>
      <c r="I285" s="1271"/>
    </row>
    <row r="286" spans="1:9" ht="84">
      <c r="A286" s="1398" t="s">
        <v>1984</v>
      </c>
      <c r="B286" s="1387">
        <v>13</v>
      </c>
      <c r="C286" s="1405" t="s">
        <v>1985</v>
      </c>
      <c r="D286" s="1387" t="s">
        <v>1079</v>
      </c>
      <c r="E286" s="1404">
        <v>731</v>
      </c>
      <c r="F286" s="1271"/>
      <c r="G286" s="1271"/>
      <c r="H286" s="1271"/>
      <c r="I286" s="1271"/>
    </row>
    <row r="287" spans="1:9" ht="84">
      <c r="A287" s="1398" t="s">
        <v>1986</v>
      </c>
      <c r="B287" s="1387">
        <v>19</v>
      </c>
      <c r="C287" s="1405" t="s">
        <v>1987</v>
      </c>
      <c r="D287" s="1402" t="s">
        <v>1630</v>
      </c>
      <c r="E287" s="1404">
        <v>97.154999999999987</v>
      </c>
      <c r="F287" s="1271"/>
      <c r="G287" s="1271"/>
      <c r="H287" s="1271"/>
      <c r="I287" s="1271"/>
    </row>
    <row r="288" spans="1:9">
      <c r="A288" s="1390" t="s">
        <v>1988</v>
      </c>
      <c r="C288" s="1270" t="s">
        <v>1989</v>
      </c>
      <c r="D288" s="1387"/>
      <c r="E288" s="1387"/>
      <c r="F288" s="1271"/>
      <c r="G288" s="1271"/>
      <c r="H288" s="1271"/>
      <c r="I288" s="1271"/>
    </row>
    <row r="289" spans="1:9" ht="84">
      <c r="A289" s="1398" t="s">
        <v>1990</v>
      </c>
      <c r="B289" s="1387">
        <v>13</v>
      </c>
      <c r="C289" s="1405" t="s">
        <v>1983</v>
      </c>
      <c r="D289" s="1387" t="s">
        <v>1079</v>
      </c>
      <c r="E289" s="1404">
        <v>1094</v>
      </c>
      <c r="F289" s="1271"/>
      <c r="G289" s="1271"/>
      <c r="H289" s="1271"/>
      <c r="I289" s="1271"/>
    </row>
    <row r="290" spans="1:9" ht="84">
      <c r="A290" s="1398" t="s">
        <v>1991</v>
      </c>
      <c r="B290" s="1387" t="s">
        <v>1992</v>
      </c>
      <c r="C290" s="1406" t="s">
        <v>1993</v>
      </c>
      <c r="D290" s="1387" t="s">
        <v>25</v>
      </c>
      <c r="E290" s="1404">
        <v>12.778511902920002</v>
      </c>
      <c r="F290" s="1271"/>
      <c r="G290" s="1271"/>
      <c r="H290" s="1271"/>
      <c r="I290" s="1271"/>
    </row>
    <row r="291" spans="1:9" ht="84">
      <c r="A291" s="1398" t="s">
        <v>1994</v>
      </c>
      <c r="B291" s="1387">
        <v>19</v>
      </c>
      <c r="C291" s="1405" t="s">
        <v>1995</v>
      </c>
      <c r="D291" s="1402" t="s">
        <v>1630</v>
      </c>
      <c r="E291" s="1404">
        <v>124.35839999999999</v>
      </c>
      <c r="F291" s="1271"/>
      <c r="G291" s="1271"/>
      <c r="H291" s="1271"/>
      <c r="I291" s="1271"/>
    </row>
    <row r="292" spans="1:9" ht="84">
      <c r="A292" s="1398" t="s">
        <v>1996</v>
      </c>
      <c r="B292" s="1387">
        <v>19</v>
      </c>
      <c r="C292" s="1405" t="s">
        <v>1997</v>
      </c>
      <c r="D292" s="1402" t="s">
        <v>1630</v>
      </c>
      <c r="E292" s="1404">
        <v>349.68979999999993</v>
      </c>
      <c r="F292" s="1271"/>
      <c r="G292" s="1271"/>
      <c r="H292" s="1271"/>
      <c r="I292" s="1271"/>
    </row>
    <row r="293" spans="1:9" ht="67.2">
      <c r="A293" s="1398" t="s">
        <v>1998</v>
      </c>
      <c r="B293" s="1387">
        <v>13</v>
      </c>
      <c r="C293" s="343" t="s">
        <v>1999</v>
      </c>
      <c r="D293" s="1387" t="s">
        <v>1628</v>
      </c>
      <c r="E293" s="1404">
        <v>2425.5989999999997</v>
      </c>
      <c r="F293" s="1271"/>
      <c r="G293" s="1271"/>
      <c r="H293" s="1271"/>
      <c r="I293" s="1271"/>
    </row>
    <row r="294" spans="1:9">
      <c r="A294" s="1390" t="s">
        <v>2000</v>
      </c>
      <c r="B294" s="1387"/>
      <c r="C294" s="1249" t="s">
        <v>1898</v>
      </c>
      <c r="D294" s="1387"/>
      <c r="E294" s="1418"/>
      <c r="F294" s="1271"/>
      <c r="G294" s="1271"/>
      <c r="H294" s="1271"/>
      <c r="I294" s="1271"/>
    </row>
    <row r="295" spans="1:9" ht="67.2">
      <c r="A295" s="1398" t="s">
        <v>2001</v>
      </c>
      <c r="B295" s="1387">
        <v>18</v>
      </c>
      <c r="C295" s="343" t="s">
        <v>1900</v>
      </c>
      <c r="D295" s="1387" t="s">
        <v>25</v>
      </c>
      <c r="E295" s="1409">
        <v>2.5</v>
      </c>
      <c r="F295" s="1271"/>
      <c r="G295" s="1271"/>
      <c r="H295" s="1271"/>
      <c r="I295" s="1271"/>
    </row>
    <row r="296" spans="1:9" ht="33.6">
      <c r="A296" s="1398" t="s">
        <v>2002</v>
      </c>
      <c r="B296" s="1387">
        <v>14</v>
      </c>
      <c r="C296" s="343" t="s">
        <v>1902</v>
      </c>
      <c r="D296" s="1387" t="s">
        <v>27</v>
      </c>
      <c r="E296" s="1409">
        <v>15</v>
      </c>
      <c r="F296" s="1271"/>
      <c r="G296" s="1271"/>
      <c r="H296" s="1271"/>
      <c r="I296" s="1271"/>
    </row>
    <row r="297" spans="1:9">
      <c r="A297" s="1413" t="s">
        <v>2003</v>
      </c>
      <c r="B297" s="1387"/>
      <c r="C297" s="1271"/>
      <c r="D297" s="1387"/>
      <c r="E297" s="1387"/>
      <c r="F297" s="1271"/>
      <c r="G297" s="1271"/>
      <c r="H297" s="1271"/>
      <c r="I297" s="1271"/>
    </row>
    <row r="298" spans="1:9">
      <c r="A298" s="1394"/>
      <c r="B298" s="1395"/>
      <c r="C298" s="1396"/>
      <c r="D298" s="1395"/>
      <c r="E298" s="1395"/>
      <c r="F298" s="1396"/>
      <c r="G298" s="1396"/>
      <c r="H298" s="1396"/>
      <c r="I298" s="1396"/>
    </row>
    <row r="299" spans="1:9" ht="33.6">
      <c r="A299" s="1390" t="s">
        <v>2004</v>
      </c>
      <c r="B299" s="1387"/>
      <c r="C299" s="1391" t="s">
        <v>2005</v>
      </c>
      <c r="D299" s="1387"/>
      <c r="E299" s="1387"/>
      <c r="F299" s="1271"/>
      <c r="G299" s="1271"/>
      <c r="H299" s="1271"/>
      <c r="I299" s="1271"/>
    </row>
    <row r="300" spans="1:9">
      <c r="A300" s="1390" t="s">
        <v>2006</v>
      </c>
      <c r="B300" s="1387"/>
      <c r="C300" s="1397" t="s">
        <v>1961</v>
      </c>
      <c r="D300" s="1387"/>
      <c r="E300" s="1387"/>
      <c r="F300" s="1271"/>
      <c r="G300" s="1271"/>
      <c r="H300" s="1271"/>
      <c r="I300" s="1271"/>
    </row>
    <row r="301" spans="1:9" ht="184.8">
      <c r="A301" s="1398" t="s">
        <v>2007</v>
      </c>
      <c r="B301" s="1387">
        <v>12</v>
      </c>
      <c r="C301" s="1416" t="s">
        <v>2008</v>
      </c>
      <c r="D301" s="1402" t="s">
        <v>1630</v>
      </c>
      <c r="E301" s="1418">
        <v>20398.509999999998</v>
      </c>
      <c r="F301" s="1271"/>
      <c r="G301" s="1271"/>
      <c r="H301" s="1271"/>
      <c r="I301" s="1271"/>
    </row>
    <row r="302" spans="1:9" ht="84">
      <c r="A302" s="1390" t="s">
        <v>2009</v>
      </c>
      <c r="B302" s="1387">
        <v>15</v>
      </c>
      <c r="C302" s="1406" t="s">
        <v>1639</v>
      </c>
      <c r="D302" s="1387"/>
      <c r="E302" s="1387"/>
      <c r="F302" s="1271"/>
      <c r="G302" s="1271"/>
      <c r="H302" s="1271"/>
      <c r="I302" s="1271"/>
    </row>
    <row r="303" spans="1:9" ht="17.399999999999999">
      <c r="A303" s="1398" t="s">
        <v>2010</v>
      </c>
      <c r="B303" s="1387"/>
      <c r="C303" s="1407" t="s">
        <v>2011</v>
      </c>
      <c r="D303" s="1402" t="s">
        <v>1630</v>
      </c>
      <c r="E303" s="1418">
        <v>519.28800000000012</v>
      </c>
      <c r="F303" s="1271"/>
      <c r="G303" s="1271"/>
      <c r="H303" s="1271"/>
      <c r="I303" s="1271"/>
    </row>
    <row r="304" spans="1:9" ht="17.399999999999999">
      <c r="A304" s="1398" t="s">
        <v>2012</v>
      </c>
      <c r="B304" s="1387"/>
      <c r="C304" s="1407" t="s">
        <v>2013</v>
      </c>
      <c r="D304" s="1402" t="s">
        <v>1630</v>
      </c>
      <c r="E304" s="1418">
        <v>354</v>
      </c>
      <c r="F304" s="1271"/>
      <c r="G304" s="1271"/>
      <c r="H304" s="1271"/>
      <c r="I304" s="1271"/>
    </row>
    <row r="305" spans="1:9">
      <c r="A305" s="1390" t="s">
        <v>2014</v>
      </c>
      <c r="B305" s="1387">
        <v>21</v>
      </c>
      <c r="C305" s="1270" t="s">
        <v>1649</v>
      </c>
      <c r="D305" s="1387"/>
      <c r="E305" s="1387"/>
      <c r="F305" s="1271"/>
      <c r="G305" s="1271"/>
      <c r="H305" s="1271"/>
      <c r="I305" s="1271"/>
    </row>
    <row r="306" spans="1:9" ht="100.8">
      <c r="A306" s="1398" t="s">
        <v>2015</v>
      </c>
      <c r="B306" s="1387"/>
      <c r="C306" s="1405" t="s">
        <v>1248</v>
      </c>
      <c r="D306" s="1387" t="s">
        <v>25</v>
      </c>
      <c r="E306" s="1418">
        <v>22.231199999999998</v>
      </c>
      <c r="F306" s="1271"/>
      <c r="G306" s="1271"/>
      <c r="H306" s="1271"/>
      <c r="I306" s="1271"/>
    </row>
    <row r="307" spans="1:9">
      <c r="A307" s="1390" t="s">
        <v>2016</v>
      </c>
      <c r="B307" s="1387">
        <v>20</v>
      </c>
      <c r="C307" s="1397" t="s">
        <v>309</v>
      </c>
      <c r="D307" s="1387"/>
      <c r="E307" s="1387"/>
      <c r="F307" s="1271"/>
      <c r="G307" s="1271"/>
      <c r="H307" s="1271"/>
      <c r="I307" s="1271"/>
    </row>
    <row r="308" spans="1:9" ht="84">
      <c r="A308" s="1398" t="s">
        <v>2017</v>
      </c>
      <c r="B308" s="1387"/>
      <c r="C308" s="1405" t="s">
        <v>1249</v>
      </c>
      <c r="D308" s="1387" t="s">
        <v>1628</v>
      </c>
      <c r="E308" s="1418">
        <v>295</v>
      </c>
      <c r="F308" s="1271"/>
      <c r="G308" s="1271"/>
      <c r="H308" s="1271"/>
      <c r="I308" s="1271"/>
    </row>
    <row r="309" spans="1:9" ht="84">
      <c r="A309" s="1390" t="s">
        <v>2018</v>
      </c>
      <c r="B309" s="1387">
        <v>19</v>
      </c>
      <c r="C309" s="1405" t="s">
        <v>1862</v>
      </c>
      <c r="D309" s="1402" t="s">
        <v>1630</v>
      </c>
      <c r="E309" s="1418">
        <v>1160.5675999999999</v>
      </c>
      <c r="F309" s="1271"/>
      <c r="G309" s="1271"/>
      <c r="H309" s="1271"/>
      <c r="I309" s="1271"/>
    </row>
    <row r="310" spans="1:9" ht="84">
      <c r="A310" s="1390" t="s">
        <v>2019</v>
      </c>
      <c r="B310" s="1387">
        <v>13</v>
      </c>
      <c r="C310" s="1405" t="s">
        <v>1804</v>
      </c>
      <c r="D310" s="1387" t="s">
        <v>307</v>
      </c>
      <c r="E310" s="1418">
        <v>11608</v>
      </c>
      <c r="F310" s="1271"/>
      <c r="G310" s="1271"/>
      <c r="H310" s="1271"/>
      <c r="I310" s="1271"/>
    </row>
    <row r="311" spans="1:9" ht="100.8">
      <c r="A311" s="1390" t="s">
        <v>2020</v>
      </c>
      <c r="B311" s="1387"/>
      <c r="C311" s="1406" t="s">
        <v>2795</v>
      </c>
      <c r="D311" s="1387" t="s">
        <v>47</v>
      </c>
      <c r="E311" s="1418">
        <v>2407.1999999999998</v>
      </c>
      <c r="F311" s="1271"/>
      <c r="G311" s="1271"/>
      <c r="H311" s="1271"/>
      <c r="I311" s="1271"/>
    </row>
    <row r="312" spans="1:9">
      <c r="A312" s="1390" t="s">
        <v>2021</v>
      </c>
      <c r="B312" s="1387"/>
      <c r="C312" s="1249" t="s">
        <v>1898</v>
      </c>
      <c r="D312" s="1387"/>
      <c r="E312" s="1418"/>
      <c r="F312" s="1271"/>
      <c r="G312" s="1271"/>
      <c r="H312" s="1271"/>
      <c r="I312" s="1271"/>
    </row>
    <row r="313" spans="1:9" ht="67.2">
      <c r="A313" s="1398" t="s">
        <v>2022</v>
      </c>
      <c r="B313" s="1387">
        <v>18</v>
      </c>
      <c r="C313" s="343" t="s">
        <v>1900</v>
      </c>
      <c r="D313" s="1387" t="s">
        <v>25</v>
      </c>
      <c r="E313" s="1409">
        <v>2.5</v>
      </c>
      <c r="F313" s="1271"/>
      <c r="G313" s="1271"/>
      <c r="H313" s="1271"/>
      <c r="I313" s="1271"/>
    </row>
    <row r="314" spans="1:9" ht="33.6">
      <c r="A314" s="1398" t="s">
        <v>2023</v>
      </c>
      <c r="B314" s="1387">
        <v>14</v>
      </c>
      <c r="C314" s="343" t="s">
        <v>1902</v>
      </c>
      <c r="D314" s="1387" t="s">
        <v>27</v>
      </c>
      <c r="E314" s="1409">
        <v>56</v>
      </c>
      <c r="F314" s="1271"/>
      <c r="G314" s="1271"/>
      <c r="H314" s="1271"/>
      <c r="I314" s="1271"/>
    </row>
    <row r="315" spans="1:9">
      <c r="A315" s="1413" t="s">
        <v>2024</v>
      </c>
      <c r="B315" s="1387"/>
      <c r="C315" s="1271"/>
      <c r="D315" s="1387"/>
      <c r="E315" s="1387"/>
      <c r="F315" s="1271"/>
      <c r="G315" s="1271"/>
      <c r="H315" s="1271"/>
      <c r="I315" s="1271"/>
    </row>
    <row r="316" spans="1:9">
      <c r="A316" s="1394"/>
      <c r="B316" s="1395"/>
      <c r="C316" s="1396"/>
      <c r="D316" s="1395"/>
      <c r="E316" s="1395"/>
      <c r="F316" s="1396"/>
      <c r="G316" s="1396"/>
      <c r="H316" s="1396"/>
      <c r="I316" s="1396"/>
    </row>
    <row r="317" spans="1:9" ht="50.4">
      <c r="A317" s="1390" t="s">
        <v>2025</v>
      </c>
      <c r="B317" s="1387"/>
      <c r="C317" s="1391" t="s">
        <v>2796</v>
      </c>
      <c r="D317" s="1387"/>
      <c r="E317" s="1387"/>
      <c r="F317" s="1271"/>
      <c r="G317" s="1271"/>
      <c r="H317" s="1271"/>
      <c r="I317" s="1271"/>
    </row>
    <row r="318" spans="1:9">
      <c r="A318" s="1390" t="s">
        <v>2026</v>
      </c>
      <c r="B318" s="1387"/>
      <c r="C318" s="1397" t="s">
        <v>18</v>
      </c>
      <c r="D318" s="1387"/>
      <c r="E318" s="1387"/>
      <c r="F318" s="1271"/>
      <c r="G318" s="1271"/>
      <c r="H318" s="1271"/>
      <c r="I318" s="1271"/>
    </row>
    <row r="319" spans="1:9" ht="117.6">
      <c r="A319" s="1398" t="s">
        <v>2027</v>
      </c>
      <c r="B319" s="1387" t="s">
        <v>2028</v>
      </c>
      <c r="C319" s="1393" t="s">
        <v>1676</v>
      </c>
      <c r="D319" s="1387" t="s">
        <v>1628</v>
      </c>
      <c r="E319" s="1418">
        <v>900</v>
      </c>
      <c r="F319" s="1271"/>
      <c r="G319" s="1271"/>
      <c r="H319" s="1271"/>
      <c r="I319" s="1271"/>
    </row>
    <row r="320" spans="1:9">
      <c r="A320" s="1390" t="s">
        <v>2029</v>
      </c>
      <c r="B320" s="1387"/>
      <c r="C320" s="1397" t="s">
        <v>492</v>
      </c>
      <c r="D320" s="1387"/>
      <c r="E320" s="1387"/>
      <c r="F320" s="1271"/>
      <c r="G320" s="1271"/>
      <c r="H320" s="1271"/>
      <c r="I320" s="1271"/>
    </row>
    <row r="321" spans="1:9" ht="84">
      <c r="A321" s="1398" t="s">
        <v>2030</v>
      </c>
      <c r="B321" s="1387">
        <v>11</v>
      </c>
      <c r="C321" s="1406" t="s">
        <v>2031</v>
      </c>
      <c r="D321" s="1402" t="s">
        <v>1630</v>
      </c>
      <c r="E321" s="1418">
        <v>16850</v>
      </c>
      <c r="F321" s="1271"/>
      <c r="G321" s="1271"/>
      <c r="H321" s="1271"/>
      <c r="I321" s="1271"/>
    </row>
    <row r="322" spans="1:9" ht="84">
      <c r="A322" s="1390" t="s">
        <v>2032</v>
      </c>
      <c r="B322" s="1387">
        <v>15</v>
      </c>
      <c r="C322" s="1406" t="s">
        <v>1639</v>
      </c>
      <c r="D322" s="1387"/>
      <c r="E322" s="1387"/>
      <c r="F322" s="1271"/>
      <c r="G322" s="1271"/>
      <c r="H322" s="1271"/>
      <c r="I322" s="1271"/>
    </row>
    <row r="323" spans="1:9" ht="17.399999999999999">
      <c r="A323" s="1398" t="s">
        <v>2033</v>
      </c>
      <c r="B323" s="1387"/>
      <c r="C323" s="1407" t="s">
        <v>1645</v>
      </c>
      <c r="D323" s="1402" t="s">
        <v>1630</v>
      </c>
      <c r="E323" s="1418">
        <v>493</v>
      </c>
      <c r="F323" s="1271"/>
      <c r="G323" s="1271"/>
      <c r="H323" s="1271"/>
      <c r="I323" s="1271"/>
    </row>
    <row r="324" spans="1:9">
      <c r="A324" s="1390" t="s">
        <v>2034</v>
      </c>
      <c r="B324" s="1387">
        <v>21</v>
      </c>
      <c r="C324" s="1270" t="s">
        <v>1649</v>
      </c>
      <c r="D324" s="1387"/>
      <c r="E324" s="1387"/>
      <c r="F324" s="1271"/>
      <c r="G324" s="1271"/>
      <c r="H324" s="1271"/>
      <c r="I324" s="1271"/>
    </row>
    <row r="325" spans="1:9" ht="100.8">
      <c r="A325" s="1398" t="s">
        <v>2035</v>
      </c>
      <c r="B325" s="1387"/>
      <c r="C325" s="1405" t="s">
        <v>1248</v>
      </c>
      <c r="D325" s="1408" t="s">
        <v>25</v>
      </c>
      <c r="E325" s="1418">
        <v>38.700499999999998</v>
      </c>
      <c r="F325" s="1271"/>
      <c r="G325" s="1271"/>
      <c r="H325" s="1271"/>
      <c r="I325" s="1271"/>
    </row>
    <row r="326" spans="1:9">
      <c r="A326" s="1390" t="s">
        <v>2036</v>
      </c>
      <c r="B326" s="1387">
        <v>20</v>
      </c>
      <c r="C326" s="1397" t="s">
        <v>309</v>
      </c>
      <c r="D326" s="1387"/>
      <c r="E326" s="1387"/>
      <c r="F326" s="1271"/>
      <c r="G326" s="1271"/>
      <c r="H326" s="1271"/>
      <c r="I326" s="1271"/>
    </row>
    <row r="327" spans="1:9" ht="84">
      <c r="A327" s="1398" t="s">
        <v>2037</v>
      </c>
      <c r="B327" s="1387"/>
      <c r="C327" s="1405" t="s">
        <v>2038</v>
      </c>
      <c r="D327" s="1387" t="s">
        <v>1628</v>
      </c>
      <c r="E327" s="1418">
        <v>929.36</v>
      </c>
      <c r="F327" s="1271"/>
      <c r="G327" s="1271"/>
      <c r="H327" s="1271"/>
      <c r="I327" s="1271"/>
    </row>
    <row r="328" spans="1:9" ht="84">
      <c r="A328" s="1420" t="s">
        <v>2039</v>
      </c>
      <c r="B328" s="1387">
        <v>19</v>
      </c>
      <c r="C328" s="1405" t="s">
        <v>2040</v>
      </c>
      <c r="D328" s="1402" t="s">
        <v>1630</v>
      </c>
      <c r="E328" s="1418">
        <v>65.95</v>
      </c>
      <c r="F328" s="1271"/>
      <c r="G328" s="1271"/>
      <c r="H328" s="1271"/>
      <c r="I328" s="1271"/>
    </row>
    <row r="329" spans="1:9" ht="84">
      <c r="A329" s="1420" t="s">
        <v>2041</v>
      </c>
      <c r="B329" s="1387">
        <v>13</v>
      </c>
      <c r="C329" s="1405" t="s">
        <v>2042</v>
      </c>
      <c r="D329" s="1387" t="s">
        <v>1079</v>
      </c>
      <c r="E329" s="1418">
        <v>537</v>
      </c>
      <c r="F329" s="1271"/>
      <c r="G329" s="1271"/>
      <c r="H329" s="1271"/>
      <c r="I329" s="1271"/>
    </row>
    <row r="330" spans="1:9">
      <c r="A330" s="1413" t="s">
        <v>2043</v>
      </c>
      <c r="B330" s="1387"/>
      <c r="C330" s="1271"/>
      <c r="D330" s="1387"/>
      <c r="E330" s="1387"/>
      <c r="F330" s="1271"/>
      <c r="G330" s="1271"/>
      <c r="H330" s="1271"/>
      <c r="I330" s="1271"/>
    </row>
    <row r="331" spans="1:9">
      <c r="A331" s="1394"/>
      <c r="B331" s="1395"/>
      <c r="C331" s="1396"/>
      <c r="D331" s="1395"/>
      <c r="E331" s="1395"/>
      <c r="F331" s="1396"/>
      <c r="G331" s="1396"/>
      <c r="H331" s="1396"/>
      <c r="I331" s="1396"/>
    </row>
    <row r="332" spans="1:9" ht="33.6">
      <c r="A332" s="1390" t="s">
        <v>2044</v>
      </c>
      <c r="B332" s="1387"/>
      <c r="C332" s="1391" t="s">
        <v>2797</v>
      </c>
      <c r="D332" s="1387"/>
      <c r="E332" s="1387"/>
      <c r="F332" s="1271"/>
      <c r="G332" s="1271"/>
      <c r="H332" s="1271"/>
      <c r="I332" s="1271"/>
    </row>
    <row r="333" spans="1:9">
      <c r="A333" s="1390" t="s">
        <v>2045</v>
      </c>
      <c r="B333" s="1387"/>
      <c r="C333" s="1397" t="s">
        <v>18</v>
      </c>
      <c r="D333" s="1387"/>
      <c r="E333" s="1387"/>
      <c r="F333" s="1271"/>
      <c r="G333" s="1271"/>
      <c r="H333" s="1271"/>
      <c r="I333" s="1271"/>
    </row>
    <row r="334" spans="1:9" ht="117.6">
      <c r="A334" s="1398" t="s">
        <v>2046</v>
      </c>
      <c r="B334" s="1387" t="s">
        <v>2028</v>
      </c>
      <c r="C334" s="1393" t="s">
        <v>1676</v>
      </c>
      <c r="D334" s="1387" t="s">
        <v>1628</v>
      </c>
      <c r="E334" s="1387">
        <v>2600</v>
      </c>
      <c r="F334" s="1271"/>
      <c r="G334" s="1271"/>
      <c r="H334" s="1271"/>
      <c r="I334" s="1271"/>
    </row>
    <row r="335" spans="1:9" ht="117.6">
      <c r="A335" s="1390" t="s">
        <v>2047</v>
      </c>
      <c r="B335" s="1400">
        <v>11</v>
      </c>
      <c r="C335" s="1401" t="s">
        <v>1612</v>
      </c>
      <c r="D335" s="1402" t="s">
        <v>1630</v>
      </c>
      <c r="E335" s="1387"/>
      <c r="F335" s="1271"/>
      <c r="G335" s="1271"/>
      <c r="H335" s="1271"/>
      <c r="I335" s="1271"/>
    </row>
    <row r="336" spans="1:9" ht="17.399999999999999">
      <c r="A336" s="1398" t="s">
        <v>2048</v>
      </c>
      <c r="B336" s="1387"/>
      <c r="C336" s="1271" t="s">
        <v>1632</v>
      </c>
      <c r="D336" s="1402" t="s">
        <v>1630</v>
      </c>
      <c r="E336" s="1421">
        <v>12941.782020000001</v>
      </c>
      <c r="F336" s="1271"/>
      <c r="G336" s="1271"/>
      <c r="H336" s="1271"/>
      <c r="I336" s="1271"/>
    </row>
    <row r="337" spans="1:9" ht="17.399999999999999">
      <c r="A337" s="1398" t="s">
        <v>2049</v>
      </c>
      <c r="B337" s="1387"/>
      <c r="C337" s="1271" t="s">
        <v>1634</v>
      </c>
      <c r="D337" s="1402" t="s">
        <v>1630</v>
      </c>
      <c r="E337" s="1404">
        <v>1437.97578</v>
      </c>
      <c r="F337" s="1271"/>
      <c r="G337" s="1271"/>
      <c r="H337" s="1271"/>
      <c r="I337" s="1271"/>
    </row>
    <row r="338" spans="1:9">
      <c r="A338" s="1390" t="s">
        <v>2050</v>
      </c>
      <c r="B338" s="1387">
        <v>11</v>
      </c>
      <c r="C338" s="1270" t="s">
        <v>31</v>
      </c>
      <c r="D338" s="1387"/>
      <c r="E338" s="1387"/>
      <c r="F338" s="1271"/>
      <c r="G338" s="1271"/>
      <c r="H338" s="1271"/>
      <c r="I338" s="1271"/>
    </row>
    <row r="339" spans="1:9" ht="50.4">
      <c r="A339" s="1398" t="s">
        <v>2051</v>
      </c>
      <c r="B339" s="1387"/>
      <c r="C339" s="1406" t="s">
        <v>1681</v>
      </c>
      <c r="D339" s="1402" t="s">
        <v>1630</v>
      </c>
      <c r="E339" s="1421">
        <v>9693.1791999999987</v>
      </c>
      <c r="F339" s="1271"/>
      <c r="G339" s="1271"/>
      <c r="H339" s="1271"/>
      <c r="I339" s="1271"/>
    </row>
    <row r="340" spans="1:9" ht="84">
      <c r="A340" s="1390" t="s">
        <v>2050</v>
      </c>
      <c r="B340" s="1387">
        <v>15</v>
      </c>
      <c r="C340" s="1406" t="s">
        <v>1639</v>
      </c>
      <c r="D340" s="1387"/>
      <c r="E340" s="1387"/>
      <c r="F340" s="1271"/>
      <c r="G340" s="1271"/>
      <c r="H340" s="1271"/>
      <c r="I340" s="1271"/>
    </row>
    <row r="341" spans="1:9" ht="17.399999999999999">
      <c r="A341" s="1398" t="s">
        <v>2051</v>
      </c>
      <c r="B341" s="1387"/>
      <c r="C341" s="1407" t="s">
        <v>1645</v>
      </c>
      <c r="D341" s="1402" t="s">
        <v>1630</v>
      </c>
      <c r="E341" s="1421">
        <v>2143.998</v>
      </c>
      <c r="F341" s="1271"/>
      <c r="G341" s="1271"/>
      <c r="H341" s="1271"/>
      <c r="I341" s="1271"/>
    </row>
    <row r="342" spans="1:9">
      <c r="A342" s="1390" t="s">
        <v>2052</v>
      </c>
      <c r="B342" s="1387">
        <v>21</v>
      </c>
      <c r="C342" s="1270" t="s">
        <v>1649</v>
      </c>
      <c r="D342" s="1387"/>
      <c r="E342" s="1387"/>
      <c r="F342" s="1271"/>
      <c r="G342" s="1271"/>
      <c r="H342" s="1271"/>
      <c r="I342" s="1271"/>
    </row>
    <row r="343" spans="1:9" ht="100.8">
      <c r="A343" s="1398" t="s">
        <v>2053</v>
      </c>
      <c r="B343" s="1387"/>
      <c r="C343" s="1405" t="s">
        <v>1248</v>
      </c>
      <c r="D343" s="1408" t="s">
        <v>25</v>
      </c>
      <c r="E343" s="1421">
        <v>168.31</v>
      </c>
      <c r="F343" s="1271"/>
      <c r="G343" s="1271"/>
      <c r="H343" s="1271"/>
      <c r="I343" s="1271"/>
    </row>
    <row r="344" spans="1:9">
      <c r="A344" s="1390" t="s">
        <v>2054</v>
      </c>
      <c r="B344" s="1387">
        <v>20</v>
      </c>
      <c r="C344" s="1397" t="s">
        <v>309</v>
      </c>
      <c r="D344" s="1387"/>
      <c r="E344" s="1387"/>
      <c r="F344" s="1271"/>
      <c r="G344" s="1271"/>
      <c r="H344" s="1271"/>
      <c r="I344" s="1271"/>
    </row>
    <row r="345" spans="1:9" ht="84">
      <c r="A345" s="1398" t="s">
        <v>2055</v>
      </c>
      <c r="B345" s="1387"/>
      <c r="C345" s="1405" t="s">
        <v>2038</v>
      </c>
      <c r="D345" s="1387" t="s">
        <v>1628</v>
      </c>
      <c r="E345" s="1404">
        <v>7249.4033833333342</v>
      </c>
      <c r="F345" s="1271"/>
      <c r="G345" s="1271"/>
      <c r="H345" s="1271"/>
      <c r="I345" s="1271"/>
    </row>
    <row r="346" spans="1:9" ht="84">
      <c r="A346" s="1390" t="s">
        <v>2056</v>
      </c>
      <c r="B346" s="1387">
        <v>19</v>
      </c>
      <c r="C346" s="1405" t="s">
        <v>1807</v>
      </c>
      <c r="D346" s="1402" t="s">
        <v>1630</v>
      </c>
      <c r="E346" s="1404">
        <v>250</v>
      </c>
      <c r="F346" s="1271"/>
      <c r="G346" s="1271"/>
      <c r="H346" s="1271"/>
      <c r="I346" s="1271"/>
    </row>
    <row r="347" spans="1:9" ht="67.2">
      <c r="A347" s="1390" t="s">
        <v>2057</v>
      </c>
      <c r="B347" s="1387">
        <v>23</v>
      </c>
      <c r="C347" s="1406" t="s">
        <v>1652</v>
      </c>
      <c r="D347" s="1387"/>
      <c r="E347" s="1387"/>
      <c r="F347" s="1271"/>
      <c r="G347" s="1271"/>
      <c r="H347" s="1271"/>
      <c r="I347" s="1271"/>
    </row>
    <row r="348" spans="1:9" ht="17.399999999999999">
      <c r="A348" s="1398" t="s">
        <v>2058</v>
      </c>
      <c r="B348" s="1387"/>
      <c r="C348" s="1407" t="s">
        <v>1654</v>
      </c>
      <c r="D348" s="1402" t="s">
        <v>1630</v>
      </c>
      <c r="E348" s="1422">
        <v>270</v>
      </c>
      <c r="F348" s="1271"/>
      <c r="G348" s="1271"/>
      <c r="H348" s="1271"/>
      <c r="I348" s="1271"/>
    </row>
    <row r="349" spans="1:9">
      <c r="A349" s="2379" t="s">
        <v>2059</v>
      </c>
      <c r="B349" s="2379"/>
      <c r="C349" s="2379"/>
      <c r="D349" s="1387"/>
      <c r="E349" s="1387"/>
      <c r="F349" s="1271"/>
      <c r="G349" s="1271"/>
      <c r="H349" s="1271"/>
      <c r="I349" s="1271"/>
    </row>
    <row r="350" spans="1:9">
      <c r="A350" s="1394"/>
      <c r="B350" s="1395"/>
      <c r="C350" s="1396"/>
      <c r="D350" s="1395"/>
      <c r="E350" s="1395"/>
      <c r="F350" s="1396"/>
      <c r="G350" s="1396"/>
      <c r="H350" s="1396"/>
      <c r="I350" s="1396"/>
    </row>
    <row r="351" spans="1:9" ht="33.6">
      <c r="A351" s="1390" t="s">
        <v>2060</v>
      </c>
      <c r="B351" s="1387"/>
      <c r="C351" s="1391" t="s">
        <v>2061</v>
      </c>
      <c r="D351" s="1387"/>
      <c r="E351" s="1387"/>
      <c r="F351" s="1271"/>
      <c r="G351" s="1271"/>
      <c r="H351" s="1271"/>
      <c r="I351" s="1271"/>
    </row>
    <row r="352" spans="1:9" ht="126.75" customHeight="1">
      <c r="A352" s="1398" t="s">
        <v>2062</v>
      </c>
      <c r="B352" s="1387"/>
      <c r="C352" s="1423" t="s">
        <v>2063</v>
      </c>
      <c r="D352" s="1387" t="s">
        <v>305</v>
      </c>
      <c r="E352" s="1387"/>
      <c r="F352" s="1271"/>
      <c r="G352" s="1271"/>
      <c r="H352" s="1271"/>
      <c r="I352" s="1271"/>
    </row>
    <row r="353" spans="1:9">
      <c r="A353" s="2379" t="s">
        <v>2064</v>
      </c>
      <c r="B353" s="2379"/>
      <c r="C353" s="2379"/>
      <c r="D353" s="1387"/>
      <c r="E353" s="1387"/>
      <c r="F353" s="1271"/>
      <c r="G353" s="1271"/>
      <c r="H353" s="1271"/>
      <c r="I353" s="1271"/>
    </row>
    <row r="354" spans="1:9">
      <c r="A354" s="1394"/>
      <c r="B354" s="1395"/>
      <c r="C354" s="1396"/>
      <c r="D354" s="1395"/>
      <c r="E354" s="1395"/>
      <c r="F354" s="1396"/>
      <c r="G354" s="1396"/>
      <c r="H354" s="1396"/>
      <c r="I354" s="1396"/>
    </row>
    <row r="355" spans="1:9">
      <c r="A355" s="1390" t="s">
        <v>2065</v>
      </c>
      <c r="B355" s="1387"/>
      <c r="C355" s="1391" t="s">
        <v>2066</v>
      </c>
      <c r="D355" s="1387"/>
      <c r="E355" s="1387"/>
      <c r="F355" s="1271"/>
      <c r="G355" s="1271"/>
      <c r="H355" s="1271"/>
      <c r="I355" s="1271"/>
    </row>
    <row r="356" spans="1:9">
      <c r="A356" s="1390" t="s">
        <v>2067</v>
      </c>
      <c r="B356" s="1387"/>
      <c r="C356" s="1397" t="s">
        <v>2068</v>
      </c>
      <c r="D356" s="1387"/>
      <c r="E356" s="1387"/>
      <c r="F356" s="1271"/>
      <c r="G356" s="1271"/>
      <c r="H356" s="1271"/>
      <c r="I356" s="1271"/>
    </row>
    <row r="357" spans="1:9" ht="50.4">
      <c r="A357" s="1398" t="s">
        <v>2069</v>
      </c>
      <c r="B357" s="1424" t="s">
        <v>2070</v>
      </c>
      <c r="C357" s="1405" t="s">
        <v>2071</v>
      </c>
      <c r="D357" s="1387" t="s">
        <v>305</v>
      </c>
      <c r="E357" s="1387"/>
      <c r="F357" s="1271"/>
      <c r="G357" s="1271"/>
      <c r="H357" s="1271"/>
      <c r="I357" s="1271"/>
    </row>
    <row r="358" spans="1:9" ht="50.4">
      <c r="A358" s="1398" t="s">
        <v>2072</v>
      </c>
      <c r="B358" s="1424" t="s">
        <v>2070</v>
      </c>
      <c r="C358" s="1405" t="s">
        <v>2073</v>
      </c>
      <c r="D358" s="1387" t="s">
        <v>305</v>
      </c>
      <c r="E358" s="1387"/>
      <c r="F358" s="1271"/>
      <c r="G358" s="1271"/>
      <c r="H358" s="1271"/>
      <c r="I358" s="1271"/>
    </row>
    <row r="359" spans="1:9" ht="50.4">
      <c r="A359" s="1398" t="s">
        <v>2074</v>
      </c>
      <c r="B359" s="1424" t="s">
        <v>2070</v>
      </c>
      <c r="C359" s="1406" t="s">
        <v>2075</v>
      </c>
      <c r="D359" s="1387" t="s">
        <v>305</v>
      </c>
      <c r="E359" s="1387"/>
      <c r="F359" s="1271"/>
      <c r="G359" s="1271"/>
      <c r="H359" s="1271"/>
      <c r="I359" s="1271"/>
    </row>
    <row r="360" spans="1:9" ht="67.2">
      <c r="A360" s="1398" t="s">
        <v>2076</v>
      </c>
      <c r="B360" s="1424" t="s">
        <v>2070</v>
      </c>
      <c r="C360" s="1406" t="s">
        <v>2077</v>
      </c>
      <c r="D360" s="1387" t="s">
        <v>305</v>
      </c>
      <c r="E360" s="1387"/>
      <c r="F360" s="1271"/>
      <c r="G360" s="1271"/>
      <c r="H360" s="1271"/>
      <c r="I360" s="1271"/>
    </row>
    <row r="361" spans="1:9">
      <c r="A361" s="2379" t="s">
        <v>2078</v>
      </c>
      <c r="B361" s="2379"/>
      <c r="C361" s="2379"/>
      <c r="D361" s="2379"/>
      <c r="E361" s="1387"/>
      <c r="F361" s="1271"/>
      <c r="G361" s="1271"/>
      <c r="H361" s="1271"/>
      <c r="I361" s="1271"/>
    </row>
    <row r="362" spans="1:9">
      <c r="A362" s="1390" t="s">
        <v>2079</v>
      </c>
      <c r="B362" s="1387"/>
      <c r="C362" s="1425" t="s">
        <v>2080</v>
      </c>
      <c r="D362" s="1387"/>
      <c r="E362" s="1387"/>
      <c r="F362" s="1271"/>
      <c r="G362" s="1271"/>
      <c r="H362" s="1271"/>
      <c r="I362" s="1271"/>
    </row>
    <row r="363" spans="1:9" ht="268.8">
      <c r="A363" s="1398" t="s">
        <v>2081</v>
      </c>
      <c r="B363" s="1387"/>
      <c r="C363" s="1405" t="s">
        <v>2082</v>
      </c>
      <c r="D363" s="1387" t="s">
        <v>305</v>
      </c>
      <c r="E363" s="1387"/>
      <c r="F363" s="1271"/>
      <c r="G363" s="1271"/>
      <c r="H363" s="1271"/>
      <c r="I363" s="1271"/>
    </row>
    <row r="364" spans="1:9" ht="84">
      <c r="A364" s="1398" t="s">
        <v>2083</v>
      </c>
      <c r="B364" s="1387"/>
      <c r="C364" s="1405" t="s">
        <v>2084</v>
      </c>
      <c r="D364" s="1387" t="s">
        <v>305</v>
      </c>
      <c r="E364" s="1387"/>
      <c r="F364" s="1271"/>
      <c r="G364" s="1271"/>
      <c r="H364" s="1271"/>
      <c r="I364" s="1271"/>
    </row>
    <row r="365" spans="1:9">
      <c r="A365" s="2379" t="s">
        <v>2085</v>
      </c>
      <c r="B365" s="2379"/>
      <c r="C365" s="2379"/>
      <c r="D365" s="2379"/>
      <c r="E365" s="1387"/>
      <c r="F365" s="1271"/>
      <c r="G365" s="1271"/>
      <c r="H365" s="1271"/>
      <c r="I365" s="1271"/>
    </row>
    <row r="366" spans="1:9">
      <c r="A366" s="1390" t="s">
        <v>2086</v>
      </c>
      <c r="B366" s="1387"/>
      <c r="C366" s="1270" t="s">
        <v>2087</v>
      </c>
      <c r="D366" s="1387"/>
      <c r="E366" s="1387"/>
      <c r="F366" s="1271"/>
      <c r="G366" s="1271"/>
      <c r="H366" s="1271"/>
      <c r="I366" s="1271"/>
    </row>
    <row r="367" spans="1:9" ht="100.8">
      <c r="A367" s="1398" t="s">
        <v>2088</v>
      </c>
      <c r="B367" s="1387"/>
      <c r="C367" s="1423" t="s">
        <v>2089</v>
      </c>
      <c r="D367" s="1387" t="s">
        <v>305</v>
      </c>
      <c r="E367" s="1387"/>
      <c r="F367" s="1271"/>
      <c r="G367" s="1271"/>
      <c r="H367" s="1271"/>
      <c r="I367" s="1271"/>
    </row>
    <row r="368" spans="1:9" ht="134.4">
      <c r="A368" s="1398" t="s">
        <v>2090</v>
      </c>
      <c r="B368" s="1387"/>
      <c r="C368" s="1393" t="s">
        <v>2091</v>
      </c>
      <c r="D368" s="1387" t="s">
        <v>305</v>
      </c>
      <c r="E368" s="1387"/>
      <c r="F368" s="1271"/>
      <c r="G368" s="1271"/>
      <c r="H368" s="1271"/>
      <c r="I368" s="1271"/>
    </row>
    <row r="369" spans="1:9" ht="84">
      <c r="A369" s="1398" t="s">
        <v>2092</v>
      </c>
      <c r="B369" s="1271"/>
      <c r="C369" s="1393" t="s">
        <v>2093</v>
      </c>
      <c r="D369" s="1387" t="s">
        <v>305</v>
      </c>
      <c r="E369" s="1387"/>
      <c r="F369" s="1271"/>
      <c r="G369" s="1271"/>
      <c r="H369" s="1271"/>
      <c r="I369" s="1271"/>
    </row>
    <row r="370" spans="1:9">
      <c r="A370" s="1390" t="s">
        <v>2094</v>
      </c>
      <c r="B370" s="1387"/>
      <c r="C370" s="1270" t="s">
        <v>2095</v>
      </c>
      <c r="D370" s="1387"/>
      <c r="E370" s="1387"/>
      <c r="F370" s="1271"/>
      <c r="G370" s="1271"/>
      <c r="H370" s="1271"/>
      <c r="I370" s="1271"/>
    </row>
    <row r="371" spans="1:9" ht="67.2">
      <c r="A371" s="1398" t="s">
        <v>2096</v>
      </c>
      <c r="B371" s="1387"/>
      <c r="C371" s="1406" t="s">
        <v>2097</v>
      </c>
      <c r="D371" s="1387" t="s">
        <v>305</v>
      </c>
      <c r="E371" s="1387"/>
      <c r="F371" s="1271"/>
      <c r="G371" s="1271"/>
      <c r="H371" s="1271"/>
      <c r="I371" s="1271"/>
    </row>
    <row r="372" spans="1:9" ht="100.8">
      <c r="A372" s="1398" t="s">
        <v>2098</v>
      </c>
      <c r="B372" s="1387"/>
      <c r="C372" s="1406" t="s">
        <v>2099</v>
      </c>
      <c r="D372" s="1387" t="s">
        <v>305</v>
      </c>
      <c r="E372" s="1387"/>
      <c r="F372" s="1271"/>
      <c r="G372" s="1271"/>
      <c r="H372" s="1271"/>
      <c r="I372" s="1271"/>
    </row>
    <row r="373" spans="1:9" ht="84">
      <c r="A373" s="1398" t="s">
        <v>2100</v>
      </c>
      <c r="B373" s="1387"/>
      <c r="C373" s="1423" t="s">
        <v>2101</v>
      </c>
      <c r="D373" s="1387" t="s">
        <v>305</v>
      </c>
      <c r="E373" s="1387"/>
      <c r="F373" s="1271"/>
      <c r="G373" s="1271"/>
      <c r="H373" s="1271"/>
      <c r="I373" s="1271"/>
    </row>
  </sheetData>
  <mergeCells count="8">
    <mergeCell ref="A361:D361"/>
    <mergeCell ref="A365:D365"/>
    <mergeCell ref="F3:G3"/>
    <mergeCell ref="H3:I3"/>
    <mergeCell ref="A8:C8"/>
    <mergeCell ref="A38:C38"/>
    <mergeCell ref="A349:C349"/>
    <mergeCell ref="A353:C353"/>
  </mergeCells>
  <pageMargins left="0.7" right="0.7" top="0.75" bottom="0.9155092592592593" header="0.3" footer="0.3"/>
  <pageSetup scale="70" orientation="landscape" r:id="rId1"/>
  <headerFooter>
    <oddHeader xml:space="preserve">&amp;L&amp;"Gill Sans MT,Italic"&amp;9Lower Hongu Khola SHP, DoED &amp;"Arial,Regular"&amp;10      &amp;R&amp;"Gill Sans MT,Italic"&amp;9Bidding Documents for the Construction of Civil Works (Lot-3)
Volume IV: Price Bid Document&amp;"Arial,Regular"&amp;10
</oddHeader>
    <oddFooter>&amp;L&amp;"Gill Sans MT,Regular"Company:
Seal:&amp;C&amp;"Gill Sans MT,Regular"
Signature: 
  Name of signatory:  
Designation:&amp;R&amp;"Gill Sans MT,Regular"BoQ- page &amp;P</oddFooter>
  </headerFooter>
  <rowBreaks count="6" manualBreakCount="6">
    <brk id="293" max="8" man="1"/>
    <brk id="306" max="8" man="1"/>
    <brk id="330" max="8" man="1"/>
    <brk id="343" max="8" man="1"/>
    <brk id="349" max="8" man="1"/>
    <brk id="360" max="8" man="1"/>
  </rowBreak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0">
    <tabColor rgb="FF7030A0"/>
    <pageSetUpPr fitToPage="1"/>
  </sheetPr>
  <dimension ref="A1:Z957"/>
  <sheetViews>
    <sheetView workbookViewId="0"/>
  </sheetViews>
  <sheetFormatPr defaultColWidth="14.44140625" defaultRowHeight="15" customHeight="1"/>
  <cols>
    <col min="1" max="1" width="12.5546875" style="1131" customWidth="1"/>
    <col min="2" max="2" width="31" style="1131" customWidth="1"/>
    <col min="3" max="4" width="9.109375" style="1131" customWidth="1"/>
    <col min="5" max="5" width="9.88671875" style="1131" customWidth="1"/>
    <col min="6" max="6" width="10.109375" style="1131" customWidth="1"/>
    <col min="7" max="8" width="9.109375" style="1131" customWidth="1"/>
    <col min="9" max="9" width="12" style="1131" customWidth="1"/>
    <col min="10" max="10" width="13" style="1131" customWidth="1"/>
    <col min="11" max="11" width="11.6640625" style="1131" customWidth="1"/>
    <col min="12" max="12" width="10.6640625" style="1131" bestFit="1" customWidth="1"/>
    <col min="13" max="13" width="15.33203125" style="1131" bestFit="1" customWidth="1"/>
    <col min="14" max="26" width="9.109375" style="1131" customWidth="1"/>
    <col min="27" max="16384" width="14.44140625" style="1131"/>
  </cols>
  <sheetData>
    <row r="1" spans="1:26" s="1282" customFormat="1" ht="19.2">
      <c r="A1" s="1281"/>
      <c r="C1" s="1283"/>
      <c r="D1" s="1284"/>
      <c r="E1" s="1285"/>
      <c r="F1" s="1285"/>
      <c r="G1" s="1283"/>
    </row>
    <row r="2" spans="1:26" s="1282" customFormat="1" ht="19.2">
      <c r="A2" s="1281"/>
      <c r="C2" s="1283"/>
      <c r="D2" s="1284"/>
      <c r="E2" s="1285"/>
      <c r="F2" s="1285"/>
      <c r="G2" s="1283"/>
    </row>
    <row r="3" spans="1:26" s="1282" customFormat="1" ht="19.2">
      <c r="A3" s="226" t="s">
        <v>0</v>
      </c>
      <c r="B3" s="1248" t="s">
        <v>2389</v>
      </c>
      <c r="C3" s="1283"/>
      <c r="D3" s="1284"/>
      <c r="E3" s="1285"/>
      <c r="F3" s="1285"/>
      <c r="G3" s="1283"/>
    </row>
    <row r="4" spans="1:26" s="1282" customFormat="1" ht="19.2">
      <c r="A4" s="119" t="s">
        <v>1</v>
      </c>
      <c r="B4" s="1248">
        <v>930100</v>
      </c>
      <c r="C4" s="1283"/>
      <c r="D4" s="1284"/>
      <c r="E4" s="1285"/>
      <c r="F4" s="1285"/>
      <c r="G4" s="1283"/>
    </row>
    <row r="5" spans="1:26" s="1282" customFormat="1" ht="19.2">
      <c r="A5" s="119" t="s">
        <v>2</v>
      </c>
      <c r="B5" s="1247" t="s">
        <v>331</v>
      </c>
      <c r="C5" s="1283"/>
      <c r="D5" s="1284"/>
      <c r="E5" s="1285"/>
      <c r="I5" s="1286" t="s">
        <v>1561</v>
      </c>
      <c r="J5" s="1283" t="s">
        <v>1566</v>
      </c>
    </row>
    <row r="6" spans="1:26" s="1282" customFormat="1" ht="19.2">
      <c r="A6" s="119" t="s">
        <v>3</v>
      </c>
      <c r="B6" s="1247" t="s">
        <v>1594</v>
      </c>
      <c r="C6" s="1283"/>
      <c r="D6" s="1284"/>
      <c r="E6" s="1285"/>
      <c r="I6" s="1286" t="s">
        <v>171</v>
      </c>
      <c r="J6" s="1283" t="s">
        <v>1563</v>
      </c>
    </row>
    <row r="7" spans="1:26" s="1282" customFormat="1" ht="19.2">
      <c r="A7" s="119" t="s">
        <v>4</v>
      </c>
      <c r="B7" s="1247"/>
      <c r="C7" s="1283"/>
      <c r="D7" s="1284"/>
      <c r="E7" s="1285"/>
      <c r="I7" s="1286" t="s">
        <v>106</v>
      </c>
      <c r="J7" s="1287">
        <f ca="1">TODAY()</f>
        <v>44942</v>
      </c>
    </row>
    <row r="8" spans="1:26" ht="16.8">
      <c r="A8" s="4"/>
      <c r="B8" s="55"/>
      <c r="C8" s="19"/>
      <c r="D8" s="19"/>
      <c r="E8" s="20"/>
      <c r="F8" s="1130"/>
      <c r="G8" s="1130"/>
      <c r="H8" s="1130"/>
      <c r="I8" s="1130"/>
      <c r="J8" s="1130"/>
      <c r="K8" s="1130"/>
      <c r="L8" s="1130"/>
      <c r="M8" s="1130"/>
      <c r="N8" s="1130"/>
      <c r="O8" s="1130"/>
      <c r="P8" s="1130"/>
      <c r="Q8" s="1130"/>
      <c r="R8" s="1130"/>
      <c r="S8" s="1130"/>
      <c r="T8" s="1130"/>
      <c r="U8" s="1130"/>
      <c r="V8" s="1130"/>
      <c r="W8" s="1130"/>
      <c r="X8" s="1130"/>
      <c r="Y8" s="1130"/>
      <c r="Z8" s="1130"/>
    </row>
    <row r="9" spans="1:26" ht="13.2">
      <c r="A9" s="1196" t="s">
        <v>332</v>
      </c>
      <c r="B9" s="1196" t="s">
        <v>8</v>
      </c>
      <c r="C9" s="1196" t="s">
        <v>9</v>
      </c>
      <c r="D9" s="1196" t="s">
        <v>333</v>
      </c>
      <c r="E9" s="1196" t="s">
        <v>11</v>
      </c>
      <c r="F9" s="1196" t="s">
        <v>12</v>
      </c>
      <c r="G9" s="1196" t="s">
        <v>13</v>
      </c>
      <c r="H9" s="1196" t="s">
        <v>15</v>
      </c>
      <c r="I9" s="1196" t="s">
        <v>14</v>
      </c>
      <c r="J9" s="1196" t="s">
        <v>16</v>
      </c>
      <c r="K9" s="1225" t="s">
        <v>17</v>
      </c>
      <c r="L9" s="1226" t="s">
        <v>1233</v>
      </c>
      <c r="M9" s="1226" t="s">
        <v>1234</v>
      </c>
      <c r="N9" s="1130"/>
      <c r="O9" s="1130"/>
      <c r="P9" s="1130"/>
      <c r="Q9" s="1130"/>
      <c r="R9" s="1130"/>
      <c r="S9" s="1130"/>
      <c r="T9" s="1130"/>
      <c r="U9" s="1130"/>
      <c r="V9" s="1130"/>
      <c r="W9" s="1130"/>
      <c r="X9" s="1130"/>
      <c r="Y9" s="1130"/>
      <c r="Z9" s="1130"/>
    </row>
    <row r="10" spans="1:26" ht="13.2">
      <c r="A10" s="1174">
        <v>1</v>
      </c>
      <c r="B10" s="1175" t="s">
        <v>18</v>
      </c>
      <c r="C10" s="1174" t="s">
        <v>85</v>
      </c>
      <c r="D10" s="1174"/>
      <c r="E10" s="1174">
        <v>453.4</v>
      </c>
      <c r="F10" s="1174">
        <v>8</v>
      </c>
      <c r="G10" s="1174"/>
      <c r="H10" s="1174">
        <f>E10*F10</f>
        <v>3627.2</v>
      </c>
      <c r="I10" s="1174"/>
      <c r="J10" s="1176">
        <f>H10</f>
        <v>3627.2</v>
      </c>
      <c r="K10" s="1211"/>
      <c r="L10" s="1206"/>
      <c r="M10" s="1206"/>
      <c r="N10" s="1130"/>
      <c r="O10" s="1130"/>
      <c r="P10" s="1130"/>
      <c r="Q10" s="1130"/>
      <c r="R10" s="1130"/>
      <c r="S10" s="1130"/>
      <c r="T10" s="1130"/>
      <c r="U10" s="1130"/>
      <c r="V10" s="1130"/>
      <c r="W10" s="1130"/>
      <c r="X10" s="1130"/>
      <c r="Y10" s="1130"/>
      <c r="Z10" s="1130"/>
    </row>
    <row r="11" spans="1:26" ht="13.2">
      <c r="A11" s="1156"/>
      <c r="B11" s="1156"/>
      <c r="C11" s="1156"/>
      <c r="D11" s="1156"/>
      <c r="E11" s="1156"/>
      <c r="F11" s="1156"/>
      <c r="G11" s="1156"/>
      <c r="H11" s="1156"/>
      <c r="I11" s="1166" t="s">
        <v>439</v>
      </c>
      <c r="J11" s="1150">
        <f>SUM(J8:J10)</f>
        <v>3627.2</v>
      </c>
      <c r="K11" s="1212"/>
      <c r="L11" s="1206">
        <v>40.5</v>
      </c>
      <c r="M11" s="1304">
        <f>L11*J11</f>
        <v>146901.6</v>
      </c>
      <c r="N11" s="1130"/>
      <c r="O11" s="1130"/>
      <c r="P11" s="1130"/>
      <c r="Q11" s="1130"/>
      <c r="R11" s="1130"/>
      <c r="S11" s="1130"/>
      <c r="T11" s="1130"/>
      <c r="U11" s="1130"/>
      <c r="V11" s="1130"/>
      <c r="W11" s="1130"/>
      <c r="X11" s="1130"/>
      <c r="Y11" s="1130"/>
      <c r="Z11" s="1130"/>
    </row>
    <row r="12" spans="1:26" ht="13.2">
      <c r="A12" s="1177">
        <v>2</v>
      </c>
      <c r="B12" s="1178" t="s">
        <v>766</v>
      </c>
      <c r="C12" s="1179" t="s">
        <v>306</v>
      </c>
      <c r="D12" s="1179"/>
      <c r="E12" s="1179"/>
      <c r="F12" s="1179"/>
      <c r="G12" s="1179"/>
      <c r="H12" s="1179"/>
      <c r="I12" s="1179"/>
      <c r="J12" s="1179"/>
      <c r="K12" s="1213"/>
      <c r="L12" s="1206"/>
      <c r="M12" s="1304"/>
      <c r="N12" s="1130"/>
      <c r="O12" s="1130"/>
      <c r="P12" s="1130"/>
      <c r="Q12" s="1130"/>
      <c r="R12" s="1130"/>
      <c r="S12" s="1130"/>
      <c r="T12" s="1130"/>
      <c r="U12" s="1130"/>
      <c r="V12" s="1130"/>
      <c r="W12" s="1130"/>
      <c r="X12" s="1130"/>
      <c r="Y12" s="1130"/>
      <c r="Z12" s="1130"/>
    </row>
    <row r="13" spans="1:26" ht="13.2">
      <c r="A13" s="1157"/>
      <c r="B13" s="1159" t="s">
        <v>1595</v>
      </c>
      <c r="C13" s="1159"/>
      <c r="D13" s="1159">
        <v>1</v>
      </c>
      <c r="E13" s="1159">
        <v>80</v>
      </c>
      <c r="F13" s="1159"/>
      <c r="G13" s="1159"/>
      <c r="H13" s="1159">
        <f>(22.15+2.85)/2</f>
        <v>12.5</v>
      </c>
      <c r="I13" s="1159"/>
      <c r="J13" s="1159">
        <f>E13*H13</f>
        <v>1000</v>
      </c>
      <c r="K13" s="1214"/>
      <c r="L13" s="1206"/>
      <c r="M13" s="1304"/>
      <c r="N13" s="1130"/>
      <c r="O13" s="1130"/>
      <c r="P13" s="1130"/>
      <c r="Q13" s="1130"/>
      <c r="R13" s="1130"/>
      <c r="S13" s="1130"/>
      <c r="T13" s="1130"/>
      <c r="U13" s="1130"/>
      <c r="V13" s="1130"/>
      <c r="W13" s="1130"/>
      <c r="X13" s="1130"/>
      <c r="Y13" s="1130"/>
      <c r="Z13" s="1130"/>
    </row>
    <row r="14" spans="1:26" ht="13.2">
      <c r="A14" s="1157"/>
      <c r="B14" s="1159" t="s">
        <v>1596</v>
      </c>
      <c r="C14" s="1159"/>
      <c r="D14" s="1159">
        <v>1</v>
      </c>
      <c r="E14" s="1159">
        <v>80</v>
      </c>
      <c r="F14" s="1159"/>
      <c r="G14" s="1159"/>
      <c r="H14" s="1159">
        <f>(3.8+2.85)/2</f>
        <v>3.3250000000000002</v>
      </c>
      <c r="I14" s="1159"/>
      <c r="J14" s="1159">
        <f>E14*H14</f>
        <v>266</v>
      </c>
      <c r="K14" s="1214"/>
      <c r="L14" s="1206"/>
      <c r="M14" s="1304"/>
      <c r="N14" s="1130"/>
      <c r="O14" s="1130"/>
      <c r="P14" s="1130"/>
      <c r="Q14" s="1130"/>
      <c r="R14" s="1130"/>
      <c r="S14" s="1130"/>
      <c r="T14" s="1130"/>
      <c r="U14" s="1130"/>
      <c r="V14" s="1130"/>
      <c r="W14" s="1130"/>
      <c r="X14" s="1130"/>
      <c r="Y14" s="1130"/>
      <c r="Z14" s="1130"/>
    </row>
    <row r="15" spans="1:26" ht="13.2">
      <c r="A15" s="1157"/>
      <c r="B15" s="1159" t="s">
        <v>1597</v>
      </c>
      <c r="C15" s="1159"/>
      <c r="D15" s="1159">
        <v>1</v>
      </c>
      <c r="E15" s="1159">
        <v>80</v>
      </c>
      <c r="F15" s="1159"/>
      <c r="G15" s="1159"/>
      <c r="H15" s="1159">
        <f>(5.4+3.8)/2</f>
        <v>4.5999999999999996</v>
      </c>
      <c r="I15" s="1159"/>
      <c r="J15" s="1159">
        <f t="shared" ref="J15:J18" si="0">E15*H15</f>
        <v>368</v>
      </c>
      <c r="K15" s="1214"/>
      <c r="L15" s="1206"/>
      <c r="M15" s="1304"/>
      <c r="N15" s="1130"/>
      <c r="O15" s="1130"/>
      <c r="P15" s="1130"/>
      <c r="Q15" s="1130"/>
      <c r="R15" s="1130"/>
      <c r="S15" s="1130"/>
      <c r="T15" s="1130"/>
      <c r="U15" s="1130"/>
      <c r="V15" s="1130"/>
      <c r="W15" s="1130"/>
      <c r="X15" s="1130"/>
      <c r="Y15" s="1130"/>
      <c r="Z15" s="1130"/>
    </row>
    <row r="16" spans="1:26" ht="13.2">
      <c r="A16" s="1160"/>
      <c r="B16" s="1159" t="s">
        <v>1598</v>
      </c>
      <c r="C16" s="1161"/>
      <c r="D16" s="1371">
        <v>1</v>
      </c>
      <c r="E16" s="1162">
        <v>68.400000000000006</v>
      </c>
      <c r="F16" s="1162"/>
      <c r="G16" s="1162"/>
      <c r="H16" s="1162">
        <f>(5.4+4.2)/2</f>
        <v>4.8000000000000007</v>
      </c>
      <c r="I16" s="1162"/>
      <c r="J16" s="1159">
        <f t="shared" si="0"/>
        <v>328.32000000000005</v>
      </c>
      <c r="K16" s="1214"/>
      <c r="L16" s="1206"/>
      <c r="M16" s="1304"/>
      <c r="N16" s="1130"/>
      <c r="O16" s="1130"/>
      <c r="P16" s="1130"/>
      <c r="Q16" s="1130"/>
      <c r="R16" s="1130"/>
      <c r="S16" s="1130"/>
      <c r="T16" s="1130"/>
      <c r="U16" s="1130"/>
      <c r="V16" s="1130"/>
      <c r="W16" s="1130"/>
      <c r="X16" s="1130"/>
      <c r="Y16" s="1130"/>
      <c r="Z16" s="1130"/>
    </row>
    <row r="17" spans="1:26" ht="13.2">
      <c r="A17" s="1160"/>
      <c r="B17" s="1159" t="s">
        <v>2650</v>
      </c>
      <c r="C17" s="1161"/>
      <c r="D17" s="1371">
        <v>1</v>
      </c>
      <c r="E17" s="1162">
        <v>92</v>
      </c>
      <c r="F17" s="1162"/>
      <c r="G17" s="1162"/>
      <c r="H17" s="1162">
        <v>5</v>
      </c>
      <c r="I17" s="1162"/>
      <c r="J17" s="1159">
        <f t="shared" si="0"/>
        <v>460</v>
      </c>
      <c r="K17" s="1214"/>
      <c r="L17" s="1206"/>
      <c r="M17" s="1304"/>
      <c r="N17" s="1130"/>
      <c r="O17" s="1130"/>
      <c r="P17" s="1130"/>
      <c r="Q17" s="1130"/>
      <c r="R17" s="1130"/>
      <c r="S17" s="1130"/>
      <c r="T17" s="1130"/>
      <c r="U17" s="1130"/>
      <c r="V17" s="1130"/>
      <c r="W17" s="1130"/>
      <c r="X17" s="1130"/>
      <c r="Y17" s="1130"/>
      <c r="Z17" s="1130"/>
    </row>
    <row r="18" spans="1:26" ht="13.2">
      <c r="A18" s="1160"/>
      <c r="B18" s="1159" t="s">
        <v>2651</v>
      </c>
      <c r="C18" s="1161"/>
      <c r="D18" s="1371">
        <v>1</v>
      </c>
      <c r="E18" s="1162">
        <v>53</v>
      </c>
      <c r="F18" s="1162"/>
      <c r="G18" s="1162"/>
      <c r="H18" s="1162">
        <v>5.5</v>
      </c>
      <c r="I18" s="1162"/>
      <c r="J18" s="1159">
        <f t="shared" si="0"/>
        <v>291.5</v>
      </c>
      <c r="K18" s="1214"/>
      <c r="L18" s="1206"/>
      <c r="M18" s="1304"/>
      <c r="N18" s="1130"/>
      <c r="O18" s="1130"/>
      <c r="P18" s="1130"/>
      <c r="Q18" s="1130"/>
      <c r="R18" s="1130"/>
      <c r="S18" s="1130"/>
      <c r="T18" s="1130"/>
      <c r="U18" s="1130"/>
      <c r="V18" s="1130"/>
      <c r="W18" s="1130"/>
      <c r="X18" s="1130"/>
      <c r="Y18" s="1130"/>
      <c r="Z18" s="1130"/>
    </row>
    <row r="19" spans="1:26" ht="13.2">
      <c r="A19" s="1160"/>
      <c r="B19" s="1159"/>
      <c r="C19" s="1159"/>
      <c r="D19" s="1161"/>
      <c r="E19" s="1159"/>
      <c r="F19" s="1159"/>
      <c r="G19" s="1159"/>
      <c r="H19" s="1159"/>
      <c r="I19" s="1166" t="s">
        <v>439</v>
      </c>
      <c r="J19" s="1150">
        <f>SUM(J13:J16)</f>
        <v>1962.3200000000002</v>
      </c>
      <c r="K19" s="1214"/>
      <c r="L19" s="1206"/>
      <c r="M19" s="1304"/>
      <c r="N19" s="1130"/>
      <c r="O19" s="1130"/>
      <c r="P19" s="1130"/>
      <c r="Q19" s="1130"/>
      <c r="R19" s="1130"/>
      <c r="S19" s="1130"/>
      <c r="T19" s="1130"/>
      <c r="U19" s="1130"/>
      <c r="V19" s="1130"/>
      <c r="W19" s="1130"/>
      <c r="X19" s="1130"/>
      <c r="Y19" s="1130"/>
      <c r="Z19" s="1130"/>
    </row>
    <row r="20" spans="1:26" ht="13.2">
      <c r="A20" s="1160"/>
      <c r="B20" s="1159"/>
      <c r="C20" s="1159"/>
      <c r="D20" s="1161"/>
      <c r="E20" s="1159"/>
      <c r="F20" s="1159"/>
      <c r="G20" s="1159"/>
      <c r="H20" s="1159"/>
      <c r="I20" s="1198" t="s">
        <v>1599</v>
      </c>
      <c r="J20" s="1163">
        <f>0.5*J19</f>
        <v>981.16000000000008</v>
      </c>
      <c r="K20" s="1214"/>
      <c r="L20" s="1206">
        <v>320</v>
      </c>
      <c r="M20" s="1304">
        <f>L20*J20</f>
        <v>313971.20000000001</v>
      </c>
      <c r="N20" s="1130"/>
      <c r="O20" s="1130"/>
      <c r="P20" s="1130"/>
      <c r="Q20" s="1130"/>
      <c r="R20" s="1130"/>
      <c r="S20" s="1130"/>
      <c r="T20" s="1130"/>
      <c r="U20" s="1130"/>
      <c r="V20" s="1130"/>
      <c r="W20" s="1130"/>
      <c r="X20" s="1130"/>
      <c r="Y20" s="1130"/>
      <c r="Z20" s="1130"/>
    </row>
    <row r="21" spans="1:26" ht="13.2">
      <c r="A21" s="1160"/>
      <c r="B21" s="1159"/>
      <c r="C21" s="1159"/>
      <c r="D21" s="1161"/>
      <c r="E21" s="1159"/>
      <c r="F21" s="1159"/>
      <c r="G21" s="1159"/>
      <c r="H21" s="1159"/>
      <c r="I21" s="1198" t="s">
        <v>1600</v>
      </c>
      <c r="J21" s="1163">
        <f>0.5*J19</f>
        <v>981.16000000000008</v>
      </c>
      <c r="K21" s="1214"/>
      <c r="L21" s="1206">
        <v>1350</v>
      </c>
      <c r="M21" s="1304">
        <f>L21*J21</f>
        <v>1324566</v>
      </c>
      <c r="N21" s="1130"/>
      <c r="O21" s="1130"/>
      <c r="P21" s="1130"/>
      <c r="Q21" s="1130"/>
      <c r="R21" s="1130"/>
      <c r="S21" s="1130"/>
      <c r="T21" s="1130"/>
      <c r="U21" s="1130"/>
      <c r="V21" s="1130"/>
      <c r="W21" s="1130"/>
      <c r="X21" s="1130"/>
      <c r="Y21" s="1130"/>
      <c r="Z21" s="1130"/>
    </row>
    <row r="22" spans="1:26" ht="13.2">
      <c r="A22" s="1160"/>
      <c r="B22" s="1159"/>
      <c r="C22" s="1159"/>
      <c r="D22" s="1159"/>
      <c r="E22" s="1159"/>
      <c r="F22" s="1159"/>
      <c r="G22" s="1159"/>
      <c r="H22" s="1159"/>
      <c r="K22" s="1214"/>
      <c r="L22" s="1206"/>
      <c r="M22" s="1304"/>
      <c r="N22" s="1130"/>
      <c r="O22" s="1130"/>
      <c r="P22" s="1130"/>
      <c r="Q22" s="1130"/>
      <c r="R22" s="1130"/>
      <c r="S22" s="1130"/>
      <c r="T22" s="1130"/>
      <c r="U22" s="1130"/>
      <c r="V22" s="1130"/>
      <c r="W22" s="1130"/>
      <c r="X22" s="1130"/>
      <c r="Y22" s="1130"/>
      <c r="Z22" s="1130"/>
    </row>
    <row r="23" spans="1:26" ht="15.75" customHeight="1">
      <c r="A23" s="1177">
        <v>3</v>
      </c>
      <c r="B23" s="1178" t="s">
        <v>229</v>
      </c>
      <c r="C23" s="1179" t="s">
        <v>306</v>
      </c>
      <c r="D23" s="1179"/>
      <c r="E23" s="1179"/>
      <c r="F23" s="1179"/>
      <c r="G23" s="1179"/>
      <c r="H23" s="1179"/>
      <c r="I23" s="1179"/>
      <c r="J23" s="1178"/>
      <c r="K23" s="1213"/>
      <c r="L23" s="1206"/>
      <c r="M23" s="1304"/>
      <c r="N23" s="1130"/>
      <c r="O23" s="1130"/>
      <c r="P23" s="1130"/>
      <c r="Q23" s="1130"/>
      <c r="R23" s="1130"/>
      <c r="S23" s="1130"/>
      <c r="T23" s="1130"/>
      <c r="U23" s="1130"/>
      <c r="V23" s="1130"/>
      <c r="W23" s="1130"/>
      <c r="X23" s="1130"/>
      <c r="Y23" s="1130"/>
      <c r="Z23" s="1130"/>
    </row>
    <row r="24" spans="1:26" ht="15.75" customHeight="1">
      <c r="A24" s="1157"/>
      <c r="B24" s="1159" t="s">
        <v>2652</v>
      </c>
      <c r="C24" s="1161"/>
      <c r="D24" s="1161">
        <v>1</v>
      </c>
      <c r="E24" s="1162">
        <f>E10</f>
        <v>453.4</v>
      </c>
      <c r="F24" s="1162">
        <v>4</v>
      </c>
      <c r="G24" s="1162"/>
      <c r="H24" s="1162">
        <f>E24*F24</f>
        <v>1813.6</v>
      </c>
      <c r="I24" s="1162"/>
      <c r="J24" s="1162">
        <f>H24</f>
        <v>1813.6</v>
      </c>
      <c r="K24" s="1214"/>
      <c r="L24" s="1206"/>
      <c r="M24" s="1304"/>
      <c r="N24" s="1130"/>
      <c r="O24" s="1130"/>
      <c r="P24" s="1130"/>
      <c r="Q24" s="1130"/>
      <c r="R24" s="1130"/>
      <c r="S24" s="1130"/>
      <c r="T24" s="1130"/>
      <c r="U24" s="1130"/>
      <c r="V24" s="1130"/>
      <c r="W24" s="1130"/>
      <c r="X24" s="1130"/>
      <c r="Y24" s="1130"/>
      <c r="Z24" s="1130"/>
    </row>
    <row r="25" spans="1:26" ht="15.75" customHeight="1">
      <c r="A25" s="1157"/>
      <c r="B25" s="1159"/>
      <c r="C25" s="1159"/>
      <c r="D25" s="1159"/>
      <c r="E25" s="1159"/>
      <c r="F25" s="1159"/>
      <c r="G25" s="1159"/>
      <c r="H25" s="1159"/>
      <c r="I25" s="1149" t="s">
        <v>439</v>
      </c>
      <c r="J25" s="1150">
        <f>J24</f>
        <v>1813.6</v>
      </c>
      <c r="K25" s="1214"/>
      <c r="L25" s="1206"/>
      <c r="M25" s="1304"/>
      <c r="N25" s="1130"/>
      <c r="O25" s="1130"/>
      <c r="P25" s="1130"/>
      <c r="Q25" s="1130"/>
      <c r="R25" s="1130"/>
      <c r="S25" s="1130"/>
      <c r="T25" s="1130"/>
      <c r="U25" s="1130"/>
      <c r="V25" s="1130"/>
      <c r="W25" s="1130"/>
      <c r="X25" s="1130"/>
      <c r="Y25" s="1130"/>
      <c r="Z25" s="1130"/>
    </row>
    <row r="26" spans="1:26" ht="15.75" customHeight="1">
      <c r="A26" s="1177">
        <v>4</v>
      </c>
      <c r="B26" s="1184" t="s">
        <v>1441</v>
      </c>
      <c r="C26" s="1181" t="s">
        <v>46</v>
      </c>
      <c r="D26" s="1181"/>
      <c r="E26" s="1182"/>
      <c r="F26" s="1182"/>
      <c r="G26" s="1182"/>
      <c r="H26" s="1182"/>
      <c r="I26" s="1182"/>
      <c r="J26" s="1183"/>
      <c r="K26" s="1213"/>
      <c r="L26" s="1206"/>
      <c r="M26" s="1304"/>
      <c r="N26" s="1130"/>
      <c r="O26" s="1130"/>
      <c r="P26" s="1130"/>
      <c r="Q26" s="1130"/>
      <c r="R26" s="1130"/>
      <c r="S26" s="1130"/>
      <c r="T26" s="1130"/>
      <c r="U26" s="1130"/>
      <c r="V26" s="1130"/>
      <c r="W26" s="1130"/>
      <c r="X26" s="1130"/>
      <c r="Y26" s="1130"/>
      <c r="Z26" s="1130"/>
    </row>
    <row r="27" spans="1:26" ht="15.75" customHeight="1">
      <c r="A27" s="1160"/>
      <c r="B27" s="1170" t="s">
        <v>1442</v>
      </c>
      <c r="C27" s="1161"/>
      <c r="D27" s="1161">
        <v>1</v>
      </c>
      <c r="E27" s="1162">
        <v>453.4</v>
      </c>
      <c r="F27" s="1162"/>
      <c r="G27" s="1162"/>
      <c r="H27" s="1162"/>
      <c r="I27" s="1162"/>
      <c r="J27" s="1163">
        <f t="shared" ref="J27" si="1">E27</f>
        <v>453.4</v>
      </c>
      <c r="K27" s="1214"/>
      <c r="L27" s="1206"/>
      <c r="M27" s="1304"/>
      <c r="N27" s="1130"/>
      <c r="O27" s="1130"/>
      <c r="P27" s="1130"/>
      <c r="Q27" s="1130"/>
      <c r="R27" s="1130"/>
      <c r="S27" s="1130"/>
      <c r="T27" s="1130"/>
      <c r="U27" s="1130"/>
      <c r="V27" s="1130"/>
      <c r="W27" s="1130"/>
      <c r="X27" s="1130"/>
      <c r="Y27" s="1130"/>
      <c r="Z27" s="1130"/>
    </row>
    <row r="28" spans="1:26" ht="15.75" customHeight="1">
      <c r="A28" s="1160"/>
      <c r="B28" s="1169"/>
      <c r="C28" s="1161"/>
      <c r="D28" s="1161"/>
      <c r="E28" s="1162"/>
      <c r="F28" s="1162"/>
      <c r="G28" s="1162"/>
      <c r="H28" s="1162"/>
      <c r="I28" s="1162"/>
      <c r="J28" s="1163"/>
      <c r="K28" s="1214"/>
      <c r="L28" s="1206"/>
      <c r="M28" s="1304"/>
      <c r="N28" s="1130"/>
      <c r="O28" s="1130"/>
      <c r="P28" s="1130"/>
      <c r="Q28" s="1130"/>
      <c r="R28" s="1130"/>
      <c r="S28" s="1130"/>
      <c r="T28" s="1130"/>
      <c r="U28" s="1130"/>
      <c r="V28" s="1130"/>
      <c r="W28" s="1130"/>
      <c r="X28" s="1130"/>
      <c r="Y28" s="1130"/>
      <c r="Z28" s="1130"/>
    </row>
    <row r="29" spans="1:26" ht="15.75" customHeight="1">
      <c r="A29" s="1160"/>
      <c r="B29" s="1159"/>
      <c r="C29" s="1159"/>
      <c r="D29" s="1159"/>
      <c r="E29" s="1159"/>
      <c r="F29" s="1159"/>
      <c r="G29" s="1159"/>
      <c r="H29" s="1159"/>
      <c r="I29" s="1149" t="s">
        <v>439</v>
      </c>
      <c r="J29" s="1150">
        <f>SUM(J27:J27)</f>
        <v>453.4</v>
      </c>
      <c r="K29" s="1214"/>
      <c r="L29" s="1206"/>
      <c r="M29" s="1304"/>
      <c r="N29" s="1130"/>
      <c r="O29" s="1130"/>
      <c r="P29" s="1130"/>
      <c r="Q29" s="1130"/>
      <c r="R29" s="1130"/>
      <c r="S29" s="1130"/>
      <c r="T29" s="1130"/>
      <c r="U29" s="1130"/>
      <c r="V29" s="1130"/>
      <c r="W29" s="1130"/>
      <c r="X29" s="1130"/>
      <c r="Y29" s="1130"/>
      <c r="Z29" s="1130"/>
    </row>
    <row r="30" spans="1:26" ht="15.75" customHeight="1">
      <c r="A30" s="1177">
        <v>5</v>
      </c>
      <c r="B30" s="1178" t="s">
        <v>2564</v>
      </c>
      <c r="C30" s="1179" t="s">
        <v>307</v>
      </c>
      <c r="D30" s="1179"/>
      <c r="E30" s="1179"/>
      <c r="F30" s="1179"/>
      <c r="G30" s="1179"/>
      <c r="H30" s="1179"/>
      <c r="I30" s="1179"/>
      <c r="J30" s="1179"/>
      <c r="K30" s="1213"/>
      <c r="L30" s="1206"/>
      <c r="M30" s="1304"/>
      <c r="N30" s="1130"/>
      <c r="O30" s="1130"/>
      <c r="P30" s="1130"/>
      <c r="Q30" s="1130"/>
      <c r="R30" s="1130"/>
      <c r="S30" s="1130"/>
      <c r="T30" s="1130"/>
      <c r="U30" s="1130"/>
      <c r="V30" s="1130"/>
      <c r="W30" s="1130"/>
      <c r="X30" s="1130"/>
      <c r="Y30" s="1130"/>
      <c r="Z30" s="1130"/>
    </row>
    <row r="31" spans="1:26" s="1375" customFormat="1" ht="15.75" customHeight="1">
      <c r="A31" s="1157"/>
      <c r="B31" s="1158"/>
      <c r="C31" s="1159"/>
      <c r="D31" s="1159">
        <v>200</v>
      </c>
      <c r="E31" s="1159"/>
      <c r="F31" s="1159"/>
      <c r="G31" s="1159"/>
      <c r="H31" s="1159"/>
      <c r="I31" s="1159"/>
      <c r="J31" s="1159">
        <v>200</v>
      </c>
      <c r="K31" s="1214"/>
      <c r="L31" s="1372"/>
      <c r="M31" s="1373"/>
      <c r="N31" s="1374"/>
      <c r="O31" s="1374"/>
      <c r="P31" s="1374"/>
      <c r="Q31" s="1374"/>
      <c r="R31" s="1374"/>
      <c r="S31" s="1374"/>
      <c r="T31" s="1374"/>
      <c r="U31" s="1374"/>
      <c r="V31" s="1374"/>
      <c r="W31" s="1374"/>
      <c r="X31" s="1374"/>
      <c r="Y31" s="1374"/>
      <c r="Z31" s="1374"/>
    </row>
    <row r="32" spans="1:26" ht="15.75" customHeight="1">
      <c r="A32" s="1158"/>
      <c r="B32" s="1158"/>
      <c r="C32" s="1159"/>
      <c r="D32" s="1159"/>
      <c r="E32" s="1159"/>
      <c r="F32" s="1159"/>
      <c r="G32" s="1159"/>
      <c r="H32" s="1159"/>
      <c r="I32" s="1149" t="s">
        <v>439</v>
      </c>
      <c r="J32" s="1149">
        <v>200</v>
      </c>
      <c r="K32" s="1214"/>
      <c r="L32" s="1206">
        <v>5469.5</v>
      </c>
      <c r="M32" s="1304">
        <f>L32*J32</f>
        <v>1093900</v>
      </c>
      <c r="N32" s="1130"/>
      <c r="O32" s="1130"/>
      <c r="P32" s="1130"/>
      <c r="Q32" s="1130"/>
      <c r="R32" s="1130"/>
      <c r="S32" s="1130"/>
      <c r="T32" s="1130"/>
      <c r="U32" s="1130"/>
      <c r="V32" s="1130"/>
      <c r="W32" s="1130"/>
      <c r="X32" s="1130"/>
      <c r="Y32" s="1130"/>
      <c r="Z32" s="1130"/>
    </row>
    <row r="33" spans="1:26" ht="15.75" customHeight="1">
      <c r="A33" s="1135"/>
      <c r="B33" s="1135"/>
      <c r="C33" s="1135"/>
      <c r="D33" s="1135"/>
      <c r="E33" s="1135"/>
      <c r="F33" s="1135"/>
      <c r="G33" s="1135"/>
      <c r="H33" s="1135"/>
      <c r="I33" s="1135"/>
      <c r="J33" s="1135"/>
      <c r="K33" s="1204"/>
      <c r="L33" s="1206" t="s">
        <v>20</v>
      </c>
      <c r="M33" s="1304">
        <f>SUM(M10:M32)</f>
        <v>2879338.8</v>
      </c>
      <c r="N33" s="1130"/>
      <c r="O33" s="1130"/>
      <c r="P33" s="1130"/>
      <c r="Q33" s="1130"/>
      <c r="R33" s="1130"/>
      <c r="S33" s="1130"/>
      <c r="T33" s="1130"/>
      <c r="U33" s="1130"/>
      <c r="V33" s="1130"/>
      <c r="W33" s="1130"/>
      <c r="X33" s="1130"/>
      <c r="Y33" s="1130"/>
      <c r="Z33" s="1130"/>
    </row>
    <row r="34" spans="1:26" ht="15.75" customHeight="1">
      <c r="A34" s="1130"/>
      <c r="B34" s="1130"/>
      <c r="C34" s="1130"/>
      <c r="D34" s="1130"/>
      <c r="E34" s="1130"/>
      <c r="F34" s="1130"/>
      <c r="G34" s="1130"/>
      <c r="H34" s="1130"/>
      <c r="I34" s="1130"/>
      <c r="J34" s="1130"/>
      <c r="K34" s="1130"/>
      <c r="L34" s="1130"/>
      <c r="M34" s="1130"/>
      <c r="N34" s="1130"/>
      <c r="O34" s="1130"/>
      <c r="P34" s="1130"/>
      <c r="Q34" s="1130"/>
      <c r="R34" s="1130"/>
      <c r="S34" s="1130"/>
      <c r="T34" s="1130"/>
      <c r="U34" s="1130"/>
      <c r="V34" s="1130"/>
      <c r="W34" s="1130"/>
      <c r="X34" s="1130"/>
      <c r="Y34" s="1130"/>
      <c r="Z34" s="1130"/>
    </row>
    <row r="35" spans="1:26" ht="15.75" customHeight="1">
      <c r="A35" s="1130"/>
      <c r="B35" s="1130"/>
      <c r="C35" s="1130"/>
      <c r="D35" s="1130"/>
      <c r="E35" s="1130"/>
      <c r="F35" s="1130"/>
      <c r="G35" s="1130"/>
      <c r="H35" s="1130"/>
      <c r="I35" s="1130"/>
      <c r="J35" s="1130"/>
      <c r="K35" s="1130"/>
      <c r="L35" s="1130"/>
      <c r="M35" s="1130"/>
      <c r="N35" s="1130"/>
      <c r="O35" s="1130"/>
      <c r="P35" s="1130"/>
      <c r="Q35" s="1130"/>
      <c r="R35" s="1130"/>
      <c r="S35" s="1130"/>
      <c r="T35" s="1130"/>
      <c r="U35" s="1130"/>
      <c r="V35" s="1130"/>
      <c r="W35" s="1130"/>
      <c r="X35" s="1130"/>
      <c r="Y35" s="1130"/>
      <c r="Z35" s="1130"/>
    </row>
    <row r="36" spans="1:26" ht="15.75" customHeight="1">
      <c r="A36" s="1130"/>
      <c r="B36" s="1130"/>
      <c r="C36" s="1130"/>
      <c r="D36" s="1130"/>
      <c r="E36" s="1130"/>
      <c r="F36" s="1130"/>
      <c r="G36" s="1130"/>
      <c r="H36" s="1130"/>
      <c r="I36" s="1130"/>
      <c r="J36" s="1130"/>
      <c r="K36" s="1130"/>
      <c r="L36" s="1130"/>
      <c r="M36" s="1130"/>
      <c r="N36" s="1130"/>
      <c r="O36" s="1130"/>
      <c r="P36" s="1130"/>
      <c r="Q36" s="1130"/>
      <c r="R36" s="1130"/>
      <c r="S36" s="1130"/>
      <c r="T36" s="1130"/>
      <c r="U36" s="1130"/>
      <c r="V36" s="1130"/>
      <c r="W36" s="1130"/>
      <c r="X36" s="1130"/>
      <c r="Y36" s="1130"/>
      <c r="Z36" s="1130"/>
    </row>
    <row r="37" spans="1:26" ht="15.75" customHeight="1">
      <c r="A37" s="1130"/>
      <c r="B37" s="1130"/>
      <c r="C37" s="1130"/>
      <c r="D37" s="1130"/>
      <c r="E37" s="1130"/>
      <c r="F37" s="1130"/>
      <c r="G37" s="1130"/>
      <c r="H37" s="1130"/>
      <c r="I37" s="1130"/>
      <c r="J37" s="1130"/>
      <c r="K37" s="1130"/>
      <c r="L37" s="1130"/>
      <c r="M37" s="1130"/>
      <c r="N37" s="1130"/>
      <c r="O37" s="1130"/>
      <c r="P37" s="1130"/>
      <c r="Q37" s="1130"/>
      <c r="R37" s="1130"/>
      <c r="S37" s="1130"/>
      <c r="T37" s="1130"/>
      <c r="U37" s="1130"/>
      <c r="V37" s="1130"/>
      <c r="W37" s="1130"/>
      <c r="X37" s="1130"/>
      <c r="Y37" s="1130"/>
      <c r="Z37" s="1130"/>
    </row>
    <row r="38" spans="1:26" ht="15.75" customHeight="1">
      <c r="A38" s="1130"/>
      <c r="B38" s="1130"/>
      <c r="C38" s="1130"/>
      <c r="D38" s="1130"/>
      <c r="E38" s="1130"/>
      <c r="F38" s="1130"/>
      <c r="G38" s="1130"/>
      <c r="H38" s="1130"/>
      <c r="I38" s="1130"/>
      <c r="J38" s="1130"/>
      <c r="K38" s="1130"/>
      <c r="L38" s="1130"/>
      <c r="M38" s="1130"/>
      <c r="N38" s="1130"/>
      <c r="O38" s="1130"/>
      <c r="P38" s="1130"/>
      <c r="Q38" s="1130"/>
      <c r="R38" s="1130"/>
      <c r="S38" s="1130"/>
      <c r="T38" s="1130"/>
      <c r="U38" s="1130"/>
      <c r="V38" s="1130"/>
      <c r="W38" s="1130"/>
      <c r="X38" s="1130"/>
      <c r="Y38" s="1130"/>
      <c r="Z38" s="1130"/>
    </row>
    <row r="39" spans="1:26" ht="15.75" customHeight="1">
      <c r="A39" s="1130"/>
      <c r="B39" s="1130"/>
      <c r="C39" s="1130"/>
      <c r="D39" s="1130"/>
      <c r="E39" s="1130"/>
      <c r="F39" s="1130"/>
      <c r="G39" s="1130"/>
      <c r="H39" s="1130"/>
      <c r="I39" s="1130"/>
      <c r="J39" s="1130"/>
      <c r="K39" s="1130"/>
      <c r="L39" s="1130"/>
      <c r="M39" s="1130"/>
      <c r="N39" s="1130"/>
      <c r="O39" s="1130"/>
      <c r="P39" s="1130"/>
      <c r="Q39" s="1130"/>
      <c r="R39" s="1130"/>
      <c r="S39" s="1130"/>
      <c r="T39" s="1130"/>
      <c r="U39" s="1130"/>
      <c r="V39" s="1130"/>
      <c r="W39" s="1130"/>
      <c r="X39" s="1130"/>
      <c r="Y39" s="1130"/>
      <c r="Z39" s="1130"/>
    </row>
    <row r="40" spans="1:26" ht="15.75" customHeight="1">
      <c r="A40" s="1130"/>
      <c r="B40" s="1130"/>
      <c r="C40" s="1130"/>
      <c r="D40" s="1130"/>
      <c r="E40" s="1130"/>
      <c r="F40" s="1130"/>
      <c r="G40" s="1130"/>
      <c r="H40" s="1130"/>
      <c r="I40" s="1130"/>
      <c r="J40" s="1130"/>
      <c r="K40" s="1130"/>
      <c r="L40" s="1130"/>
      <c r="M40" s="1130"/>
      <c r="N40" s="1130"/>
      <c r="O40" s="1130"/>
      <c r="P40" s="1130"/>
      <c r="Q40" s="1130"/>
      <c r="R40" s="1130"/>
      <c r="S40" s="1130"/>
      <c r="T40" s="1130"/>
      <c r="U40" s="1130"/>
      <c r="V40" s="1130"/>
      <c r="W40" s="1130"/>
      <c r="X40" s="1130"/>
      <c r="Y40" s="1130"/>
      <c r="Z40" s="1130"/>
    </row>
    <row r="41" spans="1:26" ht="15.75" customHeight="1">
      <c r="A41" s="1130"/>
      <c r="B41" s="1130"/>
      <c r="C41" s="1130"/>
      <c r="D41" s="1130"/>
      <c r="E41" s="1130"/>
      <c r="F41" s="1130"/>
      <c r="G41" s="1130"/>
      <c r="H41" s="1130"/>
      <c r="I41" s="1130"/>
      <c r="J41" s="1130"/>
      <c r="K41" s="1130"/>
      <c r="L41" s="1130"/>
      <c r="M41" s="1130"/>
      <c r="N41" s="1130"/>
      <c r="O41" s="1130"/>
      <c r="P41" s="1130"/>
      <c r="Q41" s="1130"/>
      <c r="R41" s="1130"/>
      <c r="S41" s="1130"/>
      <c r="T41" s="1130"/>
      <c r="U41" s="1130"/>
      <c r="V41" s="1130"/>
      <c r="W41" s="1130"/>
      <c r="X41" s="1130"/>
      <c r="Y41" s="1130"/>
      <c r="Z41" s="1130"/>
    </row>
    <row r="42" spans="1:26" ht="15.75" customHeight="1">
      <c r="A42" s="1130"/>
      <c r="B42" s="1130"/>
      <c r="C42" s="1130"/>
      <c r="D42" s="1130"/>
      <c r="E42" s="1130"/>
      <c r="F42" s="1130"/>
      <c r="G42" s="1130"/>
      <c r="H42" s="1130"/>
      <c r="I42" s="1130"/>
      <c r="J42" s="1130"/>
      <c r="K42" s="1130"/>
      <c r="L42" s="1130"/>
      <c r="M42" s="1130"/>
      <c r="N42" s="1130"/>
      <c r="O42" s="1130"/>
      <c r="P42" s="1130"/>
      <c r="Q42" s="1130"/>
      <c r="R42" s="1130"/>
      <c r="S42" s="1130"/>
      <c r="T42" s="1130"/>
      <c r="U42" s="1130"/>
      <c r="V42" s="1130"/>
      <c r="W42" s="1130"/>
      <c r="X42" s="1130"/>
      <c r="Y42" s="1130"/>
      <c r="Z42" s="1130"/>
    </row>
    <row r="43" spans="1:26" ht="15.75" customHeight="1">
      <c r="A43" s="1130"/>
      <c r="B43" s="1130"/>
      <c r="C43" s="1130"/>
      <c r="D43" s="1130"/>
      <c r="E43" s="1130"/>
      <c r="F43" s="1130"/>
      <c r="G43" s="1130"/>
      <c r="H43" s="1130"/>
      <c r="I43" s="1130"/>
      <c r="J43" s="1130"/>
      <c r="K43" s="1130"/>
      <c r="L43" s="1130"/>
      <c r="M43" s="1130"/>
      <c r="N43" s="1130"/>
      <c r="O43" s="1130"/>
      <c r="P43" s="1130"/>
      <c r="Q43" s="1130"/>
      <c r="R43" s="1130"/>
      <c r="S43" s="1130"/>
      <c r="T43" s="1130"/>
      <c r="U43" s="1130"/>
      <c r="V43" s="1130"/>
      <c r="W43" s="1130"/>
      <c r="X43" s="1130"/>
      <c r="Y43" s="1130"/>
      <c r="Z43" s="1130"/>
    </row>
    <row r="44" spans="1:26" ht="15.75" customHeight="1">
      <c r="A44" s="1130"/>
      <c r="B44" s="1130"/>
      <c r="C44" s="1130"/>
      <c r="D44" s="1130"/>
      <c r="E44" s="1130"/>
      <c r="F44" s="1130"/>
      <c r="G44" s="1130"/>
      <c r="H44" s="1130"/>
      <c r="I44" s="1130"/>
      <c r="J44" s="1130"/>
      <c r="K44" s="1130"/>
      <c r="L44" s="1130"/>
      <c r="M44" s="1130"/>
      <c r="N44" s="1130"/>
      <c r="O44" s="1130"/>
      <c r="P44" s="1130"/>
      <c r="Q44" s="1130"/>
      <c r="R44" s="1130"/>
      <c r="S44" s="1130"/>
      <c r="T44" s="1130"/>
      <c r="U44" s="1130"/>
      <c r="V44" s="1130"/>
      <c r="W44" s="1130"/>
      <c r="X44" s="1130"/>
      <c r="Y44" s="1130"/>
      <c r="Z44" s="1130"/>
    </row>
    <row r="45" spans="1:26" ht="15.75" customHeight="1">
      <c r="A45" s="1130"/>
      <c r="B45" s="1130"/>
      <c r="C45" s="1130"/>
      <c r="D45" s="1130"/>
      <c r="E45" s="1130"/>
      <c r="F45" s="1130"/>
      <c r="G45" s="1130"/>
      <c r="H45" s="1130"/>
      <c r="I45" s="1130"/>
      <c r="J45" s="1130"/>
      <c r="K45" s="1130"/>
      <c r="L45" s="1130"/>
      <c r="M45" s="1130"/>
      <c r="N45" s="1130"/>
      <c r="O45" s="1130"/>
      <c r="P45" s="1130"/>
      <c r="Q45" s="1130"/>
      <c r="R45" s="1130"/>
      <c r="S45" s="1130"/>
      <c r="T45" s="1130"/>
      <c r="U45" s="1130"/>
      <c r="V45" s="1130"/>
      <c r="W45" s="1130"/>
      <c r="X45" s="1130"/>
      <c r="Y45" s="1130"/>
      <c r="Z45" s="1130"/>
    </row>
    <row r="46" spans="1:26" ht="15.75" customHeight="1">
      <c r="A46" s="1130"/>
      <c r="B46" s="1130"/>
      <c r="C46" s="1130"/>
      <c r="D46" s="1130"/>
      <c r="E46" s="1130"/>
      <c r="F46" s="1130"/>
      <c r="G46" s="1130"/>
      <c r="H46" s="1130"/>
      <c r="I46" s="1130"/>
      <c r="J46" s="1130"/>
      <c r="K46" s="1130"/>
      <c r="L46" s="1130"/>
      <c r="M46" s="1130"/>
      <c r="N46" s="1130"/>
      <c r="O46" s="1130"/>
      <c r="P46" s="1130"/>
      <c r="Q46" s="1130"/>
      <c r="R46" s="1130"/>
      <c r="S46" s="1130"/>
      <c r="T46" s="1130"/>
      <c r="U46" s="1130"/>
      <c r="V46" s="1130"/>
      <c r="W46" s="1130"/>
      <c r="X46" s="1130"/>
      <c r="Y46" s="1130"/>
      <c r="Z46" s="1130"/>
    </row>
    <row r="47" spans="1:26" ht="15.75" customHeight="1">
      <c r="A47" s="1130"/>
      <c r="B47" s="1130"/>
      <c r="C47" s="1130"/>
      <c r="D47" s="1130"/>
      <c r="E47" s="1130"/>
      <c r="F47" s="1130"/>
      <c r="G47" s="1130"/>
      <c r="H47" s="1130"/>
      <c r="I47" s="1130"/>
      <c r="J47" s="1130"/>
      <c r="K47" s="1130"/>
      <c r="L47" s="1130"/>
      <c r="M47" s="1130"/>
      <c r="N47" s="1130"/>
      <c r="O47" s="1130"/>
      <c r="P47" s="1130"/>
      <c r="Q47" s="1130"/>
      <c r="R47" s="1130"/>
      <c r="S47" s="1130"/>
      <c r="T47" s="1130"/>
      <c r="U47" s="1130"/>
      <c r="V47" s="1130"/>
      <c r="W47" s="1130"/>
      <c r="X47" s="1130"/>
      <c r="Y47" s="1130"/>
      <c r="Z47" s="1130"/>
    </row>
    <row r="48" spans="1:26" ht="15.75" customHeight="1">
      <c r="A48" s="1130"/>
      <c r="B48" s="1130"/>
      <c r="C48" s="1130"/>
      <c r="D48" s="1130"/>
      <c r="E48" s="1130"/>
      <c r="F48" s="1130"/>
      <c r="G48" s="1130"/>
      <c r="H48" s="1130"/>
      <c r="I48" s="1130"/>
      <c r="J48" s="1130"/>
      <c r="K48" s="1130"/>
      <c r="L48" s="1130"/>
      <c r="M48" s="1130"/>
      <c r="N48" s="1130"/>
      <c r="O48" s="1130"/>
      <c r="P48" s="1130"/>
      <c r="Q48" s="1130"/>
      <c r="R48" s="1130"/>
      <c r="S48" s="1130"/>
      <c r="T48" s="1130"/>
      <c r="U48" s="1130"/>
      <c r="V48" s="1130"/>
      <c r="W48" s="1130"/>
      <c r="X48" s="1130"/>
      <c r="Y48" s="1130"/>
      <c r="Z48" s="1130"/>
    </row>
    <row r="49" spans="1:26" ht="15.75" customHeight="1">
      <c r="A49" s="1130"/>
      <c r="B49" s="1130"/>
      <c r="C49" s="1130"/>
      <c r="D49" s="1130"/>
      <c r="E49" s="1130"/>
      <c r="F49" s="1130"/>
      <c r="G49" s="1130"/>
      <c r="H49" s="1130"/>
      <c r="I49" s="1130"/>
      <c r="J49" s="1130"/>
      <c r="K49" s="1130"/>
      <c r="L49" s="1130"/>
      <c r="M49" s="1130"/>
      <c r="N49" s="1130"/>
      <c r="O49" s="1130"/>
      <c r="P49" s="1130"/>
      <c r="Q49" s="1130"/>
      <c r="R49" s="1130"/>
      <c r="S49" s="1130"/>
      <c r="T49" s="1130"/>
      <c r="U49" s="1130"/>
      <c r="V49" s="1130"/>
      <c r="W49" s="1130"/>
      <c r="X49" s="1130"/>
      <c r="Y49" s="1130"/>
      <c r="Z49" s="1130"/>
    </row>
    <row r="50" spans="1:26" ht="15.75" customHeight="1">
      <c r="A50" s="1130"/>
      <c r="B50" s="1130"/>
      <c r="C50" s="1130"/>
      <c r="D50" s="1130"/>
      <c r="E50" s="1130"/>
      <c r="F50" s="1130"/>
      <c r="G50" s="1130"/>
      <c r="H50" s="1130"/>
      <c r="I50" s="1130"/>
      <c r="J50" s="1130"/>
      <c r="K50" s="1130"/>
      <c r="L50" s="1130"/>
      <c r="M50" s="1130"/>
      <c r="N50" s="1130"/>
      <c r="O50" s="1130"/>
      <c r="P50" s="1130"/>
      <c r="Q50" s="1130"/>
      <c r="R50" s="1130"/>
      <c r="S50" s="1130"/>
      <c r="T50" s="1130"/>
      <c r="U50" s="1130"/>
      <c r="V50" s="1130"/>
      <c r="W50" s="1130"/>
      <c r="X50" s="1130"/>
      <c r="Y50" s="1130"/>
      <c r="Z50" s="1130"/>
    </row>
    <row r="51" spans="1:26" ht="15.75" customHeight="1">
      <c r="A51" s="1130"/>
      <c r="B51" s="1130"/>
      <c r="C51" s="1130"/>
      <c r="D51" s="1130"/>
      <c r="E51" s="1130"/>
      <c r="F51" s="1130"/>
      <c r="G51" s="1130"/>
      <c r="H51" s="1130"/>
      <c r="I51" s="1130"/>
      <c r="J51" s="1130"/>
      <c r="K51" s="1130"/>
      <c r="L51" s="1130"/>
      <c r="M51" s="1130"/>
      <c r="N51" s="1130"/>
      <c r="O51" s="1130"/>
      <c r="P51" s="1130"/>
      <c r="Q51" s="1130"/>
      <c r="R51" s="1130"/>
      <c r="S51" s="1130"/>
      <c r="T51" s="1130"/>
      <c r="U51" s="1130"/>
      <c r="V51" s="1130"/>
      <c r="W51" s="1130"/>
      <c r="X51" s="1130"/>
      <c r="Y51" s="1130"/>
      <c r="Z51" s="1130"/>
    </row>
    <row r="52" spans="1:26" ht="15.75" customHeight="1">
      <c r="A52" s="1130"/>
      <c r="B52" s="1130"/>
      <c r="C52" s="1130"/>
      <c r="D52" s="1130"/>
      <c r="E52" s="1130"/>
      <c r="F52" s="1130"/>
      <c r="G52" s="1130"/>
      <c r="H52" s="1130"/>
      <c r="I52" s="1130"/>
      <c r="J52" s="1130"/>
      <c r="K52" s="1130"/>
      <c r="L52" s="1130"/>
      <c r="M52" s="1130"/>
      <c r="N52" s="1130"/>
      <c r="O52" s="1130"/>
      <c r="P52" s="1130"/>
      <c r="Q52" s="1130"/>
      <c r="R52" s="1130"/>
      <c r="S52" s="1130"/>
      <c r="T52" s="1130"/>
      <c r="U52" s="1130"/>
      <c r="V52" s="1130"/>
      <c r="W52" s="1130"/>
      <c r="X52" s="1130"/>
      <c r="Y52" s="1130"/>
      <c r="Z52" s="1130"/>
    </row>
    <row r="53" spans="1:26" ht="15.75" customHeight="1">
      <c r="A53" s="1130"/>
      <c r="B53" s="1130"/>
      <c r="C53" s="1130"/>
      <c r="D53" s="1130"/>
      <c r="E53" s="1130"/>
      <c r="F53" s="1130"/>
      <c r="G53" s="1130"/>
      <c r="H53" s="1130"/>
      <c r="I53" s="1130"/>
      <c r="J53" s="1130"/>
      <c r="K53" s="1130"/>
      <c r="L53" s="1130"/>
      <c r="M53" s="1130"/>
      <c r="N53" s="1130"/>
      <c r="O53" s="1130"/>
      <c r="P53" s="1130"/>
      <c r="Q53" s="1130"/>
      <c r="R53" s="1130"/>
      <c r="S53" s="1130"/>
      <c r="T53" s="1130"/>
      <c r="U53" s="1130"/>
      <c r="V53" s="1130"/>
      <c r="W53" s="1130"/>
      <c r="X53" s="1130"/>
      <c r="Y53" s="1130"/>
      <c r="Z53" s="1130"/>
    </row>
    <row r="54" spans="1:26" ht="15.75" customHeight="1">
      <c r="A54" s="1130"/>
      <c r="B54" s="1130"/>
      <c r="C54" s="1130"/>
      <c r="D54" s="1130"/>
      <c r="E54" s="1130"/>
      <c r="F54" s="1130"/>
      <c r="G54" s="1130"/>
      <c r="H54" s="1130"/>
      <c r="I54" s="1130"/>
      <c r="J54" s="1130"/>
      <c r="K54" s="1130"/>
      <c r="L54" s="1130"/>
      <c r="M54" s="1130"/>
      <c r="N54" s="1130"/>
      <c r="O54" s="1130"/>
      <c r="P54" s="1130"/>
      <c r="Q54" s="1130"/>
      <c r="R54" s="1130"/>
      <c r="S54" s="1130"/>
      <c r="T54" s="1130"/>
      <c r="U54" s="1130"/>
      <c r="V54" s="1130"/>
      <c r="W54" s="1130"/>
      <c r="X54" s="1130"/>
      <c r="Y54" s="1130"/>
      <c r="Z54" s="1130"/>
    </row>
    <row r="55" spans="1:26" ht="15.75" customHeight="1">
      <c r="A55" s="1130"/>
      <c r="B55" s="1130"/>
      <c r="C55" s="1130"/>
      <c r="D55" s="1130"/>
      <c r="E55" s="1130"/>
      <c r="F55" s="1130"/>
      <c r="G55" s="1130"/>
      <c r="H55" s="1130"/>
      <c r="I55" s="1130"/>
      <c r="J55" s="1130"/>
      <c r="K55" s="1130"/>
      <c r="L55" s="1130"/>
      <c r="M55" s="1130"/>
      <c r="N55" s="1130"/>
      <c r="O55" s="1130"/>
      <c r="P55" s="1130"/>
      <c r="Q55" s="1130"/>
      <c r="R55" s="1130"/>
      <c r="S55" s="1130"/>
      <c r="T55" s="1130"/>
      <c r="U55" s="1130"/>
      <c r="V55" s="1130"/>
      <c r="W55" s="1130"/>
      <c r="X55" s="1130"/>
      <c r="Y55" s="1130"/>
      <c r="Z55" s="1130"/>
    </row>
    <row r="56" spans="1:26" ht="15.75" customHeight="1">
      <c r="A56" s="1130"/>
      <c r="B56" s="1130"/>
      <c r="C56" s="1130"/>
      <c r="D56" s="1130"/>
      <c r="E56" s="1130"/>
      <c r="F56" s="1130"/>
      <c r="G56" s="1130"/>
      <c r="H56" s="1130"/>
      <c r="I56" s="1130"/>
      <c r="J56" s="1130"/>
      <c r="K56" s="1130"/>
      <c r="L56" s="1130"/>
      <c r="M56" s="1130"/>
      <c r="N56" s="1130"/>
      <c r="O56" s="1130"/>
      <c r="P56" s="1130"/>
      <c r="Q56" s="1130"/>
      <c r="R56" s="1130"/>
      <c r="S56" s="1130"/>
      <c r="T56" s="1130"/>
      <c r="U56" s="1130"/>
      <c r="V56" s="1130"/>
      <c r="W56" s="1130"/>
      <c r="X56" s="1130"/>
      <c r="Y56" s="1130"/>
      <c r="Z56" s="1130"/>
    </row>
    <row r="57" spans="1:26" ht="15.75" customHeight="1">
      <c r="A57" s="1130"/>
      <c r="B57" s="1130"/>
      <c r="C57" s="1130"/>
      <c r="D57" s="1130"/>
      <c r="E57" s="1130"/>
      <c r="F57" s="1130"/>
      <c r="G57" s="1130"/>
      <c r="H57" s="1130"/>
      <c r="I57" s="1130"/>
      <c r="J57" s="1130"/>
      <c r="K57" s="1130"/>
      <c r="L57" s="1130"/>
      <c r="M57" s="1130"/>
      <c r="N57" s="1130"/>
      <c r="O57" s="1130"/>
      <c r="P57" s="1130"/>
      <c r="Q57" s="1130"/>
      <c r="R57" s="1130"/>
      <c r="S57" s="1130"/>
      <c r="T57" s="1130"/>
      <c r="U57" s="1130"/>
      <c r="V57" s="1130"/>
      <c r="W57" s="1130"/>
      <c r="X57" s="1130"/>
      <c r="Y57" s="1130"/>
      <c r="Z57" s="1130"/>
    </row>
    <row r="58" spans="1:26" ht="15.75" customHeight="1">
      <c r="A58" s="1130"/>
      <c r="B58" s="1130"/>
      <c r="C58" s="1130"/>
      <c r="D58" s="1130"/>
      <c r="E58" s="1130"/>
      <c r="F58" s="1130"/>
      <c r="G58" s="1130"/>
      <c r="H58" s="1130"/>
      <c r="I58" s="1130"/>
      <c r="J58" s="1130"/>
      <c r="K58" s="1130"/>
      <c r="L58" s="1130"/>
      <c r="M58" s="1130"/>
      <c r="N58" s="1130"/>
      <c r="O58" s="1130"/>
      <c r="P58" s="1130"/>
      <c r="Q58" s="1130"/>
      <c r="R58" s="1130"/>
      <c r="S58" s="1130"/>
      <c r="T58" s="1130"/>
      <c r="U58" s="1130"/>
      <c r="V58" s="1130"/>
      <c r="W58" s="1130"/>
      <c r="X58" s="1130"/>
      <c r="Y58" s="1130"/>
      <c r="Z58" s="1130"/>
    </row>
    <row r="59" spans="1:26" ht="15.75" customHeight="1">
      <c r="A59" s="1130"/>
      <c r="B59" s="1130"/>
      <c r="C59" s="1130"/>
      <c r="D59" s="1130"/>
      <c r="E59" s="1130"/>
      <c r="F59" s="1130"/>
      <c r="G59" s="1130"/>
      <c r="H59" s="1130"/>
      <c r="I59" s="1130"/>
      <c r="J59" s="1130"/>
      <c r="K59" s="1130"/>
      <c r="L59" s="1130"/>
      <c r="M59" s="1130"/>
      <c r="N59" s="1130"/>
      <c r="O59" s="1130"/>
      <c r="P59" s="1130"/>
      <c r="Q59" s="1130"/>
      <c r="R59" s="1130"/>
      <c r="S59" s="1130"/>
      <c r="T59" s="1130"/>
      <c r="U59" s="1130"/>
      <c r="V59" s="1130"/>
      <c r="W59" s="1130"/>
      <c r="X59" s="1130"/>
      <c r="Y59" s="1130"/>
      <c r="Z59" s="1130"/>
    </row>
    <row r="60" spans="1:26" ht="15.75" customHeight="1">
      <c r="A60" s="1130"/>
      <c r="B60" s="1130"/>
      <c r="C60" s="1130"/>
      <c r="D60" s="1130"/>
      <c r="E60" s="1130"/>
      <c r="F60" s="1130"/>
      <c r="G60" s="1130"/>
      <c r="H60" s="1130"/>
      <c r="I60" s="1130"/>
      <c r="J60" s="1130"/>
      <c r="K60" s="1130"/>
      <c r="L60" s="1130"/>
      <c r="M60" s="1130"/>
      <c r="N60" s="1130"/>
      <c r="O60" s="1130"/>
      <c r="P60" s="1130"/>
      <c r="Q60" s="1130"/>
      <c r="R60" s="1130"/>
      <c r="S60" s="1130"/>
      <c r="T60" s="1130"/>
      <c r="U60" s="1130"/>
      <c r="V60" s="1130"/>
      <c r="W60" s="1130"/>
      <c r="X60" s="1130"/>
      <c r="Y60" s="1130"/>
      <c r="Z60" s="1130"/>
    </row>
    <row r="61" spans="1:26" ht="15.75" customHeight="1">
      <c r="A61" s="1130"/>
      <c r="B61" s="1130"/>
      <c r="C61" s="1130"/>
      <c r="D61" s="1130"/>
      <c r="E61" s="1130"/>
      <c r="F61" s="1130"/>
      <c r="G61" s="1130"/>
      <c r="H61" s="1130"/>
      <c r="I61" s="1130"/>
      <c r="J61" s="1130"/>
      <c r="K61" s="1130"/>
      <c r="L61" s="1130"/>
      <c r="M61" s="1130"/>
      <c r="N61" s="1130"/>
      <c r="O61" s="1130"/>
      <c r="P61" s="1130"/>
      <c r="Q61" s="1130"/>
      <c r="R61" s="1130"/>
      <c r="S61" s="1130"/>
      <c r="T61" s="1130"/>
      <c r="U61" s="1130"/>
      <c r="V61" s="1130"/>
      <c r="W61" s="1130"/>
      <c r="X61" s="1130"/>
      <c r="Y61" s="1130"/>
      <c r="Z61" s="1130"/>
    </row>
    <row r="62" spans="1:26" ht="15.75" customHeight="1">
      <c r="A62" s="1130"/>
      <c r="B62" s="1130"/>
      <c r="C62" s="1130"/>
      <c r="D62" s="1130"/>
      <c r="E62" s="1130"/>
      <c r="F62" s="1130"/>
      <c r="G62" s="1130"/>
      <c r="H62" s="1130"/>
      <c r="I62" s="1130"/>
      <c r="J62" s="1130"/>
      <c r="K62" s="1130"/>
      <c r="L62" s="1130"/>
      <c r="M62" s="1130"/>
      <c r="N62" s="1130"/>
      <c r="O62" s="1130"/>
      <c r="P62" s="1130"/>
      <c r="Q62" s="1130"/>
      <c r="R62" s="1130"/>
      <c r="S62" s="1130"/>
      <c r="T62" s="1130"/>
      <c r="U62" s="1130"/>
      <c r="V62" s="1130"/>
      <c r="W62" s="1130"/>
      <c r="X62" s="1130"/>
      <c r="Y62" s="1130"/>
      <c r="Z62" s="1130"/>
    </row>
    <row r="63" spans="1:26" ht="15.75" customHeight="1">
      <c r="A63" s="1130"/>
      <c r="B63" s="1130"/>
      <c r="C63" s="1130"/>
      <c r="D63" s="1130"/>
      <c r="E63" s="1130"/>
      <c r="F63" s="1130"/>
      <c r="G63" s="1130"/>
      <c r="H63" s="1130"/>
      <c r="I63" s="1130"/>
      <c r="J63" s="1130"/>
      <c r="K63" s="1130"/>
      <c r="L63" s="1130"/>
      <c r="M63" s="1130"/>
      <c r="N63" s="1130"/>
      <c r="O63" s="1130"/>
      <c r="P63" s="1130"/>
      <c r="Q63" s="1130"/>
      <c r="R63" s="1130"/>
      <c r="S63" s="1130"/>
      <c r="T63" s="1130"/>
      <c r="U63" s="1130"/>
      <c r="V63" s="1130"/>
      <c r="W63" s="1130"/>
      <c r="X63" s="1130"/>
      <c r="Y63" s="1130"/>
      <c r="Z63" s="1130"/>
    </row>
    <row r="64" spans="1:26" ht="15.75" customHeight="1">
      <c r="A64" s="1130"/>
      <c r="B64" s="1130"/>
      <c r="C64" s="1130"/>
      <c r="D64" s="1130"/>
      <c r="E64" s="1130"/>
      <c r="F64" s="1130"/>
      <c r="G64" s="1130"/>
      <c r="H64" s="1130"/>
      <c r="I64" s="1130"/>
      <c r="J64" s="1130"/>
      <c r="K64" s="1130"/>
      <c r="L64" s="1130"/>
      <c r="M64" s="1130"/>
      <c r="N64" s="1130"/>
      <c r="O64" s="1130"/>
      <c r="P64" s="1130"/>
      <c r="Q64" s="1130"/>
      <c r="R64" s="1130"/>
      <c r="S64" s="1130"/>
      <c r="T64" s="1130"/>
      <c r="U64" s="1130"/>
      <c r="V64" s="1130"/>
      <c r="W64" s="1130"/>
      <c r="X64" s="1130"/>
      <c r="Y64" s="1130"/>
      <c r="Z64" s="1130"/>
    </row>
    <row r="65" spans="1:26" ht="15.75" customHeight="1">
      <c r="A65" s="1130"/>
      <c r="B65" s="1130"/>
      <c r="C65" s="1130"/>
      <c r="D65" s="1130"/>
      <c r="E65" s="1130"/>
      <c r="F65" s="1130"/>
      <c r="G65" s="1130"/>
      <c r="H65" s="1130"/>
      <c r="I65" s="1130"/>
      <c r="J65" s="1130"/>
      <c r="K65" s="1130"/>
      <c r="L65" s="1130"/>
      <c r="M65" s="1130"/>
      <c r="N65" s="1130"/>
      <c r="O65" s="1130"/>
      <c r="P65" s="1130"/>
      <c r="Q65" s="1130"/>
      <c r="R65" s="1130"/>
      <c r="S65" s="1130"/>
      <c r="T65" s="1130"/>
      <c r="U65" s="1130"/>
      <c r="V65" s="1130"/>
      <c r="W65" s="1130"/>
      <c r="X65" s="1130"/>
      <c r="Y65" s="1130"/>
      <c r="Z65" s="1130"/>
    </row>
    <row r="66" spans="1:26" ht="15.75" customHeight="1">
      <c r="A66" s="1130"/>
      <c r="B66" s="1130"/>
      <c r="C66" s="1130"/>
      <c r="D66" s="1130"/>
      <c r="E66" s="1130"/>
      <c r="F66" s="1130"/>
      <c r="G66" s="1130"/>
      <c r="H66" s="1130"/>
      <c r="I66" s="1130"/>
      <c r="J66" s="1130"/>
      <c r="K66" s="1130"/>
      <c r="L66" s="1130"/>
      <c r="M66" s="1130"/>
      <c r="N66" s="1130"/>
      <c r="O66" s="1130"/>
      <c r="P66" s="1130"/>
      <c r="Q66" s="1130"/>
      <c r="R66" s="1130"/>
      <c r="S66" s="1130"/>
      <c r="T66" s="1130"/>
      <c r="U66" s="1130"/>
      <c r="V66" s="1130"/>
      <c r="W66" s="1130"/>
      <c r="X66" s="1130"/>
      <c r="Y66" s="1130"/>
      <c r="Z66" s="1130"/>
    </row>
    <row r="67" spans="1:26" ht="15.75" customHeight="1">
      <c r="A67" s="1130"/>
      <c r="B67" s="1130"/>
      <c r="C67" s="1130"/>
      <c r="D67" s="1130"/>
      <c r="E67" s="1130"/>
      <c r="F67" s="1130"/>
      <c r="G67" s="1130"/>
      <c r="H67" s="1130"/>
      <c r="I67" s="1130"/>
      <c r="J67" s="1130"/>
      <c r="K67" s="1130"/>
      <c r="L67" s="1130"/>
      <c r="M67" s="1130"/>
      <c r="N67" s="1130"/>
      <c r="O67" s="1130"/>
      <c r="P67" s="1130"/>
      <c r="Q67" s="1130"/>
      <c r="R67" s="1130"/>
      <c r="S67" s="1130"/>
      <c r="T67" s="1130"/>
      <c r="U67" s="1130"/>
      <c r="V67" s="1130"/>
      <c r="W67" s="1130"/>
      <c r="X67" s="1130"/>
      <c r="Y67" s="1130"/>
      <c r="Z67" s="1130"/>
    </row>
    <row r="68" spans="1:26" ht="15.75" customHeight="1">
      <c r="A68" s="1130"/>
      <c r="B68" s="1130"/>
      <c r="C68" s="1130"/>
      <c r="D68" s="1130"/>
      <c r="E68" s="1130"/>
      <c r="F68" s="1130"/>
      <c r="G68" s="1130"/>
      <c r="H68" s="1130"/>
      <c r="I68" s="1130"/>
      <c r="J68" s="1130"/>
      <c r="K68" s="1130"/>
      <c r="L68" s="1130"/>
      <c r="M68" s="1130"/>
      <c r="N68" s="1130"/>
      <c r="O68" s="1130"/>
      <c r="P68" s="1130"/>
      <c r="Q68" s="1130"/>
      <c r="R68" s="1130"/>
      <c r="S68" s="1130"/>
      <c r="T68" s="1130"/>
      <c r="U68" s="1130"/>
      <c r="V68" s="1130"/>
      <c r="W68" s="1130"/>
      <c r="X68" s="1130"/>
      <c r="Y68" s="1130"/>
      <c r="Z68" s="1130"/>
    </row>
    <row r="69" spans="1:26" ht="15.75" customHeight="1">
      <c r="A69" s="1130"/>
      <c r="B69" s="1130"/>
      <c r="C69" s="1130"/>
      <c r="D69" s="1130"/>
      <c r="E69" s="1130"/>
      <c r="F69" s="1130"/>
      <c r="G69" s="1130"/>
      <c r="H69" s="1130"/>
      <c r="I69" s="1130"/>
      <c r="J69" s="1130"/>
      <c r="K69" s="1130"/>
      <c r="L69" s="1130"/>
      <c r="M69" s="1130"/>
      <c r="N69" s="1130"/>
      <c r="O69" s="1130"/>
      <c r="P69" s="1130"/>
      <c r="Q69" s="1130"/>
      <c r="R69" s="1130"/>
      <c r="S69" s="1130"/>
      <c r="T69" s="1130"/>
      <c r="U69" s="1130"/>
      <c r="V69" s="1130"/>
      <c r="W69" s="1130"/>
      <c r="X69" s="1130"/>
      <c r="Y69" s="1130"/>
      <c r="Z69" s="1130"/>
    </row>
    <row r="70" spans="1:26" ht="15.75" customHeight="1">
      <c r="A70" s="1130"/>
      <c r="B70" s="1130"/>
      <c r="C70" s="1130"/>
      <c r="D70" s="1130"/>
      <c r="E70" s="1130"/>
      <c r="F70" s="1130"/>
      <c r="G70" s="1130"/>
      <c r="H70" s="1130"/>
      <c r="I70" s="1130"/>
      <c r="J70" s="1130"/>
      <c r="K70" s="1130"/>
      <c r="L70" s="1130"/>
      <c r="M70" s="1130"/>
      <c r="N70" s="1130"/>
      <c r="O70" s="1130"/>
      <c r="P70" s="1130"/>
      <c r="Q70" s="1130"/>
      <c r="R70" s="1130"/>
      <c r="S70" s="1130"/>
      <c r="T70" s="1130"/>
      <c r="U70" s="1130"/>
      <c r="V70" s="1130"/>
      <c r="W70" s="1130"/>
      <c r="X70" s="1130"/>
      <c r="Y70" s="1130"/>
      <c r="Z70" s="1130"/>
    </row>
    <row r="71" spans="1:26" ht="15.75" customHeight="1">
      <c r="A71" s="1130"/>
      <c r="B71" s="1130"/>
      <c r="C71" s="1130"/>
      <c r="D71" s="1130"/>
      <c r="E71" s="1130"/>
      <c r="F71" s="1130"/>
      <c r="G71" s="1130"/>
      <c r="H71" s="1130"/>
      <c r="I71" s="1130"/>
      <c r="J71" s="1130"/>
      <c r="K71" s="1130"/>
      <c r="L71" s="1130"/>
      <c r="M71" s="1130"/>
      <c r="N71" s="1130"/>
      <c r="O71" s="1130"/>
      <c r="P71" s="1130"/>
      <c r="Q71" s="1130"/>
      <c r="R71" s="1130"/>
      <c r="S71" s="1130"/>
      <c r="T71" s="1130"/>
      <c r="U71" s="1130"/>
      <c r="V71" s="1130"/>
      <c r="W71" s="1130"/>
      <c r="X71" s="1130"/>
      <c r="Y71" s="1130"/>
      <c r="Z71" s="1130"/>
    </row>
    <row r="72" spans="1:26" ht="15.75" customHeight="1">
      <c r="A72" s="1130"/>
      <c r="B72" s="1130"/>
      <c r="C72" s="1130"/>
      <c r="D72" s="1130"/>
      <c r="E72" s="1130"/>
      <c r="F72" s="1130"/>
      <c r="G72" s="1130"/>
      <c r="H72" s="1130"/>
      <c r="I72" s="1130"/>
      <c r="J72" s="1130"/>
      <c r="K72" s="1130"/>
      <c r="L72" s="1130"/>
      <c r="M72" s="1130"/>
      <c r="N72" s="1130"/>
      <c r="O72" s="1130"/>
      <c r="P72" s="1130"/>
      <c r="Q72" s="1130"/>
      <c r="R72" s="1130"/>
      <c r="S72" s="1130"/>
      <c r="T72" s="1130"/>
      <c r="U72" s="1130"/>
      <c r="V72" s="1130"/>
      <c r="W72" s="1130"/>
      <c r="X72" s="1130"/>
      <c r="Y72" s="1130"/>
      <c r="Z72" s="1130"/>
    </row>
    <row r="73" spans="1:26" ht="15.75" customHeight="1">
      <c r="A73" s="1130"/>
      <c r="B73" s="1130"/>
      <c r="C73" s="1130"/>
      <c r="D73" s="1130"/>
      <c r="E73" s="1130"/>
      <c r="F73" s="1130"/>
      <c r="G73" s="1130"/>
      <c r="H73" s="1130"/>
      <c r="I73" s="1130"/>
      <c r="J73" s="1130"/>
      <c r="K73" s="1130"/>
      <c r="L73" s="1130"/>
      <c r="M73" s="1130"/>
      <c r="N73" s="1130"/>
      <c r="O73" s="1130"/>
      <c r="P73" s="1130"/>
      <c r="Q73" s="1130"/>
      <c r="R73" s="1130"/>
      <c r="S73" s="1130"/>
      <c r="T73" s="1130"/>
      <c r="U73" s="1130"/>
      <c r="V73" s="1130"/>
      <c r="W73" s="1130"/>
      <c r="X73" s="1130"/>
      <c r="Y73" s="1130"/>
      <c r="Z73" s="1130"/>
    </row>
    <row r="74" spans="1:26" ht="15.75" customHeight="1">
      <c r="A74" s="1130"/>
      <c r="B74" s="1130"/>
      <c r="C74" s="1130"/>
      <c r="D74" s="1130"/>
      <c r="E74" s="1130"/>
      <c r="F74" s="1130"/>
      <c r="G74" s="1130"/>
      <c r="H74" s="1130"/>
      <c r="I74" s="1130"/>
      <c r="J74" s="1130"/>
      <c r="K74" s="1130"/>
      <c r="L74" s="1130"/>
      <c r="M74" s="1130"/>
      <c r="N74" s="1130"/>
      <c r="O74" s="1130"/>
      <c r="P74" s="1130"/>
      <c r="Q74" s="1130"/>
      <c r="R74" s="1130"/>
      <c r="S74" s="1130"/>
      <c r="T74" s="1130"/>
      <c r="U74" s="1130"/>
      <c r="V74" s="1130"/>
      <c r="W74" s="1130"/>
      <c r="X74" s="1130"/>
      <c r="Y74" s="1130"/>
      <c r="Z74" s="1130"/>
    </row>
    <row r="75" spans="1:26" ht="15.75" customHeight="1">
      <c r="A75" s="1130"/>
      <c r="B75" s="1130"/>
      <c r="C75" s="1130"/>
      <c r="D75" s="1130"/>
      <c r="E75" s="1130"/>
      <c r="F75" s="1130"/>
      <c r="G75" s="1130"/>
      <c r="H75" s="1130"/>
      <c r="I75" s="1130"/>
      <c r="J75" s="1130"/>
      <c r="K75" s="1130"/>
      <c r="L75" s="1130"/>
      <c r="M75" s="1130"/>
      <c r="N75" s="1130"/>
      <c r="O75" s="1130"/>
      <c r="P75" s="1130"/>
      <c r="Q75" s="1130"/>
      <c r="R75" s="1130"/>
      <c r="S75" s="1130"/>
      <c r="T75" s="1130"/>
      <c r="U75" s="1130"/>
      <c r="V75" s="1130"/>
      <c r="W75" s="1130"/>
      <c r="X75" s="1130"/>
      <c r="Y75" s="1130"/>
      <c r="Z75" s="1130"/>
    </row>
    <row r="76" spans="1:26" ht="15.75" customHeight="1">
      <c r="A76" s="1130"/>
      <c r="B76" s="1130"/>
      <c r="C76" s="1130"/>
      <c r="D76" s="1130"/>
      <c r="E76" s="1130"/>
      <c r="F76" s="1130"/>
      <c r="G76" s="1130"/>
      <c r="H76" s="1130"/>
      <c r="I76" s="1130"/>
      <c r="J76" s="1130"/>
      <c r="K76" s="1130"/>
      <c r="L76" s="1130"/>
      <c r="M76" s="1130"/>
      <c r="N76" s="1130"/>
      <c r="O76" s="1130"/>
      <c r="P76" s="1130"/>
      <c r="Q76" s="1130"/>
      <c r="R76" s="1130"/>
      <c r="S76" s="1130"/>
      <c r="T76" s="1130"/>
      <c r="U76" s="1130"/>
      <c r="V76" s="1130"/>
      <c r="W76" s="1130"/>
      <c r="X76" s="1130"/>
      <c r="Y76" s="1130"/>
      <c r="Z76" s="1130"/>
    </row>
    <row r="77" spans="1:26" ht="15.75" customHeight="1">
      <c r="A77" s="1130"/>
      <c r="B77" s="1130"/>
      <c r="C77" s="1130"/>
      <c r="D77" s="1130"/>
      <c r="E77" s="1130"/>
      <c r="F77" s="1130"/>
      <c r="G77" s="1130"/>
      <c r="H77" s="1130"/>
      <c r="I77" s="1130"/>
      <c r="J77" s="1130"/>
      <c r="K77" s="1130"/>
      <c r="L77" s="1130"/>
      <c r="M77" s="1130"/>
      <c r="N77" s="1130"/>
      <c r="O77" s="1130"/>
      <c r="P77" s="1130"/>
      <c r="Q77" s="1130"/>
      <c r="R77" s="1130"/>
      <c r="S77" s="1130"/>
      <c r="T77" s="1130"/>
      <c r="U77" s="1130"/>
      <c r="V77" s="1130"/>
      <c r="W77" s="1130"/>
      <c r="X77" s="1130"/>
      <c r="Y77" s="1130"/>
      <c r="Z77" s="1130"/>
    </row>
    <row r="78" spans="1:26" ht="15.75" customHeight="1">
      <c r="A78" s="1130"/>
      <c r="B78" s="1130"/>
      <c r="C78" s="1130"/>
      <c r="D78" s="1130"/>
      <c r="E78" s="1130"/>
      <c r="F78" s="1130"/>
      <c r="G78" s="1130"/>
      <c r="H78" s="1130"/>
      <c r="I78" s="1130"/>
      <c r="J78" s="1130"/>
      <c r="K78" s="1130"/>
      <c r="L78" s="1130"/>
      <c r="M78" s="1130"/>
      <c r="N78" s="1130"/>
      <c r="O78" s="1130"/>
      <c r="P78" s="1130"/>
      <c r="Q78" s="1130"/>
      <c r="R78" s="1130"/>
      <c r="S78" s="1130"/>
      <c r="T78" s="1130"/>
      <c r="U78" s="1130"/>
      <c r="V78" s="1130"/>
      <c r="W78" s="1130"/>
      <c r="X78" s="1130"/>
      <c r="Y78" s="1130"/>
      <c r="Z78" s="1130"/>
    </row>
    <row r="79" spans="1:26" ht="15.75" customHeight="1">
      <c r="A79" s="1130"/>
      <c r="B79" s="1130"/>
      <c r="C79" s="1130"/>
      <c r="D79" s="1130"/>
      <c r="E79" s="1130"/>
      <c r="F79" s="1130"/>
      <c r="G79" s="1130"/>
      <c r="H79" s="1130"/>
      <c r="I79" s="1130"/>
      <c r="J79" s="1130"/>
      <c r="K79" s="1130"/>
      <c r="L79" s="1130"/>
      <c r="M79" s="1130"/>
      <c r="N79" s="1130"/>
      <c r="O79" s="1130"/>
      <c r="P79" s="1130"/>
      <c r="Q79" s="1130"/>
      <c r="R79" s="1130"/>
      <c r="S79" s="1130"/>
      <c r="T79" s="1130"/>
      <c r="U79" s="1130"/>
      <c r="V79" s="1130"/>
      <c r="W79" s="1130"/>
      <c r="X79" s="1130"/>
      <c r="Y79" s="1130"/>
      <c r="Z79" s="1130"/>
    </row>
    <row r="80" spans="1:26" ht="15.75" customHeight="1">
      <c r="A80" s="1130"/>
      <c r="B80" s="1130"/>
      <c r="C80" s="1130"/>
      <c r="D80" s="1130"/>
      <c r="E80" s="1130"/>
      <c r="F80" s="1130"/>
      <c r="G80" s="1130"/>
      <c r="H80" s="1130"/>
      <c r="I80" s="1130"/>
      <c r="J80" s="1130"/>
      <c r="K80" s="1130"/>
      <c r="L80" s="1130"/>
      <c r="M80" s="1130"/>
      <c r="N80" s="1130"/>
      <c r="O80" s="1130"/>
      <c r="P80" s="1130"/>
      <c r="Q80" s="1130"/>
      <c r="R80" s="1130"/>
      <c r="S80" s="1130"/>
      <c r="T80" s="1130"/>
      <c r="U80" s="1130"/>
      <c r="V80" s="1130"/>
      <c r="W80" s="1130"/>
      <c r="X80" s="1130"/>
      <c r="Y80" s="1130"/>
      <c r="Z80" s="1130"/>
    </row>
    <row r="81" spans="1:26" ht="15.75" customHeight="1">
      <c r="A81" s="1130"/>
      <c r="B81" s="1130"/>
      <c r="C81" s="1130"/>
      <c r="D81" s="1130"/>
      <c r="E81" s="1130"/>
      <c r="F81" s="1130"/>
      <c r="G81" s="1130"/>
      <c r="H81" s="1130"/>
      <c r="I81" s="1130"/>
      <c r="J81" s="1130"/>
      <c r="K81" s="1130"/>
      <c r="L81" s="1130"/>
      <c r="M81" s="1130"/>
      <c r="N81" s="1130"/>
      <c r="O81" s="1130"/>
      <c r="P81" s="1130"/>
      <c r="Q81" s="1130"/>
      <c r="R81" s="1130"/>
      <c r="S81" s="1130"/>
      <c r="T81" s="1130"/>
      <c r="U81" s="1130"/>
      <c r="V81" s="1130"/>
      <c r="W81" s="1130"/>
      <c r="X81" s="1130"/>
      <c r="Y81" s="1130"/>
      <c r="Z81" s="1130"/>
    </row>
    <row r="82" spans="1:26" ht="15.75" customHeight="1">
      <c r="A82" s="1130"/>
      <c r="B82" s="1130"/>
      <c r="C82" s="1130"/>
      <c r="D82" s="1130"/>
      <c r="E82" s="1130"/>
      <c r="F82" s="1130"/>
      <c r="G82" s="1130"/>
      <c r="H82" s="1130"/>
      <c r="I82" s="1130"/>
      <c r="J82" s="1130"/>
      <c r="K82" s="1130"/>
      <c r="L82" s="1130"/>
      <c r="M82" s="1130"/>
      <c r="N82" s="1130"/>
      <c r="O82" s="1130"/>
      <c r="P82" s="1130"/>
      <c r="Q82" s="1130"/>
      <c r="R82" s="1130"/>
      <c r="S82" s="1130"/>
      <c r="T82" s="1130"/>
      <c r="U82" s="1130"/>
      <c r="V82" s="1130"/>
      <c r="W82" s="1130"/>
      <c r="X82" s="1130"/>
      <c r="Y82" s="1130"/>
      <c r="Z82" s="1130"/>
    </row>
    <row r="83" spans="1:26" ht="15.75" customHeight="1">
      <c r="A83" s="1130"/>
      <c r="B83" s="1130"/>
      <c r="C83" s="1130"/>
      <c r="D83" s="1130"/>
      <c r="E83" s="1130"/>
      <c r="F83" s="1130"/>
      <c r="G83" s="1130"/>
      <c r="H83" s="1130"/>
      <c r="I83" s="1130"/>
      <c r="J83" s="1130"/>
      <c r="K83" s="1130"/>
      <c r="L83" s="1130"/>
      <c r="M83" s="1130"/>
      <c r="N83" s="1130"/>
      <c r="O83" s="1130"/>
      <c r="P83" s="1130"/>
      <c r="Q83" s="1130"/>
      <c r="R83" s="1130"/>
      <c r="S83" s="1130"/>
      <c r="T83" s="1130"/>
      <c r="U83" s="1130"/>
      <c r="V83" s="1130"/>
      <c r="W83" s="1130"/>
      <c r="X83" s="1130"/>
      <c r="Y83" s="1130"/>
      <c r="Z83" s="1130"/>
    </row>
    <row r="84" spans="1:26" ht="15.75" customHeight="1">
      <c r="A84" s="1130"/>
      <c r="B84" s="1130"/>
      <c r="C84" s="1130"/>
      <c r="D84" s="1130"/>
      <c r="E84" s="1130"/>
      <c r="F84" s="1130"/>
      <c r="G84" s="1130"/>
      <c r="H84" s="1130"/>
      <c r="I84" s="1130"/>
      <c r="J84" s="1130"/>
      <c r="K84" s="1130"/>
      <c r="L84" s="1130"/>
      <c r="M84" s="1130"/>
      <c r="N84" s="1130"/>
      <c r="O84" s="1130"/>
      <c r="P84" s="1130"/>
      <c r="Q84" s="1130"/>
      <c r="R84" s="1130"/>
      <c r="S84" s="1130"/>
      <c r="T84" s="1130"/>
      <c r="U84" s="1130"/>
      <c r="V84" s="1130"/>
      <c r="W84" s="1130"/>
      <c r="X84" s="1130"/>
      <c r="Y84" s="1130"/>
      <c r="Z84" s="1130"/>
    </row>
    <row r="85" spans="1:26" ht="15.75" customHeight="1">
      <c r="A85" s="1130"/>
      <c r="B85" s="1130"/>
      <c r="C85" s="1130"/>
      <c r="D85" s="1130"/>
      <c r="E85" s="1130"/>
      <c r="F85" s="1130"/>
      <c r="G85" s="1130"/>
      <c r="H85" s="1130"/>
      <c r="I85" s="1130"/>
      <c r="J85" s="1130"/>
      <c r="K85" s="1130"/>
      <c r="L85" s="1130"/>
      <c r="M85" s="1130"/>
      <c r="N85" s="1130"/>
      <c r="O85" s="1130"/>
      <c r="P85" s="1130"/>
      <c r="Q85" s="1130"/>
      <c r="R85" s="1130"/>
      <c r="S85" s="1130"/>
      <c r="T85" s="1130"/>
      <c r="U85" s="1130"/>
      <c r="V85" s="1130"/>
      <c r="W85" s="1130"/>
      <c r="X85" s="1130"/>
      <c r="Y85" s="1130"/>
      <c r="Z85" s="1130"/>
    </row>
    <row r="86" spans="1:26" ht="15.75" customHeight="1">
      <c r="A86" s="1130"/>
      <c r="B86" s="1130"/>
      <c r="C86" s="1130"/>
      <c r="D86" s="1130"/>
      <c r="E86" s="1130"/>
      <c r="F86" s="1130"/>
      <c r="G86" s="1130"/>
      <c r="H86" s="1130"/>
      <c r="I86" s="1130"/>
      <c r="J86" s="1130"/>
      <c r="K86" s="1130"/>
      <c r="L86" s="1130"/>
      <c r="M86" s="1130"/>
      <c r="N86" s="1130"/>
      <c r="O86" s="1130"/>
      <c r="P86" s="1130"/>
      <c r="Q86" s="1130"/>
      <c r="R86" s="1130"/>
      <c r="S86" s="1130"/>
      <c r="T86" s="1130"/>
      <c r="U86" s="1130"/>
      <c r="V86" s="1130"/>
      <c r="W86" s="1130"/>
      <c r="X86" s="1130"/>
      <c r="Y86" s="1130"/>
      <c r="Z86" s="1130"/>
    </row>
    <row r="87" spans="1:26" ht="15.75" customHeight="1">
      <c r="A87" s="1130"/>
      <c r="B87" s="1130"/>
      <c r="C87" s="1130"/>
      <c r="D87" s="1130"/>
      <c r="E87" s="1130"/>
      <c r="F87" s="1130"/>
      <c r="G87" s="1130"/>
      <c r="H87" s="1130"/>
      <c r="I87" s="1130"/>
      <c r="J87" s="1130"/>
      <c r="K87" s="1130"/>
      <c r="L87" s="1130"/>
      <c r="M87" s="1130"/>
      <c r="N87" s="1130"/>
      <c r="O87" s="1130"/>
      <c r="P87" s="1130"/>
      <c r="Q87" s="1130"/>
      <c r="R87" s="1130"/>
      <c r="S87" s="1130"/>
      <c r="T87" s="1130"/>
      <c r="U87" s="1130"/>
      <c r="V87" s="1130"/>
      <c r="W87" s="1130"/>
      <c r="X87" s="1130"/>
      <c r="Y87" s="1130"/>
      <c r="Z87" s="1130"/>
    </row>
    <row r="88" spans="1:26" ht="15.75" customHeight="1">
      <c r="A88" s="1130"/>
      <c r="B88" s="1130"/>
      <c r="C88" s="1130"/>
      <c r="D88" s="1130"/>
      <c r="E88" s="1130"/>
      <c r="F88" s="1130"/>
      <c r="G88" s="1130"/>
      <c r="H88" s="1130"/>
      <c r="I88" s="1130"/>
      <c r="J88" s="1130"/>
      <c r="K88" s="1130"/>
      <c r="L88" s="1130"/>
      <c r="M88" s="1130"/>
      <c r="N88" s="1130"/>
      <c r="O88" s="1130"/>
      <c r="P88" s="1130"/>
      <c r="Q88" s="1130"/>
      <c r="R88" s="1130"/>
      <c r="S88" s="1130"/>
      <c r="T88" s="1130"/>
      <c r="U88" s="1130"/>
      <c r="V88" s="1130"/>
      <c r="W88" s="1130"/>
      <c r="X88" s="1130"/>
      <c r="Y88" s="1130"/>
      <c r="Z88" s="1130"/>
    </row>
    <row r="89" spans="1:26" ht="15.75" customHeight="1">
      <c r="A89" s="1130"/>
      <c r="B89" s="1130"/>
      <c r="C89" s="1130"/>
      <c r="D89" s="1130"/>
      <c r="E89" s="1130"/>
      <c r="F89" s="1130"/>
      <c r="G89" s="1130"/>
      <c r="H89" s="1130"/>
      <c r="I89" s="1130"/>
      <c r="J89" s="1130"/>
      <c r="K89" s="1130"/>
      <c r="L89" s="1130"/>
      <c r="M89" s="1130"/>
      <c r="N89" s="1130"/>
      <c r="O89" s="1130"/>
      <c r="P89" s="1130"/>
      <c r="Q89" s="1130"/>
      <c r="R89" s="1130"/>
      <c r="S89" s="1130"/>
      <c r="T89" s="1130"/>
      <c r="U89" s="1130"/>
      <c r="V89" s="1130"/>
      <c r="W89" s="1130"/>
      <c r="X89" s="1130"/>
      <c r="Y89" s="1130"/>
      <c r="Z89" s="1130"/>
    </row>
    <row r="90" spans="1:26" ht="15.75" customHeight="1">
      <c r="A90" s="1130"/>
      <c r="B90" s="1130"/>
      <c r="C90" s="1130"/>
      <c r="D90" s="1130"/>
      <c r="E90" s="1130"/>
      <c r="F90" s="1130"/>
      <c r="G90" s="1130"/>
      <c r="H90" s="1130"/>
      <c r="I90" s="1130"/>
      <c r="J90" s="1130"/>
      <c r="K90" s="1130"/>
      <c r="L90" s="1130"/>
      <c r="M90" s="1130"/>
      <c r="N90" s="1130"/>
      <c r="O90" s="1130"/>
      <c r="P90" s="1130"/>
      <c r="Q90" s="1130"/>
      <c r="R90" s="1130"/>
      <c r="S90" s="1130"/>
      <c r="T90" s="1130"/>
      <c r="U90" s="1130"/>
      <c r="V90" s="1130"/>
      <c r="W90" s="1130"/>
      <c r="X90" s="1130"/>
      <c r="Y90" s="1130"/>
      <c r="Z90" s="1130"/>
    </row>
    <row r="91" spans="1:26" ht="15.75" customHeight="1">
      <c r="A91" s="1130"/>
      <c r="B91" s="1130"/>
      <c r="C91" s="1130"/>
      <c r="D91" s="1130"/>
      <c r="E91" s="1130"/>
      <c r="F91" s="1130"/>
      <c r="G91" s="1130"/>
      <c r="H91" s="1130"/>
      <c r="I91" s="1130"/>
      <c r="J91" s="1130"/>
      <c r="K91" s="1130"/>
      <c r="L91" s="1130"/>
      <c r="M91" s="1130"/>
      <c r="N91" s="1130"/>
      <c r="O91" s="1130"/>
      <c r="P91" s="1130"/>
      <c r="Q91" s="1130"/>
      <c r="R91" s="1130"/>
      <c r="S91" s="1130"/>
      <c r="T91" s="1130"/>
      <c r="U91" s="1130"/>
      <c r="V91" s="1130"/>
      <c r="W91" s="1130"/>
      <c r="X91" s="1130"/>
      <c r="Y91" s="1130"/>
      <c r="Z91" s="1130"/>
    </row>
    <row r="92" spans="1:26" ht="15.75" customHeight="1">
      <c r="A92" s="1130"/>
      <c r="B92" s="1130"/>
      <c r="C92" s="1130"/>
      <c r="D92" s="1130"/>
      <c r="E92" s="1130"/>
      <c r="F92" s="1130"/>
      <c r="G92" s="1130"/>
      <c r="H92" s="1130"/>
      <c r="I92" s="1130"/>
      <c r="J92" s="1130"/>
      <c r="K92" s="1130"/>
      <c r="L92" s="1130"/>
      <c r="M92" s="1130"/>
      <c r="N92" s="1130"/>
      <c r="O92" s="1130"/>
      <c r="P92" s="1130"/>
      <c r="Q92" s="1130"/>
      <c r="R92" s="1130"/>
      <c r="S92" s="1130"/>
      <c r="T92" s="1130"/>
      <c r="U92" s="1130"/>
      <c r="V92" s="1130"/>
      <c r="W92" s="1130"/>
      <c r="X92" s="1130"/>
      <c r="Y92" s="1130"/>
      <c r="Z92" s="1130"/>
    </row>
    <row r="93" spans="1:26" ht="15.75" customHeight="1">
      <c r="A93" s="1130"/>
      <c r="B93" s="1130"/>
      <c r="C93" s="1130"/>
      <c r="D93" s="1130"/>
      <c r="E93" s="1130"/>
      <c r="F93" s="1130"/>
      <c r="G93" s="1130"/>
      <c r="H93" s="1130"/>
      <c r="I93" s="1130"/>
      <c r="J93" s="1130"/>
      <c r="K93" s="1130"/>
      <c r="L93" s="1130"/>
      <c r="M93" s="1130"/>
      <c r="N93" s="1130"/>
      <c r="O93" s="1130"/>
      <c r="P93" s="1130"/>
      <c r="Q93" s="1130"/>
      <c r="R93" s="1130"/>
      <c r="S93" s="1130"/>
      <c r="T93" s="1130"/>
      <c r="U93" s="1130"/>
      <c r="V93" s="1130"/>
      <c r="W93" s="1130"/>
      <c r="X93" s="1130"/>
      <c r="Y93" s="1130"/>
      <c r="Z93" s="1130"/>
    </row>
    <row r="94" spans="1:26" ht="15.75" customHeight="1">
      <c r="A94" s="1130"/>
      <c r="B94" s="1130"/>
      <c r="C94" s="1130"/>
      <c r="D94" s="1130"/>
      <c r="E94" s="1130"/>
      <c r="F94" s="1130"/>
      <c r="G94" s="1130"/>
      <c r="H94" s="1130"/>
      <c r="I94" s="1130"/>
      <c r="J94" s="1130"/>
      <c r="K94" s="1130"/>
      <c r="L94" s="1130"/>
      <c r="M94" s="1130"/>
      <c r="N94" s="1130"/>
      <c r="O94" s="1130"/>
      <c r="P94" s="1130"/>
      <c r="Q94" s="1130"/>
      <c r="R94" s="1130"/>
      <c r="S94" s="1130"/>
      <c r="T94" s="1130"/>
      <c r="U94" s="1130"/>
      <c r="V94" s="1130"/>
      <c r="W94" s="1130"/>
      <c r="X94" s="1130"/>
      <c r="Y94" s="1130"/>
      <c r="Z94" s="1130"/>
    </row>
    <row r="95" spans="1:26" ht="15.75" customHeight="1">
      <c r="A95" s="1130"/>
      <c r="B95" s="1130"/>
      <c r="C95" s="1130"/>
      <c r="D95" s="1130"/>
      <c r="E95" s="1130"/>
      <c r="F95" s="1130"/>
      <c r="G95" s="1130"/>
      <c r="H95" s="1130"/>
      <c r="I95" s="1130"/>
      <c r="J95" s="1130"/>
      <c r="K95" s="1130"/>
      <c r="L95" s="1130"/>
      <c r="M95" s="1130"/>
      <c r="N95" s="1130"/>
      <c r="O95" s="1130"/>
      <c r="P95" s="1130"/>
      <c r="Q95" s="1130"/>
      <c r="R95" s="1130"/>
      <c r="S95" s="1130"/>
      <c r="T95" s="1130"/>
      <c r="U95" s="1130"/>
      <c r="V95" s="1130"/>
      <c r="W95" s="1130"/>
      <c r="X95" s="1130"/>
      <c r="Y95" s="1130"/>
      <c r="Z95" s="1130"/>
    </row>
    <row r="96" spans="1:26" ht="15.75" customHeight="1">
      <c r="A96" s="1130"/>
      <c r="B96" s="1130"/>
      <c r="C96" s="1130"/>
      <c r="D96" s="1130"/>
      <c r="E96" s="1130"/>
      <c r="F96" s="1130"/>
      <c r="G96" s="1130"/>
      <c r="H96" s="1130"/>
      <c r="I96" s="1130"/>
      <c r="J96" s="1130"/>
      <c r="K96" s="1130"/>
      <c r="L96" s="1130"/>
      <c r="M96" s="1130"/>
      <c r="N96" s="1130"/>
      <c r="O96" s="1130"/>
      <c r="P96" s="1130"/>
      <c r="Q96" s="1130"/>
      <c r="R96" s="1130"/>
      <c r="S96" s="1130"/>
      <c r="T96" s="1130"/>
      <c r="U96" s="1130"/>
      <c r="V96" s="1130"/>
      <c r="W96" s="1130"/>
      <c r="X96" s="1130"/>
      <c r="Y96" s="1130"/>
      <c r="Z96" s="1130"/>
    </row>
    <row r="97" spans="1:26" ht="15.75" customHeight="1">
      <c r="A97" s="1130"/>
      <c r="B97" s="1130"/>
      <c r="C97" s="1130"/>
      <c r="D97" s="1130"/>
      <c r="E97" s="1130"/>
      <c r="F97" s="1130"/>
      <c r="G97" s="1130"/>
      <c r="H97" s="1130"/>
      <c r="I97" s="1130"/>
      <c r="J97" s="1130"/>
      <c r="K97" s="1130"/>
      <c r="L97" s="1130"/>
      <c r="M97" s="1130"/>
      <c r="N97" s="1130"/>
      <c r="O97" s="1130"/>
      <c r="P97" s="1130"/>
      <c r="Q97" s="1130"/>
      <c r="R97" s="1130"/>
      <c r="S97" s="1130"/>
      <c r="T97" s="1130"/>
      <c r="U97" s="1130"/>
      <c r="V97" s="1130"/>
      <c r="W97" s="1130"/>
      <c r="X97" s="1130"/>
      <c r="Y97" s="1130"/>
      <c r="Z97" s="1130"/>
    </row>
    <row r="98" spans="1:26" ht="15.75" customHeight="1">
      <c r="A98" s="1130"/>
      <c r="B98" s="1130"/>
      <c r="C98" s="1130"/>
      <c r="D98" s="1130"/>
      <c r="E98" s="1130"/>
      <c r="F98" s="1130"/>
      <c r="G98" s="1130"/>
      <c r="H98" s="1130"/>
      <c r="I98" s="1130"/>
      <c r="J98" s="1130"/>
      <c r="K98" s="1130"/>
      <c r="L98" s="1130"/>
      <c r="M98" s="1130"/>
      <c r="N98" s="1130"/>
      <c r="O98" s="1130"/>
      <c r="P98" s="1130"/>
      <c r="Q98" s="1130"/>
      <c r="R98" s="1130"/>
      <c r="S98" s="1130"/>
      <c r="T98" s="1130"/>
      <c r="U98" s="1130"/>
      <c r="V98" s="1130"/>
      <c r="W98" s="1130"/>
      <c r="X98" s="1130"/>
      <c r="Y98" s="1130"/>
      <c r="Z98" s="1130"/>
    </row>
    <row r="99" spans="1:26" ht="15.75" customHeight="1">
      <c r="A99" s="1130"/>
      <c r="B99" s="1130"/>
      <c r="C99" s="1130"/>
      <c r="D99" s="1130"/>
      <c r="E99" s="1130"/>
      <c r="F99" s="1130"/>
      <c r="G99" s="1130"/>
      <c r="H99" s="1130"/>
      <c r="I99" s="1130"/>
      <c r="J99" s="1130"/>
      <c r="K99" s="1130"/>
      <c r="L99" s="1130"/>
      <c r="M99" s="1130"/>
      <c r="N99" s="1130"/>
      <c r="O99" s="1130"/>
      <c r="P99" s="1130"/>
      <c r="Q99" s="1130"/>
      <c r="R99" s="1130"/>
      <c r="S99" s="1130"/>
      <c r="T99" s="1130"/>
      <c r="U99" s="1130"/>
      <c r="V99" s="1130"/>
      <c r="W99" s="1130"/>
      <c r="X99" s="1130"/>
      <c r="Y99" s="1130"/>
      <c r="Z99" s="1130"/>
    </row>
    <row r="100" spans="1:26" ht="15.75" customHeight="1">
      <c r="A100" s="1130"/>
      <c r="B100" s="1130"/>
      <c r="C100" s="1130"/>
      <c r="D100" s="1130"/>
      <c r="E100" s="1130"/>
      <c r="F100" s="1130"/>
      <c r="G100" s="1130"/>
      <c r="H100" s="1130"/>
      <c r="I100" s="1130"/>
      <c r="J100" s="1130"/>
      <c r="K100" s="1130"/>
      <c r="L100" s="1130"/>
      <c r="M100" s="1130"/>
      <c r="N100" s="1130"/>
      <c r="O100" s="1130"/>
      <c r="P100" s="1130"/>
      <c r="Q100" s="1130"/>
      <c r="R100" s="1130"/>
      <c r="S100" s="1130"/>
      <c r="T100" s="1130"/>
      <c r="U100" s="1130"/>
      <c r="V100" s="1130"/>
      <c r="W100" s="1130"/>
      <c r="X100" s="1130"/>
      <c r="Y100" s="1130"/>
      <c r="Z100" s="1130"/>
    </row>
    <row r="101" spans="1:26" ht="15.75" customHeight="1">
      <c r="A101" s="1130"/>
      <c r="B101" s="1130"/>
      <c r="C101" s="1130"/>
      <c r="D101" s="1130"/>
      <c r="E101" s="1130"/>
      <c r="F101" s="1130"/>
      <c r="G101" s="1130"/>
      <c r="H101" s="1130"/>
      <c r="I101" s="1130"/>
      <c r="J101" s="1130"/>
      <c r="K101" s="1130"/>
      <c r="L101" s="1130"/>
      <c r="M101" s="1130"/>
      <c r="N101" s="1130"/>
      <c r="O101" s="1130"/>
      <c r="P101" s="1130"/>
      <c r="Q101" s="1130"/>
      <c r="R101" s="1130"/>
      <c r="S101" s="1130"/>
      <c r="T101" s="1130"/>
      <c r="U101" s="1130"/>
      <c r="V101" s="1130"/>
      <c r="W101" s="1130"/>
      <c r="X101" s="1130"/>
      <c r="Y101" s="1130"/>
      <c r="Z101" s="1130"/>
    </row>
    <row r="102" spans="1:26" ht="15.75" customHeight="1">
      <c r="A102" s="1130"/>
      <c r="B102" s="1130"/>
      <c r="C102" s="1130"/>
      <c r="D102" s="1130"/>
      <c r="E102" s="1130"/>
      <c r="F102" s="1130"/>
      <c r="G102" s="1130"/>
      <c r="H102" s="1130"/>
      <c r="I102" s="1130"/>
      <c r="J102" s="1130"/>
      <c r="K102" s="1130"/>
      <c r="L102" s="1130"/>
      <c r="M102" s="1130"/>
      <c r="N102" s="1130"/>
      <c r="O102" s="1130"/>
      <c r="P102" s="1130"/>
      <c r="Q102" s="1130"/>
      <c r="R102" s="1130"/>
      <c r="S102" s="1130"/>
      <c r="T102" s="1130"/>
      <c r="U102" s="1130"/>
      <c r="V102" s="1130"/>
      <c r="W102" s="1130"/>
      <c r="X102" s="1130"/>
      <c r="Y102" s="1130"/>
      <c r="Z102" s="1130"/>
    </row>
    <row r="103" spans="1:26" ht="15.75" customHeight="1">
      <c r="A103" s="1130"/>
      <c r="B103" s="1130"/>
      <c r="C103" s="1130"/>
      <c r="D103" s="1130"/>
      <c r="E103" s="1130"/>
      <c r="F103" s="1130"/>
      <c r="G103" s="1130"/>
      <c r="H103" s="1130"/>
      <c r="I103" s="1130"/>
      <c r="J103" s="1130"/>
      <c r="K103" s="1130"/>
      <c r="L103" s="1130"/>
      <c r="M103" s="1130"/>
      <c r="N103" s="1130"/>
      <c r="O103" s="1130"/>
      <c r="P103" s="1130"/>
      <c r="Q103" s="1130"/>
      <c r="R103" s="1130"/>
      <c r="S103" s="1130"/>
      <c r="T103" s="1130"/>
      <c r="U103" s="1130"/>
      <c r="V103" s="1130"/>
      <c r="W103" s="1130"/>
      <c r="X103" s="1130"/>
      <c r="Y103" s="1130"/>
      <c r="Z103" s="1130"/>
    </row>
    <row r="104" spans="1:26" ht="15.75" customHeight="1">
      <c r="A104" s="1130"/>
      <c r="B104" s="1130"/>
      <c r="C104" s="1130"/>
      <c r="D104" s="1130"/>
      <c r="E104" s="1130"/>
      <c r="F104" s="1130"/>
      <c r="G104" s="1130"/>
      <c r="H104" s="1130"/>
      <c r="I104" s="1130"/>
      <c r="J104" s="1130"/>
      <c r="K104" s="1130"/>
      <c r="L104" s="1130"/>
      <c r="M104" s="1130"/>
      <c r="N104" s="1130"/>
      <c r="O104" s="1130"/>
      <c r="P104" s="1130"/>
      <c r="Q104" s="1130"/>
      <c r="R104" s="1130"/>
      <c r="S104" s="1130"/>
      <c r="T104" s="1130"/>
      <c r="U104" s="1130"/>
      <c r="V104" s="1130"/>
      <c r="W104" s="1130"/>
      <c r="X104" s="1130"/>
      <c r="Y104" s="1130"/>
      <c r="Z104" s="1130"/>
    </row>
    <row r="105" spans="1:26" ht="15.75" customHeight="1">
      <c r="A105" s="1130"/>
      <c r="B105" s="1130"/>
      <c r="C105" s="1130"/>
      <c r="D105" s="1130"/>
      <c r="E105" s="1130"/>
      <c r="F105" s="1130"/>
      <c r="G105" s="1130"/>
      <c r="H105" s="1130"/>
      <c r="I105" s="1130"/>
      <c r="J105" s="1130"/>
      <c r="K105" s="1130"/>
      <c r="L105" s="1130"/>
      <c r="M105" s="1130"/>
      <c r="N105" s="1130"/>
      <c r="O105" s="1130"/>
      <c r="P105" s="1130"/>
      <c r="Q105" s="1130"/>
      <c r="R105" s="1130"/>
      <c r="S105" s="1130"/>
      <c r="T105" s="1130"/>
      <c r="U105" s="1130"/>
      <c r="V105" s="1130"/>
      <c r="W105" s="1130"/>
      <c r="X105" s="1130"/>
      <c r="Y105" s="1130"/>
      <c r="Z105" s="1130"/>
    </row>
    <row r="106" spans="1:26" ht="15.75" customHeight="1">
      <c r="A106" s="1130"/>
      <c r="B106" s="1130"/>
      <c r="C106" s="1130"/>
      <c r="D106" s="1130"/>
      <c r="E106" s="1130"/>
      <c r="F106" s="1130"/>
      <c r="G106" s="1130"/>
      <c r="H106" s="1130"/>
      <c r="I106" s="1130"/>
      <c r="J106" s="1130"/>
      <c r="K106" s="1130"/>
      <c r="L106" s="1130"/>
      <c r="M106" s="1130"/>
      <c r="N106" s="1130"/>
      <c r="O106" s="1130"/>
      <c r="P106" s="1130"/>
      <c r="Q106" s="1130"/>
      <c r="R106" s="1130"/>
      <c r="S106" s="1130"/>
      <c r="T106" s="1130"/>
      <c r="U106" s="1130"/>
      <c r="V106" s="1130"/>
      <c r="W106" s="1130"/>
      <c r="X106" s="1130"/>
      <c r="Y106" s="1130"/>
      <c r="Z106" s="1130"/>
    </row>
    <row r="107" spans="1:26" ht="15.75" customHeight="1">
      <c r="A107" s="1130"/>
      <c r="B107" s="1130"/>
      <c r="C107" s="1130"/>
      <c r="D107" s="1130"/>
      <c r="E107" s="1130"/>
      <c r="F107" s="1130"/>
      <c r="G107" s="1130"/>
      <c r="H107" s="1130"/>
      <c r="I107" s="1130"/>
      <c r="J107" s="1130"/>
      <c r="K107" s="1130"/>
      <c r="L107" s="1130"/>
      <c r="M107" s="1130"/>
      <c r="N107" s="1130"/>
      <c r="O107" s="1130"/>
      <c r="P107" s="1130"/>
      <c r="Q107" s="1130"/>
      <c r="R107" s="1130"/>
      <c r="S107" s="1130"/>
      <c r="T107" s="1130"/>
      <c r="U107" s="1130"/>
      <c r="V107" s="1130"/>
      <c r="W107" s="1130"/>
      <c r="X107" s="1130"/>
      <c r="Y107" s="1130"/>
      <c r="Z107" s="1130"/>
    </row>
    <row r="108" spans="1:26" ht="15.75" customHeight="1">
      <c r="A108" s="1130"/>
      <c r="B108" s="1130"/>
      <c r="C108" s="1130"/>
      <c r="D108" s="1130"/>
      <c r="E108" s="1130"/>
      <c r="F108" s="1130"/>
      <c r="G108" s="1130"/>
      <c r="H108" s="1130"/>
      <c r="I108" s="1130"/>
      <c r="J108" s="1130"/>
      <c r="K108" s="1130"/>
      <c r="L108" s="1130"/>
      <c r="M108" s="1130"/>
      <c r="N108" s="1130"/>
      <c r="O108" s="1130"/>
      <c r="P108" s="1130"/>
      <c r="Q108" s="1130"/>
      <c r="R108" s="1130"/>
      <c r="S108" s="1130"/>
      <c r="T108" s="1130"/>
      <c r="U108" s="1130"/>
      <c r="V108" s="1130"/>
      <c r="W108" s="1130"/>
      <c r="X108" s="1130"/>
      <c r="Y108" s="1130"/>
      <c r="Z108" s="1130"/>
    </row>
    <row r="109" spans="1:26" ht="15.75" customHeight="1">
      <c r="A109" s="1130"/>
      <c r="B109" s="1130"/>
      <c r="C109" s="1130"/>
      <c r="D109" s="1130"/>
      <c r="E109" s="1130"/>
      <c r="F109" s="1130"/>
      <c r="G109" s="1130"/>
      <c r="H109" s="1130"/>
      <c r="I109" s="1130"/>
      <c r="J109" s="1130"/>
      <c r="K109" s="1130"/>
      <c r="L109" s="1130"/>
      <c r="M109" s="1130"/>
      <c r="N109" s="1130"/>
      <c r="O109" s="1130"/>
      <c r="P109" s="1130"/>
      <c r="Q109" s="1130"/>
      <c r="R109" s="1130"/>
      <c r="S109" s="1130"/>
      <c r="T109" s="1130"/>
      <c r="U109" s="1130"/>
      <c r="V109" s="1130"/>
      <c r="W109" s="1130"/>
      <c r="X109" s="1130"/>
      <c r="Y109" s="1130"/>
      <c r="Z109" s="1130"/>
    </row>
    <row r="110" spans="1:26" ht="15.75" customHeight="1">
      <c r="A110" s="1130"/>
      <c r="B110" s="1130"/>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0"/>
      <c r="Z110" s="1130"/>
    </row>
    <row r="111" spans="1:26" ht="15.75" customHeight="1">
      <c r="A111" s="1130"/>
      <c r="B111" s="1130"/>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0"/>
      <c r="Z111" s="1130"/>
    </row>
    <row r="112" spans="1:26" ht="15.75" customHeight="1">
      <c r="A112" s="1130"/>
      <c r="B112" s="1130"/>
      <c r="C112" s="1130"/>
      <c r="D112" s="1130"/>
      <c r="E112" s="1130"/>
      <c r="F112" s="1130"/>
      <c r="G112" s="1130"/>
      <c r="H112" s="1130"/>
      <c r="I112" s="1130"/>
      <c r="J112" s="1130"/>
      <c r="K112" s="1130"/>
      <c r="L112" s="1130"/>
      <c r="M112" s="1130"/>
      <c r="N112" s="1130"/>
      <c r="O112" s="1130"/>
      <c r="P112" s="1130"/>
      <c r="Q112" s="1130"/>
      <c r="R112" s="1130"/>
      <c r="S112" s="1130"/>
      <c r="T112" s="1130"/>
      <c r="U112" s="1130"/>
      <c r="V112" s="1130"/>
      <c r="W112" s="1130"/>
      <c r="X112" s="1130"/>
      <c r="Y112" s="1130"/>
      <c r="Z112" s="1130"/>
    </row>
    <row r="113" spans="1:26" ht="15.75" customHeight="1">
      <c r="A113" s="1130"/>
      <c r="B113" s="1130"/>
      <c r="C113" s="1130"/>
      <c r="D113" s="1130"/>
      <c r="E113" s="1130"/>
      <c r="F113" s="1130"/>
      <c r="G113" s="1130"/>
      <c r="H113" s="1130"/>
      <c r="I113" s="1130"/>
      <c r="J113" s="1130"/>
      <c r="K113" s="1130"/>
      <c r="L113" s="1130"/>
      <c r="M113" s="1130"/>
      <c r="N113" s="1130"/>
      <c r="O113" s="1130"/>
      <c r="P113" s="1130"/>
      <c r="Q113" s="1130"/>
      <c r="R113" s="1130"/>
      <c r="S113" s="1130"/>
      <c r="T113" s="1130"/>
      <c r="U113" s="1130"/>
      <c r="V113" s="1130"/>
      <c r="W113" s="1130"/>
      <c r="X113" s="1130"/>
      <c r="Y113" s="1130"/>
      <c r="Z113" s="1130"/>
    </row>
    <row r="114" spans="1:26" ht="15.75" customHeight="1">
      <c r="A114" s="1130"/>
      <c r="B114" s="1130"/>
      <c r="C114" s="1130"/>
      <c r="D114" s="1130"/>
      <c r="E114" s="1130"/>
      <c r="F114" s="1130"/>
      <c r="G114" s="1130"/>
      <c r="H114" s="1130"/>
      <c r="I114" s="1130"/>
      <c r="J114" s="1130"/>
      <c r="K114" s="1130"/>
      <c r="L114" s="1130"/>
      <c r="M114" s="1130"/>
      <c r="N114" s="1130"/>
      <c r="O114" s="1130"/>
      <c r="P114" s="1130"/>
      <c r="Q114" s="1130"/>
      <c r="R114" s="1130"/>
      <c r="S114" s="1130"/>
      <c r="T114" s="1130"/>
      <c r="U114" s="1130"/>
      <c r="V114" s="1130"/>
      <c r="W114" s="1130"/>
      <c r="X114" s="1130"/>
      <c r="Y114" s="1130"/>
      <c r="Z114" s="1130"/>
    </row>
    <row r="115" spans="1:26" ht="15.75" customHeight="1">
      <c r="A115" s="1130"/>
      <c r="B115" s="1130"/>
      <c r="C115" s="1130"/>
      <c r="D115" s="1130"/>
      <c r="E115" s="1130"/>
      <c r="F115" s="1130"/>
      <c r="G115" s="1130"/>
      <c r="H115" s="1130"/>
      <c r="I115" s="1130"/>
      <c r="J115" s="1130"/>
      <c r="K115" s="1130"/>
      <c r="L115" s="1130"/>
      <c r="M115" s="1130"/>
      <c r="N115" s="1130"/>
      <c r="O115" s="1130"/>
      <c r="P115" s="1130"/>
      <c r="Q115" s="1130"/>
      <c r="R115" s="1130"/>
      <c r="S115" s="1130"/>
      <c r="T115" s="1130"/>
      <c r="U115" s="1130"/>
      <c r="V115" s="1130"/>
      <c r="W115" s="1130"/>
      <c r="X115" s="1130"/>
      <c r="Y115" s="1130"/>
      <c r="Z115" s="1130"/>
    </row>
    <row r="116" spans="1:26" ht="15.75" customHeight="1">
      <c r="A116" s="1130"/>
      <c r="B116" s="1130"/>
      <c r="C116" s="1130"/>
      <c r="D116" s="1130"/>
      <c r="E116" s="1130"/>
      <c r="F116" s="1130"/>
      <c r="G116" s="1130"/>
      <c r="H116" s="1130"/>
      <c r="I116" s="1130"/>
      <c r="J116" s="1130"/>
      <c r="K116" s="1130"/>
      <c r="L116" s="1130"/>
      <c r="M116" s="1130"/>
      <c r="N116" s="1130"/>
      <c r="O116" s="1130"/>
      <c r="P116" s="1130"/>
      <c r="Q116" s="1130"/>
      <c r="R116" s="1130"/>
      <c r="S116" s="1130"/>
      <c r="T116" s="1130"/>
      <c r="U116" s="1130"/>
      <c r="V116" s="1130"/>
      <c r="W116" s="1130"/>
      <c r="X116" s="1130"/>
      <c r="Y116" s="1130"/>
      <c r="Z116" s="1130"/>
    </row>
    <row r="117" spans="1:26" ht="15.75" customHeight="1">
      <c r="A117" s="1130"/>
      <c r="B117" s="1130"/>
      <c r="C117" s="1130"/>
      <c r="D117" s="1130"/>
      <c r="E117" s="1130"/>
      <c r="F117" s="1130"/>
      <c r="G117" s="1130"/>
      <c r="H117" s="1130"/>
      <c r="I117" s="1130"/>
      <c r="J117" s="1130"/>
      <c r="K117" s="1130"/>
      <c r="L117" s="1130"/>
      <c r="M117" s="1130"/>
      <c r="N117" s="1130"/>
      <c r="O117" s="1130"/>
      <c r="P117" s="1130"/>
      <c r="Q117" s="1130"/>
      <c r="R117" s="1130"/>
      <c r="S117" s="1130"/>
      <c r="T117" s="1130"/>
      <c r="U117" s="1130"/>
      <c r="V117" s="1130"/>
      <c r="W117" s="1130"/>
      <c r="X117" s="1130"/>
      <c r="Y117" s="1130"/>
      <c r="Z117" s="1130"/>
    </row>
    <row r="118" spans="1:26" ht="15.75" customHeight="1">
      <c r="A118" s="1130"/>
      <c r="B118" s="1130"/>
      <c r="C118" s="1130"/>
      <c r="D118" s="1130"/>
      <c r="E118" s="1130"/>
      <c r="F118" s="1130"/>
      <c r="G118" s="1130"/>
      <c r="H118" s="1130"/>
      <c r="I118" s="1130"/>
      <c r="J118" s="1130"/>
      <c r="K118" s="1130"/>
      <c r="L118" s="1130"/>
      <c r="M118" s="1130"/>
      <c r="N118" s="1130"/>
      <c r="O118" s="1130"/>
      <c r="P118" s="1130"/>
      <c r="Q118" s="1130"/>
      <c r="R118" s="1130"/>
      <c r="S118" s="1130"/>
      <c r="T118" s="1130"/>
      <c r="U118" s="1130"/>
      <c r="V118" s="1130"/>
      <c r="W118" s="1130"/>
      <c r="X118" s="1130"/>
      <c r="Y118" s="1130"/>
      <c r="Z118" s="1130"/>
    </row>
    <row r="119" spans="1:26" ht="15.75" customHeight="1">
      <c r="A119" s="1130"/>
      <c r="B119" s="1130"/>
      <c r="C119" s="1130"/>
      <c r="D119" s="1130"/>
      <c r="E119" s="1130"/>
      <c r="F119" s="1130"/>
      <c r="G119" s="1130"/>
      <c r="H119" s="1130"/>
      <c r="I119" s="1130"/>
      <c r="J119" s="1130"/>
      <c r="K119" s="1130"/>
      <c r="L119" s="1130"/>
      <c r="M119" s="1130"/>
      <c r="N119" s="1130"/>
      <c r="O119" s="1130"/>
      <c r="P119" s="1130"/>
      <c r="Q119" s="1130"/>
      <c r="R119" s="1130"/>
      <c r="S119" s="1130"/>
      <c r="T119" s="1130"/>
      <c r="U119" s="1130"/>
      <c r="V119" s="1130"/>
      <c r="W119" s="1130"/>
      <c r="X119" s="1130"/>
      <c r="Y119" s="1130"/>
      <c r="Z119" s="1130"/>
    </row>
    <row r="120" spans="1:26" ht="15.75" customHeight="1">
      <c r="A120" s="1130"/>
      <c r="B120" s="1130"/>
      <c r="C120" s="1130"/>
      <c r="D120" s="1130"/>
      <c r="E120" s="1130"/>
      <c r="F120" s="1130"/>
      <c r="G120" s="1130"/>
      <c r="H120" s="1130"/>
      <c r="I120" s="1130"/>
      <c r="J120" s="1130"/>
      <c r="K120" s="1130"/>
      <c r="L120" s="1130"/>
      <c r="M120" s="1130"/>
      <c r="N120" s="1130"/>
      <c r="O120" s="1130"/>
      <c r="P120" s="1130"/>
      <c r="Q120" s="1130"/>
      <c r="R120" s="1130"/>
      <c r="S120" s="1130"/>
      <c r="T120" s="1130"/>
      <c r="U120" s="1130"/>
      <c r="V120" s="1130"/>
      <c r="W120" s="1130"/>
      <c r="X120" s="1130"/>
      <c r="Y120" s="1130"/>
      <c r="Z120" s="1130"/>
    </row>
    <row r="121" spans="1:26" ht="15.75" customHeight="1">
      <c r="A121" s="1130"/>
      <c r="B121" s="1130"/>
      <c r="C121" s="1130"/>
      <c r="D121" s="1130"/>
      <c r="E121" s="1130"/>
      <c r="F121" s="1130"/>
      <c r="G121" s="1130"/>
      <c r="H121" s="1130"/>
      <c r="I121" s="1130"/>
      <c r="J121" s="1130"/>
      <c r="K121" s="1130"/>
      <c r="L121" s="1130"/>
      <c r="M121" s="1130"/>
      <c r="N121" s="1130"/>
      <c r="O121" s="1130"/>
      <c r="P121" s="1130"/>
      <c r="Q121" s="1130"/>
      <c r="R121" s="1130"/>
      <c r="S121" s="1130"/>
      <c r="T121" s="1130"/>
      <c r="U121" s="1130"/>
      <c r="V121" s="1130"/>
      <c r="W121" s="1130"/>
      <c r="X121" s="1130"/>
      <c r="Y121" s="1130"/>
      <c r="Z121" s="1130"/>
    </row>
    <row r="122" spans="1:26" ht="15.75" customHeight="1">
      <c r="A122" s="1130"/>
      <c r="B122" s="1130"/>
      <c r="C122" s="1130"/>
      <c r="D122" s="1130"/>
      <c r="E122" s="1130"/>
      <c r="F122" s="1130"/>
      <c r="G122" s="1130"/>
      <c r="H122" s="1130"/>
      <c r="I122" s="1130"/>
      <c r="J122" s="1130"/>
      <c r="K122" s="1130"/>
      <c r="L122" s="1130"/>
      <c r="M122" s="1130"/>
      <c r="N122" s="1130"/>
      <c r="O122" s="1130"/>
      <c r="P122" s="1130"/>
      <c r="Q122" s="1130"/>
      <c r="R122" s="1130"/>
      <c r="S122" s="1130"/>
      <c r="T122" s="1130"/>
      <c r="U122" s="1130"/>
      <c r="V122" s="1130"/>
      <c r="W122" s="1130"/>
      <c r="X122" s="1130"/>
      <c r="Y122" s="1130"/>
      <c r="Z122" s="1130"/>
    </row>
    <row r="123" spans="1:26" ht="15.75" customHeight="1">
      <c r="A123" s="1130"/>
      <c r="B123" s="1130"/>
      <c r="C123" s="1130"/>
      <c r="D123" s="1130"/>
      <c r="E123" s="1130"/>
      <c r="F123" s="1130"/>
      <c r="G123" s="1130"/>
      <c r="H123" s="1130"/>
      <c r="I123" s="1130"/>
      <c r="J123" s="1130"/>
      <c r="K123" s="1130"/>
      <c r="L123" s="1130"/>
      <c r="M123" s="1130"/>
      <c r="N123" s="1130"/>
      <c r="O123" s="1130"/>
      <c r="P123" s="1130"/>
      <c r="Q123" s="1130"/>
      <c r="R123" s="1130"/>
      <c r="S123" s="1130"/>
      <c r="T123" s="1130"/>
      <c r="U123" s="1130"/>
      <c r="V123" s="1130"/>
      <c r="W123" s="1130"/>
      <c r="X123" s="1130"/>
      <c r="Y123" s="1130"/>
      <c r="Z123" s="1130"/>
    </row>
    <row r="124" spans="1:26" ht="15.75" customHeight="1">
      <c r="A124" s="1130"/>
      <c r="B124" s="1130"/>
      <c r="C124" s="1130"/>
      <c r="D124" s="1130"/>
      <c r="E124" s="1130"/>
      <c r="F124" s="1130"/>
      <c r="G124" s="1130"/>
      <c r="H124" s="1130"/>
      <c r="I124" s="1130"/>
      <c r="J124" s="1130"/>
      <c r="K124" s="1130"/>
      <c r="L124" s="1130"/>
      <c r="M124" s="1130"/>
      <c r="N124" s="1130"/>
      <c r="O124" s="1130"/>
      <c r="P124" s="1130"/>
      <c r="Q124" s="1130"/>
      <c r="R124" s="1130"/>
      <c r="S124" s="1130"/>
      <c r="T124" s="1130"/>
      <c r="U124" s="1130"/>
      <c r="V124" s="1130"/>
      <c r="W124" s="1130"/>
      <c r="X124" s="1130"/>
      <c r="Y124" s="1130"/>
      <c r="Z124" s="1130"/>
    </row>
    <row r="125" spans="1:26" ht="15.75" customHeight="1">
      <c r="A125" s="1130"/>
      <c r="B125" s="1130"/>
      <c r="C125" s="1130"/>
      <c r="D125" s="1130"/>
      <c r="E125" s="1130"/>
      <c r="F125" s="1130"/>
      <c r="G125" s="1130"/>
      <c r="H125" s="1130"/>
      <c r="I125" s="1130"/>
      <c r="J125" s="1130"/>
      <c r="K125" s="1130"/>
      <c r="L125" s="1130"/>
      <c r="M125" s="1130"/>
      <c r="N125" s="1130"/>
      <c r="O125" s="1130"/>
      <c r="P125" s="1130"/>
      <c r="Q125" s="1130"/>
      <c r="R125" s="1130"/>
      <c r="S125" s="1130"/>
      <c r="T125" s="1130"/>
      <c r="U125" s="1130"/>
      <c r="V125" s="1130"/>
      <c r="W125" s="1130"/>
      <c r="X125" s="1130"/>
      <c r="Y125" s="1130"/>
      <c r="Z125" s="1130"/>
    </row>
    <row r="126" spans="1:26" ht="15.75" customHeight="1">
      <c r="A126" s="1130"/>
      <c r="B126" s="1130"/>
      <c r="C126" s="1130"/>
      <c r="D126" s="1130"/>
      <c r="E126" s="1130"/>
      <c r="F126" s="1130"/>
      <c r="G126" s="1130"/>
      <c r="H126" s="1130"/>
      <c r="I126" s="1130"/>
      <c r="J126" s="1130"/>
      <c r="K126" s="1130"/>
      <c r="L126" s="1130"/>
      <c r="M126" s="1130"/>
      <c r="N126" s="1130"/>
      <c r="O126" s="1130"/>
      <c r="P126" s="1130"/>
      <c r="Q126" s="1130"/>
      <c r="R126" s="1130"/>
      <c r="S126" s="1130"/>
      <c r="T126" s="1130"/>
      <c r="U126" s="1130"/>
      <c r="V126" s="1130"/>
      <c r="W126" s="1130"/>
      <c r="X126" s="1130"/>
      <c r="Y126" s="1130"/>
      <c r="Z126" s="1130"/>
    </row>
    <row r="127" spans="1:26" ht="15.75" customHeight="1">
      <c r="A127" s="1130"/>
      <c r="B127" s="1130"/>
      <c r="C127" s="1130"/>
      <c r="D127" s="1130"/>
      <c r="E127" s="1130"/>
      <c r="F127" s="1130"/>
      <c r="G127" s="1130"/>
      <c r="H127" s="1130"/>
      <c r="I127" s="1130"/>
      <c r="J127" s="1130"/>
      <c r="K127" s="1130"/>
      <c r="L127" s="1130"/>
      <c r="M127" s="1130"/>
      <c r="N127" s="1130"/>
      <c r="O127" s="1130"/>
      <c r="P127" s="1130"/>
      <c r="Q127" s="1130"/>
      <c r="R127" s="1130"/>
      <c r="S127" s="1130"/>
      <c r="T127" s="1130"/>
      <c r="U127" s="1130"/>
      <c r="V127" s="1130"/>
      <c r="W127" s="1130"/>
      <c r="X127" s="1130"/>
      <c r="Y127" s="1130"/>
      <c r="Z127" s="1130"/>
    </row>
    <row r="128" spans="1:26" ht="15.75" customHeight="1">
      <c r="A128" s="1130"/>
      <c r="B128" s="1130"/>
      <c r="C128" s="1130"/>
      <c r="D128" s="1130"/>
      <c r="E128" s="1130"/>
      <c r="F128" s="1130"/>
      <c r="G128" s="1130"/>
      <c r="H128" s="1130"/>
      <c r="I128" s="1130"/>
      <c r="J128" s="1130"/>
      <c r="K128" s="1130"/>
      <c r="L128" s="1130"/>
      <c r="M128" s="1130"/>
      <c r="N128" s="1130"/>
      <c r="O128" s="1130"/>
      <c r="P128" s="1130"/>
      <c r="Q128" s="1130"/>
      <c r="R128" s="1130"/>
      <c r="S128" s="1130"/>
      <c r="T128" s="1130"/>
      <c r="U128" s="1130"/>
      <c r="V128" s="1130"/>
      <c r="W128" s="1130"/>
      <c r="X128" s="1130"/>
      <c r="Y128" s="1130"/>
      <c r="Z128" s="1130"/>
    </row>
    <row r="129" spans="1:26" ht="15.75" customHeight="1">
      <c r="A129" s="1130"/>
      <c r="B129" s="1130"/>
      <c r="C129" s="1130"/>
      <c r="D129" s="1130"/>
      <c r="E129" s="1130"/>
      <c r="F129" s="1130"/>
      <c r="G129" s="1130"/>
      <c r="H129" s="1130"/>
      <c r="I129" s="1130"/>
      <c r="J129" s="1130"/>
      <c r="K129" s="1130"/>
      <c r="L129" s="1130"/>
      <c r="M129" s="1130"/>
      <c r="N129" s="1130"/>
      <c r="O129" s="1130"/>
      <c r="P129" s="1130"/>
      <c r="Q129" s="1130"/>
      <c r="R129" s="1130"/>
      <c r="S129" s="1130"/>
      <c r="T129" s="1130"/>
      <c r="U129" s="1130"/>
      <c r="V129" s="1130"/>
      <c r="W129" s="1130"/>
      <c r="X129" s="1130"/>
      <c r="Y129" s="1130"/>
      <c r="Z129" s="1130"/>
    </row>
    <row r="130" spans="1:26" ht="15.75" customHeight="1">
      <c r="A130" s="1130"/>
      <c r="B130" s="1130"/>
      <c r="C130" s="1130"/>
      <c r="D130" s="1130"/>
      <c r="E130" s="1130"/>
      <c r="F130" s="1130"/>
      <c r="G130" s="1130"/>
      <c r="H130" s="1130"/>
      <c r="I130" s="1130"/>
      <c r="J130" s="1130"/>
      <c r="K130" s="1130"/>
      <c r="L130" s="1130"/>
      <c r="M130" s="1130"/>
      <c r="N130" s="1130"/>
      <c r="O130" s="1130"/>
      <c r="P130" s="1130"/>
      <c r="Q130" s="1130"/>
      <c r="R130" s="1130"/>
      <c r="S130" s="1130"/>
      <c r="T130" s="1130"/>
      <c r="U130" s="1130"/>
      <c r="V130" s="1130"/>
      <c r="W130" s="1130"/>
      <c r="X130" s="1130"/>
      <c r="Y130" s="1130"/>
      <c r="Z130" s="1130"/>
    </row>
    <row r="131" spans="1:26" ht="15.75" customHeight="1">
      <c r="A131" s="1130"/>
      <c r="B131" s="1130"/>
      <c r="C131" s="1130"/>
      <c r="D131" s="1130"/>
      <c r="E131" s="1130"/>
      <c r="F131" s="1130"/>
      <c r="G131" s="1130"/>
      <c r="H131" s="1130"/>
      <c r="I131" s="1130"/>
      <c r="J131" s="1130"/>
      <c r="K131" s="1130"/>
      <c r="L131" s="1130"/>
      <c r="M131" s="1130"/>
      <c r="N131" s="1130"/>
      <c r="O131" s="1130"/>
      <c r="P131" s="1130"/>
      <c r="Q131" s="1130"/>
      <c r="R131" s="1130"/>
      <c r="S131" s="1130"/>
      <c r="T131" s="1130"/>
      <c r="U131" s="1130"/>
      <c r="V131" s="1130"/>
      <c r="W131" s="1130"/>
      <c r="X131" s="1130"/>
      <c r="Y131" s="1130"/>
      <c r="Z131" s="1130"/>
    </row>
    <row r="132" spans="1:26" ht="15.75" customHeight="1">
      <c r="A132" s="1130"/>
      <c r="B132" s="1130"/>
      <c r="C132" s="1130"/>
      <c r="D132" s="1130"/>
      <c r="E132" s="1130"/>
      <c r="F132" s="1130"/>
      <c r="G132" s="1130"/>
      <c r="H132" s="1130"/>
      <c r="I132" s="1130"/>
      <c r="J132" s="1130"/>
      <c r="K132" s="1130"/>
      <c r="L132" s="1130"/>
      <c r="M132" s="1130"/>
      <c r="N132" s="1130"/>
      <c r="O132" s="1130"/>
      <c r="P132" s="1130"/>
      <c r="Q132" s="1130"/>
      <c r="R132" s="1130"/>
      <c r="S132" s="1130"/>
      <c r="T132" s="1130"/>
      <c r="U132" s="1130"/>
      <c r="V132" s="1130"/>
      <c r="W132" s="1130"/>
      <c r="X132" s="1130"/>
      <c r="Y132" s="1130"/>
      <c r="Z132" s="1130"/>
    </row>
    <row r="133" spans="1:26" ht="15.75" customHeight="1">
      <c r="A133" s="1130"/>
      <c r="B133" s="1130"/>
      <c r="C133" s="1130"/>
      <c r="D133" s="1130"/>
      <c r="E133" s="1130"/>
      <c r="F133" s="1130"/>
      <c r="G133" s="1130"/>
      <c r="H133" s="1130"/>
      <c r="I133" s="1130"/>
      <c r="J133" s="1130"/>
      <c r="K133" s="1130"/>
      <c r="L133" s="1130"/>
      <c r="M133" s="1130"/>
      <c r="N133" s="1130"/>
      <c r="O133" s="1130"/>
      <c r="P133" s="1130"/>
      <c r="Q133" s="1130"/>
      <c r="R133" s="1130"/>
      <c r="S133" s="1130"/>
      <c r="T133" s="1130"/>
      <c r="U133" s="1130"/>
      <c r="V133" s="1130"/>
      <c r="W133" s="1130"/>
      <c r="X133" s="1130"/>
      <c r="Y133" s="1130"/>
      <c r="Z133" s="1130"/>
    </row>
    <row r="134" spans="1:26" ht="15.75" customHeight="1">
      <c r="A134" s="1130"/>
      <c r="B134" s="1130"/>
      <c r="C134" s="1130"/>
      <c r="D134" s="1130"/>
      <c r="E134" s="1130"/>
      <c r="F134" s="1130"/>
      <c r="G134" s="1130"/>
      <c r="H134" s="1130"/>
      <c r="I134" s="1130"/>
      <c r="J134" s="1130"/>
      <c r="K134" s="1130"/>
      <c r="L134" s="1130"/>
      <c r="M134" s="1130"/>
      <c r="N134" s="1130"/>
      <c r="O134" s="1130"/>
      <c r="P134" s="1130"/>
      <c r="Q134" s="1130"/>
      <c r="R134" s="1130"/>
      <c r="S134" s="1130"/>
      <c r="T134" s="1130"/>
      <c r="U134" s="1130"/>
      <c r="V134" s="1130"/>
      <c r="W134" s="1130"/>
      <c r="X134" s="1130"/>
      <c r="Y134" s="1130"/>
      <c r="Z134" s="1130"/>
    </row>
    <row r="135" spans="1:26" ht="15.75" customHeight="1">
      <c r="A135" s="1130"/>
      <c r="B135" s="1130"/>
      <c r="C135" s="1130"/>
      <c r="D135" s="1130"/>
      <c r="E135" s="1130"/>
      <c r="F135" s="1130"/>
      <c r="G135" s="1130"/>
      <c r="H135" s="1130"/>
      <c r="I135" s="1130"/>
      <c r="J135" s="1130"/>
      <c r="K135" s="1130"/>
      <c r="L135" s="1130"/>
      <c r="M135" s="1130"/>
      <c r="N135" s="1130"/>
      <c r="O135" s="1130"/>
      <c r="P135" s="1130"/>
      <c r="Q135" s="1130"/>
      <c r="R135" s="1130"/>
      <c r="S135" s="1130"/>
      <c r="T135" s="1130"/>
      <c r="U135" s="1130"/>
      <c r="V135" s="1130"/>
      <c r="W135" s="1130"/>
      <c r="X135" s="1130"/>
      <c r="Y135" s="1130"/>
      <c r="Z135" s="1130"/>
    </row>
    <row r="136" spans="1:26" ht="15.75" customHeight="1">
      <c r="A136" s="1130"/>
      <c r="B136" s="1130"/>
      <c r="C136" s="1130"/>
      <c r="D136" s="1130"/>
      <c r="E136" s="1130"/>
      <c r="F136" s="1130"/>
      <c r="G136" s="1130"/>
      <c r="H136" s="1130"/>
      <c r="I136" s="1130"/>
      <c r="J136" s="1130"/>
      <c r="K136" s="1130"/>
      <c r="L136" s="1130"/>
      <c r="M136" s="1130"/>
      <c r="N136" s="1130"/>
      <c r="O136" s="1130"/>
      <c r="P136" s="1130"/>
      <c r="Q136" s="1130"/>
      <c r="R136" s="1130"/>
      <c r="S136" s="1130"/>
      <c r="T136" s="1130"/>
      <c r="U136" s="1130"/>
      <c r="V136" s="1130"/>
      <c r="W136" s="1130"/>
      <c r="X136" s="1130"/>
      <c r="Y136" s="1130"/>
      <c r="Z136" s="1130"/>
    </row>
    <row r="137" spans="1:26" ht="15.75" customHeight="1">
      <c r="A137" s="1130"/>
      <c r="B137" s="1130"/>
      <c r="C137" s="1130"/>
      <c r="D137" s="1130"/>
      <c r="E137" s="1130"/>
      <c r="F137" s="1130"/>
      <c r="G137" s="1130"/>
      <c r="H137" s="1130"/>
      <c r="I137" s="1130"/>
      <c r="J137" s="1130"/>
      <c r="K137" s="1130"/>
      <c r="L137" s="1130"/>
      <c r="M137" s="1130"/>
      <c r="N137" s="1130"/>
      <c r="O137" s="1130"/>
      <c r="P137" s="1130"/>
      <c r="Q137" s="1130"/>
      <c r="R137" s="1130"/>
      <c r="S137" s="1130"/>
      <c r="T137" s="1130"/>
      <c r="U137" s="1130"/>
      <c r="V137" s="1130"/>
      <c r="W137" s="1130"/>
      <c r="X137" s="1130"/>
      <c r="Y137" s="1130"/>
      <c r="Z137" s="1130"/>
    </row>
    <row r="138" spans="1:26" ht="15.75" customHeight="1">
      <c r="A138" s="1130"/>
      <c r="B138" s="1130"/>
      <c r="C138" s="1130"/>
      <c r="D138" s="1130"/>
      <c r="E138" s="1130"/>
      <c r="F138" s="1130"/>
      <c r="G138" s="1130"/>
      <c r="H138" s="1130"/>
      <c r="I138" s="1130"/>
      <c r="J138" s="1130"/>
      <c r="K138" s="1130"/>
      <c r="L138" s="1130"/>
      <c r="M138" s="1130"/>
      <c r="N138" s="1130"/>
      <c r="O138" s="1130"/>
      <c r="P138" s="1130"/>
      <c r="Q138" s="1130"/>
      <c r="R138" s="1130"/>
      <c r="S138" s="1130"/>
      <c r="T138" s="1130"/>
      <c r="U138" s="1130"/>
      <c r="V138" s="1130"/>
      <c r="W138" s="1130"/>
      <c r="X138" s="1130"/>
      <c r="Y138" s="1130"/>
      <c r="Z138" s="1130"/>
    </row>
    <row r="139" spans="1:26" ht="15.75" customHeight="1">
      <c r="A139" s="1130"/>
      <c r="B139" s="1130"/>
      <c r="C139" s="1130"/>
      <c r="D139" s="1130"/>
      <c r="E139" s="1130"/>
      <c r="F139" s="1130"/>
      <c r="G139" s="1130"/>
      <c r="H139" s="1130"/>
      <c r="I139" s="1130"/>
      <c r="J139" s="1130"/>
      <c r="K139" s="1130"/>
      <c r="L139" s="1130"/>
      <c r="M139" s="1130"/>
      <c r="N139" s="1130"/>
      <c r="O139" s="1130"/>
      <c r="P139" s="1130"/>
      <c r="Q139" s="1130"/>
      <c r="R139" s="1130"/>
      <c r="S139" s="1130"/>
      <c r="T139" s="1130"/>
      <c r="U139" s="1130"/>
      <c r="V139" s="1130"/>
      <c r="W139" s="1130"/>
      <c r="X139" s="1130"/>
      <c r="Y139" s="1130"/>
      <c r="Z139" s="1130"/>
    </row>
    <row r="140" spans="1:26" ht="15.75" customHeight="1">
      <c r="A140" s="1130"/>
      <c r="B140" s="1130"/>
      <c r="C140" s="1130"/>
      <c r="D140" s="1130"/>
      <c r="E140" s="1130"/>
      <c r="F140" s="1130"/>
      <c r="G140" s="1130"/>
      <c r="H140" s="1130"/>
      <c r="I140" s="1130"/>
      <c r="J140" s="1130"/>
      <c r="K140" s="1130"/>
      <c r="L140" s="1130"/>
      <c r="M140" s="1130"/>
      <c r="N140" s="1130"/>
      <c r="O140" s="1130"/>
      <c r="P140" s="1130"/>
      <c r="Q140" s="1130"/>
      <c r="R140" s="1130"/>
      <c r="S140" s="1130"/>
      <c r="T140" s="1130"/>
      <c r="U140" s="1130"/>
      <c r="V140" s="1130"/>
      <c r="W140" s="1130"/>
      <c r="X140" s="1130"/>
      <c r="Y140" s="1130"/>
      <c r="Z140" s="1130"/>
    </row>
    <row r="141" spans="1:26" ht="15.75" customHeight="1">
      <c r="A141" s="1130"/>
      <c r="B141" s="1130"/>
      <c r="C141" s="1130"/>
      <c r="D141" s="1130"/>
      <c r="E141" s="1130"/>
      <c r="F141" s="1130"/>
      <c r="G141" s="1130"/>
      <c r="H141" s="1130"/>
      <c r="I141" s="1130"/>
      <c r="J141" s="1130"/>
      <c r="K141" s="1130"/>
      <c r="L141" s="1130"/>
      <c r="M141" s="1130"/>
      <c r="N141" s="1130"/>
      <c r="O141" s="1130"/>
      <c r="P141" s="1130"/>
      <c r="Q141" s="1130"/>
      <c r="R141" s="1130"/>
      <c r="S141" s="1130"/>
      <c r="T141" s="1130"/>
      <c r="U141" s="1130"/>
      <c r="V141" s="1130"/>
      <c r="W141" s="1130"/>
      <c r="X141" s="1130"/>
      <c r="Y141" s="1130"/>
      <c r="Z141" s="1130"/>
    </row>
    <row r="142" spans="1:26" ht="15.75" customHeight="1">
      <c r="A142" s="1130"/>
      <c r="B142" s="1130"/>
      <c r="C142" s="1130"/>
      <c r="D142" s="1130"/>
      <c r="E142" s="1130"/>
      <c r="F142" s="1130"/>
      <c r="G142" s="1130"/>
      <c r="H142" s="1130"/>
      <c r="I142" s="1130"/>
      <c r="J142" s="1130"/>
      <c r="K142" s="1130"/>
      <c r="L142" s="1130"/>
      <c r="M142" s="1130"/>
      <c r="N142" s="1130"/>
      <c r="O142" s="1130"/>
      <c r="P142" s="1130"/>
      <c r="Q142" s="1130"/>
      <c r="R142" s="1130"/>
      <c r="S142" s="1130"/>
      <c r="T142" s="1130"/>
      <c r="U142" s="1130"/>
      <c r="V142" s="1130"/>
      <c r="W142" s="1130"/>
      <c r="X142" s="1130"/>
      <c r="Y142" s="1130"/>
      <c r="Z142" s="1130"/>
    </row>
    <row r="143" spans="1:26" ht="15.75" customHeight="1">
      <c r="A143" s="1130"/>
      <c r="B143" s="1130"/>
      <c r="C143" s="1130"/>
      <c r="D143" s="1130"/>
      <c r="E143" s="1130"/>
      <c r="F143" s="1130"/>
      <c r="G143" s="1130"/>
      <c r="H143" s="1130"/>
      <c r="I143" s="1130"/>
      <c r="J143" s="1130"/>
      <c r="K143" s="1130"/>
      <c r="L143" s="1130"/>
      <c r="M143" s="1130"/>
      <c r="N143" s="1130"/>
      <c r="O143" s="1130"/>
      <c r="P143" s="1130"/>
      <c r="Q143" s="1130"/>
      <c r="R143" s="1130"/>
      <c r="S143" s="1130"/>
      <c r="T143" s="1130"/>
      <c r="U143" s="1130"/>
      <c r="V143" s="1130"/>
      <c r="W143" s="1130"/>
      <c r="X143" s="1130"/>
      <c r="Y143" s="1130"/>
      <c r="Z143" s="1130"/>
    </row>
    <row r="144" spans="1:26" ht="15.75" customHeight="1">
      <c r="A144" s="1130"/>
      <c r="B144" s="1130"/>
      <c r="C144" s="1130"/>
      <c r="D144" s="1130"/>
      <c r="E144" s="1130"/>
      <c r="F144" s="1130"/>
      <c r="G144" s="1130"/>
      <c r="H144" s="1130"/>
      <c r="I144" s="1130"/>
      <c r="J144" s="1130"/>
      <c r="K144" s="1130"/>
      <c r="L144" s="1130"/>
      <c r="M144" s="1130"/>
      <c r="N144" s="1130"/>
      <c r="O144" s="1130"/>
      <c r="P144" s="1130"/>
      <c r="Q144" s="1130"/>
      <c r="R144" s="1130"/>
      <c r="S144" s="1130"/>
      <c r="T144" s="1130"/>
      <c r="U144" s="1130"/>
      <c r="V144" s="1130"/>
      <c r="W144" s="1130"/>
      <c r="X144" s="1130"/>
      <c r="Y144" s="1130"/>
      <c r="Z144" s="1130"/>
    </row>
    <row r="145" spans="1:26" ht="15.75" customHeight="1">
      <c r="A145" s="1130"/>
      <c r="B145" s="1130"/>
      <c r="C145" s="1130"/>
      <c r="D145" s="1130"/>
      <c r="E145" s="1130"/>
      <c r="F145" s="1130"/>
      <c r="G145" s="1130"/>
      <c r="H145" s="1130"/>
      <c r="I145" s="1130"/>
      <c r="J145" s="1130"/>
      <c r="K145" s="1130"/>
      <c r="L145" s="1130"/>
      <c r="M145" s="1130"/>
      <c r="N145" s="1130"/>
      <c r="O145" s="1130"/>
      <c r="P145" s="1130"/>
      <c r="Q145" s="1130"/>
      <c r="R145" s="1130"/>
      <c r="S145" s="1130"/>
      <c r="T145" s="1130"/>
      <c r="U145" s="1130"/>
      <c r="V145" s="1130"/>
      <c r="W145" s="1130"/>
      <c r="X145" s="1130"/>
      <c r="Y145" s="1130"/>
      <c r="Z145" s="1130"/>
    </row>
    <row r="146" spans="1:26" ht="15.75" customHeight="1">
      <c r="A146" s="1130"/>
      <c r="B146" s="1130"/>
      <c r="C146" s="1130"/>
      <c r="D146" s="1130"/>
      <c r="E146" s="1130"/>
      <c r="F146" s="1130"/>
      <c r="G146" s="1130"/>
      <c r="H146" s="1130"/>
      <c r="I146" s="1130"/>
      <c r="J146" s="1130"/>
      <c r="K146" s="1130"/>
      <c r="L146" s="1130"/>
      <c r="M146" s="1130"/>
      <c r="N146" s="1130"/>
      <c r="O146" s="1130"/>
      <c r="P146" s="1130"/>
      <c r="Q146" s="1130"/>
      <c r="R146" s="1130"/>
      <c r="S146" s="1130"/>
      <c r="T146" s="1130"/>
      <c r="U146" s="1130"/>
      <c r="V146" s="1130"/>
      <c r="W146" s="1130"/>
      <c r="X146" s="1130"/>
      <c r="Y146" s="1130"/>
      <c r="Z146" s="1130"/>
    </row>
    <row r="147" spans="1:26" ht="15.75" customHeight="1">
      <c r="A147" s="1130"/>
      <c r="B147" s="1130"/>
      <c r="C147" s="1130"/>
      <c r="D147" s="1130"/>
      <c r="E147" s="1130"/>
      <c r="F147" s="1130"/>
      <c r="G147" s="1130"/>
      <c r="H147" s="1130"/>
      <c r="I147" s="1130"/>
      <c r="J147" s="1130"/>
      <c r="K147" s="1130"/>
      <c r="L147" s="1130"/>
      <c r="M147" s="1130"/>
      <c r="N147" s="1130"/>
      <c r="O147" s="1130"/>
      <c r="P147" s="1130"/>
      <c r="Q147" s="1130"/>
      <c r="R147" s="1130"/>
      <c r="S147" s="1130"/>
      <c r="T147" s="1130"/>
      <c r="U147" s="1130"/>
      <c r="V147" s="1130"/>
      <c r="W147" s="1130"/>
      <c r="X147" s="1130"/>
      <c r="Y147" s="1130"/>
      <c r="Z147" s="1130"/>
    </row>
    <row r="148" spans="1:26" ht="15.75" customHeight="1">
      <c r="A148" s="1130"/>
      <c r="B148" s="1130"/>
      <c r="C148" s="1130"/>
      <c r="D148" s="1130"/>
      <c r="E148" s="1130"/>
      <c r="F148" s="1130"/>
      <c r="G148" s="1130"/>
      <c r="H148" s="1130"/>
      <c r="I148" s="1130"/>
      <c r="J148" s="1130"/>
      <c r="K148" s="1130"/>
      <c r="L148" s="1130"/>
      <c r="M148" s="1130"/>
      <c r="N148" s="1130"/>
      <c r="O148" s="1130"/>
      <c r="P148" s="1130"/>
      <c r="Q148" s="1130"/>
      <c r="R148" s="1130"/>
      <c r="S148" s="1130"/>
      <c r="T148" s="1130"/>
      <c r="U148" s="1130"/>
      <c r="V148" s="1130"/>
      <c r="W148" s="1130"/>
      <c r="X148" s="1130"/>
      <c r="Y148" s="1130"/>
      <c r="Z148" s="1130"/>
    </row>
    <row r="149" spans="1:26" ht="15.75" customHeight="1">
      <c r="A149" s="1130"/>
      <c r="B149" s="1130"/>
      <c r="C149" s="1130"/>
      <c r="D149" s="1130"/>
      <c r="E149" s="1130"/>
      <c r="F149" s="1130"/>
      <c r="G149" s="1130"/>
      <c r="H149" s="1130"/>
      <c r="I149" s="1130"/>
      <c r="J149" s="1130"/>
      <c r="K149" s="1130"/>
      <c r="L149" s="1130"/>
      <c r="M149" s="1130"/>
      <c r="N149" s="1130"/>
      <c r="O149" s="1130"/>
      <c r="P149" s="1130"/>
      <c r="Q149" s="1130"/>
      <c r="R149" s="1130"/>
      <c r="S149" s="1130"/>
      <c r="T149" s="1130"/>
      <c r="U149" s="1130"/>
      <c r="V149" s="1130"/>
      <c r="W149" s="1130"/>
      <c r="X149" s="1130"/>
      <c r="Y149" s="1130"/>
      <c r="Z149" s="1130"/>
    </row>
    <row r="150" spans="1:26" ht="15.75" customHeight="1">
      <c r="A150" s="1130"/>
      <c r="B150" s="1130"/>
      <c r="C150" s="1130"/>
      <c r="D150" s="1130"/>
      <c r="E150" s="1130"/>
      <c r="F150" s="1130"/>
      <c r="G150" s="1130"/>
      <c r="H150" s="1130"/>
      <c r="I150" s="1130"/>
      <c r="J150" s="1130"/>
      <c r="K150" s="1130"/>
      <c r="L150" s="1130"/>
      <c r="M150" s="1130"/>
      <c r="N150" s="1130"/>
      <c r="O150" s="1130"/>
      <c r="P150" s="1130"/>
      <c r="Q150" s="1130"/>
      <c r="R150" s="1130"/>
      <c r="S150" s="1130"/>
      <c r="T150" s="1130"/>
      <c r="U150" s="1130"/>
      <c r="V150" s="1130"/>
      <c r="W150" s="1130"/>
      <c r="X150" s="1130"/>
      <c r="Y150" s="1130"/>
      <c r="Z150" s="1130"/>
    </row>
    <row r="151" spans="1:26" ht="15.75" customHeight="1">
      <c r="A151" s="1130"/>
      <c r="B151" s="1130"/>
      <c r="C151" s="1130"/>
      <c r="D151" s="1130"/>
      <c r="E151" s="1130"/>
      <c r="F151" s="1130"/>
      <c r="G151" s="1130"/>
      <c r="H151" s="1130"/>
      <c r="I151" s="1130"/>
      <c r="J151" s="1130"/>
      <c r="K151" s="1130"/>
      <c r="L151" s="1130"/>
      <c r="M151" s="1130"/>
      <c r="N151" s="1130"/>
      <c r="O151" s="1130"/>
      <c r="P151" s="1130"/>
      <c r="Q151" s="1130"/>
      <c r="R151" s="1130"/>
      <c r="S151" s="1130"/>
      <c r="T151" s="1130"/>
      <c r="U151" s="1130"/>
      <c r="V151" s="1130"/>
      <c r="W151" s="1130"/>
      <c r="X151" s="1130"/>
      <c r="Y151" s="1130"/>
      <c r="Z151" s="1130"/>
    </row>
    <row r="152" spans="1:26" ht="15.75" customHeight="1">
      <c r="A152" s="1130"/>
      <c r="B152" s="1130"/>
      <c r="C152" s="1130"/>
      <c r="D152" s="1130"/>
      <c r="E152" s="1130"/>
      <c r="F152" s="1130"/>
      <c r="G152" s="1130"/>
      <c r="H152" s="1130"/>
      <c r="I152" s="1130"/>
      <c r="J152" s="1130"/>
      <c r="K152" s="1130"/>
      <c r="L152" s="1130"/>
      <c r="M152" s="1130"/>
      <c r="N152" s="1130"/>
      <c r="O152" s="1130"/>
      <c r="P152" s="1130"/>
      <c r="Q152" s="1130"/>
      <c r="R152" s="1130"/>
      <c r="S152" s="1130"/>
      <c r="T152" s="1130"/>
      <c r="U152" s="1130"/>
      <c r="V152" s="1130"/>
      <c r="W152" s="1130"/>
      <c r="X152" s="1130"/>
      <c r="Y152" s="1130"/>
      <c r="Z152" s="1130"/>
    </row>
    <row r="153" spans="1:26" ht="15.75" customHeight="1">
      <c r="A153" s="1130"/>
      <c r="B153" s="1130"/>
      <c r="C153" s="1130"/>
      <c r="D153" s="1130"/>
      <c r="E153" s="1130"/>
      <c r="F153" s="1130"/>
      <c r="G153" s="1130"/>
      <c r="H153" s="1130"/>
      <c r="I153" s="1130"/>
      <c r="J153" s="1130"/>
      <c r="K153" s="1130"/>
      <c r="L153" s="1130"/>
      <c r="M153" s="1130"/>
      <c r="N153" s="1130"/>
      <c r="O153" s="1130"/>
      <c r="P153" s="1130"/>
      <c r="Q153" s="1130"/>
      <c r="R153" s="1130"/>
      <c r="S153" s="1130"/>
      <c r="T153" s="1130"/>
      <c r="U153" s="1130"/>
      <c r="V153" s="1130"/>
      <c r="W153" s="1130"/>
      <c r="X153" s="1130"/>
      <c r="Y153" s="1130"/>
      <c r="Z153" s="1130"/>
    </row>
    <row r="154" spans="1:26" ht="15.75" customHeight="1">
      <c r="A154" s="1130"/>
      <c r="B154" s="1130"/>
      <c r="C154" s="1130"/>
      <c r="D154" s="1130"/>
      <c r="E154" s="1130"/>
      <c r="F154" s="1130"/>
      <c r="G154" s="1130"/>
      <c r="H154" s="1130"/>
      <c r="I154" s="1130"/>
      <c r="J154" s="1130"/>
      <c r="K154" s="1130"/>
      <c r="L154" s="1130"/>
      <c r="M154" s="1130"/>
      <c r="N154" s="1130"/>
      <c r="O154" s="1130"/>
      <c r="P154" s="1130"/>
      <c r="Q154" s="1130"/>
      <c r="R154" s="1130"/>
      <c r="S154" s="1130"/>
      <c r="T154" s="1130"/>
      <c r="U154" s="1130"/>
      <c r="V154" s="1130"/>
      <c r="W154" s="1130"/>
      <c r="X154" s="1130"/>
      <c r="Y154" s="1130"/>
      <c r="Z154" s="1130"/>
    </row>
    <row r="155" spans="1:26" ht="15.75" customHeight="1">
      <c r="A155" s="1130"/>
      <c r="B155" s="1130"/>
      <c r="C155" s="1130"/>
      <c r="D155" s="1130"/>
      <c r="E155" s="1130"/>
      <c r="F155" s="1130"/>
      <c r="G155" s="1130"/>
      <c r="H155" s="1130"/>
      <c r="I155" s="1130"/>
      <c r="J155" s="1130"/>
      <c r="K155" s="1130"/>
      <c r="L155" s="1130"/>
      <c r="M155" s="1130"/>
      <c r="N155" s="1130"/>
      <c r="O155" s="1130"/>
      <c r="P155" s="1130"/>
      <c r="Q155" s="1130"/>
      <c r="R155" s="1130"/>
      <c r="S155" s="1130"/>
      <c r="T155" s="1130"/>
      <c r="U155" s="1130"/>
      <c r="V155" s="1130"/>
      <c r="W155" s="1130"/>
      <c r="X155" s="1130"/>
      <c r="Y155" s="1130"/>
      <c r="Z155" s="1130"/>
    </row>
    <row r="156" spans="1:26" ht="15.75" customHeight="1">
      <c r="A156" s="1130"/>
      <c r="B156" s="1130"/>
      <c r="C156" s="1130"/>
      <c r="D156" s="1130"/>
      <c r="E156" s="1130"/>
      <c r="F156" s="1130"/>
      <c r="G156" s="1130"/>
      <c r="H156" s="1130"/>
      <c r="I156" s="1130"/>
      <c r="J156" s="1130"/>
      <c r="K156" s="1130"/>
      <c r="L156" s="1130"/>
      <c r="M156" s="1130"/>
      <c r="N156" s="1130"/>
      <c r="O156" s="1130"/>
      <c r="P156" s="1130"/>
      <c r="Q156" s="1130"/>
      <c r="R156" s="1130"/>
      <c r="S156" s="1130"/>
      <c r="T156" s="1130"/>
      <c r="U156" s="1130"/>
      <c r="V156" s="1130"/>
      <c r="W156" s="1130"/>
      <c r="X156" s="1130"/>
      <c r="Y156" s="1130"/>
      <c r="Z156" s="1130"/>
    </row>
    <row r="157" spans="1:26" ht="15.75" customHeight="1">
      <c r="A157" s="1130"/>
      <c r="B157" s="1130"/>
      <c r="C157" s="1130"/>
      <c r="D157" s="1130"/>
      <c r="E157" s="1130"/>
      <c r="F157" s="1130"/>
      <c r="G157" s="1130"/>
      <c r="H157" s="1130"/>
      <c r="I157" s="1130"/>
      <c r="J157" s="1130"/>
      <c r="K157" s="1130"/>
      <c r="L157" s="1130"/>
      <c r="M157" s="1130"/>
      <c r="N157" s="1130"/>
      <c r="O157" s="1130"/>
      <c r="P157" s="1130"/>
      <c r="Q157" s="1130"/>
      <c r="R157" s="1130"/>
      <c r="S157" s="1130"/>
      <c r="T157" s="1130"/>
      <c r="U157" s="1130"/>
      <c r="V157" s="1130"/>
      <c r="W157" s="1130"/>
      <c r="X157" s="1130"/>
      <c r="Y157" s="1130"/>
      <c r="Z157" s="1130"/>
    </row>
    <row r="158" spans="1:26" ht="15.75" customHeight="1">
      <c r="A158" s="1130"/>
      <c r="B158" s="1130"/>
      <c r="C158" s="1130"/>
      <c r="D158" s="1130"/>
      <c r="E158" s="1130"/>
      <c r="F158" s="1130"/>
      <c r="G158" s="1130"/>
      <c r="H158" s="1130"/>
      <c r="I158" s="1130"/>
      <c r="J158" s="1130"/>
      <c r="K158" s="1130"/>
      <c r="L158" s="1130"/>
      <c r="M158" s="1130"/>
      <c r="N158" s="1130"/>
      <c r="O158" s="1130"/>
      <c r="P158" s="1130"/>
      <c r="Q158" s="1130"/>
      <c r="R158" s="1130"/>
      <c r="S158" s="1130"/>
      <c r="T158" s="1130"/>
      <c r="U158" s="1130"/>
      <c r="V158" s="1130"/>
      <c r="W158" s="1130"/>
      <c r="X158" s="1130"/>
      <c r="Y158" s="1130"/>
      <c r="Z158" s="1130"/>
    </row>
    <row r="159" spans="1:26" ht="15.75" customHeight="1">
      <c r="A159" s="1130"/>
      <c r="B159" s="1130"/>
      <c r="C159" s="1130"/>
      <c r="D159" s="1130"/>
      <c r="E159" s="1130"/>
      <c r="F159" s="1130"/>
      <c r="G159" s="1130"/>
      <c r="H159" s="1130"/>
      <c r="I159" s="1130"/>
      <c r="J159" s="1130"/>
      <c r="K159" s="1130"/>
      <c r="L159" s="1130"/>
      <c r="M159" s="1130"/>
      <c r="N159" s="1130"/>
      <c r="O159" s="1130"/>
      <c r="P159" s="1130"/>
      <c r="Q159" s="1130"/>
      <c r="R159" s="1130"/>
      <c r="S159" s="1130"/>
      <c r="T159" s="1130"/>
      <c r="U159" s="1130"/>
      <c r="V159" s="1130"/>
      <c r="W159" s="1130"/>
      <c r="X159" s="1130"/>
      <c r="Y159" s="1130"/>
      <c r="Z159" s="1130"/>
    </row>
    <row r="160" spans="1:26" ht="15.75" customHeight="1">
      <c r="A160" s="1130"/>
      <c r="B160" s="1130"/>
      <c r="C160" s="1130"/>
      <c r="D160" s="1130"/>
      <c r="E160" s="1130"/>
      <c r="F160" s="1130"/>
      <c r="G160" s="1130"/>
      <c r="H160" s="1130"/>
      <c r="I160" s="1130"/>
      <c r="J160" s="1130"/>
      <c r="K160" s="1130"/>
      <c r="L160" s="1130"/>
      <c r="M160" s="1130"/>
      <c r="N160" s="1130"/>
      <c r="O160" s="1130"/>
      <c r="P160" s="1130"/>
      <c r="Q160" s="1130"/>
      <c r="R160" s="1130"/>
      <c r="S160" s="1130"/>
      <c r="T160" s="1130"/>
      <c r="U160" s="1130"/>
      <c r="V160" s="1130"/>
      <c r="W160" s="1130"/>
      <c r="X160" s="1130"/>
      <c r="Y160" s="1130"/>
      <c r="Z160" s="1130"/>
    </row>
    <row r="161" spans="1:26" ht="15.75" customHeight="1">
      <c r="A161" s="1130"/>
      <c r="B161" s="1130"/>
      <c r="C161" s="1130"/>
      <c r="D161" s="1130"/>
      <c r="E161" s="1130"/>
      <c r="F161" s="1130"/>
      <c r="G161" s="1130"/>
      <c r="H161" s="1130"/>
      <c r="I161" s="1130"/>
      <c r="J161" s="1130"/>
      <c r="K161" s="1130"/>
      <c r="L161" s="1130"/>
      <c r="M161" s="1130"/>
      <c r="N161" s="1130"/>
      <c r="O161" s="1130"/>
      <c r="P161" s="1130"/>
      <c r="Q161" s="1130"/>
      <c r="R161" s="1130"/>
      <c r="S161" s="1130"/>
      <c r="T161" s="1130"/>
      <c r="U161" s="1130"/>
      <c r="V161" s="1130"/>
      <c r="W161" s="1130"/>
      <c r="X161" s="1130"/>
      <c r="Y161" s="1130"/>
      <c r="Z161" s="1130"/>
    </row>
    <row r="162" spans="1:26" ht="15.75" customHeight="1">
      <c r="A162" s="1130"/>
      <c r="B162" s="1130"/>
      <c r="C162" s="1130"/>
      <c r="D162" s="1130"/>
      <c r="E162" s="1130"/>
      <c r="F162" s="1130"/>
      <c r="G162" s="1130"/>
      <c r="H162" s="1130"/>
      <c r="I162" s="1130"/>
      <c r="J162" s="1130"/>
      <c r="K162" s="1130"/>
      <c r="L162" s="1130"/>
      <c r="M162" s="1130"/>
      <c r="N162" s="1130"/>
      <c r="O162" s="1130"/>
      <c r="P162" s="1130"/>
      <c r="Q162" s="1130"/>
      <c r="R162" s="1130"/>
      <c r="S162" s="1130"/>
      <c r="T162" s="1130"/>
      <c r="U162" s="1130"/>
      <c r="V162" s="1130"/>
      <c r="W162" s="1130"/>
      <c r="X162" s="1130"/>
      <c r="Y162" s="1130"/>
      <c r="Z162" s="1130"/>
    </row>
    <row r="163" spans="1:26" ht="15.75" customHeight="1">
      <c r="A163" s="1130"/>
      <c r="B163" s="1130"/>
      <c r="C163" s="1130"/>
      <c r="D163" s="1130"/>
      <c r="E163" s="1130"/>
      <c r="F163" s="1130"/>
      <c r="G163" s="1130"/>
      <c r="H163" s="1130"/>
      <c r="I163" s="1130"/>
      <c r="J163" s="1130"/>
      <c r="K163" s="1130"/>
      <c r="L163" s="1130"/>
      <c r="M163" s="1130"/>
      <c r="N163" s="1130"/>
      <c r="O163" s="1130"/>
      <c r="P163" s="1130"/>
      <c r="Q163" s="1130"/>
      <c r="R163" s="1130"/>
      <c r="S163" s="1130"/>
      <c r="T163" s="1130"/>
      <c r="U163" s="1130"/>
      <c r="V163" s="1130"/>
      <c r="W163" s="1130"/>
      <c r="X163" s="1130"/>
      <c r="Y163" s="1130"/>
      <c r="Z163" s="1130"/>
    </row>
    <row r="164" spans="1:26" ht="15.75" customHeight="1">
      <c r="A164" s="1130"/>
      <c r="B164" s="1130"/>
      <c r="C164" s="1130"/>
      <c r="D164" s="1130"/>
      <c r="E164" s="1130"/>
      <c r="F164" s="1130"/>
      <c r="G164" s="1130"/>
      <c r="H164" s="1130"/>
      <c r="I164" s="1130"/>
      <c r="J164" s="1130"/>
      <c r="K164" s="1130"/>
      <c r="L164" s="1130"/>
      <c r="M164" s="1130"/>
      <c r="N164" s="1130"/>
      <c r="O164" s="1130"/>
      <c r="P164" s="1130"/>
      <c r="Q164" s="1130"/>
      <c r="R164" s="1130"/>
      <c r="S164" s="1130"/>
      <c r="T164" s="1130"/>
      <c r="U164" s="1130"/>
      <c r="V164" s="1130"/>
      <c r="W164" s="1130"/>
      <c r="X164" s="1130"/>
      <c r="Y164" s="1130"/>
      <c r="Z164" s="1130"/>
    </row>
    <row r="165" spans="1:26" ht="15.75" customHeight="1">
      <c r="A165" s="1130"/>
      <c r="B165" s="1130"/>
      <c r="C165" s="1130"/>
      <c r="D165" s="1130"/>
      <c r="E165" s="1130"/>
      <c r="F165" s="1130"/>
      <c r="G165" s="1130"/>
      <c r="H165" s="1130"/>
      <c r="I165" s="1130"/>
      <c r="J165" s="1130"/>
      <c r="K165" s="1130"/>
      <c r="L165" s="1130"/>
      <c r="M165" s="1130"/>
      <c r="N165" s="1130"/>
      <c r="O165" s="1130"/>
      <c r="P165" s="1130"/>
      <c r="Q165" s="1130"/>
      <c r="R165" s="1130"/>
      <c r="S165" s="1130"/>
      <c r="T165" s="1130"/>
      <c r="U165" s="1130"/>
      <c r="V165" s="1130"/>
      <c r="W165" s="1130"/>
      <c r="X165" s="1130"/>
      <c r="Y165" s="1130"/>
      <c r="Z165" s="1130"/>
    </row>
    <row r="166" spans="1:26" ht="15.75" customHeight="1">
      <c r="A166" s="1130"/>
      <c r="B166" s="1130"/>
      <c r="C166" s="1130"/>
      <c r="D166" s="1130"/>
      <c r="E166" s="1130"/>
      <c r="F166" s="1130"/>
      <c r="G166" s="1130"/>
      <c r="H166" s="1130"/>
      <c r="I166" s="1130"/>
      <c r="J166" s="1130"/>
      <c r="K166" s="1130"/>
      <c r="L166" s="1130"/>
      <c r="M166" s="1130"/>
      <c r="N166" s="1130"/>
      <c r="O166" s="1130"/>
      <c r="P166" s="1130"/>
      <c r="Q166" s="1130"/>
      <c r="R166" s="1130"/>
      <c r="S166" s="1130"/>
      <c r="T166" s="1130"/>
      <c r="U166" s="1130"/>
      <c r="V166" s="1130"/>
      <c r="W166" s="1130"/>
      <c r="X166" s="1130"/>
      <c r="Y166" s="1130"/>
      <c r="Z166" s="1130"/>
    </row>
    <row r="167" spans="1:26" ht="15.75" customHeight="1">
      <c r="A167" s="1130"/>
      <c r="B167" s="1130"/>
      <c r="C167" s="1130"/>
      <c r="D167" s="1130"/>
      <c r="E167" s="1130"/>
      <c r="F167" s="1130"/>
      <c r="G167" s="1130"/>
      <c r="H167" s="1130"/>
      <c r="I167" s="1130"/>
      <c r="J167" s="1130"/>
      <c r="K167" s="1130"/>
      <c r="L167" s="1130"/>
      <c r="M167" s="1130"/>
      <c r="N167" s="1130"/>
      <c r="O167" s="1130"/>
      <c r="P167" s="1130"/>
      <c r="Q167" s="1130"/>
      <c r="R167" s="1130"/>
      <c r="S167" s="1130"/>
      <c r="T167" s="1130"/>
      <c r="U167" s="1130"/>
      <c r="V167" s="1130"/>
      <c r="W167" s="1130"/>
      <c r="X167" s="1130"/>
      <c r="Y167" s="1130"/>
      <c r="Z167" s="1130"/>
    </row>
    <row r="168" spans="1:26" ht="15.75" customHeight="1">
      <c r="A168" s="1130"/>
      <c r="B168" s="1130"/>
      <c r="C168" s="1130"/>
      <c r="D168" s="1130"/>
      <c r="E168" s="1130"/>
      <c r="F168" s="1130"/>
      <c r="G168" s="1130"/>
      <c r="H168" s="1130"/>
      <c r="I168" s="1130"/>
      <c r="J168" s="1130"/>
      <c r="K168" s="1130"/>
      <c r="L168" s="1130"/>
      <c r="M168" s="1130"/>
      <c r="N168" s="1130"/>
      <c r="O168" s="1130"/>
      <c r="P168" s="1130"/>
      <c r="Q168" s="1130"/>
      <c r="R168" s="1130"/>
      <c r="S168" s="1130"/>
      <c r="T168" s="1130"/>
      <c r="U168" s="1130"/>
      <c r="V168" s="1130"/>
      <c r="W168" s="1130"/>
      <c r="X168" s="1130"/>
      <c r="Y168" s="1130"/>
      <c r="Z168" s="1130"/>
    </row>
    <row r="169" spans="1:26" ht="15.75" customHeight="1">
      <c r="A169" s="1130"/>
      <c r="B169" s="1130"/>
      <c r="C169" s="1130"/>
      <c r="D169" s="1130"/>
      <c r="E169" s="1130"/>
      <c r="F169" s="1130"/>
      <c r="G169" s="1130"/>
      <c r="H169" s="1130"/>
      <c r="I169" s="1130"/>
      <c r="J169" s="1130"/>
      <c r="K169" s="1130"/>
      <c r="L169" s="1130"/>
      <c r="M169" s="1130"/>
      <c r="N169" s="1130"/>
      <c r="O169" s="1130"/>
      <c r="P169" s="1130"/>
      <c r="Q169" s="1130"/>
      <c r="R169" s="1130"/>
      <c r="S169" s="1130"/>
      <c r="T169" s="1130"/>
      <c r="U169" s="1130"/>
      <c r="V169" s="1130"/>
      <c r="W169" s="1130"/>
      <c r="X169" s="1130"/>
      <c r="Y169" s="1130"/>
      <c r="Z169" s="1130"/>
    </row>
    <row r="170" spans="1:26" ht="15.75" customHeight="1">
      <c r="A170" s="1130"/>
      <c r="B170" s="1130"/>
      <c r="C170" s="1130"/>
      <c r="D170" s="1130"/>
      <c r="E170" s="1130"/>
      <c r="F170" s="1130"/>
      <c r="G170" s="1130"/>
      <c r="H170" s="1130"/>
      <c r="I170" s="1130"/>
      <c r="J170" s="1130"/>
      <c r="K170" s="1130"/>
      <c r="L170" s="1130"/>
      <c r="M170" s="1130"/>
      <c r="N170" s="1130"/>
      <c r="O170" s="1130"/>
      <c r="P170" s="1130"/>
      <c r="Q170" s="1130"/>
      <c r="R170" s="1130"/>
      <c r="S170" s="1130"/>
      <c r="T170" s="1130"/>
      <c r="U170" s="1130"/>
      <c r="V170" s="1130"/>
      <c r="W170" s="1130"/>
      <c r="X170" s="1130"/>
      <c r="Y170" s="1130"/>
      <c r="Z170" s="1130"/>
    </row>
    <row r="171" spans="1:26" ht="15.75" customHeight="1">
      <c r="A171" s="1130"/>
      <c r="B171" s="1130"/>
      <c r="C171" s="1130"/>
      <c r="D171" s="1130"/>
      <c r="E171" s="1130"/>
      <c r="F171" s="1130"/>
      <c r="G171" s="1130"/>
      <c r="H171" s="1130"/>
      <c r="I171" s="1130"/>
      <c r="J171" s="1130"/>
      <c r="K171" s="1130"/>
      <c r="L171" s="1130"/>
      <c r="M171" s="1130"/>
      <c r="N171" s="1130"/>
      <c r="O171" s="1130"/>
      <c r="P171" s="1130"/>
      <c r="Q171" s="1130"/>
      <c r="R171" s="1130"/>
      <c r="S171" s="1130"/>
      <c r="T171" s="1130"/>
      <c r="U171" s="1130"/>
      <c r="V171" s="1130"/>
      <c r="W171" s="1130"/>
      <c r="X171" s="1130"/>
      <c r="Y171" s="1130"/>
      <c r="Z171" s="1130"/>
    </row>
    <row r="172" spans="1:26" ht="15.75" customHeight="1">
      <c r="A172" s="1130"/>
      <c r="B172" s="1130"/>
      <c r="C172" s="1130"/>
      <c r="D172" s="1130"/>
      <c r="E172" s="1130"/>
      <c r="F172" s="1130"/>
      <c r="G172" s="1130"/>
      <c r="H172" s="1130"/>
      <c r="I172" s="1130"/>
      <c r="J172" s="1130"/>
      <c r="K172" s="1130"/>
      <c r="L172" s="1130"/>
      <c r="M172" s="1130"/>
      <c r="N172" s="1130"/>
      <c r="O172" s="1130"/>
      <c r="P172" s="1130"/>
      <c r="Q172" s="1130"/>
      <c r="R172" s="1130"/>
      <c r="S172" s="1130"/>
      <c r="T172" s="1130"/>
      <c r="U172" s="1130"/>
      <c r="V172" s="1130"/>
      <c r="W172" s="1130"/>
      <c r="X172" s="1130"/>
      <c r="Y172" s="1130"/>
      <c r="Z172" s="1130"/>
    </row>
    <row r="173" spans="1:26" ht="15.75" customHeight="1">
      <c r="A173" s="1130"/>
      <c r="B173" s="1130"/>
      <c r="C173" s="1130"/>
      <c r="D173" s="1130"/>
      <c r="E173" s="1130"/>
      <c r="F173" s="1130"/>
      <c r="G173" s="1130"/>
      <c r="H173" s="1130"/>
      <c r="I173" s="1130"/>
      <c r="J173" s="1130"/>
      <c r="K173" s="1130"/>
      <c r="L173" s="1130"/>
      <c r="M173" s="1130"/>
      <c r="N173" s="1130"/>
      <c r="O173" s="1130"/>
      <c r="P173" s="1130"/>
      <c r="Q173" s="1130"/>
      <c r="R173" s="1130"/>
      <c r="S173" s="1130"/>
      <c r="T173" s="1130"/>
      <c r="U173" s="1130"/>
      <c r="V173" s="1130"/>
      <c r="W173" s="1130"/>
      <c r="X173" s="1130"/>
      <c r="Y173" s="1130"/>
      <c r="Z173" s="1130"/>
    </row>
    <row r="174" spans="1:26" ht="15.75" customHeight="1">
      <c r="A174" s="1130"/>
      <c r="B174" s="1130"/>
      <c r="C174" s="1130"/>
      <c r="D174" s="1130"/>
      <c r="E174" s="1130"/>
      <c r="F174" s="1130"/>
      <c r="G174" s="1130"/>
      <c r="H174" s="1130"/>
      <c r="I174" s="1130"/>
      <c r="J174" s="1130"/>
      <c r="K174" s="1130"/>
      <c r="L174" s="1130"/>
      <c r="M174" s="1130"/>
      <c r="N174" s="1130"/>
      <c r="O174" s="1130"/>
      <c r="P174" s="1130"/>
      <c r="Q174" s="1130"/>
      <c r="R174" s="1130"/>
      <c r="S174" s="1130"/>
      <c r="T174" s="1130"/>
      <c r="U174" s="1130"/>
      <c r="V174" s="1130"/>
      <c r="W174" s="1130"/>
      <c r="X174" s="1130"/>
      <c r="Y174" s="1130"/>
      <c r="Z174" s="1130"/>
    </row>
    <row r="175" spans="1:26" ht="15.75" customHeight="1">
      <c r="A175" s="1130"/>
      <c r="B175" s="1130"/>
      <c r="C175" s="1130"/>
      <c r="D175" s="1130"/>
      <c r="E175" s="1130"/>
      <c r="F175" s="1130"/>
      <c r="G175" s="1130"/>
      <c r="H175" s="1130"/>
      <c r="I175" s="1130"/>
      <c r="J175" s="1130"/>
      <c r="K175" s="1130"/>
      <c r="L175" s="1130"/>
      <c r="M175" s="1130"/>
      <c r="N175" s="1130"/>
      <c r="O175" s="1130"/>
      <c r="P175" s="1130"/>
      <c r="Q175" s="1130"/>
      <c r="R175" s="1130"/>
      <c r="S175" s="1130"/>
      <c r="T175" s="1130"/>
      <c r="U175" s="1130"/>
      <c r="V175" s="1130"/>
      <c r="W175" s="1130"/>
      <c r="X175" s="1130"/>
      <c r="Y175" s="1130"/>
      <c r="Z175" s="1130"/>
    </row>
    <row r="176" spans="1:26" ht="15.75" customHeight="1">
      <c r="A176" s="1130"/>
      <c r="B176" s="1130"/>
      <c r="C176" s="1130"/>
      <c r="D176" s="1130"/>
      <c r="E176" s="1130"/>
      <c r="F176" s="1130"/>
      <c r="G176" s="1130"/>
      <c r="H176" s="1130"/>
      <c r="I176" s="1130"/>
      <c r="J176" s="1130"/>
      <c r="K176" s="1130"/>
      <c r="L176" s="1130"/>
      <c r="M176" s="1130"/>
      <c r="N176" s="1130"/>
      <c r="O176" s="1130"/>
      <c r="P176" s="1130"/>
      <c r="Q176" s="1130"/>
      <c r="R176" s="1130"/>
      <c r="S176" s="1130"/>
      <c r="T176" s="1130"/>
      <c r="U176" s="1130"/>
      <c r="V176" s="1130"/>
      <c r="W176" s="1130"/>
      <c r="X176" s="1130"/>
      <c r="Y176" s="1130"/>
      <c r="Z176" s="1130"/>
    </row>
    <row r="177" spans="1:26" ht="15.75" customHeight="1">
      <c r="A177" s="1130"/>
      <c r="B177" s="1130"/>
      <c r="C177" s="1130"/>
      <c r="D177" s="1130"/>
      <c r="E177" s="1130"/>
      <c r="F177" s="1130"/>
      <c r="G177" s="1130"/>
      <c r="H177" s="1130"/>
      <c r="I177" s="1130"/>
      <c r="J177" s="1130"/>
      <c r="K177" s="1130"/>
      <c r="L177" s="1130"/>
      <c r="M177" s="1130"/>
      <c r="N177" s="1130"/>
      <c r="O177" s="1130"/>
      <c r="P177" s="1130"/>
      <c r="Q177" s="1130"/>
      <c r="R177" s="1130"/>
      <c r="S177" s="1130"/>
      <c r="T177" s="1130"/>
      <c r="U177" s="1130"/>
      <c r="V177" s="1130"/>
      <c r="W177" s="1130"/>
      <c r="X177" s="1130"/>
      <c r="Y177" s="1130"/>
      <c r="Z177" s="1130"/>
    </row>
    <row r="178" spans="1:26" ht="15.75" customHeight="1">
      <c r="A178" s="1130"/>
      <c r="B178" s="1130"/>
      <c r="C178" s="1130"/>
      <c r="D178" s="1130"/>
      <c r="E178" s="1130"/>
      <c r="F178" s="1130"/>
      <c r="G178" s="1130"/>
      <c r="H178" s="1130"/>
      <c r="I178" s="1130"/>
      <c r="J178" s="1130"/>
      <c r="K178" s="1130"/>
      <c r="L178" s="1130"/>
      <c r="M178" s="1130"/>
      <c r="N178" s="1130"/>
      <c r="O178" s="1130"/>
      <c r="P178" s="1130"/>
      <c r="Q178" s="1130"/>
      <c r="R178" s="1130"/>
      <c r="S178" s="1130"/>
      <c r="T178" s="1130"/>
      <c r="U178" s="1130"/>
      <c r="V178" s="1130"/>
      <c r="W178" s="1130"/>
      <c r="X178" s="1130"/>
      <c r="Y178" s="1130"/>
      <c r="Z178" s="1130"/>
    </row>
    <row r="179" spans="1:26" ht="15.75" customHeight="1">
      <c r="A179" s="1130"/>
      <c r="B179" s="1130"/>
      <c r="C179" s="1130"/>
      <c r="D179" s="1130"/>
      <c r="E179" s="1130"/>
      <c r="F179" s="1130"/>
      <c r="G179" s="1130"/>
      <c r="H179" s="1130"/>
      <c r="I179" s="1130"/>
      <c r="J179" s="1130"/>
      <c r="K179" s="1130"/>
      <c r="L179" s="1130"/>
      <c r="M179" s="1130"/>
      <c r="N179" s="1130"/>
      <c r="O179" s="1130"/>
      <c r="P179" s="1130"/>
      <c r="Q179" s="1130"/>
      <c r="R179" s="1130"/>
      <c r="S179" s="1130"/>
      <c r="T179" s="1130"/>
      <c r="U179" s="1130"/>
      <c r="V179" s="1130"/>
      <c r="W179" s="1130"/>
      <c r="X179" s="1130"/>
      <c r="Y179" s="1130"/>
      <c r="Z179" s="1130"/>
    </row>
    <row r="180" spans="1:26" ht="15.75" customHeight="1">
      <c r="A180" s="1130"/>
      <c r="B180" s="1130"/>
      <c r="C180" s="1130"/>
      <c r="D180" s="1130"/>
      <c r="E180" s="1130"/>
      <c r="F180" s="1130"/>
      <c r="G180" s="1130"/>
      <c r="H180" s="1130"/>
      <c r="I180" s="1130"/>
      <c r="J180" s="1130"/>
      <c r="K180" s="1130"/>
      <c r="L180" s="1130"/>
      <c r="M180" s="1130"/>
      <c r="N180" s="1130"/>
      <c r="O180" s="1130"/>
      <c r="P180" s="1130"/>
      <c r="Q180" s="1130"/>
      <c r="R180" s="1130"/>
      <c r="S180" s="1130"/>
      <c r="T180" s="1130"/>
      <c r="U180" s="1130"/>
      <c r="V180" s="1130"/>
      <c r="W180" s="1130"/>
      <c r="X180" s="1130"/>
      <c r="Y180" s="1130"/>
      <c r="Z180" s="1130"/>
    </row>
    <row r="181" spans="1:26" ht="15.75" customHeight="1">
      <c r="A181" s="1130"/>
      <c r="B181" s="1130"/>
      <c r="C181" s="1130"/>
      <c r="D181" s="1130"/>
      <c r="E181" s="1130"/>
      <c r="F181" s="1130"/>
      <c r="G181" s="1130"/>
      <c r="H181" s="1130"/>
      <c r="I181" s="1130"/>
      <c r="J181" s="1130"/>
      <c r="K181" s="1130"/>
      <c r="L181" s="1130"/>
      <c r="M181" s="1130"/>
      <c r="N181" s="1130"/>
      <c r="O181" s="1130"/>
      <c r="P181" s="1130"/>
      <c r="Q181" s="1130"/>
      <c r="R181" s="1130"/>
      <c r="S181" s="1130"/>
      <c r="T181" s="1130"/>
      <c r="U181" s="1130"/>
      <c r="V181" s="1130"/>
      <c r="W181" s="1130"/>
      <c r="X181" s="1130"/>
      <c r="Y181" s="1130"/>
      <c r="Z181" s="1130"/>
    </row>
    <row r="182" spans="1:26" ht="15.75" customHeight="1">
      <c r="A182" s="1130"/>
      <c r="B182" s="1130"/>
      <c r="C182" s="1130"/>
      <c r="D182" s="1130"/>
      <c r="E182" s="1130"/>
      <c r="F182" s="1130"/>
      <c r="G182" s="1130"/>
      <c r="H182" s="1130"/>
      <c r="I182" s="1130"/>
      <c r="J182" s="1130"/>
      <c r="K182" s="1130"/>
      <c r="L182" s="1130"/>
      <c r="M182" s="1130"/>
      <c r="N182" s="1130"/>
      <c r="O182" s="1130"/>
      <c r="P182" s="1130"/>
      <c r="Q182" s="1130"/>
      <c r="R182" s="1130"/>
      <c r="S182" s="1130"/>
      <c r="T182" s="1130"/>
      <c r="U182" s="1130"/>
      <c r="V182" s="1130"/>
      <c r="W182" s="1130"/>
      <c r="X182" s="1130"/>
      <c r="Y182" s="1130"/>
      <c r="Z182" s="1130"/>
    </row>
    <row r="183" spans="1:26" ht="15.75" customHeight="1">
      <c r="A183" s="1130"/>
      <c r="B183" s="1130"/>
      <c r="C183" s="1130"/>
      <c r="D183" s="1130"/>
      <c r="E183" s="1130"/>
      <c r="F183" s="1130"/>
      <c r="G183" s="1130"/>
      <c r="H183" s="1130"/>
      <c r="I183" s="1130"/>
      <c r="J183" s="1130"/>
      <c r="K183" s="1130"/>
      <c r="L183" s="1130"/>
      <c r="M183" s="1130"/>
      <c r="N183" s="1130"/>
      <c r="O183" s="1130"/>
      <c r="P183" s="1130"/>
      <c r="Q183" s="1130"/>
      <c r="R183" s="1130"/>
      <c r="S183" s="1130"/>
      <c r="T183" s="1130"/>
      <c r="U183" s="1130"/>
      <c r="V183" s="1130"/>
      <c r="W183" s="1130"/>
      <c r="X183" s="1130"/>
      <c r="Y183" s="1130"/>
      <c r="Z183" s="1130"/>
    </row>
    <row r="184" spans="1:26" ht="15.75" customHeight="1">
      <c r="A184" s="1130"/>
      <c r="B184" s="1130"/>
      <c r="C184" s="1130"/>
      <c r="D184" s="1130"/>
      <c r="E184" s="1130"/>
      <c r="F184" s="1130"/>
      <c r="G184" s="1130"/>
      <c r="H184" s="1130"/>
      <c r="I184" s="1130"/>
      <c r="J184" s="1130"/>
      <c r="K184" s="1130"/>
      <c r="L184" s="1130"/>
      <c r="M184" s="1130"/>
      <c r="N184" s="1130"/>
      <c r="O184" s="1130"/>
      <c r="P184" s="1130"/>
      <c r="Q184" s="1130"/>
      <c r="R184" s="1130"/>
      <c r="S184" s="1130"/>
      <c r="T184" s="1130"/>
      <c r="U184" s="1130"/>
      <c r="V184" s="1130"/>
      <c r="W184" s="1130"/>
      <c r="X184" s="1130"/>
      <c r="Y184" s="1130"/>
      <c r="Z184" s="1130"/>
    </row>
    <row r="185" spans="1:26" ht="15.75" customHeight="1">
      <c r="A185" s="1130"/>
      <c r="B185" s="1130"/>
      <c r="C185" s="1130"/>
      <c r="D185" s="1130"/>
      <c r="E185" s="1130"/>
      <c r="F185" s="1130"/>
      <c r="G185" s="1130"/>
      <c r="H185" s="1130"/>
      <c r="I185" s="1130"/>
      <c r="J185" s="1130"/>
      <c r="K185" s="1130"/>
      <c r="L185" s="1130"/>
      <c r="M185" s="1130"/>
      <c r="N185" s="1130"/>
      <c r="O185" s="1130"/>
      <c r="P185" s="1130"/>
      <c r="Q185" s="1130"/>
      <c r="R185" s="1130"/>
      <c r="S185" s="1130"/>
      <c r="T185" s="1130"/>
      <c r="U185" s="1130"/>
      <c r="V185" s="1130"/>
      <c r="W185" s="1130"/>
      <c r="X185" s="1130"/>
      <c r="Y185" s="1130"/>
      <c r="Z185" s="1130"/>
    </row>
    <row r="186" spans="1:26" ht="15.75" customHeight="1">
      <c r="A186" s="1130"/>
      <c r="B186" s="1130"/>
      <c r="C186" s="1130"/>
      <c r="D186" s="1130"/>
      <c r="E186" s="1130"/>
      <c r="F186" s="1130"/>
      <c r="G186" s="1130"/>
      <c r="H186" s="1130"/>
      <c r="I186" s="1130"/>
      <c r="J186" s="1130"/>
      <c r="K186" s="1130"/>
      <c r="L186" s="1130"/>
      <c r="M186" s="1130"/>
      <c r="N186" s="1130"/>
      <c r="O186" s="1130"/>
      <c r="P186" s="1130"/>
      <c r="Q186" s="1130"/>
      <c r="R186" s="1130"/>
      <c r="S186" s="1130"/>
      <c r="T186" s="1130"/>
      <c r="U186" s="1130"/>
      <c r="V186" s="1130"/>
      <c r="W186" s="1130"/>
      <c r="X186" s="1130"/>
      <c r="Y186" s="1130"/>
      <c r="Z186" s="1130"/>
    </row>
    <row r="187" spans="1:26" ht="15.75" customHeight="1">
      <c r="A187" s="1130"/>
      <c r="B187" s="1130"/>
      <c r="C187" s="1130"/>
      <c r="D187" s="1130"/>
      <c r="E187" s="1130"/>
      <c r="F187" s="1130"/>
      <c r="G187" s="1130"/>
      <c r="H187" s="1130"/>
      <c r="I187" s="1130"/>
      <c r="J187" s="1130"/>
      <c r="K187" s="1130"/>
      <c r="L187" s="1130"/>
      <c r="M187" s="1130"/>
      <c r="N187" s="1130"/>
      <c r="O187" s="1130"/>
      <c r="P187" s="1130"/>
      <c r="Q187" s="1130"/>
      <c r="R187" s="1130"/>
      <c r="S187" s="1130"/>
      <c r="T187" s="1130"/>
      <c r="U187" s="1130"/>
      <c r="V187" s="1130"/>
      <c r="W187" s="1130"/>
      <c r="X187" s="1130"/>
      <c r="Y187" s="1130"/>
      <c r="Z187" s="1130"/>
    </row>
    <row r="188" spans="1:26" ht="15.75" customHeight="1">
      <c r="A188" s="1130"/>
      <c r="B188" s="1130"/>
      <c r="C188" s="1130"/>
      <c r="D188" s="1130"/>
      <c r="E188" s="1130"/>
      <c r="F188" s="1130"/>
      <c r="G188" s="1130"/>
      <c r="H188" s="1130"/>
      <c r="I188" s="1130"/>
      <c r="J188" s="1130"/>
      <c r="K188" s="1130"/>
      <c r="L188" s="1130"/>
      <c r="M188" s="1130"/>
      <c r="N188" s="1130"/>
      <c r="O188" s="1130"/>
      <c r="P188" s="1130"/>
      <c r="Q188" s="1130"/>
      <c r="R188" s="1130"/>
      <c r="S188" s="1130"/>
      <c r="T188" s="1130"/>
      <c r="U188" s="1130"/>
      <c r="V188" s="1130"/>
      <c r="W188" s="1130"/>
      <c r="X188" s="1130"/>
      <c r="Y188" s="1130"/>
      <c r="Z188" s="1130"/>
    </row>
    <row r="189" spans="1:26" ht="15.75" customHeight="1">
      <c r="A189" s="1130"/>
      <c r="B189" s="1130"/>
      <c r="C189" s="1130"/>
      <c r="D189" s="1130"/>
      <c r="E189" s="1130"/>
      <c r="F189" s="1130"/>
      <c r="G189" s="1130"/>
      <c r="H189" s="1130"/>
      <c r="I189" s="1130"/>
      <c r="J189" s="1130"/>
      <c r="K189" s="1130"/>
      <c r="L189" s="1130"/>
      <c r="M189" s="1130"/>
      <c r="N189" s="1130"/>
      <c r="O189" s="1130"/>
      <c r="P189" s="1130"/>
      <c r="Q189" s="1130"/>
      <c r="R189" s="1130"/>
      <c r="S189" s="1130"/>
      <c r="T189" s="1130"/>
      <c r="U189" s="1130"/>
      <c r="V189" s="1130"/>
      <c r="W189" s="1130"/>
      <c r="X189" s="1130"/>
      <c r="Y189" s="1130"/>
      <c r="Z189" s="1130"/>
    </row>
    <row r="190" spans="1:26" ht="15.75" customHeight="1">
      <c r="A190" s="1130"/>
      <c r="B190" s="1130"/>
      <c r="C190" s="1130"/>
      <c r="D190" s="1130"/>
      <c r="E190" s="1130"/>
      <c r="F190" s="1130"/>
      <c r="G190" s="1130"/>
      <c r="H190" s="1130"/>
      <c r="I190" s="1130"/>
      <c r="J190" s="1130"/>
      <c r="K190" s="1130"/>
      <c r="L190" s="1130"/>
      <c r="M190" s="1130"/>
      <c r="N190" s="1130"/>
      <c r="O190" s="1130"/>
      <c r="P190" s="1130"/>
      <c r="Q190" s="1130"/>
      <c r="R190" s="1130"/>
      <c r="S190" s="1130"/>
      <c r="T190" s="1130"/>
      <c r="U190" s="1130"/>
      <c r="V190" s="1130"/>
      <c r="W190" s="1130"/>
      <c r="X190" s="1130"/>
      <c r="Y190" s="1130"/>
      <c r="Z190" s="1130"/>
    </row>
    <row r="191" spans="1:26" ht="15.75" customHeight="1">
      <c r="A191" s="1130"/>
      <c r="B191" s="1130"/>
      <c r="C191" s="1130"/>
      <c r="D191" s="1130"/>
      <c r="E191" s="1130"/>
      <c r="F191" s="1130"/>
      <c r="G191" s="1130"/>
      <c r="H191" s="1130"/>
      <c r="I191" s="1130"/>
      <c r="J191" s="1130"/>
      <c r="K191" s="1130"/>
      <c r="L191" s="1130"/>
      <c r="M191" s="1130"/>
      <c r="N191" s="1130"/>
      <c r="O191" s="1130"/>
      <c r="P191" s="1130"/>
      <c r="Q191" s="1130"/>
      <c r="R191" s="1130"/>
      <c r="S191" s="1130"/>
      <c r="T191" s="1130"/>
      <c r="U191" s="1130"/>
      <c r="V191" s="1130"/>
      <c r="W191" s="1130"/>
      <c r="X191" s="1130"/>
      <c r="Y191" s="1130"/>
      <c r="Z191" s="1130"/>
    </row>
    <row r="192" spans="1:26" ht="15.75" customHeight="1">
      <c r="A192" s="1130"/>
      <c r="B192" s="1130"/>
      <c r="C192" s="1130"/>
      <c r="D192" s="1130"/>
      <c r="E192" s="1130"/>
      <c r="F192" s="1130"/>
      <c r="G192" s="1130"/>
      <c r="H192" s="1130"/>
      <c r="I192" s="1130"/>
      <c r="J192" s="1130"/>
      <c r="K192" s="1130"/>
      <c r="L192" s="1130"/>
      <c r="M192" s="1130"/>
      <c r="N192" s="1130"/>
      <c r="O192" s="1130"/>
      <c r="P192" s="1130"/>
      <c r="Q192" s="1130"/>
      <c r="R192" s="1130"/>
      <c r="S192" s="1130"/>
      <c r="T192" s="1130"/>
      <c r="U192" s="1130"/>
      <c r="V192" s="1130"/>
      <c r="W192" s="1130"/>
      <c r="X192" s="1130"/>
      <c r="Y192" s="1130"/>
      <c r="Z192" s="1130"/>
    </row>
    <row r="193" spans="1:26" ht="15.75" customHeight="1">
      <c r="A193" s="1130"/>
      <c r="B193" s="1130"/>
      <c r="C193" s="1130"/>
      <c r="D193" s="1130"/>
      <c r="E193" s="1130"/>
      <c r="F193" s="1130"/>
      <c r="G193" s="1130"/>
      <c r="H193" s="1130"/>
      <c r="I193" s="1130"/>
      <c r="J193" s="1130"/>
      <c r="K193" s="1130"/>
      <c r="L193" s="1130"/>
      <c r="M193" s="1130"/>
      <c r="N193" s="1130"/>
      <c r="O193" s="1130"/>
      <c r="P193" s="1130"/>
      <c r="Q193" s="1130"/>
      <c r="R193" s="1130"/>
      <c r="S193" s="1130"/>
      <c r="T193" s="1130"/>
      <c r="U193" s="1130"/>
      <c r="V193" s="1130"/>
      <c r="W193" s="1130"/>
      <c r="X193" s="1130"/>
      <c r="Y193" s="1130"/>
      <c r="Z193" s="1130"/>
    </row>
    <row r="194" spans="1:26" ht="15.75" customHeight="1">
      <c r="A194" s="1130"/>
      <c r="B194" s="1130"/>
      <c r="C194" s="1130"/>
      <c r="D194" s="1130"/>
      <c r="E194" s="1130"/>
      <c r="F194" s="1130"/>
      <c r="G194" s="1130"/>
      <c r="H194" s="1130"/>
      <c r="I194" s="1130"/>
      <c r="J194" s="1130"/>
      <c r="K194" s="1130"/>
      <c r="L194" s="1130"/>
      <c r="M194" s="1130"/>
      <c r="N194" s="1130"/>
      <c r="O194" s="1130"/>
      <c r="P194" s="1130"/>
      <c r="Q194" s="1130"/>
      <c r="R194" s="1130"/>
      <c r="S194" s="1130"/>
      <c r="T194" s="1130"/>
      <c r="U194" s="1130"/>
      <c r="V194" s="1130"/>
      <c r="W194" s="1130"/>
      <c r="X194" s="1130"/>
      <c r="Y194" s="1130"/>
      <c r="Z194" s="1130"/>
    </row>
    <row r="195" spans="1:26" ht="15.75" customHeight="1">
      <c r="A195" s="1130"/>
      <c r="B195" s="1130"/>
      <c r="C195" s="1130"/>
      <c r="D195" s="1130"/>
      <c r="E195" s="1130"/>
      <c r="F195" s="1130"/>
      <c r="G195" s="1130"/>
      <c r="H195" s="1130"/>
      <c r="I195" s="1130"/>
      <c r="J195" s="1130"/>
      <c r="K195" s="1130"/>
      <c r="L195" s="1130"/>
      <c r="M195" s="1130"/>
      <c r="N195" s="1130"/>
      <c r="O195" s="1130"/>
      <c r="P195" s="1130"/>
      <c r="Q195" s="1130"/>
      <c r="R195" s="1130"/>
      <c r="S195" s="1130"/>
      <c r="T195" s="1130"/>
      <c r="U195" s="1130"/>
      <c r="V195" s="1130"/>
      <c r="W195" s="1130"/>
      <c r="X195" s="1130"/>
      <c r="Y195" s="1130"/>
      <c r="Z195" s="1130"/>
    </row>
    <row r="196" spans="1:26" ht="15.75" customHeight="1">
      <c r="A196" s="1130"/>
      <c r="B196" s="1130"/>
      <c r="C196" s="1130"/>
      <c r="D196" s="1130"/>
      <c r="E196" s="1130"/>
      <c r="F196" s="1130"/>
      <c r="G196" s="1130"/>
      <c r="H196" s="1130"/>
      <c r="I196" s="1130"/>
      <c r="J196" s="1130"/>
      <c r="K196" s="1130"/>
      <c r="L196" s="1130"/>
      <c r="M196" s="1130"/>
      <c r="N196" s="1130"/>
      <c r="O196" s="1130"/>
      <c r="P196" s="1130"/>
      <c r="Q196" s="1130"/>
      <c r="R196" s="1130"/>
      <c r="S196" s="1130"/>
      <c r="T196" s="1130"/>
      <c r="U196" s="1130"/>
      <c r="V196" s="1130"/>
      <c r="W196" s="1130"/>
      <c r="X196" s="1130"/>
      <c r="Y196" s="1130"/>
      <c r="Z196" s="1130"/>
    </row>
    <row r="197" spans="1:26" ht="15.75" customHeight="1">
      <c r="A197" s="1130"/>
      <c r="B197" s="1130"/>
      <c r="C197" s="1130"/>
      <c r="D197" s="1130"/>
      <c r="E197" s="1130"/>
      <c r="F197" s="1130"/>
      <c r="G197" s="1130"/>
      <c r="H197" s="1130"/>
      <c r="I197" s="1130"/>
      <c r="J197" s="1130"/>
      <c r="K197" s="1130"/>
      <c r="L197" s="1130"/>
      <c r="M197" s="1130"/>
      <c r="N197" s="1130"/>
      <c r="O197" s="1130"/>
      <c r="P197" s="1130"/>
      <c r="Q197" s="1130"/>
      <c r="R197" s="1130"/>
      <c r="S197" s="1130"/>
      <c r="T197" s="1130"/>
      <c r="U197" s="1130"/>
      <c r="V197" s="1130"/>
      <c r="W197" s="1130"/>
      <c r="X197" s="1130"/>
      <c r="Y197" s="1130"/>
      <c r="Z197" s="1130"/>
    </row>
    <row r="198" spans="1:26" ht="15.75" customHeight="1">
      <c r="A198" s="1130"/>
      <c r="B198" s="1130"/>
      <c r="C198" s="1130"/>
      <c r="D198" s="1130"/>
      <c r="E198" s="1130"/>
      <c r="F198" s="1130"/>
      <c r="G198" s="1130"/>
      <c r="H198" s="1130"/>
      <c r="I198" s="1130"/>
      <c r="J198" s="1130"/>
      <c r="K198" s="1130"/>
      <c r="L198" s="1130"/>
      <c r="M198" s="1130"/>
      <c r="N198" s="1130"/>
      <c r="O198" s="1130"/>
      <c r="P198" s="1130"/>
      <c r="Q198" s="1130"/>
      <c r="R198" s="1130"/>
      <c r="S198" s="1130"/>
      <c r="T198" s="1130"/>
      <c r="U198" s="1130"/>
      <c r="V198" s="1130"/>
      <c r="W198" s="1130"/>
      <c r="X198" s="1130"/>
      <c r="Y198" s="1130"/>
      <c r="Z198" s="1130"/>
    </row>
    <row r="199" spans="1:26" ht="15.75" customHeight="1">
      <c r="A199" s="1130"/>
      <c r="B199" s="1130"/>
      <c r="C199" s="1130"/>
      <c r="D199" s="1130"/>
      <c r="E199" s="1130"/>
      <c r="F199" s="1130"/>
      <c r="G199" s="1130"/>
      <c r="H199" s="1130"/>
      <c r="I199" s="1130"/>
      <c r="J199" s="1130"/>
      <c r="K199" s="1130"/>
      <c r="L199" s="1130"/>
      <c r="M199" s="1130"/>
      <c r="N199" s="1130"/>
      <c r="O199" s="1130"/>
      <c r="P199" s="1130"/>
      <c r="Q199" s="1130"/>
      <c r="R199" s="1130"/>
      <c r="S199" s="1130"/>
      <c r="T199" s="1130"/>
      <c r="U199" s="1130"/>
      <c r="V199" s="1130"/>
      <c r="W199" s="1130"/>
      <c r="X199" s="1130"/>
      <c r="Y199" s="1130"/>
      <c r="Z199" s="1130"/>
    </row>
    <row r="200" spans="1:26" ht="15.75" customHeight="1">
      <c r="A200" s="1130"/>
      <c r="B200" s="1130"/>
      <c r="C200" s="1130"/>
      <c r="D200" s="1130"/>
      <c r="E200" s="1130"/>
      <c r="F200" s="1130"/>
      <c r="G200" s="1130"/>
      <c r="H200" s="1130"/>
      <c r="I200" s="1130"/>
      <c r="J200" s="1130"/>
      <c r="K200" s="1130"/>
      <c r="L200" s="1130"/>
      <c r="M200" s="1130"/>
      <c r="N200" s="1130"/>
      <c r="O200" s="1130"/>
      <c r="P200" s="1130"/>
      <c r="Q200" s="1130"/>
      <c r="R200" s="1130"/>
      <c r="S200" s="1130"/>
      <c r="T200" s="1130"/>
      <c r="U200" s="1130"/>
      <c r="V200" s="1130"/>
      <c r="W200" s="1130"/>
      <c r="X200" s="1130"/>
      <c r="Y200" s="1130"/>
      <c r="Z200" s="1130"/>
    </row>
    <row r="201" spans="1:26" ht="15.75" customHeight="1">
      <c r="A201" s="1130"/>
      <c r="B201" s="1130"/>
      <c r="C201" s="1130"/>
      <c r="D201" s="1130"/>
      <c r="E201" s="1130"/>
      <c r="F201" s="1130"/>
      <c r="G201" s="1130"/>
      <c r="H201" s="1130"/>
      <c r="I201" s="1130"/>
      <c r="J201" s="1130"/>
      <c r="K201" s="1130"/>
      <c r="L201" s="1130"/>
      <c r="M201" s="1130"/>
      <c r="N201" s="1130"/>
      <c r="O201" s="1130"/>
      <c r="P201" s="1130"/>
      <c r="Q201" s="1130"/>
      <c r="R201" s="1130"/>
      <c r="S201" s="1130"/>
      <c r="T201" s="1130"/>
      <c r="U201" s="1130"/>
      <c r="V201" s="1130"/>
      <c r="W201" s="1130"/>
      <c r="X201" s="1130"/>
      <c r="Y201" s="1130"/>
      <c r="Z201" s="1130"/>
    </row>
    <row r="202" spans="1:26" ht="15.75" customHeight="1">
      <c r="A202" s="1130"/>
      <c r="B202" s="1130"/>
      <c r="C202" s="1130"/>
      <c r="D202" s="1130"/>
      <c r="E202" s="1130"/>
      <c r="F202" s="1130"/>
      <c r="G202" s="1130"/>
      <c r="H202" s="1130"/>
      <c r="I202" s="1130"/>
      <c r="J202" s="1130"/>
      <c r="K202" s="1130"/>
      <c r="L202" s="1130"/>
      <c r="M202" s="1130"/>
      <c r="N202" s="1130"/>
      <c r="O202" s="1130"/>
      <c r="P202" s="1130"/>
      <c r="Q202" s="1130"/>
      <c r="R202" s="1130"/>
      <c r="S202" s="1130"/>
      <c r="T202" s="1130"/>
      <c r="U202" s="1130"/>
      <c r="V202" s="1130"/>
      <c r="W202" s="1130"/>
      <c r="X202" s="1130"/>
      <c r="Y202" s="1130"/>
      <c r="Z202" s="1130"/>
    </row>
    <row r="203" spans="1:26" ht="15.75" customHeight="1">
      <c r="A203" s="1130"/>
      <c r="B203" s="1130"/>
      <c r="C203" s="1130"/>
      <c r="D203" s="1130"/>
      <c r="E203" s="1130"/>
      <c r="F203" s="1130"/>
      <c r="G203" s="1130"/>
      <c r="H203" s="1130"/>
      <c r="I203" s="1130"/>
      <c r="J203" s="1130"/>
      <c r="K203" s="1130"/>
      <c r="L203" s="1130"/>
      <c r="M203" s="1130"/>
      <c r="N203" s="1130"/>
      <c r="O203" s="1130"/>
      <c r="P203" s="1130"/>
      <c r="Q203" s="1130"/>
      <c r="R203" s="1130"/>
      <c r="S203" s="1130"/>
      <c r="T203" s="1130"/>
      <c r="U203" s="1130"/>
      <c r="V203" s="1130"/>
      <c r="W203" s="1130"/>
      <c r="X203" s="1130"/>
      <c r="Y203" s="1130"/>
      <c r="Z203" s="1130"/>
    </row>
    <row r="204" spans="1:26" ht="15.75" customHeight="1">
      <c r="A204" s="1130"/>
      <c r="B204" s="1130"/>
      <c r="C204" s="1130"/>
      <c r="D204" s="1130"/>
      <c r="E204" s="1130"/>
      <c r="F204" s="1130"/>
      <c r="G204" s="1130"/>
      <c r="H204" s="1130"/>
      <c r="I204" s="1130"/>
      <c r="J204" s="1130"/>
      <c r="K204" s="1130"/>
      <c r="L204" s="1130"/>
      <c r="M204" s="1130"/>
      <c r="N204" s="1130"/>
      <c r="O204" s="1130"/>
      <c r="P204" s="1130"/>
      <c r="Q204" s="1130"/>
      <c r="R204" s="1130"/>
      <c r="S204" s="1130"/>
      <c r="T204" s="1130"/>
      <c r="U204" s="1130"/>
      <c r="V204" s="1130"/>
      <c r="W204" s="1130"/>
      <c r="X204" s="1130"/>
      <c r="Y204" s="1130"/>
      <c r="Z204" s="1130"/>
    </row>
    <row r="205" spans="1:26" ht="15.75" customHeight="1">
      <c r="A205" s="1130"/>
      <c r="B205" s="1130"/>
      <c r="C205" s="1130"/>
      <c r="D205" s="1130"/>
      <c r="E205" s="1130"/>
      <c r="F205" s="1130"/>
      <c r="G205" s="1130"/>
      <c r="H205" s="1130"/>
      <c r="I205" s="1130"/>
      <c r="J205" s="1130"/>
      <c r="K205" s="1130"/>
      <c r="L205" s="1130"/>
      <c r="M205" s="1130"/>
      <c r="N205" s="1130"/>
      <c r="O205" s="1130"/>
      <c r="P205" s="1130"/>
      <c r="Q205" s="1130"/>
      <c r="R205" s="1130"/>
      <c r="S205" s="1130"/>
      <c r="T205" s="1130"/>
      <c r="U205" s="1130"/>
      <c r="V205" s="1130"/>
      <c r="W205" s="1130"/>
      <c r="X205" s="1130"/>
      <c r="Y205" s="1130"/>
      <c r="Z205" s="1130"/>
    </row>
    <row r="206" spans="1:26" ht="15.75" customHeight="1">
      <c r="A206" s="1130"/>
      <c r="B206" s="1130"/>
      <c r="C206" s="1130"/>
      <c r="D206" s="1130"/>
      <c r="E206" s="1130"/>
      <c r="F206" s="1130"/>
      <c r="G206" s="1130"/>
      <c r="H206" s="1130"/>
      <c r="I206" s="1130"/>
      <c r="J206" s="1130"/>
      <c r="K206" s="1130"/>
      <c r="L206" s="1130"/>
      <c r="M206" s="1130"/>
      <c r="N206" s="1130"/>
      <c r="O206" s="1130"/>
      <c r="P206" s="1130"/>
      <c r="Q206" s="1130"/>
      <c r="R206" s="1130"/>
      <c r="S206" s="1130"/>
      <c r="T206" s="1130"/>
      <c r="U206" s="1130"/>
      <c r="V206" s="1130"/>
      <c r="W206" s="1130"/>
      <c r="X206" s="1130"/>
      <c r="Y206" s="1130"/>
      <c r="Z206" s="1130"/>
    </row>
    <row r="207" spans="1:26" ht="15.75" customHeight="1">
      <c r="A207" s="1130"/>
      <c r="B207" s="1130"/>
      <c r="C207" s="1130"/>
      <c r="D207" s="1130"/>
      <c r="E207" s="1130"/>
      <c r="F207" s="1130"/>
      <c r="G207" s="1130"/>
      <c r="H207" s="1130"/>
      <c r="I207" s="1130"/>
      <c r="J207" s="1130"/>
      <c r="K207" s="1130"/>
      <c r="L207" s="1130"/>
      <c r="M207" s="1130"/>
      <c r="N207" s="1130"/>
      <c r="O207" s="1130"/>
      <c r="P207" s="1130"/>
      <c r="Q207" s="1130"/>
      <c r="R207" s="1130"/>
      <c r="S207" s="1130"/>
      <c r="T207" s="1130"/>
      <c r="U207" s="1130"/>
      <c r="V207" s="1130"/>
      <c r="W207" s="1130"/>
      <c r="X207" s="1130"/>
      <c r="Y207" s="1130"/>
      <c r="Z207" s="1130"/>
    </row>
    <row r="208" spans="1:26" ht="15.75" customHeight="1">
      <c r="A208" s="1130"/>
      <c r="B208" s="1130"/>
      <c r="C208" s="1130"/>
      <c r="D208" s="1130"/>
      <c r="E208" s="1130"/>
      <c r="F208" s="1130"/>
      <c r="G208" s="1130"/>
      <c r="H208" s="1130"/>
      <c r="I208" s="1130"/>
      <c r="J208" s="1130"/>
      <c r="K208" s="1130"/>
      <c r="L208" s="1130"/>
      <c r="M208" s="1130"/>
      <c r="N208" s="1130"/>
      <c r="O208" s="1130"/>
      <c r="P208" s="1130"/>
      <c r="Q208" s="1130"/>
      <c r="R208" s="1130"/>
      <c r="S208" s="1130"/>
      <c r="T208" s="1130"/>
      <c r="U208" s="1130"/>
      <c r="V208" s="1130"/>
      <c r="W208" s="1130"/>
      <c r="X208" s="1130"/>
      <c r="Y208" s="1130"/>
      <c r="Z208" s="1130"/>
    </row>
    <row r="209" spans="1:26" ht="15.75" customHeight="1">
      <c r="A209" s="1130"/>
      <c r="B209" s="1130"/>
      <c r="C209" s="1130"/>
      <c r="D209" s="1130"/>
      <c r="E209" s="1130"/>
      <c r="F209" s="1130"/>
      <c r="G209" s="1130"/>
      <c r="H209" s="1130"/>
      <c r="I209" s="1130"/>
      <c r="J209" s="1130"/>
      <c r="K209" s="1130"/>
      <c r="L209" s="1130"/>
      <c r="M209" s="1130"/>
      <c r="N209" s="1130"/>
      <c r="O209" s="1130"/>
      <c r="P209" s="1130"/>
      <c r="Q209" s="1130"/>
      <c r="R209" s="1130"/>
      <c r="S209" s="1130"/>
      <c r="T209" s="1130"/>
      <c r="U209" s="1130"/>
      <c r="V209" s="1130"/>
      <c r="W209" s="1130"/>
      <c r="X209" s="1130"/>
      <c r="Y209" s="1130"/>
      <c r="Z209" s="1130"/>
    </row>
    <row r="210" spans="1:26" ht="15.75" customHeight="1">
      <c r="A210" s="1130"/>
      <c r="B210" s="1130"/>
      <c r="C210" s="1130"/>
      <c r="D210" s="1130"/>
      <c r="E210" s="1130"/>
      <c r="F210" s="1130"/>
      <c r="G210" s="1130"/>
      <c r="H210" s="1130"/>
      <c r="I210" s="1130"/>
      <c r="J210" s="1130"/>
      <c r="K210" s="1130"/>
      <c r="L210" s="1130"/>
      <c r="M210" s="1130"/>
      <c r="N210" s="1130"/>
      <c r="O210" s="1130"/>
      <c r="P210" s="1130"/>
      <c r="Q210" s="1130"/>
      <c r="R210" s="1130"/>
      <c r="S210" s="1130"/>
      <c r="T210" s="1130"/>
      <c r="U210" s="1130"/>
      <c r="V210" s="1130"/>
      <c r="W210" s="1130"/>
      <c r="X210" s="1130"/>
      <c r="Y210" s="1130"/>
      <c r="Z210" s="1130"/>
    </row>
    <row r="211" spans="1:26" ht="15.75" customHeight="1">
      <c r="A211" s="1130"/>
      <c r="B211" s="1130"/>
      <c r="C211" s="1130"/>
      <c r="D211" s="1130"/>
      <c r="E211" s="1130"/>
      <c r="F211" s="1130"/>
      <c r="G211" s="1130"/>
      <c r="H211" s="1130"/>
      <c r="I211" s="1130"/>
      <c r="J211" s="1130"/>
      <c r="K211" s="1130"/>
      <c r="L211" s="1130"/>
      <c r="M211" s="1130"/>
      <c r="N211" s="1130"/>
      <c r="O211" s="1130"/>
      <c r="P211" s="1130"/>
      <c r="Q211" s="1130"/>
      <c r="R211" s="1130"/>
      <c r="S211" s="1130"/>
      <c r="T211" s="1130"/>
      <c r="U211" s="1130"/>
      <c r="V211" s="1130"/>
      <c r="W211" s="1130"/>
      <c r="X211" s="1130"/>
      <c r="Y211" s="1130"/>
      <c r="Z211" s="1130"/>
    </row>
    <row r="212" spans="1:26" ht="15.75" customHeight="1">
      <c r="A212" s="1130"/>
      <c r="B212" s="1130"/>
      <c r="C212" s="1130"/>
      <c r="D212" s="1130"/>
      <c r="E212" s="1130"/>
      <c r="F212" s="1130"/>
      <c r="G212" s="1130"/>
      <c r="H212" s="1130"/>
      <c r="I212" s="1130"/>
      <c r="J212" s="1130"/>
      <c r="K212" s="1130"/>
      <c r="L212" s="1130"/>
      <c r="M212" s="1130"/>
      <c r="N212" s="1130"/>
      <c r="O212" s="1130"/>
      <c r="P212" s="1130"/>
      <c r="Q212" s="1130"/>
      <c r="R212" s="1130"/>
      <c r="S212" s="1130"/>
      <c r="T212" s="1130"/>
      <c r="U212" s="1130"/>
      <c r="V212" s="1130"/>
      <c r="W212" s="1130"/>
      <c r="X212" s="1130"/>
      <c r="Y212" s="1130"/>
      <c r="Z212" s="1130"/>
    </row>
    <row r="213" spans="1:26" ht="15.75" customHeight="1">
      <c r="A213" s="1130"/>
      <c r="B213" s="1130"/>
      <c r="C213" s="1130"/>
      <c r="D213" s="1130"/>
      <c r="E213" s="1130"/>
      <c r="F213" s="1130"/>
      <c r="G213" s="1130"/>
      <c r="H213" s="1130"/>
      <c r="I213" s="1130"/>
      <c r="J213" s="1130"/>
      <c r="K213" s="1130"/>
      <c r="L213" s="1130"/>
      <c r="M213" s="1130"/>
      <c r="N213" s="1130"/>
      <c r="O213" s="1130"/>
      <c r="P213" s="1130"/>
      <c r="Q213" s="1130"/>
      <c r="R213" s="1130"/>
      <c r="S213" s="1130"/>
      <c r="T213" s="1130"/>
      <c r="U213" s="1130"/>
      <c r="V213" s="1130"/>
      <c r="W213" s="1130"/>
      <c r="X213" s="1130"/>
      <c r="Y213" s="1130"/>
      <c r="Z213" s="1130"/>
    </row>
    <row r="214" spans="1:26" ht="15.75" customHeight="1">
      <c r="A214" s="1130"/>
      <c r="B214" s="1130"/>
      <c r="C214" s="1130"/>
      <c r="D214" s="1130"/>
      <c r="E214" s="1130"/>
      <c r="F214" s="1130"/>
      <c r="G214" s="1130"/>
      <c r="H214" s="1130"/>
      <c r="I214" s="1130"/>
      <c r="J214" s="1130"/>
      <c r="K214" s="1130"/>
      <c r="L214" s="1130"/>
      <c r="M214" s="1130"/>
      <c r="N214" s="1130"/>
      <c r="O214" s="1130"/>
      <c r="P214" s="1130"/>
      <c r="Q214" s="1130"/>
      <c r="R214" s="1130"/>
      <c r="S214" s="1130"/>
      <c r="T214" s="1130"/>
      <c r="U214" s="1130"/>
      <c r="V214" s="1130"/>
      <c r="W214" s="1130"/>
      <c r="X214" s="1130"/>
      <c r="Y214" s="1130"/>
      <c r="Z214" s="1130"/>
    </row>
    <row r="215" spans="1:26" ht="15.75" customHeight="1">
      <c r="A215" s="1130"/>
      <c r="B215" s="1130"/>
      <c r="C215" s="1130"/>
      <c r="D215" s="1130"/>
      <c r="E215" s="1130"/>
      <c r="F215" s="1130"/>
      <c r="G215" s="1130"/>
      <c r="H215" s="1130"/>
      <c r="I215" s="1130"/>
      <c r="J215" s="1130"/>
      <c r="K215" s="1130"/>
      <c r="L215" s="1130"/>
      <c r="M215" s="1130"/>
      <c r="N215" s="1130"/>
      <c r="O215" s="1130"/>
      <c r="P215" s="1130"/>
      <c r="Q215" s="1130"/>
      <c r="R215" s="1130"/>
      <c r="S215" s="1130"/>
      <c r="T215" s="1130"/>
      <c r="U215" s="1130"/>
      <c r="V215" s="1130"/>
      <c r="W215" s="1130"/>
      <c r="X215" s="1130"/>
      <c r="Y215" s="1130"/>
      <c r="Z215" s="1130"/>
    </row>
    <row r="216" spans="1:26" ht="15.75" customHeight="1">
      <c r="A216" s="1130"/>
      <c r="B216" s="1130"/>
      <c r="C216" s="1130"/>
      <c r="D216" s="1130"/>
      <c r="E216" s="1130"/>
      <c r="F216" s="1130"/>
      <c r="G216" s="1130"/>
      <c r="H216" s="1130"/>
      <c r="I216" s="1130"/>
      <c r="J216" s="1130"/>
      <c r="K216" s="1130"/>
      <c r="L216" s="1130"/>
      <c r="M216" s="1130"/>
      <c r="N216" s="1130"/>
      <c r="O216" s="1130"/>
      <c r="P216" s="1130"/>
      <c r="Q216" s="1130"/>
      <c r="R216" s="1130"/>
      <c r="S216" s="1130"/>
      <c r="T216" s="1130"/>
      <c r="U216" s="1130"/>
      <c r="V216" s="1130"/>
      <c r="W216" s="1130"/>
      <c r="X216" s="1130"/>
      <c r="Y216" s="1130"/>
      <c r="Z216" s="1130"/>
    </row>
    <row r="217" spans="1:26" ht="15.75" customHeight="1">
      <c r="A217" s="1130"/>
      <c r="B217" s="1130"/>
      <c r="C217" s="1130"/>
      <c r="D217" s="1130"/>
      <c r="E217" s="1130"/>
      <c r="F217" s="1130"/>
      <c r="G217" s="1130"/>
      <c r="H217" s="1130"/>
      <c r="I217" s="1130"/>
      <c r="J217" s="1130"/>
      <c r="K217" s="1130"/>
      <c r="L217" s="1130"/>
      <c r="M217" s="1130"/>
      <c r="N217" s="1130"/>
      <c r="O217" s="1130"/>
      <c r="P217" s="1130"/>
      <c r="Q217" s="1130"/>
      <c r="R217" s="1130"/>
      <c r="S217" s="1130"/>
      <c r="T217" s="1130"/>
      <c r="U217" s="1130"/>
      <c r="V217" s="1130"/>
      <c r="W217" s="1130"/>
      <c r="X217" s="1130"/>
      <c r="Y217" s="1130"/>
      <c r="Z217" s="1130"/>
    </row>
    <row r="218" spans="1:26" ht="15.75" customHeight="1">
      <c r="A218" s="1130"/>
      <c r="B218" s="1130"/>
      <c r="C218" s="1130"/>
      <c r="D218" s="1130"/>
      <c r="E218" s="1130"/>
      <c r="F218" s="1130"/>
      <c r="G218" s="1130"/>
      <c r="H218" s="1130"/>
      <c r="I218" s="1130"/>
      <c r="J218" s="1130"/>
      <c r="K218" s="1130"/>
      <c r="L218" s="1130"/>
      <c r="M218" s="1130"/>
      <c r="N218" s="1130"/>
      <c r="O218" s="1130"/>
      <c r="P218" s="1130"/>
      <c r="Q218" s="1130"/>
      <c r="R218" s="1130"/>
      <c r="S218" s="1130"/>
      <c r="T218" s="1130"/>
      <c r="U218" s="1130"/>
      <c r="V218" s="1130"/>
      <c r="W218" s="1130"/>
      <c r="X218" s="1130"/>
      <c r="Y218" s="1130"/>
      <c r="Z218" s="1130"/>
    </row>
    <row r="219" spans="1:26" ht="15.75" customHeight="1">
      <c r="A219" s="1130"/>
      <c r="B219" s="1130"/>
      <c r="C219" s="1130"/>
      <c r="D219" s="1130"/>
      <c r="E219" s="1130"/>
      <c r="F219" s="1130"/>
      <c r="G219" s="1130"/>
      <c r="H219" s="1130"/>
      <c r="I219" s="1130"/>
      <c r="J219" s="1130"/>
      <c r="K219" s="1130"/>
      <c r="L219" s="1130"/>
      <c r="M219" s="1130"/>
      <c r="N219" s="1130"/>
      <c r="O219" s="1130"/>
      <c r="P219" s="1130"/>
      <c r="Q219" s="1130"/>
      <c r="R219" s="1130"/>
      <c r="S219" s="1130"/>
      <c r="T219" s="1130"/>
      <c r="U219" s="1130"/>
      <c r="V219" s="1130"/>
      <c r="W219" s="1130"/>
      <c r="X219" s="1130"/>
      <c r="Y219" s="1130"/>
      <c r="Z219" s="1130"/>
    </row>
    <row r="220" spans="1:26" ht="15.75" customHeight="1">
      <c r="A220" s="1130"/>
      <c r="B220" s="1130"/>
      <c r="C220" s="1130"/>
      <c r="D220" s="1130"/>
      <c r="E220" s="1130"/>
      <c r="F220" s="1130"/>
      <c r="G220" s="1130"/>
      <c r="H220" s="1130"/>
      <c r="I220" s="1130"/>
      <c r="J220" s="1130"/>
      <c r="K220" s="1130"/>
      <c r="L220" s="1130"/>
      <c r="M220" s="1130"/>
      <c r="N220" s="1130"/>
      <c r="O220" s="1130"/>
      <c r="P220" s="1130"/>
      <c r="Q220" s="1130"/>
      <c r="R220" s="1130"/>
      <c r="S220" s="1130"/>
      <c r="T220" s="1130"/>
      <c r="U220" s="1130"/>
      <c r="V220" s="1130"/>
      <c r="W220" s="1130"/>
      <c r="X220" s="1130"/>
      <c r="Y220" s="1130"/>
      <c r="Z220" s="1130"/>
    </row>
    <row r="221" spans="1:26" ht="15.75" customHeight="1">
      <c r="A221" s="1130"/>
      <c r="B221" s="1130"/>
      <c r="C221" s="1130"/>
      <c r="D221" s="1130"/>
      <c r="E221" s="1130"/>
      <c r="F221" s="1130"/>
      <c r="G221" s="1130"/>
      <c r="H221" s="1130"/>
      <c r="I221" s="1130"/>
      <c r="J221" s="1130"/>
      <c r="K221" s="1130"/>
      <c r="L221" s="1130"/>
      <c r="M221" s="1130"/>
      <c r="N221" s="1130"/>
      <c r="O221" s="1130"/>
      <c r="P221" s="1130"/>
      <c r="Q221" s="1130"/>
      <c r="R221" s="1130"/>
      <c r="S221" s="1130"/>
      <c r="T221" s="1130"/>
      <c r="U221" s="1130"/>
      <c r="V221" s="1130"/>
      <c r="W221" s="1130"/>
      <c r="X221" s="1130"/>
      <c r="Y221" s="1130"/>
      <c r="Z221" s="1130"/>
    </row>
    <row r="222" spans="1:26" ht="15.75" customHeight="1">
      <c r="A222" s="1130"/>
      <c r="B222" s="1130"/>
      <c r="C222" s="1130"/>
      <c r="D222" s="1130"/>
      <c r="E222" s="1130"/>
      <c r="F222" s="1130"/>
      <c r="G222" s="1130"/>
      <c r="H222" s="1130"/>
      <c r="I222" s="1130"/>
      <c r="J222" s="1130"/>
      <c r="K222" s="1130"/>
      <c r="L222" s="1130"/>
      <c r="M222" s="1130"/>
      <c r="N222" s="1130"/>
      <c r="O222" s="1130"/>
      <c r="P222" s="1130"/>
      <c r="Q222" s="1130"/>
      <c r="R222" s="1130"/>
      <c r="S222" s="1130"/>
      <c r="T222" s="1130"/>
      <c r="U222" s="1130"/>
      <c r="V222" s="1130"/>
      <c r="W222" s="1130"/>
      <c r="X222" s="1130"/>
      <c r="Y222" s="1130"/>
      <c r="Z222" s="1130"/>
    </row>
    <row r="223" spans="1:26" ht="15.75" customHeight="1">
      <c r="A223" s="1130"/>
      <c r="B223" s="1130"/>
      <c r="C223" s="1130"/>
      <c r="D223" s="1130"/>
      <c r="E223" s="1130"/>
      <c r="F223" s="1130"/>
      <c r="G223" s="1130"/>
      <c r="H223" s="1130"/>
      <c r="I223" s="1130"/>
      <c r="J223" s="1130"/>
      <c r="K223" s="1130"/>
      <c r="L223" s="1130"/>
      <c r="M223" s="1130"/>
      <c r="N223" s="1130"/>
      <c r="O223" s="1130"/>
      <c r="P223" s="1130"/>
      <c r="Q223" s="1130"/>
      <c r="R223" s="1130"/>
      <c r="S223" s="1130"/>
      <c r="T223" s="1130"/>
      <c r="U223" s="1130"/>
      <c r="V223" s="1130"/>
      <c r="W223" s="1130"/>
      <c r="X223" s="1130"/>
      <c r="Y223" s="1130"/>
      <c r="Z223" s="1130"/>
    </row>
    <row r="224" spans="1:26" ht="15.75" customHeight="1">
      <c r="A224" s="1130"/>
      <c r="B224" s="1130"/>
      <c r="C224" s="1130"/>
      <c r="D224" s="1130"/>
      <c r="E224" s="1130"/>
      <c r="F224" s="1130"/>
      <c r="G224" s="1130"/>
      <c r="H224" s="1130"/>
      <c r="I224" s="1130"/>
      <c r="J224" s="1130"/>
      <c r="K224" s="1130"/>
      <c r="L224" s="1130"/>
      <c r="M224" s="1130"/>
      <c r="N224" s="1130"/>
      <c r="O224" s="1130"/>
      <c r="P224" s="1130"/>
      <c r="Q224" s="1130"/>
      <c r="R224" s="1130"/>
      <c r="S224" s="1130"/>
      <c r="T224" s="1130"/>
      <c r="U224" s="1130"/>
      <c r="V224" s="1130"/>
      <c r="W224" s="1130"/>
      <c r="X224" s="1130"/>
      <c r="Y224" s="1130"/>
      <c r="Z224" s="1130"/>
    </row>
    <row r="225" spans="1:26" ht="15.75" customHeight="1">
      <c r="A225" s="1130"/>
      <c r="B225" s="1130"/>
      <c r="C225" s="1130"/>
      <c r="D225" s="1130"/>
      <c r="E225" s="1130"/>
      <c r="F225" s="1130"/>
      <c r="G225" s="1130"/>
      <c r="H225" s="1130"/>
      <c r="I225" s="1130"/>
      <c r="J225" s="1130"/>
      <c r="K225" s="1130"/>
      <c r="L225" s="1130"/>
      <c r="M225" s="1130"/>
      <c r="N225" s="1130"/>
      <c r="O225" s="1130"/>
      <c r="P225" s="1130"/>
      <c r="Q225" s="1130"/>
      <c r="R225" s="1130"/>
      <c r="S225" s="1130"/>
      <c r="T225" s="1130"/>
      <c r="U225" s="1130"/>
      <c r="V225" s="1130"/>
      <c r="W225" s="1130"/>
      <c r="X225" s="1130"/>
      <c r="Y225" s="1130"/>
      <c r="Z225" s="1130"/>
    </row>
    <row r="226" spans="1:26" ht="15.75" customHeight="1">
      <c r="A226" s="1130"/>
      <c r="B226" s="1130"/>
      <c r="C226" s="1130"/>
      <c r="D226" s="1130"/>
      <c r="E226" s="1130"/>
      <c r="F226" s="1130"/>
      <c r="G226" s="1130"/>
      <c r="H226" s="1130"/>
      <c r="I226" s="1130"/>
      <c r="J226" s="1130"/>
      <c r="K226" s="1130"/>
      <c r="L226" s="1130"/>
      <c r="M226" s="1130"/>
      <c r="N226" s="1130"/>
      <c r="O226" s="1130"/>
      <c r="P226" s="1130"/>
      <c r="Q226" s="1130"/>
      <c r="R226" s="1130"/>
      <c r="S226" s="1130"/>
      <c r="T226" s="1130"/>
      <c r="U226" s="1130"/>
      <c r="V226" s="1130"/>
      <c r="W226" s="1130"/>
      <c r="X226" s="1130"/>
      <c r="Y226" s="1130"/>
      <c r="Z226" s="1130"/>
    </row>
    <row r="227" spans="1:26" ht="15.75" customHeight="1">
      <c r="A227" s="1130"/>
      <c r="B227" s="1130"/>
      <c r="C227" s="1130"/>
      <c r="D227" s="1130"/>
      <c r="E227" s="1130"/>
      <c r="F227" s="1130"/>
      <c r="G227" s="1130"/>
      <c r="H227" s="1130"/>
      <c r="I227" s="1130"/>
      <c r="J227" s="1130"/>
      <c r="K227" s="1130"/>
      <c r="L227" s="1130"/>
      <c r="M227" s="1130"/>
      <c r="N227" s="1130"/>
      <c r="O227" s="1130"/>
      <c r="P227" s="1130"/>
      <c r="Q227" s="1130"/>
      <c r="R227" s="1130"/>
      <c r="S227" s="1130"/>
      <c r="T227" s="1130"/>
      <c r="U227" s="1130"/>
      <c r="V227" s="1130"/>
      <c r="W227" s="1130"/>
      <c r="X227" s="1130"/>
      <c r="Y227" s="1130"/>
      <c r="Z227" s="1130"/>
    </row>
    <row r="228" spans="1:26" ht="15.75" customHeight="1">
      <c r="A228" s="1130"/>
      <c r="B228" s="1130"/>
      <c r="C228" s="1130"/>
      <c r="D228" s="1130"/>
      <c r="E228" s="1130"/>
      <c r="F228" s="1130"/>
      <c r="G228" s="1130"/>
      <c r="H228" s="1130"/>
      <c r="I228" s="1130"/>
      <c r="J228" s="1130"/>
      <c r="K228" s="1130"/>
      <c r="L228" s="1130"/>
      <c r="M228" s="1130"/>
      <c r="N228" s="1130"/>
      <c r="O228" s="1130"/>
      <c r="P228" s="1130"/>
      <c r="Q228" s="1130"/>
      <c r="R228" s="1130"/>
      <c r="S228" s="1130"/>
      <c r="T228" s="1130"/>
      <c r="U228" s="1130"/>
      <c r="V228" s="1130"/>
      <c r="W228" s="1130"/>
      <c r="X228" s="1130"/>
      <c r="Y228" s="1130"/>
      <c r="Z228" s="1130"/>
    </row>
    <row r="229" spans="1:26" ht="15.75" customHeight="1">
      <c r="A229" s="1130"/>
      <c r="B229" s="1130"/>
      <c r="C229" s="1130"/>
      <c r="D229" s="1130"/>
      <c r="E229" s="1130"/>
      <c r="F229" s="1130"/>
      <c r="G229" s="1130"/>
      <c r="H229" s="1130"/>
      <c r="I229" s="1130"/>
      <c r="J229" s="1130"/>
      <c r="K229" s="1130"/>
      <c r="L229" s="1130"/>
      <c r="M229" s="1130"/>
      <c r="N229" s="1130"/>
      <c r="O229" s="1130"/>
      <c r="P229" s="1130"/>
      <c r="Q229" s="1130"/>
      <c r="R229" s="1130"/>
      <c r="S229" s="1130"/>
      <c r="T229" s="1130"/>
      <c r="U229" s="1130"/>
      <c r="V229" s="1130"/>
      <c r="W229" s="1130"/>
      <c r="X229" s="1130"/>
      <c r="Y229" s="1130"/>
      <c r="Z229" s="1130"/>
    </row>
    <row r="230" spans="1:26" ht="15.75" customHeight="1">
      <c r="A230" s="1130"/>
      <c r="B230" s="1130"/>
      <c r="C230" s="1130"/>
      <c r="D230" s="1130"/>
      <c r="E230" s="1130"/>
      <c r="F230" s="1130"/>
      <c r="G230" s="1130"/>
      <c r="H230" s="1130"/>
      <c r="I230" s="1130"/>
      <c r="J230" s="1130"/>
      <c r="K230" s="1130"/>
      <c r="L230" s="1130"/>
      <c r="M230" s="1130"/>
      <c r="N230" s="1130"/>
      <c r="O230" s="1130"/>
      <c r="P230" s="1130"/>
      <c r="Q230" s="1130"/>
      <c r="R230" s="1130"/>
      <c r="S230" s="1130"/>
      <c r="T230" s="1130"/>
      <c r="U230" s="1130"/>
      <c r="V230" s="1130"/>
      <c r="W230" s="1130"/>
      <c r="X230" s="1130"/>
      <c r="Y230" s="1130"/>
      <c r="Z230" s="1130"/>
    </row>
    <row r="231" spans="1:26" ht="15.75" customHeight="1">
      <c r="A231" s="1130"/>
      <c r="B231" s="1130"/>
      <c r="C231" s="1130"/>
      <c r="D231" s="1130"/>
      <c r="E231" s="1130"/>
      <c r="F231" s="1130"/>
      <c r="G231" s="1130"/>
      <c r="H231" s="1130"/>
      <c r="I231" s="1130"/>
      <c r="J231" s="1130"/>
      <c r="K231" s="1130"/>
      <c r="L231" s="1130"/>
      <c r="M231" s="1130"/>
      <c r="N231" s="1130"/>
      <c r="O231" s="1130"/>
      <c r="P231" s="1130"/>
      <c r="Q231" s="1130"/>
      <c r="R231" s="1130"/>
      <c r="S231" s="1130"/>
      <c r="T231" s="1130"/>
      <c r="U231" s="1130"/>
      <c r="V231" s="1130"/>
      <c r="W231" s="1130"/>
      <c r="X231" s="1130"/>
      <c r="Y231" s="1130"/>
      <c r="Z231" s="1130"/>
    </row>
    <row r="232" spans="1:26" ht="15.75" customHeight="1">
      <c r="A232" s="1130"/>
      <c r="B232" s="1130"/>
      <c r="C232" s="1130"/>
      <c r="D232" s="1130"/>
      <c r="E232" s="1130"/>
      <c r="F232" s="1130"/>
      <c r="G232" s="1130"/>
      <c r="H232" s="1130"/>
      <c r="I232" s="1130"/>
      <c r="J232" s="1130"/>
      <c r="K232" s="1130"/>
      <c r="L232" s="1130"/>
      <c r="M232" s="1130"/>
      <c r="N232" s="1130"/>
      <c r="O232" s="1130"/>
      <c r="P232" s="1130"/>
      <c r="Q232" s="1130"/>
      <c r="R232" s="1130"/>
      <c r="S232" s="1130"/>
      <c r="T232" s="1130"/>
      <c r="U232" s="1130"/>
      <c r="V232" s="1130"/>
      <c r="W232" s="1130"/>
      <c r="X232" s="1130"/>
      <c r="Y232" s="1130"/>
      <c r="Z232" s="1130"/>
    </row>
    <row r="233" spans="1:26" ht="15.75" customHeight="1">
      <c r="A233" s="1130"/>
      <c r="B233" s="1130"/>
      <c r="C233" s="1130"/>
      <c r="D233" s="1130"/>
      <c r="E233" s="1130"/>
      <c r="F233" s="1130"/>
      <c r="G233" s="1130"/>
      <c r="H233" s="1130"/>
      <c r="I233" s="1130"/>
      <c r="J233" s="1130"/>
      <c r="K233" s="1130"/>
      <c r="L233" s="1130"/>
      <c r="M233" s="1130"/>
      <c r="N233" s="1130"/>
      <c r="O233" s="1130"/>
      <c r="P233" s="1130"/>
      <c r="Q233" s="1130"/>
      <c r="R233" s="1130"/>
      <c r="S233" s="1130"/>
      <c r="T233" s="1130"/>
      <c r="U233" s="1130"/>
      <c r="V233" s="1130"/>
      <c r="W233" s="1130"/>
      <c r="X233" s="1130"/>
      <c r="Y233" s="1130"/>
      <c r="Z233" s="1130"/>
    </row>
    <row r="234" spans="1:26" ht="15.75" customHeight="1">
      <c r="A234" s="1130"/>
      <c r="B234" s="1130"/>
      <c r="C234" s="1130"/>
      <c r="D234" s="1130"/>
      <c r="E234" s="1130"/>
      <c r="F234" s="1130"/>
      <c r="G234" s="1130"/>
      <c r="H234" s="1130"/>
      <c r="I234" s="1130"/>
      <c r="J234" s="1130"/>
      <c r="K234" s="1130"/>
      <c r="L234" s="1130"/>
      <c r="M234" s="1130"/>
      <c r="N234" s="1130"/>
      <c r="O234" s="1130"/>
      <c r="P234" s="1130"/>
      <c r="Q234" s="1130"/>
      <c r="R234" s="1130"/>
      <c r="S234" s="1130"/>
      <c r="T234" s="1130"/>
      <c r="U234" s="1130"/>
      <c r="V234" s="1130"/>
      <c r="W234" s="1130"/>
      <c r="X234" s="1130"/>
      <c r="Y234" s="1130"/>
      <c r="Z234" s="1130"/>
    </row>
    <row r="235" spans="1:26" ht="15.75" customHeight="1">
      <c r="A235" s="1130"/>
      <c r="B235" s="1130"/>
      <c r="C235" s="1130"/>
      <c r="D235" s="1130"/>
      <c r="E235" s="1130"/>
      <c r="F235" s="1130"/>
      <c r="G235" s="1130"/>
      <c r="H235" s="1130"/>
      <c r="I235" s="1130"/>
      <c r="J235" s="1130"/>
      <c r="K235" s="1130"/>
      <c r="L235" s="1130"/>
      <c r="M235" s="1130"/>
      <c r="N235" s="1130"/>
      <c r="O235" s="1130"/>
      <c r="P235" s="1130"/>
      <c r="Q235" s="1130"/>
      <c r="R235" s="1130"/>
      <c r="S235" s="1130"/>
      <c r="T235" s="1130"/>
      <c r="U235" s="1130"/>
      <c r="V235" s="1130"/>
      <c r="W235" s="1130"/>
      <c r="X235" s="1130"/>
      <c r="Y235" s="1130"/>
      <c r="Z235" s="1130"/>
    </row>
    <row r="236" spans="1:26" ht="15.75" customHeight="1">
      <c r="A236" s="1130"/>
      <c r="B236" s="1130"/>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row>
    <row r="237" spans="1:26" ht="15.75" customHeight="1">
      <c r="A237" s="1130"/>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row>
    <row r="238" spans="1:26" ht="15.75" customHeight="1">
      <c r="A238" s="1130"/>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row>
    <row r="239" spans="1:26" ht="15.75" customHeight="1">
      <c r="A239" s="1130"/>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row>
    <row r="240" spans="1:26" ht="15.75" customHeight="1">
      <c r="A240" s="1130"/>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row>
    <row r="241" spans="1:26" ht="15.75" customHeight="1">
      <c r="A241" s="1130"/>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row>
    <row r="242" spans="1:26" ht="15.75" customHeight="1">
      <c r="A242" s="1130"/>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row>
    <row r="243" spans="1:26" ht="15.75" customHeight="1">
      <c r="A243" s="1130"/>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row>
    <row r="244" spans="1:26" ht="15.75" customHeight="1">
      <c r="A244" s="1130"/>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row>
    <row r="245" spans="1:26" ht="15.75" customHeight="1">
      <c r="A245" s="1130"/>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row>
    <row r="246" spans="1:26" ht="15.75" customHeight="1">
      <c r="A246" s="1130"/>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row>
    <row r="247" spans="1:26" ht="15.75" customHeight="1">
      <c r="A247" s="1130"/>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row>
    <row r="248" spans="1:26" ht="15.75" customHeight="1">
      <c r="A248" s="1130"/>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row>
    <row r="249" spans="1:26" ht="15.75" customHeight="1">
      <c r="A249" s="1130"/>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row>
    <row r="250" spans="1:26" ht="15.75" customHeight="1">
      <c r="A250" s="1130"/>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row>
    <row r="251" spans="1:26" ht="15.75" customHeight="1">
      <c r="A251" s="1130"/>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row>
    <row r="252" spans="1:26" ht="15.75" customHeight="1">
      <c r="A252" s="1130"/>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row>
    <row r="253" spans="1:26" ht="15.75" customHeight="1">
      <c r="A253" s="1130"/>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row>
    <row r="254" spans="1:26" ht="15.75" customHeight="1">
      <c r="A254" s="1130"/>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row>
    <row r="255" spans="1:26" ht="15.75" customHeight="1">
      <c r="A255" s="1130"/>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row>
    <row r="256" spans="1:26" ht="15.75" customHeight="1">
      <c r="A256" s="1130"/>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row>
    <row r="257" spans="1:26" ht="15.75" customHeight="1">
      <c r="A257" s="1130"/>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row>
    <row r="258" spans="1:26" ht="15.75" customHeight="1">
      <c r="A258" s="1130"/>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row>
    <row r="259" spans="1:26" ht="15.75" customHeight="1">
      <c r="A259" s="1130"/>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row>
    <row r="260" spans="1:26" ht="15.75" customHeight="1">
      <c r="A260" s="1130"/>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row>
    <row r="261" spans="1:26" ht="15.75" customHeight="1">
      <c r="A261" s="1130"/>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row>
    <row r="262" spans="1:26" ht="15.75" customHeight="1">
      <c r="A262" s="1130"/>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row>
    <row r="263" spans="1:26" ht="15.75" customHeight="1">
      <c r="A263" s="1130"/>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row>
    <row r="264" spans="1:26" ht="15.75" customHeight="1">
      <c r="A264" s="1130"/>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row>
    <row r="265" spans="1:26" ht="15.75" customHeight="1">
      <c r="A265" s="1130"/>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row>
    <row r="266" spans="1:26" ht="15.75" customHeight="1">
      <c r="A266" s="1130"/>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row>
    <row r="267" spans="1:26" ht="15.75" customHeight="1">
      <c r="A267" s="1130"/>
      <c r="B267" s="1130"/>
      <c r="C267" s="1130"/>
      <c r="D267" s="1130"/>
      <c r="E267" s="1130"/>
      <c r="F267" s="1130"/>
      <c r="G267" s="1130"/>
      <c r="H267" s="1130"/>
      <c r="I267" s="1130"/>
      <c r="J267" s="1130"/>
      <c r="K267" s="1130"/>
      <c r="L267" s="1130"/>
      <c r="M267" s="1130"/>
      <c r="N267" s="1130"/>
      <c r="O267" s="1130"/>
      <c r="P267" s="1130"/>
      <c r="Q267" s="1130"/>
      <c r="R267" s="1130"/>
      <c r="S267" s="1130"/>
      <c r="T267" s="1130"/>
      <c r="U267" s="1130"/>
      <c r="V267" s="1130"/>
      <c r="W267" s="1130"/>
      <c r="X267" s="1130"/>
      <c r="Y267" s="1130"/>
      <c r="Z267" s="1130"/>
    </row>
    <row r="268" spans="1:26" ht="15.75" customHeight="1">
      <c r="A268" s="1130"/>
      <c r="B268" s="1130"/>
      <c r="C268" s="1130"/>
      <c r="D268" s="1130"/>
      <c r="E268" s="1130"/>
      <c r="F268" s="1130"/>
      <c r="G268" s="1130"/>
      <c r="H268" s="1130"/>
      <c r="I268" s="1130"/>
      <c r="J268" s="1130"/>
      <c r="K268" s="1130"/>
      <c r="L268" s="1130"/>
      <c r="M268" s="1130"/>
      <c r="N268" s="1130"/>
      <c r="O268" s="1130"/>
      <c r="P268" s="1130"/>
      <c r="Q268" s="1130"/>
      <c r="R268" s="1130"/>
      <c r="S268" s="1130"/>
      <c r="T268" s="1130"/>
      <c r="U268" s="1130"/>
      <c r="V268" s="1130"/>
      <c r="W268" s="1130"/>
      <c r="X268" s="1130"/>
      <c r="Y268" s="1130"/>
      <c r="Z268" s="1130"/>
    </row>
    <row r="269" spans="1:26" ht="15.75" customHeight="1">
      <c r="A269" s="1130"/>
      <c r="B269" s="1130"/>
      <c r="C269" s="1130"/>
      <c r="D269" s="1130"/>
      <c r="E269" s="1130"/>
      <c r="F269" s="1130"/>
      <c r="G269" s="1130"/>
      <c r="H269" s="1130"/>
      <c r="I269" s="1130"/>
      <c r="J269" s="1130"/>
      <c r="K269" s="1130"/>
      <c r="L269" s="1130"/>
      <c r="M269" s="1130"/>
      <c r="N269" s="1130"/>
      <c r="O269" s="1130"/>
      <c r="P269" s="1130"/>
      <c r="Q269" s="1130"/>
      <c r="R269" s="1130"/>
      <c r="S269" s="1130"/>
      <c r="T269" s="1130"/>
      <c r="U269" s="1130"/>
      <c r="V269" s="1130"/>
      <c r="W269" s="1130"/>
      <c r="X269" s="1130"/>
      <c r="Y269" s="1130"/>
      <c r="Z269" s="1130"/>
    </row>
    <row r="270" spans="1:26" ht="15.75" customHeight="1">
      <c r="A270" s="1130"/>
      <c r="B270" s="1130"/>
      <c r="C270" s="1130"/>
      <c r="D270" s="1130"/>
      <c r="E270" s="1130"/>
      <c r="F270" s="1130"/>
      <c r="G270" s="1130"/>
      <c r="H270" s="1130"/>
      <c r="I270" s="1130"/>
      <c r="J270" s="1130"/>
      <c r="K270" s="1130"/>
      <c r="L270" s="1130"/>
      <c r="M270" s="1130"/>
      <c r="N270" s="1130"/>
      <c r="O270" s="1130"/>
      <c r="P270" s="1130"/>
      <c r="Q270" s="1130"/>
      <c r="R270" s="1130"/>
      <c r="S270" s="1130"/>
      <c r="T270" s="1130"/>
      <c r="U270" s="1130"/>
      <c r="V270" s="1130"/>
      <c r="W270" s="1130"/>
      <c r="X270" s="1130"/>
      <c r="Y270" s="1130"/>
      <c r="Z270" s="1130"/>
    </row>
    <row r="271" spans="1:26" ht="15.75" customHeight="1">
      <c r="A271" s="1130"/>
      <c r="B271" s="1130"/>
      <c r="C271" s="1130"/>
      <c r="D271" s="1130"/>
      <c r="E271" s="1130"/>
      <c r="F271" s="1130"/>
      <c r="G271" s="1130"/>
      <c r="H271" s="1130"/>
      <c r="I271" s="1130"/>
      <c r="J271" s="1130"/>
      <c r="K271" s="1130"/>
      <c r="L271" s="1130"/>
      <c r="M271" s="1130"/>
      <c r="N271" s="1130"/>
      <c r="O271" s="1130"/>
      <c r="P271" s="1130"/>
      <c r="Q271" s="1130"/>
      <c r="R271" s="1130"/>
      <c r="S271" s="1130"/>
      <c r="T271" s="1130"/>
      <c r="U271" s="1130"/>
      <c r="V271" s="1130"/>
      <c r="W271" s="1130"/>
      <c r="X271" s="1130"/>
      <c r="Y271" s="1130"/>
      <c r="Z271" s="1130"/>
    </row>
    <row r="272" spans="1:26" ht="15.75" customHeight="1">
      <c r="A272" s="1130"/>
      <c r="B272" s="1130"/>
      <c r="C272" s="1130"/>
      <c r="D272" s="1130"/>
      <c r="E272" s="1130"/>
      <c r="F272" s="1130"/>
      <c r="G272" s="1130"/>
      <c r="H272" s="1130"/>
      <c r="I272" s="1130"/>
      <c r="J272" s="1130"/>
      <c r="K272" s="1130"/>
      <c r="L272" s="1130"/>
      <c r="M272" s="1130"/>
      <c r="N272" s="1130"/>
      <c r="O272" s="1130"/>
      <c r="P272" s="1130"/>
      <c r="Q272" s="1130"/>
      <c r="R272" s="1130"/>
      <c r="S272" s="1130"/>
      <c r="T272" s="1130"/>
      <c r="U272" s="1130"/>
      <c r="V272" s="1130"/>
      <c r="W272" s="1130"/>
      <c r="X272" s="1130"/>
      <c r="Y272" s="1130"/>
      <c r="Z272" s="1130"/>
    </row>
    <row r="273" spans="1:26" ht="15.75" customHeight="1">
      <c r="A273" s="1130"/>
      <c r="B273" s="1130"/>
      <c r="C273" s="1130"/>
      <c r="D273" s="1130"/>
      <c r="E273" s="1130"/>
      <c r="F273" s="1130"/>
      <c r="G273" s="1130"/>
      <c r="H273" s="1130"/>
      <c r="I273" s="1130"/>
      <c r="J273" s="1130"/>
      <c r="K273" s="1130"/>
      <c r="L273" s="1130"/>
      <c r="M273" s="1130"/>
      <c r="N273" s="1130"/>
      <c r="O273" s="1130"/>
      <c r="P273" s="1130"/>
      <c r="Q273" s="1130"/>
      <c r="R273" s="1130"/>
      <c r="S273" s="1130"/>
      <c r="T273" s="1130"/>
      <c r="U273" s="1130"/>
      <c r="V273" s="1130"/>
      <c r="W273" s="1130"/>
      <c r="X273" s="1130"/>
      <c r="Y273" s="1130"/>
      <c r="Z273" s="1130"/>
    </row>
    <row r="274" spans="1:26" ht="15.75" customHeight="1">
      <c r="A274" s="1130"/>
      <c r="B274" s="1130"/>
      <c r="C274" s="1130"/>
      <c r="D274" s="1130"/>
      <c r="E274" s="1130"/>
      <c r="F274" s="1130"/>
      <c r="G274" s="1130"/>
      <c r="H274" s="1130"/>
      <c r="I274" s="1130"/>
      <c r="J274" s="1130"/>
      <c r="K274" s="1130"/>
      <c r="L274" s="1130"/>
      <c r="M274" s="1130"/>
      <c r="N274" s="1130"/>
      <c r="O274" s="1130"/>
      <c r="P274" s="1130"/>
      <c r="Q274" s="1130"/>
      <c r="R274" s="1130"/>
      <c r="S274" s="1130"/>
      <c r="T274" s="1130"/>
      <c r="U274" s="1130"/>
      <c r="V274" s="1130"/>
      <c r="W274" s="1130"/>
      <c r="X274" s="1130"/>
      <c r="Y274" s="1130"/>
      <c r="Z274" s="1130"/>
    </row>
    <row r="275" spans="1:26" ht="15.75" customHeight="1">
      <c r="A275" s="1130"/>
      <c r="B275" s="1130"/>
      <c r="C275" s="1130"/>
      <c r="D275" s="1130"/>
      <c r="E275" s="1130"/>
      <c r="F275" s="1130"/>
      <c r="G275" s="1130"/>
      <c r="H275" s="1130"/>
      <c r="I275" s="1130"/>
      <c r="J275" s="1130"/>
      <c r="K275" s="1130"/>
      <c r="L275" s="1130"/>
      <c r="M275" s="1130"/>
      <c r="N275" s="1130"/>
      <c r="O275" s="1130"/>
      <c r="P275" s="1130"/>
      <c r="Q275" s="1130"/>
      <c r="R275" s="1130"/>
      <c r="S275" s="1130"/>
      <c r="T275" s="1130"/>
      <c r="U275" s="1130"/>
      <c r="V275" s="1130"/>
      <c r="W275" s="1130"/>
      <c r="X275" s="1130"/>
      <c r="Y275" s="1130"/>
      <c r="Z275" s="1130"/>
    </row>
    <row r="276" spans="1:26" ht="15.75" customHeight="1">
      <c r="A276" s="1130"/>
      <c r="B276" s="1130"/>
      <c r="C276" s="1130"/>
      <c r="D276" s="1130"/>
      <c r="E276" s="1130"/>
      <c r="F276" s="1130"/>
      <c r="G276" s="1130"/>
      <c r="H276" s="1130"/>
      <c r="I276" s="1130"/>
      <c r="J276" s="1130"/>
      <c r="K276" s="1130"/>
      <c r="L276" s="1130"/>
      <c r="M276" s="1130"/>
      <c r="N276" s="1130"/>
      <c r="O276" s="1130"/>
      <c r="P276" s="1130"/>
      <c r="Q276" s="1130"/>
      <c r="R276" s="1130"/>
      <c r="S276" s="1130"/>
      <c r="T276" s="1130"/>
      <c r="U276" s="1130"/>
      <c r="V276" s="1130"/>
      <c r="W276" s="1130"/>
      <c r="X276" s="1130"/>
      <c r="Y276" s="1130"/>
      <c r="Z276" s="1130"/>
    </row>
    <row r="277" spans="1:26" ht="15.75" customHeight="1">
      <c r="A277" s="1130"/>
      <c r="B277" s="1130"/>
      <c r="C277" s="1130"/>
      <c r="D277" s="1130"/>
      <c r="E277" s="1130"/>
      <c r="F277" s="1130"/>
      <c r="G277" s="1130"/>
      <c r="H277" s="1130"/>
      <c r="I277" s="1130"/>
      <c r="J277" s="1130"/>
      <c r="K277" s="1130"/>
      <c r="L277" s="1130"/>
      <c r="M277" s="1130"/>
      <c r="N277" s="1130"/>
      <c r="O277" s="1130"/>
      <c r="P277" s="1130"/>
      <c r="Q277" s="1130"/>
      <c r="R277" s="1130"/>
      <c r="S277" s="1130"/>
      <c r="T277" s="1130"/>
      <c r="U277" s="1130"/>
      <c r="V277" s="1130"/>
      <c r="W277" s="1130"/>
      <c r="X277" s="1130"/>
      <c r="Y277" s="1130"/>
      <c r="Z277" s="1130"/>
    </row>
    <row r="278" spans="1:26" ht="15.75" customHeight="1">
      <c r="A278" s="1130"/>
      <c r="B278" s="1130"/>
      <c r="C278" s="1130"/>
      <c r="D278" s="1130"/>
      <c r="E278" s="1130"/>
      <c r="F278" s="1130"/>
      <c r="G278" s="1130"/>
      <c r="H278" s="1130"/>
      <c r="I278" s="1130"/>
      <c r="J278" s="1130"/>
      <c r="K278" s="1130"/>
      <c r="L278" s="1130"/>
      <c r="M278" s="1130"/>
      <c r="N278" s="1130"/>
      <c r="O278" s="1130"/>
      <c r="P278" s="1130"/>
      <c r="Q278" s="1130"/>
      <c r="R278" s="1130"/>
      <c r="S278" s="1130"/>
      <c r="T278" s="1130"/>
      <c r="U278" s="1130"/>
      <c r="V278" s="1130"/>
      <c r="W278" s="1130"/>
      <c r="X278" s="1130"/>
      <c r="Y278" s="1130"/>
      <c r="Z278" s="1130"/>
    </row>
    <row r="279" spans="1:26" ht="15.75" customHeight="1">
      <c r="A279" s="1130"/>
      <c r="B279" s="1130"/>
      <c r="C279" s="1130"/>
      <c r="D279" s="1130"/>
      <c r="E279" s="1130"/>
      <c r="F279" s="1130"/>
      <c r="G279" s="1130"/>
      <c r="H279" s="1130"/>
      <c r="I279" s="1130"/>
      <c r="J279" s="1130"/>
      <c r="K279" s="1130"/>
      <c r="L279" s="1130"/>
      <c r="M279" s="1130"/>
      <c r="N279" s="1130"/>
      <c r="O279" s="1130"/>
      <c r="P279" s="1130"/>
      <c r="Q279" s="1130"/>
      <c r="R279" s="1130"/>
      <c r="S279" s="1130"/>
      <c r="T279" s="1130"/>
      <c r="U279" s="1130"/>
      <c r="V279" s="1130"/>
      <c r="W279" s="1130"/>
      <c r="X279" s="1130"/>
      <c r="Y279" s="1130"/>
      <c r="Z279" s="1130"/>
    </row>
    <row r="280" spans="1:26" ht="15.75" customHeight="1">
      <c r="A280" s="1130"/>
      <c r="B280" s="1130"/>
      <c r="C280" s="1130"/>
      <c r="D280" s="1130"/>
      <c r="E280" s="1130"/>
      <c r="F280" s="1130"/>
      <c r="G280" s="1130"/>
      <c r="H280" s="1130"/>
      <c r="I280" s="1130"/>
      <c r="J280" s="1130"/>
      <c r="K280" s="1130"/>
      <c r="L280" s="1130"/>
      <c r="M280" s="1130"/>
      <c r="N280" s="1130"/>
      <c r="O280" s="1130"/>
      <c r="P280" s="1130"/>
      <c r="Q280" s="1130"/>
      <c r="R280" s="1130"/>
      <c r="S280" s="1130"/>
      <c r="T280" s="1130"/>
      <c r="U280" s="1130"/>
      <c r="V280" s="1130"/>
      <c r="W280" s="1130"/>
      <c r="X280" s="1130"/>
      <c r="Y280" s="1130"/>
      <c r="Z280" s="1130"/>
    </row>
    <row r="281" spans="1:26" ht="15.75" customHeight="1">
      <c r="A281" s="1130"/>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row>
    <row r="282" spans="1:26" ht="15.75" customHeight="1">
      <c r="A282" s="1130"/>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row>
    <row r="283" spans="1:26" ht="15.75" customHeight="1">
      <c r="A283" s="1130"/>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row>
    <row r="284" spans="1:26" ht="15.75" customHeight="1">
      <c r="A284" s="1130"/>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row>
    <row r="285" spans="1:26" ht="15.75" customHeight="1">
      <c r="A285" s="1130"/>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row>
    <row r="286" spans="1:26" ht="15.75" customHeight="1">
      <c r="A286" s="1130"/>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row>
    <row r="287" spans="1:26" ht="15.75" customHeight="1">
      <c r="A287" s="1130"/>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row>
    <row r="288" spans="1:26" ht="15.75" customHeight="1">
      <c r="A288" s="1130"/>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row>
    <row r="289" spans="1:26" ht="15.75" customHeight="1">
      <c r="A289" s="1130"/>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row>
    <row r="290" spans="1:26" ht="15.75" customHeight="1">
      <c r="A290" s="1130"/>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row>
    <row r="291" spans="1:26" ht="15.75" customHeight="1">
      <c r="A291" s="1130"/>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row>
    <row r="292" spans="1:26" ht="15.75" customHeight="1">
      <c r="A292" s="1130"/>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row>
    <row r="293" spans="1:26" ht="15.75" customHeight="1">
      <c r="A293" s="1130"/>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row>
    <row r="294" spans="1:26" ht="15.75" customHeight="1">
      <c r="A294" s="1130"/>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row>
    <row r="295" spans="1:26" ht="15.75" customHeight="1">
      <c r="A295" s="1130"/>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row>
    <row r="296" spans="1:26" ht="15.75" customHeight="1">
      <c r="A296" s="1130"/>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row>
    <row r="297" spans="1:26" ht="15.75" customHeight="1">
      <c r="A297" s="1130"/>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row>
    <row r="298" spans="1:26" ht="15.75" customHeight="1">
      <c r="A298" s="1130"/>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row>
    <row r="299" spans="1:26" ht="15.75" customHeight="1">
      <c r="A299" s="1130"/>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row>
    <row r="300" spans="1:26" ht="15.75" customHeight="1">
      <c r="A300" s="1130"/>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row>
    <row r="301" spans="1:26" ht="15.75" customHeight="1">
      <c r="A301" s="1130"/>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row>
    <row r="302" spans="1:26" ht="15.75" customHeight="1">
      <c r="A302" s="1130"/>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row>
    <row r="303" spans="1:26" ht="15.75" customHeight="1">
      <c r="A303" s="1130"/>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row>
    <row r="304" spans="1:26" ht="15.75" customHeight="1">
      <c r="A304" s="1130"/>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row>
    <row r="305" spans="1:26" ht="15.75" customHeight="1">
      <c r="A305" s="1130"/>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row>
    <row r="306" spans="1:26" ht="15.75" customHeight="1">
      <c r="A306" s="1130"/>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row>
    <row r="307" spans="1:26" ht="15.75" customHeight="1">
      <c r="A307" s="1130"/>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row>
    <row r="308" spans="1:26" ht="15.75" customHeight="1">
      <c r="A308" s="1130"/>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row>
    <row r="309" spans="1:26" ht="15.75" customHeight="1">
      <c r="A309" s="1130"/>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row>
    <row r="310" spans="1:26" ht="15.75" customHeight="1">
      <c r="A310" s="1130"/>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row>
    <row r="311" spans="1:26" ht="15.75" customHeight="1">
      <c r="A311" s="1130"/>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row>
    <row r="312" spans="1:26" ht="15.75" customHeight="1">
      <c r="A312" s="1130"/>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row>
    <row r="313" spans="1:26" ht="15.75" customHeight="1">
      <c r="A313" s="1130"/>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row>
    <row r="314" spans="1:26" ht="15.75" customHeight="1">
      <c r="A314" s="1130"/>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row>
    <row r="315" spans="1:26" ht="15.75" customHeight="1">
      <c r="A315" s="1130"/>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row>
    <row r="316" spans="1:26" ht="15.75" customHeight="1">
      <c r="A316" s="1130"/>
      <c r="B316" s="1130"/>
      <c r="C316" s="1130"/>
      <c r="D316" s="1130"/>
      <c r="E316" s="1130"/>
      <c r="F316" s="1130"/>
      <c r="G316" s="1130"/>
      <c r="H316" s="1130"/>
      <c r="I316" s="1130"/>
      <c r="J316" s="1130"/>
      <c r="K316" s="1130"/>
      <c r="L316" s="1130"/>
      <c r="M316" s="1130"/>
      <c r="N316" s="1130"/>
      <c r="O316" s="1130"/>
      <c r="P316" s="1130"/>
      <c r="Q316" s="1130"/>
      <c r="R316" s="1130"/>
      <c r="S316" s="1130"/>
      <c r="T316" s="1130"/>
      <c r="U316" s="1130"/>
      <c r="V316" s="1130"/>
      <c r="W316" s="1130"/>
      <c r="X316" s="1130"/>
      <c r="Y316" s="1130"/>
      <c r="Z316" s="1130"/>
    </row>
    <row r="317" spans="1:26" ht="15.75" customHeight="1">
      <c r="A317" s="1130"/>
      <c r="B317" s="1130"/>
      <c r="C317" s="1130"/>
      <c r="D317" s="1130"/>
      <c r="E317" s="1130"/>
      <c r="F317" s="1130"/>
      <c r="G317" s="1130"/>
      <c r="H317" s="1130"/>
      <c r="I317" s="1130"/>
      <c r="J317" s="1130"/>
      <c r="K317" s="1130"/>
      <c r="L317" s="1130"/>
      <c r="M317" s="1130"/>
      <c r="N317" s="1130"/>
      <c r="O317" s="1130"/>
      <c r="P317" s="1130"/>
      <c r="Q317" s="1130"/>
      <c r="R317" s="1130"/>
      <c r="S317" s="1130"/>
      <c r="T317" s="1130"/>
      <c r="U317" s="1130"/>
      <c r="V317" s="1130"/>
      <c r="W317" s="1130"/>
      <c r="X317" s="1130"/>
      <c r="Y317" s="1130"/>
      <c r="Z317" s="1130"/>
    </row>
    <row r="318" spans="1:26" ht="15.75" customHeight="1">
      <c r="A318" s="1130"/>
      <c r="B318" s="1130"/>
      <c r="C318" s="1130"/>
      <c r="D318" s="1130"/>
      <c r="E318" s="1130"/>
      <c r="F318" s="1130"/>
      <c r="G318" s="1130"/>
      <c r="H318" s="1130"/>
      <c r="I318" s="1130"/>
      <c r="J318" s="1130"/>
      <c r="K318" s="1130"/>
      <c r="L318" s="1130"/>
      <c r="M318" s="1130"/>
      <c r="N318" s="1130"/>
      <c r="O318" s="1130"/>
      <c r="P318" s="1130"/>
      <c r="Q318" s="1130"/>
      <c r="R318" s="1130"/>
      <c r="S318" s="1130"/>
      <c r="T318" s="1130"/>
      <c r="U318" s="1130"/>
      <c r="V318" s="1130"/>
      <c r="W318" s="1130"/>
      <c r="X318" s="1130"/>
      <c r="Y318" s="1130"/>
      <c r="Z318" s="1130"/>
    </row>
    <row r="319" spans="1:26" ht="15.75" customHeight="1">
      <c r="A319" s="1130"/>
      <c r="B319" s="1130"/>
      <c r="C319" s="1130"/>
      <c r="D319" s="1130"/>
      <c r="E319" s="1130"/>
      <c r="F319" s="1130"/>
      <c r="G319" s="1130"/>
      <c r="H319" s="1130"/>
      <c r="I319" s="1130"/>
      <c r="J319" s="1130"/>
      <c r="K319" s="1130"/>
      <c r="L319" s="1130"/>
      <c r="M319" s="1130"/>
      <c r="N319" s="1130"/>
      <c r="O319" s="1130"/>
      <c r="P319" s="1130"/>
      <c r="Q319" s="1130"/>
      <c r="R319" s="1130"/>
      <c r="S319" s="1130"/>
      <c r="T319" s="1130"/>
      <c r="U319" s="1130"/>
      <c r="V319" s="1130"/>
      <c r="W319" s="1130"/>
      <c r="X319" s="1130"/>
      <c r="Y319" s="1130"/>
      <c r="Z319" s="1130"/>
    </row>
    <row r="320" spans="1:26" ht="15.75" customHeight="1">
      <c r="A320" s="1130"/>
      <c r="B320" s="1130"/>
      <c r="C320" s="1130"/>
      <c r="D320" s="1130"/>
      <c r="E320" s="1130"/>
      <c r="F320" s="1130"/>
      <c r="G320" s="1130"/>
      <c r="H320" s="1130"/>
      <c r="I320" s="1130"/>
      <c r="J320" s="1130"/>
      <c r="K320" s="1130"/>
      <c r="L320" s="1130"/>
      <c r="M320" s="1130"/>
      <c r="N320" s="1130"/>
      <c r="O320" s="1130"/>
      <c r="P320" s="1130"/>
      <c r="Q320" s="1130"/>
      <c r="R320" s="1130"/>
      <c r="S320" s="1130"/>
      <c r="T320" s="1130"/>
      <c r="U320" s="1130"/>
      <c r="V320" s="1130"/>
      <c r="W320" s="1130"/>
      <c r="X320" s="1130"/>
      <c r="Y320" s="1130"/>
      <c r="Z320" s="1130"/>
    </row>
    <row r="321" spans="1:26" ht="15.75" customHeight="1">
      <c r="A321" s="1130"/>
      <c r="B321" s="1130"/>
      <c r="C321" s="1130"/>
      <c r="D321" s="1130"/>
      <c r="E321" s="1130"/>
      <c r="F321" s="1130"/>
      <c r="G321" s="1130"/>
      <c r="H321" s="1130"/>
      <c r="I321" s="1130"/>
      <c r="J321" s="1130"/>
      <c r="K321" s="1130"/>
      <c r="L321" s="1130"/>
      <c r="M321" s="1130"/>
      <c r="N321" s="1130"/>
      <c r="O321" s="1130"/>
      <c r="P321" s="1130"/>
      <c r="Q321" s="1130"/>
      <c r="R321" s="1130"/>
      <c r="S321" s="1130"/>
      <c r="T321" s="1130"/>
      <c r="U321" s="1130"/>
      <c r="V321" s="1130"/>
      <c r="W321" s="1130"/>
      <c r="X321" s="1130"/>
      <c r="Y321" s="1130"/>
      <c r="Z321" s="1130"/>
    </row>
    <row r="322" spans="1:26" ht="15.75" customHeight="1">
      <c r="A322" s="1130"/>
      <c r="B322" s="1130"/>
      <c r="C322" s="1130"/>
      <c r="D322" s="1130"/>
      <c r="E322" s="1130"/>
      <c r="F322" s="1130"/>
      <c r="G322" s="1130"/>
      <c r="H322" s="1130"/>
      <c r="I322" s="1130"/>
      <c r="J322" s="1130"/>
      <c r="K322" s="1130"/>
      <c r="L322" s="1130"/>
      <c r="M322" s="1130"/>
      <c r="N322" s="1130"/>
      <c r="O322" s="1130"/>
      <c r="P322" s="1130"/>
      <c r="Q322" s="1130"/>
      <c r="R322" s="1130"/>
      <c r="S322" s="1130"/>
      <c r="T322" s="1130"/>
      <c r="U322" s="1130"/>
      <c r="V322" s="1130"/>
      <c r="W322" s="1130"/>
      <c r="X322" s="1130"/>
      <c r="Y322" s="1130"/>
      <c r="Z322" s="1130"/>
    </row>
    <row r="323" spans="1:26" ht="15.75" customHeight="1">
      <c r="A323" s="1130"/>
      <c r="B323" s="1130"/>
      <c r="C323" s="1130"/>
      <c r="D323" s="1130"/>
      <c r="E323" s="1130"/>
      <c r="F323" s="1130"/>
      <c r="G323" s="1130"/>
      <c r="H323" s="1130"/>
      <c r="I323" s="1130"/>
      <c r="J323" s="1130"/>
      <c r="K323" s="1130"/>
      <c r="L323" s="1130"/>
      <c r="M323" s="1130"/>
      <c r="N323" s="1130"/>
      <c r="O323" s="1130"/>
      <c r="P323" s="1130"/>
      <c r="Q323" s="1130"/>
      <c r="R323" s="1130"/>
      <c r="S323" s="1130"/>
      <c r="T323" s="1130"/>
      <c r="U323" s="1130"/>
      <c r="V323" s="1130"/>
      <c r="W323" s="1130"/>
      <c r="X323" s="1130"/>
      <c r="Y323" s="1130"/>
      <c r="Z323" s="1130"/>
    </row>
    <row r="324" spans="1:26" ht="15.75" customHeight="1">
      <c r="A324" s="1130"/>
      <c r="B324" s="1130"/>
      <c r="C324" s="1130"/>
      <c r="D324" s="1130"/>
      <c r="E324" s="1130"/>
      <c r="F324" s="1130"/>
      <c r="G324" s="1130"/>
      <c r="H324" s="1130"/>
      <c r="I324" s="1130"/>
      <c r="J324" s="1130"/>
      <c r="K324" s="1130"/>
      <c r="L324" s="1130"/>
      <c r="M324" s="1130"/>
      <c r="N324" s="1130"/>
      <c r="O324" s="1130"/>
      <c r="P324" s="1130"/>
      <c r="Q324" s="1130"/>
      <c r="R324" s="1130"/>
      <c r="S324" s="1130"/>
      <c r="T324" s="1130"/>
      <c r="U324" s="1130"/>
      <c r="V324" s="1130"/>
      <c r="W324" s="1130"/>
      <c r="X324" s="1130"/>
      <c r="Y324" s="1130"/>
      <c r="Z324" s="1130"/>
    </row>
    <row r="325" spans="1:26" ht="15.75" customHeight="1">
      <c r="A325" s="1130"/>
      <c r="B325" s="1130"/>
      <c r="C325" s="1130"/>
      <c r="D325" s="1130"/>
      <c r="E325" s="1130"/>
      <c r="F325" s="1130"/>
      <c r="G325" s="1130"/>
      <c r="H325" s="1130"/>
      <c r="I325" s="1130"/>
      <c r="J325" s="1130"/>
      <c r="K325" s="1130"/>
      <c r="L325" s="1130"/>
      <c r="M325" s="1130"/>
      <c r="N325" s="1130"/>
      <c r="O325" s="1130"/>
      <c r="P325" s="1130"/>
      <c r="Q325" s="1130"/>
      <c r="R325" s="1130"/>
      <c r="S325" s="1130"/>
      <c r="T325" s="1130"/>
      <c r="U325" s="1130"/>
      <c r="V325" s="1130"/>
      <c r="W325" s="1130"/>
      <c r="X325" s="1130"/>
      <c r="Y325" s="1130"/>
      <c r="Z325" s="1130"/>
    </row>
    <row r="326" spans="1:26" ht="15.75" customHeight="1">
      <c r="A326" s="1130"/>
      <c r="B326" s="1130"/>
      <c r="C326" s="1130"/>
      <c r="D326" s="1130"/>
      <c r="E326" s="1130"/>
      <c r="F326" s="1130"/>
      <c r="G326" s="1130"/>
      <c r="H326" s="1130"/>
      <c r="I326" s="1130"/>
      <c r="J326" s="1130"/>
      <c r="K326" s="1130"/>
      <c r="L326" s="1130"/>
      <c r="M326" s="1130"/>
      <c r="N326" s="1130"/>
      <c r="O326" s="1130"/>
      <c r="P326" s="1130"/>
      <c r="Q326" s="1130"/>
      <c r="R326" s="1130"/>
      <c r="S326" s="1130"/>
      <c r="T326" s="1130"/>
      <c r="U326" s="1130"/>
      <c r="V326" s="1130"/>
      <c r="W326" s="1130"/>
      <c r="X326" s="1130"/>
      <c r="Y326" s="1130"/>
      <c r="Z326" s="1130"/>
    </row>
    <row r="327" spans="1:26" ht="15.75" customHeight="1">
      <c r="A327" s="1130"/>
      <c r="B327" s="1130"/>
      <c r="C327" s="1130"/>
      <c r="D327" s="1130"/>
      <c r="E327" s="1130"/>
      <c r="F327" s="1130"/>
      <c r="G327" s="1130"/>
      <c r="H327" s="1130"/>
      <c r="I327" s="1130"/>
      <c r="J327" s="1130"/>
      <c r="K327" s="1130"/>
      <c r="L327" s="1130"/>
      <c r="M327" s="1130"/>
      <c r="N327" s="1130"/>
      <c r="O327" s="1130"/>
      <c r="P327" s="1130"/>
      <c r="Q327" s="1130"/>
      <c r="R327" s="1130"/>
      <c r="S327" s="1130"/>
      <c r="T327" s="1130"/>
      <c r="U327" s="1130"/>
      <c r="V327" s="1130"/>
      <c r="W327" s="1130"/>
      <c r="X327" s="1130"/>
      <c r="Y327" s="1130"/>
      <c r="Z327" s="1130"/>
    </row>
    <row r="328" spans="1:26" ht="15.75" customHeight="1">
      <c r="A328" s="1130"/>
      <c r="B328" s="1130"/>
      <c r="C328" s="1130"/>
      <c r="D328" s="1130"/>
      <c r="E328" s="1130"/>
      <c r="F328" s="1130"/>
      <c r="G328" s="1130"/>
      <c r="H328" s="1130"/>
      <c r="I328" s="1130"/>
      <c r="J328" s="1130"/>
      <c r="K328" s="1130"/>
      <c r="L328" s="1130"/>
      <c r="M328" s="1130"/>
      <c r="N328" s="1130"/>
      <c r="O328" s="1130"/>
      <c r="P328" s="1130"/>
      <c r="Q328" s="1130"/>
      <c r="R328" s="1130"/>
      <c r="S328" s="1130"/>
      <c r="T328" s="1130"/>
      <c r="U328" s="1130"/>
      <c r="V328" s="1130"/>
      <c r="W328" s="1130"/>
      <c r="X328" s="1130"/>
      <c r="Y328" s="1130"/>
      <c r="Z328" s="1130"/>
    </row>
    <row r="329" spans="1:26" ht="15.75" customHeight="1">
      <c r="A329" s="1130"/>
      <c r="B329" s="1130"/>
      <c r="C329" s="1130"/>
      <c r="D329" s="1130"/>
      <c r="E329" s="1130"/>
      <c r="F329" s="1130"/>
      <c r="G329" s="1130"/>
      <c r="H329" s="1130"/>
      <c r="I329" s="1130"/>
      <c r="J329" s="1130"/>
      <c r="K329" s="1130"/>
      <c r="L329" s="1130"/>
      <c r="M329" s="1130"/>
      <c r="N329" s="1130"/>
      <c r="O329" s="1130"/>
      <c r="P329" s="1130"/>
      <c r="Q329" s="1130"/>
      <c r="R329" s="1130"/>
      <c r="S329" s="1130"/>
      <c r="T329" s="1130"/>
      <c r="U329" s="1130"/>
      <c r="V329" s="1130"/>
      <c r="W329" s="1130"/>
      <c r="X329" s="1130"/>
      <c r="Y329" s="1130"/>
      <c r="Z329" s="1130"/>
    </row>
    <row r="330" spans="1:26" ht="15.75" customHeight="1">
      <c r="A330" s="1130"/>
      <c r="B330" s="1130"/>
      <c r="C330" s="1130"/>
      <c r="D330" s="1130"/>
      <c r="E330" s="1130"/>
      <c r="F330" s="1130"/>
      <c r="G330" s="1130"/>
      <c r="H330" s="1130"/>
      <c r="I330" s="1130"/>
      <c r="J330" s="1130"/>
      <c r="K330" s="1130"/>
      <c r="L330" s="1130"/>
      <c r="M330" s="1130"/>
      <c r="N330" s="1130"/>
      <c r="O330" s="1130"/>
      <c r="P330" s="1130"/>
      <c r="Q330" s="1130"/>
      <c r="R330" s="1130"/>
      <c r="S330" s="1130"/>
      <c r="T330" s="1130"/>
      <c r="U330" s="1130"/>
      <c r="V330" s="1130"/>
      <c r="W330" s="1130"/>
      <c r="X330" s="1130"/>
      <c r="Y330" s="1130"/>
      <c r="Z330" s="1130"/>
    </row>
    <row r="331" spans="1:26" ht="15.75" customHeight="1">
      <c r="A331" s="1130"/>
      <c r="B331" s="1130"/>
      <c r="C331" s="1130"/>
      <c r="D331" s="1130"/>
      <c r="E331" s="1130"/>
      <c r="F331" s="1130"/>
      <c r="G331" s="1130"/>
      <c r="H331" s="1130"/>
      <c r="I331" s="1130"/>
      <c r="J331" s="1130"/>
      <c r="K331" s="1130"/>
      <c r="L331" s="1130"/>
      <c r="M331" s="1130"/>
      <c r="N331" s="1130"/>
      <c r="O331" s="1130"/>
      <c r="P331" s="1130"/>
      <c r="Q331" s="1130"/>
      <c r="R331" s="1130"/>
      <c r="S331" s="1130"/>
      <c r="T331" s="1130"/>
      <c r="U331" s="1130"/>
      <c r="V331" s="1130"/>
      <c r="W331" s="1130"/>
      <c r="X331" s="1130"/>
      <c r="Y331" s="1130"/>
      <c r="Z331" s="1130"/>
    </row>
    <row r="332" spans="1:26" ht="15.75" customHeight="1">
      <c r="A332" s="1130"/>
      <c r="B332" s="1130"/>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row>
    <row r="333" spans="1:26" ht="15.75" customHeight="1">
      <c r="A333" s="1130"/>
      <c r="B333" s="1130"/>
      <c r="C333" s="1130"/>
      <c r="D333" s="1130"/>
      <c r="E333" s="1130"/>
      <c r="F333" s="1130"/>
      <c r="G333" s="1130"/>
      <c r="H333" s="1130"/>
      <c r="I333" s="1130"/>
      <c r="J333" s="1130"/>
      <c r="K333" s="1130"/>
      <c r="L333" s="1130"/>
      <c r="M333" s="1130"/>
      <c r="N333" s="1130"/>
      <c r="O333" s="1130"/>
      <c r="P333" s="1130"/>
      <c r="Q333" s="1130"/>
      <c r="R333" s="1130"/>
      <c r="S333" s="1130"/>
      <c r="T333" s="1130"/>
      <c r="U333" s="1130"/>
      <c r="V333" s="1130"/>
      <c r="W333" s="1130"/>
      <c r="X333" s="1130"/>
      <c r="Y333" s="1130"/>
      <c r="Z333" s="1130"/>
    </row>
    <row r="334" spans="1:26" ht="15.75" customHeight="1">
      <c r="A334" s="1130"/>
      <c r="B334" s="1130"/>
      <c r="C334" s="1130"/>
      <c r="D334" s="1130"/>
      <c r="E334" s="1130"/>
      <c r="F334" s="1130"/>
      <c r="G334" s="1130"/>
      <c r="H334" s="1130"/>
      <c r="I334" s="1130"/>
      <c r="J334" s="1130"/>
      <c r="K334" s="1130"/>
      <c r="L334" s="1130"/>
      <c r="M334" s="1130"/>
      <c r="N334" s="1130"/>
      <c r="O334" s="1130"/>
      <c r="P334" s="1130"/>
      <c r="Q334" s="1130"/>
      <c r="R334" s="1130"/>
      <c r="S334" s="1130"/>
      <c r="T334" s="1130"/>
      <c r="U334" s="1130"/>
      <c r="V334" s="1130"/>
      <c r="W334" s="1130"/>
      <c r="X334" s="1130"/>
      <c r="Y334" s="1130"/>
      <c r="Z334" s="1130"/>
    </row>
    <row r="335" spans="1:26" ht="15.75" customHeight="1">
      <c r="A335" s="1130"/>
      <c r="B335" s="1130"/>
      <c r="C335" s="1130"/>
      <c r="D335" s="1130"/>
      <c r="E335" s="1130"/>
      <c r="F335" s="1130"/>
      <c r="G335" s="1130"/>
      <c r="H335" s="1130"/>
      <c r="I335" s="1130"/>
      <c r="J335" s="1130"/>
      <c r="K335" s="1130"/>
      <c r="L335" s="1130"/>
      <c r="M335" s="1130"/>
      <c r="N335" s="1130"/>
      <c r="O335" s="1130"/>
      <c r="P335" s="1130"/>
      <c r="Q335" s="1130"/>
      <c r="R335" s="1130"/>
      <c r="S335" s="1130"/>
      <c r="T335" s="1130"/>
      <c r="U335" s="1130"/>
      <c r="V335" s="1130"/>
      <c r="W335" s="1130"/>
      <c r="X335" s="1130"/>
      <c r="Y335" s="1130"/>
      <c r="Z335" s="1130"/>
    </row>
    <row r="336" spans="1:26" ht="15.75" customHeight="1">
      <c r="A336" s="1130"/>
      <c r="B336" s="1130"/>
      <c r="C336" s="1130"/>
      <c r="D336" s="1130"/>
      <c r="E336" s="1130"/>
      <c r="F336" s="1130"/>
      <c r="G336" s="1130"/>
      <c r="H336" s="1130"/>
      <c r="I336" s="1130"/>
      <c r="J336" s="1130"/>
      <c r="K336" s="1130"/>
      <c r="L336" s="1130"/>
      <c r="M336" s="1130"/>
      <c r="N336" s="1130"/>
      <c r="O336" s="1130"/>
      <c r="P336" s="1130"/>
      <c r="Q336" s="1130"/>
      <c r="R336" s="1130"/>
      <c r="S336" s="1130"/>
      <c r="T336" s="1130"/>
      <c r="U336" s="1130"/>
      <c r="V336" s="1130"/>
      <c r="W336" s="1130"/>
      <c r="X336" s="1130"/>
      <c r="Y336" s="1130"/>
      <c r="Z336" s="1130"/>
    </row>
    <row r="337" spans="1:26" ht="15.75" customHeight="1">
      <c r="A337" s="1130"/>
      <c r="B337" s="1130"/>
      <c r="C337" s="1130"/>
      <c r="D337" s="1130"/>
      <c r="E337" s="1130"/>
      <c r="F337" s="1130"/>
      <c r="G337" s="1130"/>
      <c r="H337" s="1130"/>
      <c r="I337" s="1130"/>
      <c r="J337" s="1130"/>
      <c r="K337" s="1130"/>
      <c r="L337" s="1130"/>
      <c r="M337" s="1130"/>
      <c r="N337" s="1130"/>
      <c r="O337" s="1130"/>
      <c r="P337" s="1130"/>
      <c r="Q337" s="1130"/>
      <c r="R337" s="1130"/>
      <c r="S337" s="1130"/>
      <c r="T337" s="1130"/>
      <c r="U337" s="1130"/>
      <c r="V337" s="1130"/>
      <c r="W337" s="1130"/>
      <c r="X337" s="1130"/>
      <c r="Y337" s="1130"/>
      <c r="Z337" s="1130"/>
    </row>
    <row r="338" spans="1:26" ht="15.75" customHeight="1">
      <c r="A338" s="1130"/>
      <c r="B338" s="1130"/>
      <c r="C338" s="1130"/>
      <c r="D338" s="1130"/>
      <c r="E338" s="1130"/>
      <c r="F338" s="1130"/>
      <c r="G338" s="1130"/>
      <c r="H338" s="1130"/>
      <c r="I338" s="1130"/>
      <c r="J338" s="1130"/>
      <c r="K338" s="1130"/>
      <c r="L338" s="1130"/>
      <c r="M338" s="1130"/>
      <c r="N338" s="1130"/>
      <c r="O338" s="1130"/>
      <c r="P338" s="1130"/>
      <c r="Q338" s="1130"/>
      <c r="R338" s="1130"/>
      <c r="S338" s="1130"/>
      <c r="T338" s="1130"/>
      <c r="U338" s="1130"/>
      <c r="V338" s="1130"/>
      <c r="W338" s="1130"/>
      <c r="X338" s="1130"/>
      <c r="Y338" s="1130"/>
      <c r="Z338" s="1130"/>
    </row>
    <row r="339" spans="1:26" ht="15.75" customHeight="1">
      <c r="A339" s="1130"/>
      <c r="B339" s="1130"/>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row>
    <row r="340" spans="1:26" ht="15.75" customHeight="1">
      <c r="A340" s="1130"/>
      <c r="B340" s="1130"/>
      <c r="C340" s="1130"/>
      <c r="D340" s="1130"/>
      <c r="E340" s="1130"/>
      <c r="F340" s="1130"/>
      <c r="G340" s="1130"/>
      <c r="H340" s="1130"/>
      <c r="I340" s="1130"/>
      <c r="J340" s="1130"/>
      <c r="K340" s="1130"/>
      <c r="L340" s="1130"/>
      <c r="M340" s="1130"/>
      <c r="N340" s="1130"/>
      <c r="O340" s="1130"/>
      <c r="P340" s="1130"/>
      <c r="Q340" s="1130"/>
      <c r="R340" s="1130"/>
      <c r="S340" s="1130"/>
      <c r="T340" s="1130"/>
      <c r="U340" s="1130"/>
      <c r="V340" s="1130"/>
      <c r="W340" s="1130"/>
      <c r="X340" s="1130"/>
      <c r="Y340" s="1130"/>
      <c r="Z340" s="1130"/>
    </row>
    <row r="341" spans="1:26" ht="15.75" customHeight="1">
      <c r="A341" s="1130"/>
      <c r="B341" s="1130"/>
      <c r="C341" s="1130"/>
      <c r="D341" s="1130"/>
      <c r="E341" s="1130"/>
      <c r="F341" s="1130"/>
      <c r="G341" s="1130"/>
      <c r="H341" s="1130"/>
      <c r="I341" s="1130"/>
      <c r="J341" s="1130"/>
      <c r="K341" s="1130"/>
      <c r="L341" s="1130"/>
      <c r="M341" s="1130"/>
      <c r="N341" s="1130"/>
      <c r="O341" s="1130"/>
      <c r="P341" s="1130"/>
      <c r="Q341" s="1130"/>
      <c r="R341" s="1130"/>
      <c r="S341" s="1130"/>
      <c r="T341" s="1130"/>
      <c r="U341" s="1130"/>
      <c r="V341" s="1130"/>
      <c r="W341" s="1130"/>
      <c r="X341" s="1130"/>
      <c r="Y341" s="1130"/>
      <c r="Z341" s="1130"/>
    </row>
    <row r="342" spans="1:26" ht="15.75" customHeight="1">
      <c r="A342" s="1130"/>
      <c r="B342" s="1130"/>
      <c r="C342" s="1130"/>
      <c r="D342" s="1130"/>
      <c r="E342" s="1130"/>
      <c r="F342" s="1130"/>
      <c r="G342" s="1130"/>
      <c r="H342" s="1130"/>
      <c r="I342" s="1130"/>
      <c r="J342" s="1130"/>
      <c r="K342" s="1130"/>
      <c r="L342" s="1130"/>
      <c r="M342" s="1130"/>
      <c r="N342" s="1130"/>
      <c r="O342" s="1130"/>
      <c r="P342" s="1130"/>
      <c r="Q342" s="1130"/>
      <c r="R342" s="1130"/>
      <c r="S342" s="1130"/>
      <c r="T342" s="1130"/>
      <c r="U342" s="1130"/>
      <c r="V342" s="1130"/>
      <c r="W342" s="1130"/>
      <c r="X342" s="1130"/>
      <c r="Y342" s="1130"/>
      <c r="Z342" s="1130"/>
    </row>
    <row r="343" spans="1:26" ht="15.75" customHeight="1">
      <c r="A343" s="1130"/>
      <c r="B343" s="1130"/>
      <c r="C343" s="1130"/>
      <c r="D343" s="1130"/>
      <c r="E343" s="1130"/>
      <c r="F343" s="1130"/>
      <c r="G343" s="1130"/>
      <c r="H343" s="1130"/>
      <c r="I343" s="1130"/>
      <c r="J343" s="1130"/>
      <c r="K343" s="1130"/>
      <c r="L343" s="1130"/>
      <c r="M343" s="1130"/>
      <c r="N343" s="1130"/>
      <c r="O343" s="1130"/>
      <c r="P343" s="1130"/>
      <c r="Q343" s="1130"/>
      <c r="R343" s="1130"/>
      <c r="S343" s="1130"/>
      <c r="T343" s="1130"/>
      <c r="U343" s="1130"/>
      <c r="V343" s="1130"/>
      <c r="W343" s="1130"/>
      <c r="X343" s="1130"/>
      <c r="Y343" s="1130"/>
      <c r="Z343" s="1130"/>
    </row>
    <row r="344" spans="1:26" ht="15.75" customHeight="1">
      <c r="A344" s="1130"/>
      <c r="B344" s="1130"/>
      <c r="C344" s="1130"/>
      <c r="D344" s="1130"/>
      <c r="E344" s="1130"/>
      <c r="F344" s="1130"/>
      <c r="G344" s="1130"/>
      <c r="H344" s="1130"/>
      <c r="I344" s="1130"/>
      <c r="J344" s="1130"/>
      <c r="K344" s="1130"/>
      <c r="L344" s="1130"/>
      <c r="M344" s="1130"/>
      <c r="N344" s="1130"/>
      <c r="O344" s="1130"/>
      <c r="P344" s="1130"/>
      <c r="Q344" s="1130"/>
      <c r="R344" s="1130"/>
      <c r="S344" s="1130"/>
      <c r="T344" s="1130"/>
      <c r="U344" s="1130"/>
      <c r="V344" s="1130"/>
      <c r="W344" s="1130"/>
      <c r="X344" s="1130"/>
      <c r="Y344" s="1130"/>
      <c r="Z344" s="1130"/>
    </row>
    <row r="345" spans="1:26" ht="15.75" customHeight="1">
      <c r="A345" s="1130"/>
      <c r="B345" s="1130"/>
      <c r="C345" s="1130"/>
      <c r="D345" s="1130"/>
      <c r="E345" s="1130"/>
      <c r="F345" s="1130"/>
      <c r="G345" s="1130"/>
      <c r="H345" s="1130"/>
      <c r="I345" s="1130"/>
      <c r="J345" s="1130"/>
      <c r="K345" s="1130"/>
      <c r="L345" s="1130"/>
      <c r="M345" s="1130"/>
      <c r="N345" s="1130"/>
      <c r="O345" s="1130"/>
      <c r="P345" s="1130"/>
      <c r="Q345" s="1130"/>
      <c r="R345" s="1130"/>
      <c r="S345" s="1130"/>
      <c r="T345" s="1130"/>
      <c r="U345" s="1130"/>
      <c r="V345" s="1130"/>
      <c r="W345" s="1130"/>
      <c r="X345" s="1130"/>
      <c r="Y345" s="1130"/>
      <c r="Z345" s="1130"/>
    </row>
    <row r="346" spans="1:26" ht="15.75" customHeight="1">
      <c r="A346" s="1130"/>
      <c r="B346" s="1130"/>
      <c r="C346" s="1130"/>
      <c r="D346" s="1130"/>
      <c r="E346" s="1130"/>
      <c r="F346" s="1130"/>
      <c r="G346" s="1130"/>
      <c r="H346" s="1130"/>
      <c r="I346" s="1130"/>
      <c r="J346" s="1130"/>
      <c r="K346" s="1130"/>
      <c r="L346" s="1130"/>
      <c r="M346" s="1130"/>
      <c r="N346" s="1130"/>
      <c r="O346" s="1130"/>
      <c r="P346" s="1130"/>
      <c r="Q346" s="1130"/>
      <c r="R346" s="1130"/>
      <c r="S346" s="1130"/>
      <c r="T346" s="1130"/>
      <c r="U346" s="1130"/>
      <c r="V346" s="1130"/>
      <c r="W346" s="1130"/>
      <c r="X346" s="1130"/>
      <c r="Y346" s="1130"/>
      <c r="Z346" s="1130"/>
    </row>
    <row r="347" spans="1:26" ht="15.75" customHeight="1">
      <c r="A347" s="1130"/>
      <c r="B347" s="1130"/>
      <c r="C347" s="1130"/>
      <c r="D347" s="1130"/>
      <c r="E347" s="1130"/>
      <c r="F347" s="1130"/>
      <c r="G347" s="1130"/>
      <c r="H347" s="1130"/>
      <c r="I347" s="1130"/>
      <c r="J347" s="1130"/>
      <c r="K347" s="1130"/>
      <c r="L347" s="1130"/>
      <c r="M347" s="1130"/>
      <c r="N347" s="1130"/>
      <c r="O347" s="1130"/>
      <c r="P347" s="1130"/>
      <c r="Q347" s="1130"/>
      <c r="R347" s="1130"/>
      <c r="S347" s="1130"/>
      <c r="T347" s="1130"/>
      <c r="U347" s="1130"/>
      <c r="V347" s="1130"/>
      <c r="W347" s="1130"/>
      <c r="X347" s="1130"/>
      <c r="Y347" s="1130"/>
      <c r="Z347" s="1130"/>
    </row>
    <row r="348" spans="1:26" ht="15.75" customHeight="1">
      <c r="A348" s="1130"/>
      <c r="B348" s="1130"/>
      <c r="C348" s="1130"/>
      <c r="D348" s="1130"/>
      <c r="E348" s="1130"/>
      <c r="F348" s="1130"/>
      <c r="G348" s="1130"/>
      <c r="H348" s="1130"/>
      <c r="I348" s="1130"/>
      <c r="J348" s="1130"/>
      <c r="K348" s="1130"/>
      <c r="L348" s="1130"/>
      <c r="M348" s="1130"/>
      <c r="N348" s="1130"/>
      <c r="O348" s="1130"/>
      <c r="P348" s="1130"/>
      <c r="Q348" s="1130"/>
      <c r="R348" s="1130"/>
      <c r="S348" s="1130"/>
      <c r="T348" s="1130"/>
      <c r="U348" s="1130"/>
      <c r="V348" s="1130"/>
      <c r="W348" s="1130"/>
      <c r="X348" s="1130"/>
      <c r="Y348" s="1130"/>
      <c r="Z348" s="1130"/>
    </row>
    <row r="349" spans="1:26" ht="15.75" customHeight="1">
      <c r="A349" s="1130"/>
      <c r="B349" s="1130"/>
      <c r="C349" s="1130"/>
      <c r="D349" s="1130"/>
      <c r="E349" s="1130"/>
      <c r="F349" s="1130"/>
      <c r="G349" s="1130"/>
      <c r="H349" s="1130"/>
      <c r="I349" s="1130"/>
      <c r="J349" s="1130"/>
      <c r="K349" s="1130"/>
      <c r="L349" s="1130"/>
      <c r="M349" s="1130"/>
      <c r="N349" s="1130"/>
      <c r="O349" s="1130"/>
      <c r="P349" s="1130"/>
      <c r="Q349" s="1130"/>
      <c r="R349" s="1130"/>
      <c r="S349" s="1130"/>
      <c r="T349" s="1130"/>
      <c r="U349" s="1130"/>
      <c r="V349" s="1130"/>
      <c r="W349" s="1130"/>
      <c r="X349" s="1130"/>
      <c r="Y349" s="1130"/>
      <c r="Z349" s="1130"/>
    </row>
    <row r="350" spans="1:26" ht="15.75" customHeight="1">
      <c r="A350" s="1130"/>
      <c r="B350" s="1130"/>
      <c r="C350" s="1130"/>
      <c r="D350" s="1130"/>
      <c r="E350" s="1130"/>
      <c r="F350" s="1130"/>
      <c r="G350" s="1130"/>
      <c r="H350" s="1130"/>
      <c r="I350" s="1130"/>
      <c r="J350" s="1130"/>
      <c r="K350" s="1130"/>
      <c r="L350" s="1130"/>
      <c r="M350" s="1130"/>
      <c r="N350" s="1130"/>
      <c r="O350" s="1130"/>
      <c r="P350" s="1130"/>
      <c r="Q350" s="1130"/>
      <c r="R350" s="1130"/>
      <c r="S350" s="1130"/>
      <c r="T350" s="1130"/>
      <c r="U350" s="1130"/>
      <c r="V350" s="1130"/>
      <c r="W350" s="1130"/>
      <c r="X350" s="1130"/>
      <c r="Y350" s="1130"/>
      <c r="Z350" s="1130"/>
    </row>
    <row r="351" spans="1:26" ht="15.75" customHeight="1">
      <c r="A351" s="1130"/>
      <c r="B351" s="1130"/>
      <c r="C351" s="1130"/>
      <c r="D351" s="1130"/>
      <c r="E351" s="1130"/>
      <c r="F351" s="1130"/>
      <c r="G351" s="1130"/>
      <c r="H351" s="1130"/>
      <c r="I351" s="1130"/>
      <c r="J351" s="1130"/>
      <c r="K351" s="1130"/>
      <c r="L351" s="1130"/>
      <c r="M351" s="1130"/>
      <c r="N351" s="1130"/>
      <c r="O351" s="1130"/>
      <c r="P351" s="1130"/>
      <c r="Q351" s="1130"/>
      <c r="R351" s="1130"/>
      <c r="S351" s="1130"/>
      <c r="T351" s="1130"/>
      <c r="U351" s="1130"/>
      <c r="V351" s="1130"/>
      <c r="W351" s="1130"/>
      <c r="X351" s="1130"/>
      <c r="Y351" s="1130"/>
      <c r="Z351" s="1130"/>
    </row>
    <row r="352" spans="1:26" ht="15.75" customHeight="1">
      <c r="A352" s="1130"/>
      <c r="B352" s="1130"/>
      <c r="C352" s="1130"/>
      <c r="D352" s="1130"/>
      <c r="E352" s="1130"/>
      <c r="F352" s="1130"/>
      <c r="G352" s="1130"/>
      <c r="H352" s="1130"/>
      <c r="I352" s="1130"/>
      <c r="J352" s="1130"/>
      <c r="K352" s="1130"/>
      <c r="L352" s="1130"/>
      <c r="M352" s="1130"/>
      <c r="N352" s="1130"/>
      <c r="O352" s="1130"/>
      <c r="P352" s="1130"/>
      <c r="Q352" s="1130"/>
      <c r="R352" s="1130"/>
      <c r="S352" s="1130"/>
      <c r="T352" s="1130"/>
      <c r="U352" s="1130"/>
      <c r="V352" s="1130"/>
      <c r="W352" s="1130"/>
      <c r="X352" s="1130"/>
      <c r="Y352" s="1130"/>
      <c r="Z352" s="1130"/>
    </row>
    <row r="353" spans="1:26" ht="15.75" customHeight="1">
      <c r="A353" s="1130"/>
      <c r="B353" s="1130"/>
      <c r="C353" s="1130"/>
      <c r="D353" s="1130"/>
      <c r="E353" s="1130"/>
      <c r="F353" s="1130"/>
      <c r="G353" s="1130"/>
      <c r="H353" s="1130"/>
      <c r="I353" s="1130"/>
      <c r="J353" s="1130"/>
      <c r="K353" s="1130"/>
      <c r="L353" s="1130"/>
      <c r="M353" s="1130"/>
      <c r="N353" s="1130"/>
      <c r="O353" s="1130"/>
      <c r="P353" s="1130"/>
      <c r="Q353" s="1130"/>
      <c r="R353" s="1130"/>
      <c r="S353" s="1130"/>
      <c r="T353" s="1130"/>
      <c r="U353" s="1130"/>
      <c r="V353" s="1130"/>
      <c r="W353" s="1130"/>
      <c r="X353" s="1130"/>
      <c r="Y353" s="1130"/>
      <c r="Z353" s="1130"/>
    </row>
    <row r="354" spans="1:26" ht="15.75" customHeight="1">
      <c r="A354" s="1130"/>
      <c r="B354" s="1130"/>
      <c r="C354" s="1130"/>
      <c r="D354" s="1130"/>
      <c r="E354" s="1130"/>
      <c r="F354" s="1130"/>
      <c r="G354" s="1130"/>
      <c r="H354" s="1130"/>
      <c r="I354" s="1130"/>
      <c r="J354" s="1130"/>
      <c r="K354" s="1130"/>
      <c r="L354" s="1130"/>
      <c r="M354" s="1130"/>
      <c r="N354" s="1130"/>
      <c r="O354" s="1130"/>
      <c r="P354" s="1130"/>
      <c r="Q354" s="1130"/>
      <c r="R354" s="1130"/>
      <c r="S354" s="1130"/>
      <c r="T354" s="1130"/>
      <c r="U354" s="1130"/>
      <c r="V354" s="1130"/>
      <c r="W354" s="1130"/>
      <c r="X354" s="1130"/>
      <c r="Y354" s="1130"/>
      <c r="Z354" s="1130"/>
    </row>
    <row r="355" spans="1:26" ht="15.75" customHeight="1">
      <c r="A355" s="1130"/>
      <c r="B355" s="1130"/>
      <c r="C355" s="1130"/>
      <c r="D355" s="1130"/>
      <c r="E355" s="1130"/>
      <c r="F355" s="1130"/>
      <c r="G355" s="1130"/>
      <c r="H355" s="1130"/>
      <c r="I355" s="1130"/>
      <c r="J355" s="1130"/>
      <c r="K355" s="1130"/>
      <c r="L355" s="1130"/>
      <c r="M355" s="1130"/>
      <c r="N355" s="1130"/>
      <c r="O355" s="1130"/>
      <c r="P355" s="1130"/>
      <c r="Q355" s="1130"/>
      <c r="R355" s="1130"/>
      <c r="S355" s="1130"/>
      <c r="T355" s="1130"/>
      <c r="U355" s="1130"/>
      <c r="V355" s="1130"/>
      <c r="W355" s="1130"/>
      <c r="X355" s="1130"/>
      <c r="Y355" s="1130"/>
      <c r="Z355" s="1130"/>
    </row>
    <row r="356" spans="1:26" ht="15.75" customHeight="1">
      <c r="A356" s="1130"/>
      <c r="B356" s="1130"/>
      <c r="C356" s="1130"/>
      <c r="D356" s="1130"/>
      <c r="E356" s="1130"/>
      <c r="F356" s="1130"/>
      <c r="G356" s="1130"/>
      <c r="H356" s="1130"/>
      <c r="I356" s="1130"/>
      <c r="J356" s="1130"/>
      <c r="K356" s="1130"/>
      <c r="L356" s="1130"/>
      <c r="M356" s="1130"/>
      <c r="N356" s="1130"/>
      <c r="O356" s="1130"/>
      <c r="P356" s="1130"/>
      <c r="Q356" s="1130"/>
      <c r="R356" s="1130"/>
      <c r="S356" s="1130"/>
      <c r="T356" s="1130"/>
      <c r="U356" s="1130"/>
      <c r="V356" s="1130"/>
      <c r="W356" s="1130"/>
      <c r="X356" s="1130"/>
      <c r="Y356" s="1130"/>
      <c r="Z356" s="1130"/>
    </row>
    <row r="357" spans="1:26" ht="15.75" customHeight="1">
      <c r="A357" s="1130"/>
      <c r="B357" s="1130"/>
      <c r="C357" s="1130"/>
      <c r="D357" s="1130"/>
      <c r="E357" s="1130"/>
      <c r="F357" s="1130"/>
      <c r="G357" s="1130"/>
      <c r="H357" s="1130"/>
      <c r="I357" s="1130"/>
      <c r="J357" s="1130"/>
      <c r="K357" s="1130"/>
      <c r="L357" s="1130"/>
      <c r="M357" s="1130"/>
      <c r="N357" s="1130"/>
      <c r="O357" s="1130"/>
      <c r="P357" s="1130"/>
      <c r="Q357" s="1130"/>
      <c r="R357" s="1130"/>
      <c r="S357" s="1130"/>
      <c r="T357" s="1130"/>
      <c r="U357" s="1130"/>
      <c r="V357" s="1130"/>
      <c r="W357" s="1130"/>
      <c r="X357" s="1130"/>
      <c r="Y357" s="1130"/>
      <c r="Z357" s="1130"/>
    </row>
    <row r="358" spans="1:26" ht="15.75" customHeight="1">
      <c r="A358" s="1130"/>
      <c r="B358" s="1130"/>
      <c r="C358" s="1130"/>
      <c r="D358" s="1130"/>
      <c r="E358" s="1130"/>
      <c r="F358" s="1130"/>
      <c r="G358" s="1130"/>
      <c r="H358" s="1130"/>
      <c r="I358" s="1130"/>
      <c r="J358" s="1130"/>
      <c r="K358" s="1130"/>
      <c r="L358" s="1130"/>
      <c r="M358" s="1130"/>
      <c r="N358" s="1130"/>
      <c r="O358" s="1130"/>
      <c r="P358" s="1130"/>
      <c r="Q358" s="1130"/>
      <c r="R358" s="1130"/>
      <c r="S358" s="1130"/>
      <c r="T358" s="1130"/>
      <c r="U358" s="1130"/>
      <c r="V358" s="1130"/>
      <c r="W358" s="1130"/>
      <c r="X358" s="1130"/>
      <c r="Y358" s="1130"/>
      <c r="Z358" s="1130"/>
    </row>
    <row r="359" spans="1:26" ht="15.75" customHeight="1">
      <c r="A359" s="1130"/>
      <c r="B359" s="1130"/>
      <c r="C359" s="1130"/>
      <c r="D359" s="1130"/>
      <c r="E359" s="1130"/>
      <c r="F359" s="1130"/>
      <c r="G359" s="1130"/>
      <c r="H359" s="1130"/>
      <c r="I359" s="1130"/>
      <c r="J359" s="1130"/>
      <c r="K359" s="1130"/>
      <c r="L359" s="1130"/>
      <c r="M359" s="1130"/>
      <c r="N359" s="1130"/>
      <c r="O359" s="1130"/>
      <c r="P359" s="1130"/>
      <c r="Q359" s="1130"/>
      <c r="R359" s="1130"/>
      <c r="S359" s="1130"/>
      <c r="T359" s="1130"/>
      <c r="U359" s="1130"/>
      <c r="V359" s="1130"/>
      <c r="W359" s="1130"/>
      <c r="X359" s="1130"/>
      <c r="Y359" s="1130"/>
      <c r="Z359" s="1130"/>
    </row>
    <row r="360" spans="1:26" ht="15.75" customHeight="1">
      <c r="A360" s="1130"/>
      <c r="B360" s="1130"/>
      <c r="C360" s="1130"/>
      <c r="D360" s="1130"/>
      <c r="E360" s="1130"/>
      <c r="F360" s="1130"/>
      <c r="G360" s="1130"/>
      <c r="H360" s="1130"/>
      <c r="I360" s="1130"/>
      <c r="J360" s="1130"/>
      <c r="K360" s="1130"/>
      <c r="L360" s="1130"/>
      <c r="M360" s="1130"/>
      <c r="N360" s="1130"/>
      <c r="O360" s="1130"/>
      <c r="P360" s="1130"/>
      <c r="Q360" s="1130"/>
      <c r="R360" s="1130"/>
      <c r="S360" s="1130"/>
      <c r="T360" s="1130"/>
      <c r="U360" s="1130"/>
      <c r="V360" s="1130"/>
      <c r="W360" s="1130"/>
      <c r="X360" s="1130"/>
      <c r="Y360" s="1130"/>
      <c r="Z360" s="1130"/>
    </row>
    <row r="361" spans="1:26" ht="15.75" customHeight="1">
      <c r="A361" s="1130"/>
      <c r="B361" s="1130"/>
      <c r="C361" s="1130"/>
      <c r="D361" s="1130"/>
      <c r="E361" s="1130"/>
      <c r="F361" s="1130"/>
      <c r="G361" s="1130"/>
      <c r="H361" s="1130"/>
      <c r="I361" s="1130"/>
      <c r="J361" s="1130"/>
      <c r="K361" s="1130"/>
      <c r="L361" s="1130"/>
      <c r="M361" s="1130"/>
      <c r="N361" s="1130"/>
      <c r="O361" s="1130"/>
      <c r="P361" s="1130"/>
      <c r="Q361" s="1130"/>
      <c r="R361" s="1130"/>
      <c r="S361" s="1130"/>
      <c r="T361" s="1130"/>
      <c r="U361" s="1130"/>
      <c r="V361" s="1130"/>
      <c r="W361" s="1130"/>
      <c r="X361" s="1130"/>
      <c r="Y361" s="1130"/>
      <c r="Z361" s="1130"/>
    </row>
    <row r="362" spans="1:26" ht="15.75" customHeight="1">
      <c r="A362" s="1130"/>
      <c r="B362" s="1130"/>
      <c r="C362" s="1130"/>
      <c r="D362" s="1130"/>
      <c r="E362" s="1130"/>
      <c r="F362" s="1130"/>
      <c r="G362" s="1130"/>
      <c r="H362" s="1130"/>
      <c r="I362" s="1130"/>
      <c r="J362" s="1130"/>
      <c r="K362" s="1130"/>
      <c r="L362" s="1130"/>
      <c r="M362" s="1130"/>
      <c r="N362" s="1130"/>
      <c r="O362" s="1130"/>
      <c r="P362" s="1130"/>
      <c r="Q362" s="1130"/>
      <c r="R362" s="1130"/>
      <c r="S362" s="1130"/>
      <c r="T362" s="1130"/>
      <c r="U362" s="1130"/>
      <c r="V362" s="1130"/>
      <c r="W362" s="1130"/>
      <c r="X362" s="1130"/>
      <c r="Y362" s="1130"/>
      <c r="Z362" s="1130"/>
    </row>
    <row r="363" spans="1:26" ht="15.75" customHeight="1">
      <c r="A363" s="1130"/>
      <c r="B363" s="1130"/>
      <c r="C363" s="1130"/>
      <c r="D363" s="1130"/>
      <c r="E363" s="1130"/>
      <c r="F363" s="1130"/>
      <c r="G363" s="1130"/>
      <c r="H363" s="1130"/>
      <c r="I363" s="1130"/>
      <c r="J363" s="1130"/>
      <c r="K363" s="1130"/>
      <c r="L363" s="1130"/>
      <c r="M363" s="1130"/>
      <c r="N363" s="1130"/>
      <c r="O363" s="1130"/>
      <c r="P363" s="1130"/>
      <c r="Q363" s="1130"/>
      <c r="R363" s="1130"/>
      <c r="S363" s="1130"/>
      <c r="T363" s="1130"/>
      <c r="U363" s="1130"/>
      <c r="V363" s="1130"/>
      <c r="W363" s="1130"/>
      <c r="X363" s="1130"/>
      <c r="Y363" s="1130"/>
      <c r="Z363" s="1130"/>
    </row>
    <row r="364" spans="1:26" ht="15.75" customHeight="1">
      <c r="A364" s="1130"/>
      <c r="B364" s="1130"/>
      <c r="C364" s="1130"/>
      <c r="D364" s="1130"/>
      <c r="E364" s="1130"/>
      <c r="F364" s="1130"/>
      <c r="G364" s="1130"/>
      <c r="H364" s="1130"/>
      <c r="I364" s="1130"/>
      <c r="J364" s="1130"/>
      <c r="K364" s="1130"/>
      <c r="L364" s="1130"/>
      <c r="M364" s="1130"/>
      <c r="N364" s="1130"/>
      <c r="O364" s="1130"/>
      <c r="P364" s="1130"/>
      <c r="Q364" s="1130"/>
      <c r="R364" s="1130"/>
      <c r="S364" s="1130"/>
      <c r="T364" s="1130"/>
      <c r="U364" s="1130"/>
      <c r="V364" s="1130"/>
      <c r="W364" s="1130"/>
      <c r="X364" s="1130"/>
      <c r="Y364" s="1130"/>
      <c r="Z364" s="1130"/>
    </row>
    <row r="365" spans="1:26" ht="15.75" customHeight="1">
      <c r="A365" s="1130"/>
      <c r="B365" s="1130"/>
      <c r="C365" s="1130"/>
      <c r="D365" s="1130"/>
      <c r="E365" s="1130"/>
      <c r="F365" s="1130"/>
      <c r="G365" s="1130"/>
      <c r="H365" s="1130"/>
      <c r="I365" s="1130"/>
      <c r="J365" s="1130"/>
      <c r="K365" s="1130"/>
      <c r="L365" s="1130"/>
      <c r="M365" s="1130"/>
      <c r="N365" s="1130"/>
      <c r="O365" s="1130"/>
      <c r="P365" s="1130"/>
      <c r="Q365" s="1130"/>
      <c r="R365" s="1130"/>
      <c r="S365" s="1130"/>
      <c r="T365" s="1130"/>
      <c r="U365" s="1130"/>
      <c r="V365" s="1130"/>
      <c r="W365" s="1130"/>
      <c r="X365" s="1130"/>
      <c r="Y365" s="1130"/>
      <c r="Z365" s="1130"/>
    </row>
    <row r="366" spans="1:26" ht="15.75" customHeight="1">
      <c r="A366" s="1130"/>
      <c r="B366" s="1130"/>
      <c r="C366" s="1130"/>
      <c r="D366" s="1130"/>
      <c r="E366" s="1130"/>
      <c r="F366" s="1130"/>
      <c r="G366" s="1130"/>
      <c r="H366" s="1130"/>
      <c r="I366" s="1130"/>
      <c r="J366" s="1130"/>
      <c r="K366" s="1130"/>
      <c r="L366" s="1130"/>
      <c r="M366" s="1130"/>
      <c r="N366" s="1130"/>
      <c r="O366" s="1130"/>
      <c r="P366" s="1130"/>
      <c r="Q366" s="1130"/>
      <c r="R366" s="1130"/>
      <c r="S366" s="1130"/>
      <c r="T366" s="1130"/>
      <c r="U366" s="1130"/>
      <c r="V366" s="1130"/>
      <c r="W366" s="1130"/>
      <c r="X366" s="1130"/>
      <c r="Y366" s="1130"/>
      <c r="Z366" s="1130"/>
    </row>
    <row r="367" spans="1:26" ht="15.75" customHeight="1">
      <c r="A367" s="1130"/>
      <c r="B367" s="1130"/>
      <c r="C367" s="1130"/>
      <c r="D367" s="1130"/>
      <c r="E367" s="1130"/>
      <c r="F367" s="1130"/>
      <c r="G367" s="1130"/>
      <c r="H367" s="1130"/>
      <c r="I367" s="1130"/>
      <c r="J367" s="1130"/>
      <c r="K367" s="1130"/>
      <c r="L367" s="1130"/>
      <c r="M367" s="1130"/>
      <c r="N367" s="1130"/>
      <c r="O367" s="1130"/>
      <c r="P367" s="1130"/>
      <c r="Q367" s="1130"/>
      <c r="R367" s="1130"/>
      <c r="S367" s="1130"/>
      <c r="T367" s="1130"/>
      <c r="U367" s="1130"/>
      <c r="V367" s="1130"/>
      <c r="W367" s="1130"/>
      <c r="X367" s="1130"/>
      <c r="Y367" s="1130"/>
      <c r="Z367" s="1130"/>
    </row>
    <row r="368" spans="1:26" ht="15.75" customHeight="1">
      <c r="A368" s="1130"/>
      <c r="B368" s="1130"/>
      <c r="C368" s="1130"/>
      <c r="D368" s="1130"/>
      <c r="E368" s="1130"/>
      <c r="F368" s="1130"/>
      <c r="G368" s="1130"/>
      <c r="H368" s="1130"/>
      <c r="I368" s="1130"/>
      <c r="J368" s="1130"/>
      <c r="K368" s="1130"/>
      <c r="L368" s="1130"/>
      <c r="M368" s="1130"/>
      <c r="N368" s="1130"/>
      <c r="O368" s="1130"/>
      <c r="P368" s="1130"/>
      <c r="Q368" s="1130"/>
      <c r="R368" s="1130"/>
      <c r="S368" s="1130"/>
      <c r="T368" s="1130"/>
      <c r="U368" s="1130"/>
      <c r="V368" s="1130"/>
      <c r="W368" s="1130"/>
      <c r="X368" s="1130"/>
      <c r="Y368" s="1130"/>
      <c r="Z368" s="1130"/>
    </row>
    <row r="369" spans="1:26" ht="15.75" customHeight="1">
      <c r="A369" s="1130"/>
      <c r="B369" s="1130"/>
      <c r="C369" s="1130"/>
      <c r="D369" s="1130"/>
      <c r="E369" s="1130"/>
      <c r="F369" s="1130"/>
      <c r="G369" s="1130"/>
      <c r="H369" s="1130"/>
      <c r="I369" s="1130"/>
      <c r="J369" s="1130"/>
      <c r="K369" s="1130"/>
      <c r="L369" s="1130"/>
      <c r="M369" s="1130"/>
      <c r="N369" s="1130"/>
      <c r="O369" s="1130"/>
      <c r="P369" s="1130"/>
      <c r="Q369" s="1130"/>
      <c r="R369" s="1130"/>
      <c r="S369" s="1130"/>
      <c r="T369" s="1130"/>
      <c r="U369" s="1130"/>
      <c r="V369" s="1130"/>
      <c r="W369" s="1130"/>
      <c r="X369" s="1130"/>
      <c r="Y369" s="1130"/>
      <c r="Z369" s="1130"/>
    </row>
    <row r="370" spans="1:26" ht="15.75" customHeight="1">
      <c r="A370" s="1130"/>
      <c r="B370" s="1130"/>
      <c r="C370" s="1130"/>
      <c r="D370" s="1130"/>
      <c r="E370" s="1130"/>
      <c r="F370" s="1130"/>
      <c r="G370" s="1130"/>
      <c r="H370" s="1130"/>
      <c r="I370" s="1130"/>
      <c r="J370" s="1130"/>
      <c r="K370" s="1130"/>
      <c r="L370" s="1130"/>
      <c r="M370" s="1130"/>
      <c r="N370" s="1130"/>
      <c r="O370" s="1130"/>
      <c r="P370" s="1130"/>
      <c r="Q370" s="1130"/>
      <c r="R370" s="1130"/>
      <c r="S370" s="1130"/>
      <c r="T370" s="1130"/>
      <c r="U370" s="1130"/>
      <c r="V370" s="1130"/>
      <c r="W370" s="1130"/>
      <c r="X370" s="1130"/>
      <c r="Y370" s="1130"/>
      <c r="Z370" s="1130"/>
    </row>
    <row r="371" spans="1:26" ht="15.75" customHeight="1">
      <c r="A371" s="1130"/>
      <c r="B371" s="1130"/>
      <c r="C371" s="1130"/>
      <c r="D371" s="1130"/>
      <c r="E371" s="1130"/>
      <c r="F371" s="1130"/>
      <c r="G371" s="1130"/>
      <c r="H371" s="1130"/>
      <c r="I371" s="1130"/>
      <c r="J371" s="1130"/>
      <c r="K371" s="1130"/>
      <c r="L371" s="1130"/>
      <c r="M371" s="1130"/>
      <c r="N371" s="1130"/>
      <c r="O371" s="1130"/>
      <c r="P371" s="1130"/>
      <c r="Q371" s="1130"/>
      <c r="R371" s="1130"/>
      <c r="S371" s="1130"/>
      <c r="T371" s="1130"/>
      <c r="U371" s="1130"/>
      <c r="V371" s="1130"/>
      <c r="W371" s="1130"/>
      <c r="X371" s="1130"/>
      <c r="Y371" s="1130"/>
      <c r="Z371" s="1130"/>
    </row>
    <row r="372" spans="1:26" ht="15.75" customHeight="1">
      <c r="A372" s="1130"/>
      <c r="B372" s="1130"/>
      <c r="C372" s="1130"/>
      <c r="D372" s="1130"/>
      <c r="E372" s="1130"/>
      <c r="F372" s="1130"/>
      <c r="G372" s="1130"/>
      <c r="H372" s="1130"/>
      <c r="I372" s="1130"/>
      <c r="J372" s="1130"/>
      <c r="K372" s="1130"/>
      <c r="L372" s="1130"/>
      <c r="M372" s="1130"/>
      <c r="N372" s="1130"/>
      <c r="O372" s="1130"/>
      <c r="P372" s="1130"/>
      <c r="Q372" s="1130"/>
      <c r="R372" s="1130"/>
      <c r="S372" s="1130"/>
      <c r="T372" s="1130"/>
      <c r="U372" s="1130"/>
      <c r="V372" s="1130"/>
      <c r="W372" s="1130"/>
      <c r="X372" s="1130"/>
      <c r="Y372" s="1130"/>
      <c r="Z372" s="1130"/>
    </row>
    <row r="373" spans="1:26" ht="15.75" customHeight="1">
      <c r="A373" s="1130"/>
      <c r="B373" s="1130"/>
      <c r="C373" s="1130"/>
      <c r="D373" s="1130"/>
      <c r="E373" s="1130"/>
      <c r="F373" s="1130"/>
      <c r="G373" s="1130"/>
      <c r="H373" s="1130"/>
      <c r="I373" s="1130"/>
      <c r="J373" s="1130"/>
      <c r="K373" s="1130"/>
      <c r="L373" s="1130"/>
      <c r="M373" s="1130"/>
      <c r="N373" s="1130"/>
      <c r="O373" s="1130"/>
      <c r="P373" s="1130"/>
      <c r="Q373" s="1130"/>
      <c r="R373" s="1130"/>
      <c r="S373" s="1130"/>
      <c r="T373" s="1130"/>
      <c r="U373" s="1130"/>
      <c r="V373" s="1130"/>
      <c r="W373" s="1130"/>
      <c r="X373" s="1130"/>
      <c r="Y373" s="1130"/>
      <c r="Z373" s="1130"/>
    </row>
    <row r="374" spans="1:26" ht="15.75" customHeight="1">
      <c r="A374" s="1130"/>
      <c r="B374" s="1130"/>
      <c r="C374" s="1130"/>
      <c r="D374" s="1130"/>
      <c r="E374" s="1130"/>
      <c r="F374" s="1130"/>
      <c r="G374" s="1130"/>
      <c r="H374" s="1130"/>
      <c r="I374" s="1130"/>
      <c r="J374" s="1130"/>
      <c r="K374" s="1130"/>
      <c r="L374" s="1130"/>
      <c r="M374" s="1130"/>
      <c r="N374" s="1130"/>
      <c r="O374" s="1130"/>
      <c r="P374" s="1130"/>
      <c r="Q374" s="1130"/>
      <c r="R374" s="1130"/>
      <c r="S374" s="1130"/>
      <c r="T374" s="1130"/>
      <c r="U374" s="1130"/>
      <c r="V374" s="1130"/>
      <c r="W374" s="1130"/>
      <c r="X374" s="1130"/>
      <c r="Y374" s="1130"/>
      <c r="Z374" s="1130"/>
    </row>
    <row r="375" spans="1:26" ht="15.75" customHeight="1">
      <c r="A375" s="1130"/>
      <c r="B375" s="1130"/>
      <c r="C375" s="1130"/>
      <c r="D375" s="1130"/>
      <c r="E375" s="1130"/>
      <c r="F375" s="1130"/>
      <c r="G375" s="1130"/>
      <c r="H375" s="1130"/>
      <c r="I375" s="1130"/>
      <c r="J375" s="1130"/>
      <c r="K375" s="1130"/>
      <c r="L375" s="1130"/>
      <c r="M375" s="1130"/>
      <c r="N375" s="1130"/>
      <c r="O375" s="1130"/>
      <c r="P375" s="1130"/>
      <c r="Q375" s="1130"/>
      <c r="R375" s="1130"/>
      <c r="S375" s="1130"/>
      <c r="T375" s="1130"/>
      <c r="U375" s="1130"/>
      <c r="V375" s="1130"/>
      <c r="W375" s="1130"/>
      <c r="X375" s="1130"/>
      <c r="Y375" s="1130"/>
      <c r="Z375" s="1130"/>
    </row>
    <row r="376" spans="1:26" ht="15.75" customHeight="1">
      <c r="A376" s="1130"/>
      <c r="B376" s="1130"/>
      <c r="C376" s="1130"/>
      <c r="D376" s="1130"/>
      <c r="E376" s="1130"/>
      <c r="F376" s="1130"/>
      <c r="G376" s="1130"/>
      <c r="H376" s="1130"/>
      <c r="I376" s="1130"/>
      <c r="J376" s="1130"/>
      <c r="K376" s="1130"/>
      <c r="L376" s="1130"/>
      <c r="M376" s="1130"/>
      <c r="N376" s="1130"/>
      <c r="O376" s="1130"/>
      <c r="P376" s="1130"/>
      <c r="Q376" s="1130"/>
      <c r="R376" s="1130"/>
      <c r="S376" s="1130"/>
      <c r="T376" s="1130"/>
      <c r="U376" s="1130"/>
      <c r="V376" s="1130"/>
      <c r="W376" s="1130"/>
      <c r="X376" s="1130"/>
      <c r="Y376" s="1130"/>
      <c r="Z376" s="1130"/>
    </row>
    <row r="377" spans="1:26" ht="15.75" customHeight="1">
      <c r="A377" s="1130"/>
      <c r="B377" s="1130"/>
      <c r="C377" s="1130"/>
      <c r="D377" s="1130"/>
      <c r="E377" s="1130"/>
      <c r="F377" s="1130"/>
      <c r="G377" s="1130"/>
      <c r="H377" s="1130"/>
      <c r="I377" s="1130"/>
      <c r="J377" s="1130"/>
      <c r="K377" s="1130"/>
      <c r="L377" s="1130"/>
      <c r="M377" s="1130"/>
      <c r="N377" s="1130"/>
      <c r="O377" s="1130"/>
      <c r="P377" s="1130"/>
      <c r="Q377" s="1130"/>
      <c r="R377" s="1130"/>
      <c r="S377" s="1130"/>
      <c r="T377" s="1130"/>
      <c r="U377" s="1130"/>
      <c r="V377" s="1130"/>
      <c r="W377" s="1130"/>
      <c r="X377" s="1130"/>
      <c r="Y377" s="1130"/>
      <c r="Z377" s="1130"/>
    </row>
    <row r="378" spans="1:26" ht="15.75" customHeight="1">
      <c r="A378" s="1130"/>
      <c r="B378" s="1130"/>
      <c r="C378" s="1130"/>
      <c r="D378" s="1130"/>
      <c r="E378" s="1130"/>
      <c r="F378" s="1130"/>
      <c r="G378" s="1130"/>
      <c r="H378" s="1130"/>
      <c r="I378" s="1130"/>
      <c r="J378" s="1130"/>
      <c r="K378" s="1130"/>
      <c r="L378" s="1130"/>
      <c r="M378" s="1130"/>
      <c r="N378" s="1130"/>
      <c r="O378" s="1130"/>
      <c r="P378" s="1130"/>
      <c r="Q378" s="1130"/>
      <c r="R378" s="1130"/>
      <c r="S378" s="1130"/>
      <c r="T378" s="1130"/>
      <c r="U378" s="1130"/>
      <c r="V378" s="1130"/>
      <c r="W378" s="1130"/>
      <c r="X378" s="1130"/>
      <c r="Y378" s="1130"/>
      <c r="Z378" s="1130"/>
    </row>
    <row r="379" spans="1:26" ht="15.75" customHeight="1">
      <c r="A379" s="1130"/>
      <c r="B379" s="1130"/>
      <c r="C379" s="1130"/>
      <c r="D379" s="1130"/>
      <c r="E379" s="1130"/>
      <c r="F379" s="1130"/>
      <c r="G379" s="1130"/>
      <c r="H379" s="1130"/>
      <c r="I379" s="1130"/>
      <c r="J379" s="1130"/>
      <c r="K379" s="1130"/>
      <c r="L379" s="1130"/>
      <c r="M379" s="1130"/>
      <c r="N379" s="1130"/>
      <c r="O379" s="1130"/>
      <c r="P379" s="1130"/>
      <c r="Q379" s="1130"/>
      <c r="R379" s="1130"/>
      <c r="S379" s="1130"/>
      <c r="T379" s="1130"/>
      <c r="U379" s="1130"/>
      <c r="V379" s="1130"/>
      <c r="W379" s="1130"/>
      <c r="X379" s="1130"/>
      <c r="Y379" s="1130"/>
      <c r="Z379" s="1130"/>
    </row>
    <row r="380" spans="1:26" ht="15.75" customHeight="1">
      <c r="A380" s="1130"/>
      <c r="B380" s="1130"/>
      <c r="C380" s="1130"/>
      <c r="D380" s="1130"/>
      <c r="E380" s="1130"/>
      <c r="F380" s="1130"/>
      <c r="G380" s="1130"/>
      <c r="H380" s="1130"/>
      <c r="I380" s="1130"/>
      <c r="J380" s="1130"/>
      <c r="K380" s="1130"/>
      <c r="L380" s="1130"/>
      <c r="M380" s="1130"/>
      <c r="N380" s="1130"/>
      <c r="O380" s="1130"/>
      <c r="P380" s="1130"/>
      <c r="Q380" s="1130"/>
      <c r="R380" s="1130"/>
      <c r="S380" s="1130"/>
      <c r="T380" s="1130"/>
      <c r="U380" s="1130"/>
      <c r="V380" s="1130"/>
      <c r="W380" s="1130"/>
      <c r="X380" s="1130"/>
      <c r="Y380" s="1130"/>
      <c r="Z380" s="1130"/>
    </row>
    <row r="381" spans="1:26" ht="15.75" customHeight="1">
      <c r="A381" s="1130"/>
      <c r="B381" s="1130"/>
      <c r="C381" s="1130"/>
      <c r="D381" s="1130"/>
      <c r="E381" s="1130"/>
      <c r="F381" s="1130"/>
      <c r="G381" s="1130"/>
      <c r="H381" s="1130"/>
      <c r="I381" s="1130"/>
      <c r="J381" s="1130"/>
      <c r="K381" s="1130"/>
      <c r="L381" s="1130"/>
      <c r="M381" s="1130"/>
      <c r="N381" s="1130"/>
      <c r="O381" s="1130"/>
      <c r="P381" s="1130"/>
      <c r="Q381" s="1130"/>
      <c r="R381" s="1130"/>
      <c r="S381" s="1130"/>
      <c r="T381" s="1130"/>
      <c r="U381" s="1130"/>
      <c r="V381" s="1130"/>
      <c r="W381" s="1130"/>
      <c r="X381" s="1130"/>
      <c r="Y381" s="1130"/>
      <c r="Z381" s="1130"/>
    </row>
    <row r="382" spans="1:26" ht="15.75" customHeight="1">
      <c r="A382" s="1130"/>
      <c r="B382" s="1130"/>
      <c r="C382" s="1130"/>
      <c r="D382" s="1130"/>
      <c r="E382" s="1130"/>
      <c r="F382" s="1130"/>
      <c r="G382" s="1130"/>
      <c r="H382" s="1130"/>
      <c r="I382" s="1130"/>
      <c r="J382" s="1130"/>
      <c r="K382" s="1130"/>
      <c r="L382" s="1130"/>
      <c r="M382" s="1130"/>
      <c r="N382" s="1130"/>
      <c r="O382" s="1130"/>
      <c r="P382" s="1130"/>
      <c r="Q382" s="1130"/>
      <c r="R382" s="1130"/>
      <c r="S382" s="1130"/>
      <c r="T382" s="1130"/>
      <c r="U382" s="1130"/>
      <c r="V382" s="1130"/>
      <c r="W382" s="1130"/>
      <c r="X382" s="1130"/>
      <c r="Y382" s="1130"/>
      <c r="Z382" s="1130"/>
    </row>
    <row r="383" spans="1:26" ht="15.75" customHeight="1">
      <c r="A383" s="1130"/>
      <c r="B383" s="1130"/>
      <c r="C383" s="1130"/>
      <c r="D383" s="1130"/>
      <c r="E383" s="1130"/>
      <c r="F383" s="1130"/>
      <c r="G383" s="1130"/>
      <c r="H383" s="1130"/>
      <c r="I383" s="1130"/>
      <c r="J383" s="1130"/>
      <c r="K383" s="1130"/>
      <c r="L383" s="1130"/>
      <c r="M383" s="1130"/>
      <c r="N383" s="1130"/>
      <c r="O383" s="1130"/>
      <c r="P383" s="1130"/>
      <c r="Q383" s="1130"/>
      <c r="R383" s="1130"/>
      <c r="S383" s="1130"/>
      <c r="T383" s="1130"/>
      <c r="U383" s="1130"/>
      <c r="V383" s="1130"/>
      <c r="W383" s="1130"/>
      <c r="X383" s="1130"/>
      <c r="Y383" s="1130"/>
      <c r="Z383" s="1130"/>
    </row>
    <row r="384" spans="1:26" ht="15.75" customHeight="1">
      <c r="A384" s="1130"/>
      <c r="B384" s="1130"/>
      <c r="C384" s="1130"/>
      <c r="D384" s="1130"/>
      <c r="E384" s="1130"/>
      <c r="F384" s="1130"/>
      <c r="G384" s="1130"/>
      <c r="H384" s="1130"/>
      <c r="I384" s="1130"/>
      <c r="J384" s="1130"/>
      <c r="K384" s="1130"/>
      <c r="L384" s="1130"/>
      <c r="M384" s="1130"/>
      <c r="N384" s="1130"/>
      <c r="O384" s="1130"/>
      <c r="P384" s="1130"/>
      <c r="Q384" s="1130"/>
      <c r="R384" s="1130"/>
      <c r="S384" s="1130"/>
      <c r="T384" s="1130"/>
      <c r="U384" s="1130"/>
      <c r="V384" s="1130"/>
      <c r="W384" s="1130"/>
      <c r="X384" s="1130"/>
      <c r="Y384" s="1130"/>
      <c r="Z384" s="1130"/>
    </row>
    <row r="385" spans="1:26" ht="15.75" customHeight="1">
      <c r="A385" s="1130"/>
      <c r="B385" s="1130"/>
      <c r="C385" s="1130"/>
      <c r="D385" s="1130"/>
      <c r="E385" s="1130"/>
      <c r="F385" s="1130"/>
      <c r="G385" s="1130"/>
      <c r="H385" s="1130"/>
      <c r="I385" s="1130"/>
      <c r="J385" s="1130"/>
      <c r="K385" s="1130"/>
      <c r="L385" s="1130"/>
      <c r="M385" s="1130"/>
      <c r="N385" s="1130"/>
      <c r="O385" s="1130"/>
      <c r="P385" s="1130"/>
      <c r="Q385" s="1130"/>
      <c r="R385" s="1130"/>
      <c r="S385" s="1130"/>
      <c r="T385" s="1130"/>
      <c r="U385" s="1130"/>
      <c r="V385" s="1130"/>
      <c r="W385" s="1130"/>
      <c r="X385" s="1130"/>
      <c r="Y385" s="1130"/>
      <c r="Z385" s="1130"/>
    </row>
    <row r="386" spans="1:26" ht="15.75" customHeight="1">
      <c r="A386" s="1130"/>
      <c r="B386" s="1130"/>
      <c r="C386" s="1130"/>
      <c r="D386" s="1130"/>
      <c r="E386" s="1130"/>
      <c r="F386" s="1130"/>
      <c r="G386" s="1130"/>
      <c r="H386" s="1130"/>
      <c r="I386" s="1130"/>
      <c r="J386" s="1130"/>
      <c r="K386" s="1130"/>
      <c r="L386" s="1130"/>
      <c r="M386" s="1130"/>
      <c r="N386" s="1130"/>
      <c r="O386" s="1130"/>
      <c r="P386" s="1130"/>
      <c r="Q386" s="1130"/>
      <c r="R386" s="1130"/>
      <c r="S386" s="1130"/>
      <c r="T386" s="1130"/>
      <c r="U386" s="1130"/>
      <c r="V386" s="1130"/>
      <c r="W386" s="1130"/>
      <c r="X386" s="1130"/>
      <c r="Y386" s="1130"/>
      <c r="Z386" s="1130"/>
    </row>
    <row r="387" spans="1:26" ht="15.75" customHeight="1">
      <c r="A387" s="1130"/>
      <c r="B387" s="1130"/>
      <c r="C387" s="1130"/>
      <c r="D387" s="1130"/>
      <c r="E387" s="1130"/>
      <c r="F387" s="1130"/>
      <c r="G387" s="1130"/>
      <c r="H387" s="1130"/>
      <c r="I387" s="1130"/>
      <c r="J387" s="1130"/>
      <c r="K387" s="1130"/>
      <c r="L387" s="1130"/>
      <c r="M387" s="1130"/>
      <c r="N387" s="1130"/>
      <c r="O387" s="1130"/>
      <c r="P387" s="1130"/>
      <c r="Q387" s="1130"/>
      <c r="R387" s="1130"/>
      <c r="S387" s="1130"/>
      <c r="T387" s="1130"/>
      <c r="U387" s="1130"/>
      <c r="V387" s="1130"/>
      <c r="W387" s="1130"/>
      <c r="X387" s="1130"/>
      <c r="Y387" s="1130"/>
      <c r="Z387" s="1130"/>
    </row>
    <row r="388" spans="1:26" ht="15.75" customHeight="1">
      <c r="A388" s="1130"/>
      <c r="B388" s="1130"/>
      <c r="C388" s="1130"/>
      <c r="D388" s="1130"/>
      <c r="E388" s="1130"/>
      <c r="F388" s="1130"/>
      <c r="G388" s="1130"/>
      <c r="H388" s="1130"/>
      <c r="I388" s="1130"/>
      <c r="J388" s="1130"/>
      <c r="K388" s="1130"/>
      <c r="L388" s="1130"/>
      <c r="M388" s="1130"/>
      <c r="N388" s="1130"/>
      <c r="O388" s="1130"/>
      <c r="P388" s="1130"/>
      <c r="Q388" s="1130"/>
      <c r="R388" s="1130"/>
      <c r="S388" s="1130"/>
      <c r="T388" s="1130"/>
      <c r="U388" s="1130"/>
      <c r="V388" s="1130"/>
      <c r="W388" s="1130"/>
      <c r="X388" s="1130"/>
      <c r="Y388" s="1130"/>
      <c r="Z388" s="1130"/>
    </row>
    <row r="389" spans="1:26" ht="15.75" customHeight="1">
      <c r="A389" s="1130"/>
      <c r="B389" s="1130"/>
      <c r="C389" s="1130"/>
      <c r="D389" s="1130"/>
      <c r="E389" s="1130"/>
      <c r="F389" s="1130"/>
      <c r="G389" s="1130"/>
      <c r="H389" s="1130"/>
      <c r="I389" s="1130"/>
      <c r="J389" s="1130"/>
      <c r="K389" s="1130"/>
      <c r="L389" s="1130"/>
      <c r="M389" s="1130"/>
      <c r="N389" s="1130"/>
      <c r="O389" s="1130"/>
      <c r="P389" s="1130"/>
      <c r="Q389" s="1130"/>
      <c r="R389" s="1130"/>
      <c r="S389" s="1130"/>
      <c r="T389" s="1130"/>
      <c r="U389" s="1130"/>
      <c r="V389" s="1130"/>
      <c r="W389" s="1130"/>
      <c r="X389" s="1130"/>
      <c r="Y389" s="1130"/>
      <c r="Z389" s="1130"/>
    </row>
    <row r="390" spans="1:26" ht="15.75" customHeight="1">
      <c r="A390" s="1130"/>
      <c r="B390" s="1130"/>
      <c r="C390" s="1130"/>
      <c r="D390" s="1130"/>
      <c r="E390" s="1130"/>
      <c r="F390" s="1130"/>
      <c r="G390" s="1130"/>
      <c r="H390" s="1130"/>
      <c r="I390" s="1130"/>
      <c r="J390" s="1130"/>
      <c r="K390" s="1130"/>
      <c r="L390" s="1130"/>
      <c r="M390" s="1130"/>
      <c r="N390" s="1130"/>
      <c r="O390" s="1130"/>
      <c r="P390" s="1130"/>
      <c r="Q390" s="1130"/>
      <c r="R390" s="1130"/>
      <c r="S390" s="1130"/>
      <c r="T390" s="1130"/>
      <c r="U390" s="1130"/>
      <c r="V390" s="1130"/>
      <c r="W390" s="1130"/>
      <c r="X390" s="1130"/>
      <c r="Y390" s="1130"/>
      <c r="Z390" s="1130"/>
    </row>
    <row r="391" spans="1:26" ht="15.75" customHeight="1">
      <c r="A391" s="1130"/>
      <c r="B391" s="1130"/>
      <c r="C391" s="1130"/>
      <c r="D391" s="1130"/>
      <c r="E391" s="1130"/>
      <c r="F391" s="1130"/>
      <c r="G391" s="1130"/>
      <c r="H391" s="1130"/>
      <c r="I391" s="1130"/>
      <c r="J391" s="1130"/>
      <c r="K391" s="1130"/>
      <c r="L391" s="1130"/>
      <c r="M391" s="1130"/>
      <c r="N391" s="1130"/>
      <c r="O391" s="1130"/>
      <c r="P391" s="1130"/>
      <c r="Q391" s="1130"/>
      <c r="R391" s="1130"/>
      <c r="S391" s="1130"/>
      <c r="T391" s="1130"/>
      <c r="U391" s="1130"/>
      <c r="V391" s="1130"/>
      <c r="W391" s="1130"/>
      <c r="X391" s="1130"/>
      <c r="Y391" s="1130"/>
      <c r="Z391" s="1130"/>
    </row>
    <row r="392" spans="1:26" ht="15.75" customHeight="1">
      <c r="A392" s="1130"/>
      <c r="B392" s="1130"/>
      <c r="C392" s="1130"/>
      <c r="D392" s="1130"/>
      <c r="E392" s="1130"/>
      <c r="F392" s="1130"/>
      <c r="G392" s="1130"/>
      <c r="H392" s="1130"/>
      <c r="I392" s="1130"/>
      <c r="J392" s="1130"/>
      <c r="K392" s="1130"/>
      <c r="L392" s="1130"/>
      <c r="M392" s="1130"/>
      <c r="N392" s="1130"/>
      <c r="O392" s="1130"/>
      <c r="P392" s="1130"/>
      <c r="Q392" s="1130"/>
      <c r="R392" s="1130"/>
      <c r="S392" s="1130"/>
      <c r="T392" s="1130"/>
      <c r="U392" s="1130"/>
      <c r="V392" s="1130"/>
      <c r="W392" s="1130"/>
      <c r="X392" s="1130"/>
      <c r="Y392" s="1130"/>
      <c r="Z392" s="1130"/>
    </row>
    <row r="393" spans="1:26" ht="15.75" customHeight="1">
      <c r="A393" s="1130"/>
      <c r="B393" s="1130"/>
      <c r="C393" s="1130"/>
      <c r="D393" s="1130"/>
      <c r="E393" s="1130"/>
      <c r="F393" s="1130"/>
      <c r="G393" s="1130"/>
      <c r="H393" s="1130"/>
      <c r="I393" s="1130"/>
      <c r="J393" s="1130"/>
      <c r="K393" s="1130"/>
      <c r="L393" s="1130"/>
      <c r="M393" s="1130"/>
      <c r="N393" s="1130"/>
      <c r="O393" s="1130"/>
      <c r="P393" s="1130"/>
      <c r="Q393" s="1130"/>
      <c r="R393" s="1130"/>
      <c r="S393" s="1130"/>
      <c r="T393" s="1130"/>
      <c r="U393" s="1130"/>
      <c r="V393" s="1130"/>
      <c r="W393" s="1130"/>
      <c r="X393" s="1130"/>
      <c r="Y393" s="1130"/>
      <c r="Z393" s="1130"/>
    </row>
    <row r="394" spans="1:26" ht="15.75" customHeight="1">
      <c r="A394" s="1130"/>
      <c r="B394" s="1130"/>
      <c r="C394" s="1130"/>
      <c r="D394" s="1130"/>
      <c r="E394" s="1130"/>
      <c r="F394" s="1130"/>
      <c r="G394" s="1130"/>
      <c r="H394" s="1130"/>
      <c r="I394" s="1130"/>
      <c r="J394" s="1130"/>
      <c r="K394" s="1130"/>
      <c r="L394" s="1130"/>
      <c r="M394" s="1130"/>
      <c r="N394" s="1130"/>
      <c r="O394" s="1130"/>
      <c r="P394" s="1130"/>
      <c r="Q394" s="1130"/>
      <c r="R394" s="1130"/>
      <c r="S394" s="1130"/>
      <c r="T394" s="1130"/>
      <c r="U394" s="1130"/>
      <c r="V394" s="1130"/>
      <c r="W394" s="1130"/>
      <c r="X394" s="1130"/>
      <c r="Y394" s="1130"/>
      <c r="Z394" s="1130"/>
    </row>
    <row r="395" spans="1:26" ht="15.75" customHeight="1">
      <c r="A395" s="1130"/>
      <c r="B395" s="1130"/>
      <c r="C395" s="1130"/>
      <c r="D395" s="1130"/>
      <c r="E395" s="1130"/>
      <c r="F395" s="1130"/>
      <c r="G395" s="1130"/>
      <c r="H395" s="1130"/>
      <c r="I395" s="1130"/>
      <c r="J395" s="1130"/>
      <c r="K395" s="1130"/>
      <c r="L395" s="1130"/>
      <c r="M395" s="1130"/>
      <c r="N395" s="1130"/>
      <c r="O395" s="1130"/>
      <c r="P395" s="1130"/>
      <c r="Q395" s="1130"/>
      <c r="R395" s="1130"/>
      <c r="S395" s="1130"/>
      <c r="T395" s="1130"/>
      <c r="U395" s="1130"/>
      <c r="V395" s="1130"/>
      <c r="W395" s="1130"/>
      <c r="X395" s="1130"/>
      <c r="Y395" s="1130"/>
      <c r="Z395" s="1130"/>
    </row>
    <row r="396" spans="1:26" ht="15.75" customHeight="1">
      <c r="A396" s="1130"/>
      <c r="B396" s="1130"/>
      <c r="C396" s="1130"/>
      <c r="D396" s="1130"/>
      <c r="E396" s="1130"/>
      <c r="F396" s="1130"/>
      <c r="G396" s="1130"/>
      <c r="H396" s="1130"/>
      <c r="I396" s="1130"/>
      <c r="J396" s="1130"/>
      <c r="K396" s="1130"/>
      <c r="L396" s="1130"/>
      <c r="M396" s="1130"/>
      <c r="N396" s="1130"/>
      <c r="O396" s="1130"/>
      <c r="P396" s="1130"/>
      <c r="Q396" s="1130"/>
      <c r="R396" s="1130"/>
      <c r="S396" s="1130"/>
      <c r="T396" s="1130"/>
      <c r="U396" s="1130"/>
      <c r="V396" s="1130"/>
      <c r="W396" s="1130"/>
      <c r="X396" s="1130"/>
      <c r="Y396" s="1130"/>
      <c r="Z396" s="1130"/>
    </row>
    <row r="397" spans="1:26" ht="15.75" customHeight="1">
      <c r="A397" s="1130"/>
      <c r="B397" s="1130"/>
      <c r="C397" s="1130"/>
      <c r="D397" s="1130"/>
      <c r="E397" s="1130"/>
      <c r="F397" s="1130"/>
      <c r="G397" s="1130"/>
      <c r="H397" s="1130"/>
      <c r="I397" s="1130"/>
      <c r="J397" s="1130"/>
      <c r="K397" s="1130"/>
      <c r="L397" s="1130"/>
      <c r="M397" s="1130"/>
      <c r="N397" s="1130"/>
      <c r="O397" s="1130"/>
      <c r="P397" s="1130"/>
      <c r="Q397" s="1130"/>
      <c r="R397" s="1130"/>
      <c r="S397" s="1130"/>
      <c r="T397" s="1130"/>
      <c r="U397" s="1130"/>
      <c r="V397" s="1130"/>
      <c r="W397" s="1130"/>
      <c r="X397" s="1130"/>
      <c r="Y397" s="1130"/>
      <c r="Z397" s="1130"/>
    </row>
    <row r="398" spans="1:26" ht="15.75" customHeight="1">
      <c r="A398" s="1130"/>
      <c r="B398" s="1130"/>
      <c r="C398" s="1130"/>
      <c r="D398" s="1130"/>
      <c r="E398" s="1130"/>
      <c r="F398" s="1130"/>
      <c r="G398" s="1130"/>
      <c r="H398" s="1130"/>
      <c r="I398" s="1130"/>
      <c r="J398" s="1130"/>
      <c r="K398" s="1130"/>
      <c r="L398" s="1130"/>
      <c r="M398" s="1130"/>
      <c r="N398" s="1130"/>
      <c r="O398" s="1130"/>
      <c r="P398" s="1130"/>
      <c r="Q398" s="1130"/>
      <c r="R398" s="1130"/>
      <c r="S398" s="1130"/>
      <c r="T398" s="1130"/>
      <c r="U398" s="1130"/>
      <c r="V398" s="1130"/>
      <c r="W398" s="1130"/>
      <c r="X398" s="1130"/>
      <c r="Y398" s="1130"/>
      <c r="Z398" s="1130"/>
    </row>
    <row r="399" spans="1:26" ht="15.75" customHeight="1">
      <c r="A399" s="1130"/>
      <c r="B399" s="1130"/>
      <c r="C399" s="1130"/>
      <c r="D399" s="1130"/>
      <c r="E399" s="1130"/>
      <c r="F399" s="1130"/>
      <c r="G399" s="1130"/>
      <c r="H399" s="1130"/>
      <c r="I399" s="1130"/>
      <c r="J399" s="1130"/>
      <c r="K399" s="1130"/>
      <c r="L399" s="1130"/>
      <c r="M399" s="1130"/>
      <c r="N399" s="1130"/>
      <c r="O399" s="1130"/>
      <c r="P399" s="1130"/>
      <c r="Q399" s="1130"/>
      <c r="R399" s="1130"/>
      <c r="S399" s="1130"/>
      <c r="T399" s="1130"/>
      <c r="U399" s="1130"/>
      <c r="V399" s="1130"/>
      <c r="W399" s="1130"/>
      <c r="X399" s="1130"/>
      <c r="Y399" s="1130"/>
      <c r="Z399" s="1130"/>
    </row>
    <row r="400" spans="1:26" ht="15.75" customHeight="1">
      <c r="A400" s="1130"/>
      <c r="B400" s="1130"/>
      <c r="C400" s="1130"/>
      <c r="D400" s="1130"/>
      <c r="E400" s="1130"/>
      <c r="F400" s="1130"/>
      <c r="G400" s="1130"/>
      <c r="H400" s="1130"/>
      <c r="I400" s="1130"/>
      <c r="J400" s="1130"/>
      <c r="K400" s="1130"/>
      <c r="L400" s="1130"/>
      <c r="M400" s="1130"/>
      <c r="N400" s="1130"/>
      <c r="O400" s="1130"/>
      <c r="P400" s="1130"/>
      <c r="Q400" s="1130"/>
      <c r="R400" s="1130"/>
      <c r="S400" s="1130"/>
      <c r="T400" s="1130"/>
      <c r="U400" s="1130"/>
      <c r="V400" s="1130"/>
      <c r="W400" s="1130"/>
      <c r="X400" s="1130"/>
      <c r="Y400" s="1130"/>
      <c r="Z400" s="1130"/>
    </row>
    <row r="401" spans="1:26" ht="15.75" customHeight="1">
      <c r="A401" s="1130"/>
      <c r="B401" s="1130"/>
      <c r="C401" s="1130"/>
      <c r="D401" s="1130"/>
      <c r="E401" s="1130"/>
      <c r="F401" s="1130"/>
      <c r="G401" s="1130"/>
      <c r="H401" s="1130"/>
      <c r="I401" s="1130"/>
      <c r="J401" s="1130"/>
      <c r="K401" s="1130"/>
      <c r="L401" s="1130"/>
      <c r="M401" s="1130"/>
      <c r="N401" s="1130"/>
      <c r="O401" s="1130"/>
      <c r="P401" s="1130"/>
      <c r="Q401" s="1130"/>
      <c r="R401" s="1130"/>
      <c r="S401" s="1130"/>
      <c r="T401" s="1130"/>
      <c r="U401" s="1130"/>
      <c r="V401" s="1130"/>
      <c r="W401" s="1130"/>
      <c r="X401" s="1130"/>
      <c r="Y401" s="1130"/>
      <c r="Z401" s="1130"/>
    </row>
    <row r="402" spans="1:26" ht="15.75" customHeight="1">
      <c r="A402" s="1130"/>
      <c r="B402" s="1130"/>
      <c r="C402" s="1130"/>
      <c r="D402" s="1130"/>
      <c r="E402" s="1130"/>
      <c r="F402" s="1130"/>
      <c r="G402" s="1130"/>
      <c r="H402" s="1130"/>
      <c r="I402" s="1130"/>
      <c r="J402" s="1130"/>
      <c r="K402" s="1130"/>
      <c r="L402" s="1130"/>
      <c r="M402" s="1130"/>
      <c r="N402" s="1130"/>
      <c r="O402" s="1130"/>
      <c r="P402" s="1130"/>
      <c r="Q402" s="1130"/>
      <c r="R402" s="1130"/>
      <c r="S402" s="1130"/>
      <c r="T402" s="1130"/>
      <c r="U402" s="1130"/>
      <c r="V402" s="1130"/>
      <c r="W402" s="1130"/>
      <c r="X402" s="1130"/>
      <c r="Y402" s="1130"/>
      <c r="Z402" s="1130"/>
    </row>
    <row r="403" spans="1:26" ht="15.75" customHeight="1">
      <c r="A403" s="1130"/>
      <c r="B403" s="1130"/>
      <c r="C403" s="1130"/>
      <c r="D403" s="1130"/>
      <c r="E403" s="1130"/>
      <c r="F403" s="1130"/>
      <c r="G403" s="1130"/>
      <c r="H403" s="1130"/>
      <c r="I403" s="1130"/>
      <c r="J403" s="1130"/>
      <c r="K403" s="1130"/>
      <c r="L403" s="1130"/>
      <c r="M403" s="1130"/>
      <c r="N403" s="1130"/>
      <c r="O403" s="1130"/>
      <c r="P403" s="1130"/>
      <c r="Q403" s="1130"/>
      <c r="R403" s="1130"/>
      <c r="S403" s="1130"/>
      <c r="T403" s="1130"/>
      <c r="U403" s="1130"/>
      <c r="V403" s="1130"/>
      <c r="W403" s="1130"/>
      <c r="X403" s="1130"/>
      <c r="Y403" s="1130"/>
      <c r="Z403" s="1130"/>
    </row>
    <row r="404" spans="1:26" ht="15.75" customHeight="1">
      <c r="A404" s="1130"/>
      <c r="B404" s="1130"/>
      <c r="C404" s="1130"/>
      <c r="D404" s="1130"/>
      <c r="E404" s="1130"/>
      <c r="F404" s="1130"/>
      <c r="G404" s="1130"/>
      <c r="H404" s="1130"/>
      <c r="I404" s="1130"/>
      <c r="J404" s="1130"/>
      <c r="K404" s="1130"/>
      <c r="L404" s="1130"/>
      <c r="M404" s="1130"/>
      <c r="N404" s="1130"/>
      <c r="O404" s="1130"/>
      <c r="P404" s="1130"/>
      <c r="Q404" s="1130"/>
      <c r="R404" s="1130"/>
      <c r="S404" s="1130"/>
      <c r="T404" s="1130"/>
      <c r="U404" s="1130"/>
      <c r="V404" s="1130"/>
      <c r="W404" s="1130"/>
      <c r="X404" s="1130"/>
      <c r="Y404" s="1130"/>
      <c r="Z404" s="1130"/>
    </row>
    <row r="405" spans="1:26" ht="15.75" customHeight="1">
      <c r="A405" s="1130"/>
      <c r="B405" s="1130"/>
      <c r="C405" s="1130"/>
      <c r="D405" s="1130"/>
      <c r="E405" s="1130"/>
      <c r="F405" s="1130"/>
      <c r="G405" s="1130"/>
      <c r="H405" s="1130"/>
      <c r="I405" s="1130"/>
      <c r="J405" s="1130"/>
      <c r="K405" s="1130"/>
      <c r="L405" s="1130"/>
      <c r="M405" s="1130"/>
      <c r="N405" s="1130"/>
      <c r="O405" s="1130"/>
      <c r="P405" s="1130"/>
      <c r="Q405" s="1130"/>
      <c r="R405" s="1130"/>
      <c r="S405" s="1130"/>
      <c r="T405" s="1130"/>
      <c r="U405" s="1130"/>
      <c r="V405" s="1130"/>
      <c r="W405" s="1130"/>
      <c r="X405" s="1130"/>
      <c r="Y405" s="1130"/>
      <c r="Z405" s="1130"/>
    </row>
    <row r="406" spans="1:26" ht="15.75" customHeight="1">
      <c r="A406" s="1130"/>
      <c r="B406" s="1130"/>
      <c r="C406" s="1130"/>
      <c r="D406" s="1130"/>
      <c r="E406" s="1130"/>
      <c r="F406" s="1130"/>
      <c r="G406" s="1130"/>
      <c r="H406" s="1130"/>
      <c r="I406" s="1130"/>
      <c r="J406" s="1130"/>
      <c r="K406" s="1130"/>
      <c r="L406" s="1130"/>
      <c r="M406" s="1130"/>
      <c r="N406" s="1130"/>
      <c r="O406" s="1130"/>
      <c r="P406" s="1130"/>
      <c r="Q406" s="1130"/>
      <c r="R406" s="1130"/>
      <c r="S406" s="1130"/>
      <c r="T406" s="1130"/>
      <c r="U406" s="1130"/>
      <c r="V406" s="1130"/>
      <c r="W406" s="1130"/>
      <c r="X406" s="1130"/>
      <c r="Y406" s="1130"/>
      <c r="Z406" s="1130"/>
    </row>
    <row r="407" spans="1:26" ht="15.75" customHeight="1">
      <c r="A407" s="1130"/>
      <c r="B407" s="1130"/>
      <c r="C407" s="1130"/>
      <c r="D407" s="1130"/>
      <c r="E407" s="1130"/>
      <c r="F407" s="1130"/>
      <c r="G407" s="1130"/>
      <c r="H407" s="1130"/>
      <c r="I407" s="1130"/>
      <c r="J407" s="1130"/>
      <c r="K407" s="1130"/>
      <c r="L407" s="1130"/>
      <c r="M407" s="1130"/>
      <c r="N407" s="1130"/>
      <c r="O407" s="1130"/>
      <c r="P407" s="1130"/>
      <c r="Q407" s="1130"/>
      <c r="R407" s="1130"/>
      <c r="S407" s="1130"/>
      <c r="T407" s="1130"/>
      <c r="U407" s="1130"/>
      <c r="V407" s="1130"/>
      <c r="W407" s="1130"/>
      <c r="X407" s="1130"/>
      <c r="Y407" s="1130"/>
      <c r="Z407" s="1130"/>
    </row>
    <row r="408" spans="1:26" ht="15.75" customHeight="1">
      <c r="A408" s="1130"/>
      <c r="B408" s="1130"/>
      <c r="C408" s="1130"/>
      <c r="D408" s="1130"/>
      <c r="E408" s="1130"/>
      <c r="F408" s="1130"/>
      <c r="G408" s="1130"/>
      <c r="H408" s="1130"/>
      <c r="I408" s="1130"/>
      <c r="J408" s="1130"/>
      <c r="K408" s="1130"/>
      <c r="L408" s="1130"/>
      <c r="M408" s="1130"/>
      <c r="N408" s="1130"/>
      <c r="O408" s="1130"/>
      <c r="P408" s="1130"/>
      <c r="Q408" s="1130"/>
      <c r="R408" s="1130"/>
      <c r="S408" s="1130"/>
      <c r="T408" s="1130"/>
      <c r="U408" s="1130"/>
      <c r="V408" s="1130"/>
      <c r="W408" s="1130"/>
      <c r="X408" s="1130"/>
      <c r="Y408" s="1130"/>
      <c r="Z408" s="1130"/>
    </row>
    <row r="409" spans="1:26" ht="15.75" customHeight="1">
      <c r="A409" s="1130"/>
      <c r="B409" s="1130"/>
      <c r="C409" s="1130"/>
      <c r="D409" s="1130"/>
      <c r="E409" s="1130"/>
      <c r="F409" s="1130"/>
      <c r="G409" s="1130"/>
      <c r="H409" s="1130"/>
      <c r="I409" s="1130"/>
      <c r="J409" s="1130"/>
      <c r="K409" s="1130"/>
      <c r="L409" s="1130"/>
      <c r="M409" s="1130"/>
      <c r="N409" s="1130"/>
      <c r="O409" s="1130"/>
      <c r="P409" s="1130"/>
      <c r="Q409" s="1130"/>
      <c r="R409" s="1130"/>
      <c r="S409" s="1130"/>
      <c r="T409" s="1130"/>
      <c r="U409" s="1130"/>
      <c r="V409" s="1130"/>
      <c r="W409" s="1130"/>
      <c r="X409" s="1130"/>
      <c r="Y409" s="1130"/>
      <c r="Z409" s="1130"/>
    </row>
    <row r="410" spans="1:26" ht="15.75" customHeight="1">
      <c r="A410" s="1130"/>
      <c r="B410" s="1130"/>
      <c r="C410" s="1130"/>
      <c r="D410" s="1130"/>
      <c r="E410" s="1130"/>
      <c r="F410" s="1130"/>
      <c r="G410" s="1130"/>
      <c r="H410" s="1130"/>
      <c r="I410" s="1130"/>
      <c r="J410" s="1130"/>
      <c r="K410" s="1130"/>
      <c r="L410" s="1130"/>
      <c r="M410" s="1130"/>
      <c r="N410" s="1130"/>
      <c r="O410" s="1130"/>
      <c r="P410" s="1130"/>
      <c r="Q410" s="1130"/>
      <c r="R410" s="1130"/>
      <c r="S410" s="1130"/>
      <c r="T410" s="1130"/>
      <c r="U410" s="1130"/>
      <c r="V410" s="1130"/>
      <c r="W410" s="1130"/>
      <c r="X410" s="1130"/>
      <c r="Y410" s="1130"/>
      <c r="Z410" s="1130"/>
    </row>
    <row r="411" spans="1:26" ht="15.75" customHeight="1">
      <c r="A411" s="1130"/>
      <c r="B411" s="1130"/>
      <c r="C411" s="1130"/>
      <c r="D411" s="1130"/>
      <c r="E411" s="1130"/>
      <c r="F411" s="1130"/>
      <c r="G411" s="1130"/>
      <c r="H411" s="1130"/>
      <c r="I411" s="1130"/>
      <c r="J411" s="1130"/>
      <c r="K411" s="1130"/>
      <c r="L411" s="1130"/>
      <c r="M411" s="1130"/>
      <c r="N411" s="1130"/>
      <c r="O411" s="1130"/>
      <c r="P411" s="1130"/>
      <c r="Q411" s="1130"/>
      <c r="R411" s="1130"/>
      <c r="S411" s="1130"/>
      <c r="T411" s="1130"/>
      <c r="U411" s="1130"/>
      <c r="V411" s="1130"/>
      <c r="W411" s="1130"/>
      <c r="X411" s="1130"/>
      <c r="Y411" s="1130"/>
      <c r="Z411" s="1130"/>
    </row>
    <row r="412" spans="1:26" ht="15.75" customHeight="1">
      <c r="A412" s="1130"/>
      <c r="B412" s="1130"/>
      <c r="C412" s="1130"/>
      <c r="D412" s="1130"/>
      <c r="E412" s="1130"/>
      <c r="F412" s="1130"/>
      <c r="G412" s="1130"/>
      <c r="H412" s="1130"/>
      <c r="I412" s="1130"/>
      <c r="J412" s="1130"/>
      <c r="K412" s="1130"/>
      <c r="L412" s="1130"/>
      <c r="M412" s="1130"/>
      <c r="N412" s="1130"/>
      <c r="O412" s="1130"/>
      <c r="P412" s="1130"/>
      <c r="Q412" s="1130"/>
      <c r="R412" s="1130"/>
      <c r="S412" s="1130"/>
      <c r="T412" s="1130"/>
      <c r="U412" s="1130"/>
      <c r="V412" s="1130"/>
      <c r="W412" s="1130"/>
      <c r="X412" s="1130"/>
      <c r="Y412" s="1130"/>
      <c r="Z412" s="1130"/>
    </row>
    <row r="413" spans="1:26" ht="15.75" customHeight="1">
      <c r="A413" s="1130"/>
      <c r="B413" s="1130"/>
      <c r="C413" s="1130"/>
      <c r="D413" s="1130"/>
      <c r="E413" s="1130"/>
      <c r="F413" s="1130"/>
      <c r="G413" s="1130"/>
      <c r="H413" s="1130"/>
      <c r="I413" s="1130"/>
      <c r="J413" s="1130"/>
      <c r="K413" s="1130"/>
      <c r="L413" s="1130"/>
      <c r="M413" s="1130"/>
      <c r="N413" s="1130"/>
      <c r="O413" s="1130"/>
      <c r="P413" s="1130"/>
      <c r="Q413" s="1130"/>
      <c r="R413" s="1130"/>
      <c r="S413" s="1130"/>
      <c r="T413" s="1130"/>
      <c r="U413" s="1130"/>
      <c r="V413" s="1130"/>
      <c r="W413" s="1130"/>
      <c r="X413" s="1130"/>
      <c r="Y413" s="1130"/>
      <c r="Z413" s="1130"/>
    </row>
    <row r="414" spans="1:26" ht="15.75" customHeight="1">
      <c r="A414" s="1130"/>
      <c r="B414" s="1130"/>
      <c r="C414" s="1130"/>
      <c r="D414" s="1130"/>
      <c r="E414" s="1130"/>
      <c r="F414" s="1130"/>
      <c r="G414" s="1130"/>
      <c r="H414" s="1130"/>
      <c r="I414" s="1130"/>
      <c r="J414" s="1130"/>
      <c r="K414" s="1130"/>
      <c r="L414" s="1130"/>
      <c r="M414" s="1130"/>
      <c r="N414" s="1130"/>
      <c r="O414" s="1130"/>
      <c r="P414" s="1130"/>
      <c r="Q414" s="1130"/>
      <c r="R414" s="1130"/>
      <c r="S414" s="1130"/>
      <c r="T414" s="1130"/>
      <c r="U414" s="1130"/>
      <c r="V414" s="1130"/>
      <c r="W414" s="1130"/>
      <c r="X414" s="1130"/>
      <c r="Y414" s="1130"/>
      <c r="Z414" s="1130"/>
    </row>
    <row r="415" spans="1:26" ht="15.75" customHeight="1">
      <c r="A415" s="1130"/>
      <c r="B415" s="1130"/>
      <c r="C415" s="1130"/>
      <c r="D415" s="1130"/>
      <c r="E415" s="1130"/>
      <c r="F415" s="1130"/>
      <c r="G415" s="1130"/>
      <c r="H415" s="1130"/>
      <c r="I415" s="1130"/>
      <c r="J415" s="1130"/>
      <c r="K415" s="1130"/>
      <c r="L415" s="1130"/>
      <c r="M415" s="1130"/>
      <c r="N415" s="1130"/>
      <c r="O415" s="1130"/>
      <c r="P415" s="1130"/>
      <c r="Q415" s="1130"/>
      <c r="R415" s="1130"/>
      <c r="S415" s="1130"/>
      <c r="T415" s="1130"/>
      <c r="U415" s="1130"/>
      <c r="V415" s="1130"/>
      <c r="W415" s="1130"/>
      <c r="X415" s="1130"/>
      <c r="Y415" s="1130"/>
      <c r="Z415" s="1130"/>
    </row>
    <row r="416" spans="1:26" ht="15.75" customHeight="1">
      <c r="A416" s="1130"/>
      <c r="B416" s="1130"/>
      <c r="C416" s="1130"/>
      <c r="D416" s="1130"/>
      <c r="E416" s="1130"/>
      <c r="F416" s="1130"/>
      <c r="G416" s="1130"/>
      <c r="H416" s="1130"/>
      <c r="I416" s="1130"/>
      <c r="J416" s="1130"/>
      <c r="K416" s="1130"/>
      <c r="L416" s="1130"/>
      <c r="M416" s="1130"/>
      <c r="N416" s="1130"/>
      <c r="O416" s="1130"/>
      <c r="P416" s="1130"/>
      <c r="Q416" s="1130"/>
      <c r="R416" s="1130"/>
      <c r="S416" s="1130"/>
      <c r="T416" s="1130"/>
      <c r="U416" s="1130"/>
      <c r="V416" s="1130"/>
      <c r="W416" s="1130"/>
      <c r="X416" s="1130"/>
      <c r="Y416" s="1130"/>
      <c r="Z416" s="1130"/>
    </row>
    <row r="417" spans="1:26" ht="15.75" customHeight="1">
      <c r="A417" s="1130"/>
      <c r="B417" s="1130"/>
      <c r="C417" s="1130"/>
      <c r="D417" s="1130"/>
      <c r="E417" s="1130"/>
      <c r="F417" s="1130"/>
      <c r="G417" s="1130"/>
      <c r="H417" s="1130"/>
      <c r="I417" s="1130"/>
      <c r="J417" s="1130"/>
      <c r="K417" s="1130"/>
      <c r="L417" s="1130"/>
      <c r="M417" s="1130"/>
      <c r="N417" s="1130"/>
      <c r="O417" s="1130"/>
      <c r="P417" s="1130"/>
      <c r="Q417" s="1130"/>
      <c r="R417" s="1130"/>
      <c r="S417" s="1130"/>
      <c r="T417" s="1130"/>
      <c r="U417" s="1130"/>
      <c r="V417" s="1130"/>
      <c r="W417" s="1130"/>
      <c r="X417" s="1130"/>
      <c r="Y417" s="1130"/>
      <c r="Z417" s="1130"/>
    </row>
    <row r="418" spans="1:26" ht="15.75" customHeight="1">
      <c r="A418" s="1130"/>
      <c r="B418" s="1130"/>
      <c r="C418" s="1130"/>
      <c r="D418" s="1130"/>
      <c r="E418" s="1130"/>
      <c r="F418" s="1130"/>
      <c r="G418" s="1130"/>
      <c r="H418" s="1130"/>
      <c r="I418" s="1130"/>
      <c r="J418" s="1130"/>
      <c r="K418" s="1130"/>
      <c r="L418" s="1130"/>
      <c r="M418" s="1130"/>
      <c r="N418" s="1130"/>
      <c r="O418" s="1130"/>
      <c r="P418" s="1130"/>
      <c r="Q418" s="1130"/>
      <c r="R418" s="1130"/>
      <c r="S418" s="1130"/>
      <c r="T418" s="1130"/>
      <c r="U418" s="1130"/>
      <c r="V418" s="1130"/>
      <c r="W418" s="1130"/>
      <c r="X418" s="1130"/>
      <c r="Y418" s="1130"/>
      <c r="Z418" s="1130"/>
    </row>
    <row r="419" spans="1:26" ht="15.75" customHeight="1">
      <c r="A419" s="1130"/>
      <c r="B419" s="1130"/>
      <c r="C419" s="1130"/>
      <c r="D419" s="1130"/>
      <c r="E419" s="1130"/>
      <c r="F419" s="1130"/>
      <c r="G419" s="1130"/>
      <c r="H419" s="1130"/>
      <c r="I419" s="1130"/>
      <c r="J419" s="1130"/>
      <c r="K419" s="1130"/>
      <c r="L419" s="1130"/>
      <c r="M419" s="1130"/>
      <c r="N419" s="1130"/>
      <c r="O419" s="1130"/>
      <c r="P419" s="1130"/>
      <c r="Q419" s="1130"/>
      <c r="R419" s="1130"/>
      <c r="S419" s="1130"/>
      <c r="T419" s="1130"/>
      <c r="U419" s="1130"/>
      <c r="V419" s="1130"/>
      <c r="W419" s="1130"/>
      <c r="X419" s="1130"/>
      <c r="Y419" s="1130"/>
      <c r="Z419" s="1130"/>
    </row>
    <row r="420" spans="1:26" ht="15.75" customHeight="1">
      <c r="A420" s="1130"/>
      <c r="B420" s="1130"/>
      <c r="C420" s="1130"/>
      <c r="D420" s="1130"/>
      <c r="E420" s="1130"/>
      <c r="F420" s="1130"/>
      <c r="G420" s="1130"/>
      <c r="H420" s="1130"/>
      <c r="I420" s="1130"/>
      <c r="J420" s="1130"/>
      <c r="K420" s="1130"/>
      <c r="L420" s="1130"/>
      <c r="M420" s="1130"/>
      <c r="N420" s="1130"/>
      <c r="O420" s="1130"/>
      <c r="P420" s="1130"/>
      <c r="Q420" s="1130"/>
      <c r="R420" s="1130"/>
      <c r="S420" s="1130"/>
      <c r="T420" s="1130"/>
      <c r="U420" s="1130"/>
      <c r="V420" s="1130"/>
      <c r="W420" s="1130"/>
      <c r="X420" s="1130"/>
      <c r="Y420" s="1130"/>
      <c r="Z420" s="1130"/>
    </row>
    <row r="421" spans="1:26" ht="15.75" customHeight="1">
      <c r="A421" s="1130"/>
      <c r="B421" s="1130"/>
      <c r="C421" s="1130"/>
      <c r="D421" s="1130"/>
      <c r="E421" s="1130"/>
      <c r="F421" s="1130"/>
      <c r="G421" s="1130"/>
      <c r="H421" s="1130"/>
      <c r="I421" s="1130"/>
      <c r="J421" s="1130"/>
      <c r="K421" s="1130"/>
      <c r="L421" s="1130"/>
      <c r="M421" s="1130"/>
      <c r="N421" s="1130"/>
      <c r="O421" s="1130"/>
      <c r="P421" s="1130"/>
      <c r="Q421" s="1130"/>
      <c r="R421" s="1130"/>
      <c r="S421" s="1130"/>
      <c r="T421" s="1130"/>
      <c r="U421" s="1130"/>
      <c r="V421" s="1130"/>
      <c r="W421" s="1130"/>
      <c r="X421" s="1130"/>
      <c r="Y421" s="1130"/>
      <c r="Z421" s="1130"/>
    </row>
    <row r="422" spans="1:26" ht="15.75" customHeight="1">
      <c r="A422" s="1130"/>
      <c r="B422" s="1130"/>
      <c r="C422" s="1130"/>
      <c r="D422" s="1130"/>
      <c r="E422" s="1130"/>
      <c r="F422" s="1130"/>
      <c r="G422" s="1130"/>
      <c r="H422" s="1130"/>
      <c r="I422" s="1130"/>
      <c r="J422" s="1130"/>
      <c r="K422" s="1130"/>
      <c r="L422" s="1130"/>
      <c r="M422" s="1130"/>
      <c r="N422" s="1130"/>
      <c r="O422" s="1130"/>
      <c r="P422" s="1130"/>
      <c r="Q422" s="1130"/>
      <c r="R422" s="1130"/>
      <c r="S422" s="1130"/>
      <c r="T422" s="1130"/>
      <c r="U422" s="1130"/>
      <c r="V422" s="1130"/>
      <c r="W422" s="1130"/>
      <c r="X422" s="1130"/>
      <c r="Y422" s="1130"/>
      <c r="Z422" s="1130"/>
    </row>
    <row r="423" spans="1:26" ht="15.75" customHeight="1">
      <c r="A423" s="1130"/>
      <c r="B423" s="1130"/>
      <c r="C423" s="1130"/>
      <c r="D423" s="1130"/>
      <c r="E423" s="1130"/>
      <c r="F423" s="1130"/>
      <c r="G423" s="1130"/>
      <c r="H423" s="1130"/>
      <c r="I423" s="1130"/>
      <c r="J423" s="1130"/>
      <c r="K423" s="1130"/>
      <c r="L423" s="1130"/>
      <c r="M423" s="1130"/>
      <c r="N423" s="1130"/>
      <c r="O423" s="1130"/>
      <c r="P423" s="1130"/>
      <c r="Q423" s="1130"/>
      <c r="R423" s="1130"/>
      <c r="S423" s="1130"/>
      <c r="T423" s="1130"/>
      <c r="U423" s="1130"/>
      <c r="V423" s="1130"/>
      <c r="W423" s="1130"/>
      <c r="X423" s="1130"/>
      <c r="Y423" s="1130"/>
      <c r="Z423" s="1130"/>
    </row>
    <row r="424" spans="1:26" ht="15.75" customHeight="1">
      <c r="A424" s="1130"/>
      <c r="B424" s="1130"/>
      <c r="C424" s="1130"/>
      <c r="D424" s="1130"/>
      <c r="E424" s="1130"/>
      <c r="F424" s="1130"/>
      <c r="G424" s="1130"/>
      <c r="H424" s="1130"/>
      <c r="I424" s="1130"/>
      <c r="J424" s="1130"/>
      <c r="K424" s="1130"/>
      <c r="L424" s="1130"/>
      <c r="M424" s="1130"/>
      <c r="N424" s="1130"/>
      <c r="O424" s="1130"/>
      <c r="P424" s="1130"/>
      <c r="Q424" s="1130"/>
      <c r="R424" s="1130"/>
      <c r="S424" s="1130"/>
      <c r="T424" s="1130"/>
      <c r="U424" s="1130"/>
      <c r="V424" s="1130"/>
      <c r="W424" s="1130"/>
      <c r="X424" s="1130"/>
      <c r="Y424" s="1130"/>
      <c r="Z424" s="1130"/>
    </row>
    <row r="425" spans="1:26" ht="15.75" customHeight="1">
      <c r="A425" s="1130"/>
      <c r="B425" s="1130"/>
      <c r="C425" s="1130"/>
      <c r="D425" s="1130"/>
      <c r="E425" s="1130"/>
      <c r="F425" s="1130"/>
      <c r="G425" s="1130"/>
      <c r="H425" s="1130"/>
      <c r="I425" s="1130"/>
      <c r="J425" s="1130"/>
      <c r="K425" s="1130"/>
      <c r="L425" s="1130"/>
      <c r="M425" s="1130"/>
      <c r="N425" s="1130"/>
      <c r="O425" s="1130"/>
      <c r="P425" s="1130"/>
      <c r="Q425" s="1130"/>
      <c r="R425" s="1130"/>
      <c r="S425" s="1130"/>
      <c r="T425" s="1130"/>
      <c r="U425" s="1130"/>
      <c r="V425" s="1130"/>
      <c r="W425" s="1130"/>
      <c r="X425" s="1130"/>
      <c r="Y425" s="1130"/>
      <c r="Z425" s="1130"/>
    </row>
    <row r="426" spans="1:26" ht="15.75" customHeight="1">
      <c r="A426" s="1130"/>
      <c r="B426" s="1130"/>
      <c r="C426" s="1130"/>
      <c r="D426" s="1130"/>
      <c r="E426" s="1130"/>
      <c r="F426" s="1130"/>
      <c r="G426" s="1130"/>
      <c r="H426" s="1130"/>
      <c r="I426" s="1130"/>
      <c r="J426" s="1130"/>
      <c r="K426" s="1130"/>
      <c r="L426" s="1130"/>
      <c r="M426" s="1130"/>
      <c r="N426" s="1130"/>
      <c r="O426" s="1130"/>
      <c r="P426" s="1130"/>
      <c r="Q426" s="1130"/>
      <c r="R426" s="1130"/>
      <c r="S426" s="1130"/>
      <c r="T426" s="1130"/>
      <c r="U426" s="1130"/>
      <c r="V426" s="1130"/>
      <c r="W426" s="1130"/>
      <c r="X426" s="1130"/>
      <c r="Y426" s="1130"/>
      <c r="Z426" s="1130"/>
    </row>
    <row r="427" spans="1:26" ht="15.75" customHeight="1">
      <c r="A427" s="1130"/>
      <c r="B427" s="1130"/>
      <c r="C427" s="1130"/>
      <c r="D427" s="1130"/>
      <c r="E427" s="1130"/>
      <c r="F427" s="1130"/>
      <c r="G427" s="1130"/>
      <c r="H427" s="1130"/>
      <c r="I427" s="1130"/>
      <c r="J427" s="1130"/>
      <c r="K427" s="1130"/>
      <c r="L427" s="1130"/>
      <c r="M427" s="1130"/>
      <c r="N427" s="1130"/>
      <c r="O427" s="1130"/>
      <c r="P427" s="1130"/>
      <c r="Q427" s="1130"/>
      <c r="R427" s="1130"/>
      <c r="S427" s="1130"/>
      <c r="T427" s="1130"/>
      <c r="U427" s="1130"/>
      <c r="V427" s="1130"/>
      <c r="W427" s="1130"/>
      <c r="X427" s="1130"/>
      <c r="Y427" s="1130"/>
      <c r="Z427" s="1130"/>
    </row>
    <row r="428" spans="1:26" ht="15.75" customHeight="1">
      <c r="A428" s="1130"/>
      <c r="B428" s="1130"/>
      <c r="C428" s="1130"/>
      <c r="D428" s="1130"/>
      <c r="E428" s="1130"/>
      <c r="F428" s="1130"/>
      <c r="G428" s="1130"/>
      <c r="H428" s="1130"/>
      <c r="I428" s="1130"/>
      <c r="J428" s="1130"/>
      <c r="K428" s="1130"/>
      <c r="L428" s="1130"/>
      <c r="M428" s="1130"/>
      <c r="N428" s="1130"/>
      <c r="O428" s="1130"/>
      <c r="P428" s="1130"/>
      <c r="Q428" s="1130"/>
      <c r="R428" s="1130"/>
      <c r="S428" s="1130"/>
      <c r="T428" s="1130"/>
      <c r="U428" s="1130"/>
      <c r="V428" s="1130"/>
      <c r="W428" s="1130"/>
      <c r="X428" s="1130"/>
      <c r="Y428" s="1130"/>
      <c r="Z428" s="1130"/>
    </row>
    <row r="429" spans="1:26" ht="15.75" customHeight="1">
      <c r="A429" s="1130"/>
      <c r="B429" s="1130"/>
      <c r="C429" s="1130"/>
      <c r="D429" s="1130"/>
      <c r="E429" s="1130"/>
      <c r="F429" s="1130"/>
      <c r="G429" s="1130"/>
      <c r="H429" s="1130"/>
      <c r="I429" s="1130"/>
      <c r="J429" s="1130"/>
      <c r="K429" s="1130"/>
      <c r="L429" s="1130"/>
      <c r="M429" s="1130"/>
      <c r="N429" s="1130"/>
      <c r="O429" s="1130"/>
      <c r="P429" s="1130"/>
      <c r="Q429" s="1130"/>
      <c r="R429" s="1130"/>
      <c r="S429" s="1130"/>
      <c r="T429" s="1130"/>
      <c r="U429" s="1130"/>
      <c r="V429" s="1130"/>
      <c r="W429" s="1130"/>
      <c r="X429" s="1130"/>
      <c r="Y429" s="1130"/>
      <c r="Z429" s="1130"/>
    </row>
    <row r="430" spans="1:26" ht="15.75" customHeight="1">
      <c r="A430" s="1130"/>
      <c r="B430" s="1130"/>
      <c r="C430" s="1130"/>
      <c r="D430" s="1130"/>
      <c r="E430" s="1130"/>
      <c r="F430" s="1130"/>
      <c r="G430" s="1130"/>
      <c r="H430" s="1130"/>
      <c r="I430" s="1130"/>
      <c r="J430" s="1130"/>
      <c r="K430" s="1130"/>
      <c r="L430" s="1130"/>
      <c r="M430" s="1130"/>
      <c r="N430" s="1130"/>
      <c r="O430" s="1130"/>
      <c r="P430" s="1130"/>
      <c r="Q430" s="1130"/>
      <c r="R430" s="1130"/>
      <c r="S430" s="1130"/>
      <c r="T430" s="1130"/>
      <c r="U430" s="1130"/>
      <c r="V430" s="1130"/>
      <c r="W430" s="1130"/>
      <c r="X430" s="1130"/>
      <c r="Y430" s="1130"/>
      <c r="Z430" s="1130"/>
    </row>
    <row r="431" spans="1:26" ht="15.75" customHeight="1">
      <c r="A431" s="1130"/>
      <c r="B431" s="1130"/>
      <c r="C431" s="1130"/>
      <c r="D431" s="1130"/>
      <c r="E431" s="1130"/>
      <c r="F431" s="1130"/>
      <c r="G431" s="1130"/>
      <c r="H431" s="1130"/>
      <c r="I431" s="1130"/>
      <c r="J431" s="1130"/>
      <c r="K431" s="1130"/>
      <c r="L431" s="1130"/>
      <c r="M431" s="1130"/>
      <c r="N431" s="1130"/>
      <c r="O431" s="1130"/>
      <c r="P431" s="1130"/>
      <c r="Q431" s="1130"/>
      <c r="R431" s="1130"/>
      <c r="S431" s="1130"/>
      <c r="T431" s="1130"/>
      <c r="U431" s="1130"/>
      <c r="V431" s="1130"/>
      <c r="W431" s="1130"/>
      <c r="X431" s="1130"/>
      <c r="Y431" s="1130"/>
      <c r="Z431" s="1130"/>
    </row>
    <row r="432" spans="1:26" ht="15.75" customHeight="1">
      <c r="A432" s="1130"/>
      <c r="B432" s="1130"/>
      <c r="C432" s="1130"/>
      <c r="D432" s="1130"/>
      <c r="E432" s="1130"/>
      <c r="F432" s="1130"/>
      <c r="G432" s="1130"/>
      <c r="H432" s="1130"/>
      <c r="I432" s="1130"/>
      <c r="J432" s="1130"/>
      <c r="K432" s="1130"/>
      <c r="L432" s="1130"/>
      <c r="M432" s="1130"/>
      <c r="N432" s="1130"/>
      <c r="O432" s="1130"/>
      <c r="P432" s="1130"/>
      <c r="Q432" s="1130"/>
      <c r="R432" s="1130"/>
      <c r="S432" s="1130"/>
      <c r="T432" s="1130"/>
      <c r="U432" s="1130"/>
      <c r="V432" s="1130"/>
      <c r="W432" s="1130"/>
      <c r="X432" s="1130"/>
      <c r="Y432" s="1130"/>
      <c r="Z432" s="1130"/>
    </row>
    <row r="433" spans="1:26" ht="15.75" customHeight="1">
      <c r="A433" s="1130"/>
      <c r="B433" s="1130"/>
      <c r="C433" s="1130"/>
      <c r="D433" s="1130"/>
      <c r="E433" s="1130"/>
      <c r="F433" s="1130"/>
      <c r="G433" s="1130"/>
      <c r="H433" s="1130"/>
      <c r="I433" s="1130"/>
      <c r="J433" s="1130"/>
      <c r="K433" s="1130"/>
      <c r="L433" s="1130"/>
      <c r="M433" s="1130"/>
      <c r="N433" s="1130"/>
      <c r="O433" s="1130"/>
      <c r="P433" s="1130"/>
      <c r="Q433" s="1130"/>
      <c r="R433" s="1130"/>
      <c r="S433" s="1130"/>
      <c r="T433" s="1130"/>
      <c r="U433" s="1130"/>
      <c r="V433" s="1130"/>
      <c r="W433" s="1130"/>
      <c r="X433" s="1130"/>
      <c r="Y433" s="1130"/>
      <c r="Z433" s="1130"/>
    </row>
    <row r="434" spans="1:26" ht="15.75" customHeight="1">
      <c r="A434" s="1130"/>
      <c r="B434" s="1130"/>
      <c r="C434" s="1130"/>
      <c r="D434" s="1130"/>
      <c r="E434" s="1130"/>
      <c r="F434" s="1130"/>
      <c r="G434" s="1130"/>
      <c r="H434" s="1130"/>
      <c r="I434" s="1130"/>
      <c r="J434" s="1130"/>
      <c r="K434" s="1130"/>
      <c r="L434" s="1130"/>
      <c r="M434" s="1130"/>
      <c r="N434" s="1130"/>
      <c r="O434" s="1130"/>
      <c r="P434" s="1130"/>
      <c r="Q434" s="1130"/>
      <c r="R434" s="1130"/>
      <c r="S434" s="1130"/>
      <c r="T434" s="1130"/>
      <c r="U434" s="1130"/>
      <c r="V434" s="1130"/>
      <c r="W434" s="1130"/>
      <c r="X434" s="1130"/>
      <c r="Y434" s="1130"/>
      <c r="Z434" s="1130"/>
    </row>
    <row r="435" spans="1:26" ht="15.75" customHeight="1">
      <c r="A435" s="1130"/>
      <c r="B435" s="1130"/>
      <c r="C435" s="1130"/>
      <c r="D435" s="1130"/>
      <c r="E435" s="1130"/>
      <c r="F435" s="1130"/>
      <c r="G435" s="1130"/>
      <c r="H435" s="1130"/>
      <c r="I435" s="1130"/>
      <c r="J435" s="1130"/>
      <c r="K435" s="1130"/>
      <c r="L435" s="1130"/>
      <c r="M435" s="1130"/>
      <c r="N435" s="1130"/>
      <c r="O435" s="1130"/>
      <c r="P435" s="1130"/>
      <c r="Q435" s="1130"/>
      <c r="R435" s="1130"/>
      <c r="S435" s="1130"/>
      <c r="T435" s="1130"/>
      <c r="U435" s="1130"/>
      <c r="V435" s="1130"/>
      <c r="W435" s="1130"/>
      <c r="X435" s="1130"/>
      <c r="Y435" s="1130"/>
      <c r="Z435" s="1130"/>
    </row>
    <row r="436" spans="1:26" ht="15.75" customHeight="1">
      <c r="A436" s="1130"/>
      <c r="B436" s="1130"/>
      <c r="C436" s="1130"/>
      <c r="D436" s="1130"/>
      <c r="E436" s="1130"/>
      <c r="F436" s="1130"/>
      <c r="G436" s="1130"/>
      <c r="H436" s="1130"/>
      <c r="I436" s="1130"/>
      <c r="J436" s="1130"/>
      <c r="K436" s="1130"/>
      <c r="L436" s="1130"/>
      <c r="M436" s="1130"/>
      <c r="N436" s="1130"/>
      <c r="O436" s="1130"/>
      <c r="P436" s="1130"/>
      <c r="Q436" s="1130"/>
      <c r="R436" s="1130"/>
      <c r="S436" s="1130"/>
      <c r="T436" s="1130"/>
      <c r="U436" s="1130"/>
      <c r="V436" s="1130"/>
      <c r="W436" s="1130"/>
      <c r="X436" s="1130"/>
      <c r="Y436" s="1130"/>
      <c r="Z436" s="1130"/>
    </row>
    <row r="437" spans="1:26" ht="15.75" customHeight="1">
      <c r="A437" s="1130"/>
      <c r="B437" s="1130"/>
      <c r="C437" s="1130"/>
      <c r="D437" s="1130"/>
      <c r="E437" s="1130"/>
      <c r="F437" s="1130"/>
      <c r="G437" s="1130"/>
      <c r="H437" s="1130"/>
      <c r="I437" s="1130"/>
      <c r="J437" s="1130"/>
      <c r="K437" s="1130"/>
      <c r="L437" s="1130"/>
      <c r="M437" s="1130"/>
      <c r="N437" s="1130"/>
      <c r="O437" s="1130"/>
      <c r="P437" s="1130"/>
      <c r="Q437" s="1130"/>
      <c r="R437" s="1130"/>
      <c r="S437" s="1130"/>
      <c r="T437" s="1130"/>
      <c r="U437" s="1130"/>
      <c r="V437" s="1130"/>
      <c r="W437" s="1130"/>
      <c r="X437" s="1130"/>
      <c r="Y437" s="1130"/>
      <c r="Z437" s="1130"/>
    </row>
    <row r="438" spans="1:26" ht="15.75" customHeight="1">
      <c r="A438" s="1130"/>
      <c r="B438" s="1130"/>
      <c r="C438" s="1130"/>
      <c r="D438" s="1130"/>
      <c r="E438" s="1130"/>
      <c r="F438" s="1130"/>
      <c r="G438" s="1130"/>
      <c r="H438" s="1130"/>
      <c r="I438" s="1130"/>
      <c r="J438" s="1130"/>
      <c r="K438" s="1130"/>
      <c r="L438" s="1130"/>
      <c r="M438" s="1130"/>
      <c r="N438" s="1130"/>
      <c r="O438" s="1130"/>
      <c r="P438" s="1130"/>
      <c r="Q438" s="1130"/>
      <c r="R438" s="1130"/>
      <c r="S438" s="1130"/>
      <c r="T438" s="1130"/>
      <c r="U438" s="1130"/>
      <c r="V438" s="1130"/>
      <c r="W438" s="1130"/>
      <c r="X438" s="1130"/>
      <c r="Y438" s="1130"/>
      <c r="Z438" s="1130"/>
    </row>
    <row r="439" spans="1:26" ht="15.75" customHeight="1">
      <c r="A439" s="1130"/>
      <c r="B439" s="1130"/>
      <c r="C439" s="1130"/>
      <c r="D439" s="1130"/>
      <c r="E439" s="1130"/>
      <c r="F439" s="1130"/>
      <c r="G439" s="1130"/>
      <c r="H439" s="1130"/>
      <c r="I439" s="1130"/>
      <c r="J439" s="1130"/>
      <c r="K439" s="1130"/>
      <c r="L439" s="1130"/>
      <c r="M439" s="1130"/>
      <c r="N439" s="1130"/>
      <c r="O439" s="1130"/>
      <c r="P439" s="1130"/>
      <c r="Q439" s="1130"/>
      <c r="R439" s="1130"/>
      <c r="S439" s="1130"/>
      <c r="T439" s="1130"/>
      <c r="U439" s="1130"/>
      <c r="V439" s="1130"/>
      <c r="W439" s="1130"/>
      <c r="X439" s="1130"/>
      <c r="Y439" s="1130"/>
      <c r="Z439" s="1130"/>
    </row>
    <row r="440" spans="1:26" ht="15.75" customHeight="1">
      <c r="A440" s="1130"/>
      <c r="B440" s="1130"/>
      <c r="C440" s="1130"/>
      <c r="D440" s="1130"/>
      <c r="E440" s="1130"/>
      <c r="F440" s="1130"/>
      <c r="G440" s="1130"/>
      <c r="H440" s="1130"/>
      <c r="I440" s="1130"/>
      <c r="J440" s="1130"/>
      <c r="K440" s="1130"/>
      <c r="L440" s="1130"/>
      <c r="M440" s="1130"/>
      <c r="N440" s="1130"/>
      <c r="O440" s="1130"/>
      <c r="P440" s="1130"/>
      <c r="Q440" s="1130"/>
      <c r="R440" s="1130"/>
      <c r="S440" s="1130"/>
      <c r="T440" s="1130"/>
      <c r="U440" s="1130"/>
      <c r="V440" s="1130"/>
      <c r="W440" s="1130"/>
      <c r="X440" s="1130"/>
      <c r="Y440" s="1130"/>
      <c r="Z440" s="1130"/>
    </row>
    <row r="441" spans="1:26" ht="15.75" customHeight="1">
      <c r="A441" s="1130"/>
      <c r="B441" s="1130"/>
      <c r="C441" s="1130"/>
      <c r="D441" s="1130"/>
      <c r="E441" s="1130"/>
      <c r="F441" s="1130"/>
      <c r="G441" s="1130"/>
      <c r="H441" s="1130"/>
      <c r="I441" s="1130"/>
      <c r="J441" s="1130"/>
      <c r="K441" s="1130"/>
      <c r="L441" s="1130"/>
      <c r="M441" s="1130"/>
      <c r="N441" s="1130"/>
      <c r="O441" s="1130"/>
      <c r="P441" s="1130"/>
      <c r="Q441" s="1130"/>
      <c r="R441" s="1130"/>
      <c r="S441" s="1130"/>
      <c r="T441" s="1130"/>
      <c r="U441" s="1130"/>
      <c r="V441" s="1130"/>
      <c r="W441" s="1130"/>
      <c r="X441" s="1130"/>
      <c r="Y441" s="1130"/>
      <c r="Z441" s="1130"/>
    </row>
    <row r="442" spans="1:26" ht="15.75" customHeight="1">
      <c r="A442" s="1130"/>
      <c r="B442" s="1130"/>
      <c r="C442" s="1130"/>
      <c r="D442" s="1130"/>
      <c r="E442" s="1130"/>
      <c r="F442" s="1130"/>
      <c r="G442" s="1130"/>
      <c r="H442" s="1130"/>
      <c r="I442" s="1130"/>
      <c r="J442" s="1130"/>
      <c r="K442" s="1130"/>
      <c r="L442" s="1130"/>
      <c r="M442" s="1130"/>
      <c r="N442" s="1130"/>
      <c r="O442" s="1130"/>
      <c r="P442" s="1130"/>
      <c r="Q442" s="1130"/>
      <c r="R442" s="1130"/>
      <c r="S442" s="1130"/>
      <c r="T442" s="1130"/>
      <c r="U442" s="1130"/>
      <c r="V442" s="1130"/>
      <c r="W442" s="1130"/>
      <c r="X442" s="1130"/>
      <c r="Y442" s="1130"/>
      <c r="Z442" s="1130"/>
    </row>
    <row r="443" spans="1:26" ht="15.75" customHeight="1">
      <c r="A443" s="1130"/>
      <c r="B443" s="1130"/>
      <c r="C443" s="1130"/>
      <c r="D443" s="1130"/>
      <c r="E443" s="1130"/>
      <c r="F443" s="1130"/>
      <c r="G443" s="1130"/>
      <c r="H443" s="1130"/>
      <c r="I443" s="1130"/>
      <c r="J443" s="1130"/>
      <c r="K443" s="1130"/>
      <c r="L443" s="1130"/>
      <c r="M443" s="1130"/>
      <c r="N443" s="1130"/>
      <c r="O443" s="1130"/>
      <c r="P443" s="1130"/>
      <c r="Q443" s="1130"/>
      <c r="R443" s="1130"/>
      <c r="S443" s="1130"/>
      <c r="T443" s="1130"/>
      <c r="U443" s="1130"/>
      <c r="V443" s="1130"/>
      <c r="W443" s="1130"/>
      <c r="X443" s="1130"/>
      <c r="Y443" s="1130"/>
      <c r="Z443" s="1130"/>
    </row>
    <row r="444" spans="1:26" ht="15.75" customHeight="1">
      <c r="A444" s="1130"/>
      <c r="B444" s="1130"/>
      <c r="C444" s="1130"/>
      <c r="D444" s="1130"/>
      <c r="E444" s="1130"/>
      <c r="F444" s="1130"/>
      <c r="G444" s="1130"/>
      <c r="H444" s="1130"/>
      <c r="I444" s="1130"/>
      <c r="J444" s="1130"/>
      <c r="K444" s="1130"/>
      <c r="L444" s="1130"/>
      <c r="M444" s="1130"/>
      <c r="N444" s="1130"/>
      <c r="O444" s="1130"/>
      <c r="P444" s="1130"/>
      <c r="Q444" s="1130"/>
      <c r="R444" s="1130"/>
      <c r="S444" s="1130"/>
      <c r="T444" s="1130"/>
      <c r="U444" s="1130"/>
      <c r="V444" s="1130"/>
      <c r="W444" s="1130"/>
      <c r="X444" s="1130"/>
      <c r="Y444" s="1130"/>
      <c r="Z444" s="1130"/>
    </row>
    <row r="445" spans="1:26" ht="15.75" customHeight="1">
      <c r="A445" s="1130"/>
      <c r="B445" s="1130"/>
      <c r="C445" s="1130"/>
      <c r="D445" s="1130"/>
      <c r="E445" s="1130"/>
      <c r="F445" s="1130"/>
      <c r="G445" s="1130"/>
      <c r="H445" s="1130"/>
      <c r="I445" s="1130"/>
      <c r="J445" s="1130"/>
      <c r="K445" s="1130"/>
      <c r="L445" s="1130"/>
      <c r="M445" s="1130"/>
      <c r="N445" s="1130"/>
      <c r="O445" s="1130"/>
      <c r="P445" s="1130"/>
      <c r="Q445" s="1130"/>
      <c r="R445" s="1130"/>
      <c r="S445" s="1130"/>
      <c r="T445" s="1130"/>
      <c r="U445" s="1130"/>
      <c r="V445" s="1130"/>
      <c r="W445" s="1130"/>
      <c r="X445" s="1130"/>
      <c r="Y445" s="1130"/>
      <c r="Z445" s="1130"/>
    </row>
    <row r="446" spans="1:26" ht="15.75" customHeight="1">
      <c r="A446" s="1130"/>
      <c r="B446" s="1130"/>
      <c r="C446" s="1130"/>
      <c r="D446" s="1130"/>
      <c r="E446" s="1130"/>
      <c r="F446" s="1130"/>
      <c r="G446" s="1130"/>
      <c r="H446" s="1130"/>
      <c r="I446" s="1130"/>
      <c r="J446" s="1130"/>
      <c r="K446" s="1130"/>
      <c r="L446" s="1130"/>
      <c r="M446" s="1130"/>
      <c r="N446" s="1130"/>
      <c r="O446" s="1130"/>
      <c r="P446" s="1130"/>
      <c r="Q446" s="1130"/>
      <c r="R446" s="1130"/>
      <c r="S446" s="1130"/>
      <c r="T446" s="1130"/>
      <c r="U446" s="1130"/>
      <c r="V446" s="1130"/>
      <c r="W446" s="1130"/>
      <c r="X446" s="1130"/>
      <c r="Y446" s="1130"/>
      <c r="Z446" s="1130"/>
    </row>
    <row r="447" spans="1:26" ht="15.75" customHeight="1">
      <c r="A447" s="1130"/>
      <c r="B447" s="1130"/>
      <c r="C447" s="1130"/>
      <c r="D447" s="1130"/>
      <c r="E447" s="1130"/>
      <c r="F447" s="1130"/>
      <c r="G447" s="1130"/>
      <c r="H447" s="1130"/>
      <c r="I447" s="1130"/>
      <c r="J447" s="1130"/>
      <c r="K447" s="1130"/>
      <c r="L447" s="1130"/>
      <c r="M447" s="1130"/>
      <c r="N447" s="1130"/>
      <c r="O447" s="1130"/>
      <c r="P447" s="1130"/>
      <c r="Q447" s="1130"/>
      <c r="R447" s="1130"/>
      <c r="S447" s="1130"/>
      <c r="T447" s="1130"/>
      <c r="U447" s="1130"/>
      <c r="V447" s="1130"/>
      <c r="W447" s="1130"/>
      <c r="X447" s="1130"/>
      <c r="Y447" s="1130"/>
      <c r="Z447" s="1130"/>
    </row>
    <row r="448" spans="1:26" ht="15.75" customHeight="1">
      <c r="A448" s="1130"/>
      <c r="B448" s="1130"/>
      <c r="C448" s="1130"/>
      <c r="D448" s="1130"/>
      <c r="E448" s="1130"/>
      <c r="F448" s="1130"/>
      <c r="G448" s="1130"/>
      <c r="H448" s="1130"/>
      <c r="I448" s="1130"/>
      <c r="J448" s="1130"/>
      <c r="K448" s="1130"/>
      <c r="L448" s="1130"/>
      <c r="M448" s="1130"/>
      <c r="N448" s="1130"/>
      <c r="O448" s="1130"/>
      <c r="P448" s="1130"/>
      <c r="Q448" s="1130"/>
      <c r="R448" s="1130"/>
      <c r="S448" s="1130"/>
      <c r="T448" s="1130"/>
      <c r="U448" s="1130"/>
      <c r="V448" s="1130"/>
      <c r="W448" s="1130"/>
      <c r="X448" s="1130"/>
      <c r="Y448" s="1130"/>
      <c r="Z448" s="1130"/>
    </row>
    <row r="449" spans="1:26" ht="15.75" customHeight="1">
      <c r="A449" s="1130"/>
      <c r="B449" s="1130"/>
      <c r="C449" s="1130"/>
      <c r="D449" s="1130"/>
      <c r="E449" s="1130"/>
      <c r="F449" s="1130"/>
      <c r="G449" s="1130"/>
      <c r="H449" s="1130"/>
      <c r="I449" s="1130"/>
      <c r="J449" s="1130"/>
      <c r="K449" s="1130"/>
      <c r="L449" s="1130"/>
      <c r="M449" s="1130"/>
      <c r="N449" s="1130"/>
      <c r="O449" s="1130"/>
      <c r="P449" s="1130"/>
      <c r="Q449" s="1130"/>
      <c r="R449" s="1130"/>
      <c r="S449" s="1130"/>
      <c r="T449" s="1130"/>
      <c r="U449" s="1130"/>
      <c r="V449" s="1130"/>
      <c r="W449" s="1130"/>
      <c r="X449" s="1130"/>
      <c r="Y449" s="1130"/>
      <c r="Z449" s="1130"/>
    </row>
    <row r="450" spans="1:26" ht="15.75" customHeight="1">
      <c r="A450" s="1130"/>
      <c r="B450" s="1130"/>
      <c r="C450" s="1130"/>
      <c r="D450" s="1130"/>
      <c r="E450" s="1130"/>
      <c r="F450" s="1130"/>
      <c r="G450" s="1130"/>
      <c r="H450" s="1130"/>
      <c r="I450" s="1130"/>
      <c r="J450" s="1130"/>
      <c r="K450" s="1130"/>
      <c r="L450" s="1130"/>
      <c r="M450" s="1130"/>
      <c r="N450" s="1130"/>
      <c r="O450" s="1130"/>
      <c r="P450" s="1130"/>
      <c r="Q450" s="1130"/>
      <c r="R450" s="1130"/>
      <c r="S450" s="1130"/>
      <c r="T450" s="1130"/>
      <c r="U450" s="1130"/>
      <c r="V450" s="1130"/>
      <c r="W450" s="1130"/>
      <c r="X450" s="1130"/>
      <c r="Y450" s="1130"/>
      <c r="Z450" s="1130"/>
    </row>
    <row r="451" spans="1:26" ht="15.75" customHeight="1">
      <c r="A451" s="1130"/>
      <c r="B451" s="1130"/>
      <c r="C451" s="1130"/>
      <c r="D451" s="1130"/>
      <c r="E451" s="1130"/>
      <c r="F451" s="1130"/>
      <c r="G451" s="1130"/>
      <c r="H451" s="1130"/>
      <c r="I451" s="1130"/>
      <c r="J451" s="1130"/>
      <c r="K451" s="1130"/>
      <c r="L451" s="1130"/>
      <c r="M451" s="1130"/>
      <c r="N451" s="1130"/>
      <c r="O451" s="1130"/>
      <c r="P451" s="1130"/>
      <c r="Q451" s="1130"/>
      <c r="R451" s="1130"/>
      <c r="S451" s="1130"/>
      <c r="T451" s="1130"/>
      <c r="U451" s="1130"/>
      <c r="V451" s="1130"/>
      <c r="W451" s="1130"/>
      <c r="X451" s="1130"/>
      <c r="Y451" s="1130"/>
      <c r="Z451" s="1130"/>
    </row>
    <row r="452" spans="1:26" ht="15.75" customHeight="1">
      <c r="A452" s="1130"/>
      <c r="B452" s="1130"/>
      <c r="C452" s="1130"/>
      <c r="D452" s="1130"/>
      <c r="E452" s="1130"/>
      <c r="F452" s="1130"/>
      <c r="G452" s="1130"/>
      <c r="H452" s="1130"/>
      <c r="I452" s="1130"/>
      <c r="J452" s="1130"/>
      <c r="K452" s="1130"/>
      <c r="L452" s="1130"/>
      <c r="M452" s="1130"/>
      <c r="N452" s="1130"/>
      <c r="O452" s="1130"/>
      <c r="P452" s="1130"/>
      <c r="Q452" s="1130"/>
      <c r="R452" s="1130"/>
      <c r="S452" s="1130"/>
      <c r="T452" s="1130"/>
      <c r="U452" s="1130"/>
      <c r="V452" s="1130"/>
      <c r="W452" s="1130"/>
      <c r="X452" s="1130"/>
      <c r="Y452" s="1130"/>
      <c r="Z452" s="1130"/>
    </row>
    <row r="453" spans="1:26" ht="15.75" customHeight="1">
      <c r="A453" s="1130"/>
      <c r="B453" s="1130"/>
      <c r="C453" s="1130"/>
      <c r="D453" s="1130"/>
      <c r="E453" s="1130"/>
      <c r="F453" s="1130"/>
      <c r="G453" s="1130"/>
      <c r="H453" s="1130"/>
      <c r="I453" s="1130"/>
      <c r="J453" s="1130"/>
      <c r="K453" s="1130"/>
      <c r="L453" s="1130"/>
      <c r="M453" s="1130"/>
      <c r="N453" s="1130"/>
      <c r="O453" s="1130"/>
      <c r="P453" s="1130"/>
      <c r="Q453" s="1130"/>
      <c r="R453" s="1130"/>
      <c r="S453" s="1130"/>
      <c r="T453" s="1130"/>
      <c r="U453" s="1130"/>
      <c r="V453" s="1130"/>
      <c r="W453" s="1130"/>
      <c r="X453" s="1130"/>
      <c r="Y453" s="1130"/>
      <c r="Z453" s="1130"/>
    </row>
    <row r="454" spans="1:26" ht="15.75" customHeight="1">
      <c r="A454" s="1130"/>
      <c r="B454" s="1130"/>
      <c r="C454" s="1130"/>
      <c r="D454" s="1130"/>
      <c r="E454" s="1130"/>
      <c r="F454" s="1130"/>
      <c r="G454" s="1130"/>
      <c r="H454" s="1130"/>
      <c r="I454" s="1130"/>
      <c r="J454" s="1130"/>
      <c r="K454" s="1130"/>
      <c r="L454" s="1130"/>
      <c r="M454" s="1130"/>
      <c r="N454" s="1130"/>
      <c r="O454" s="1130"/>
      <c r="P454" s="1130"/>
      <c r="Q454" s="1130"/>
      <c r="R454" s="1130"/>
      <c r="S454" s="1130"/>
      <c r="T454" s="1130"/>
      <c r="U454" s="1130"/>
      <c r="V454" s="1130"/>
      <c r="W454" s="1130"/>
      <c r="X454" s="1130"/>
      <c r="Y454" s="1130"/>
      <c r="Z454" s="1130"/>
    </row>
    <row r="455" spans="1:26" ht="15.75" customHeight="1">
      <c r="A455" s="1130"/>
      <c r="B455" s="1130"/>
      <c r="C455" s="1130"/>
      <c r="D455" s="1130"/>
      <c r="E455" s="1130"/>
      <c r="F455" s="1130"/>
      <c r="G455" s="1130"/>
      <c r="H455" s="1130"/>
      <c r="I455" s="1130"/>
      <c r="J455" s="1130"/>
      <c r="K455" s="1130"/>
      <c r="L455" s="1130"/>
      <c r="M455" s="1130"/>
      <c r="N455" s="1130"/>
      <c r="O455" s="1130"/>
      <c r="P455" s="1130"/>
      <c r="Q455" s="1130"/>
      <c r="R455" s="1130"/>
      <c r="S455" s="1130"/>
      <c r="T455" s="1130"/>
      <c r="U455" s="1130"/>
      <c r="V455" s="1130"/>
      <c r="W455" s="1130"/>
      <c r="X455" s="1130"/>
      <c r="Y455" s="1130"/>
      <c r="Z455" s="1130"/>
    </row>
    <row r="456" spans="1:26" ht="15.75" customHeight="1">
      <c r="A456" s="1130"/>
      <c r="B456" s="1130"/>
      <c r="C456" s="1130"/>
      <c r="D456" s="1130"/>
      <c r="E456" s="1130"/>
      <c r="F456" s="1130"/>
      <c r="G456" s="1130"/>
      <c r="H456" s="1130"/>
      <c r="I456" s="1130"/>
      <c r="J456" s="1130"/>
      <c r="K456" s="1130"/>
      <c r="L456" s="1130"/>
      <c r="M456" s="1130"/>
      <c r="N456" s="1130"/>
      <c r="O456" s="1130"/>
      <c r="P456" s="1130"/>
      <c r="Q456" s="1130"/>
      <c r="R456" s="1130"/>
      <c r="S456" s="1130"/>
      <c r="T456" s="1130"/>
      <c r="U456" s="1130"/>
      <c r="V456" s="1130"/>
      <c r="W456" s="1130"/>
      <c r="X456" s="1130"/>
      <c r="Y456" s="1130"/>
      <c r="Z456" s="1130"/>
    </row>
    <row r="457" spans="1:26" ht="15.75" customHeight="1">
      <c r="A457" s="1130"/>
      <c r="B457" s="1130"/>
      <c r="C457" s="1130"/>
      <c r="D457" s="1130"/>
      <c r="E457" s="1130"/>
      <c r="F457" s="1130"/>
      <c r="G457" s="1130"/>
      <c r="H457" s="1130"/>
      <c r="I457" s="1130"/>
      <c r="J457" s="1130"/>
      <c r="K457" s="1130"/>
      <c r="L457" s="1130"/>
      <c r="M457" s="1130"/>
      <c r="N457" s="1130"/>
      <c r="O457" s="1130"/>
      <c r="P457" s="1130"/>
      <c r="Q457" s="1130"/>
      <c r="R457" s="1130"/>
      <c r="S457" s="1130"/>
      <c r="T457" s="1130"/>
      <c r="U457" s="1130"/>
      <c r="V457" s="1130"/>
      <c r="W457" s="1130"/>
      <c r="X457" s="1130"/>
      <c r="Y457" s="1130"/>
      <c r="Z457" s="1130"/>
    </row>
    <row r="458" spans="1:26" ht="15.75" customHeight="1">
      <c r="A458" s="1130"/>
      <c r="B458" s="1130"/>
      <c r="C458" s="1130"/>
      <c r="D458" s="1130"/>
      <c r="E458" s="1130"/>
      <c r="F458" s="1130"/>
      <c r="G458" s="1130"/>
      <c r="H458" s="1130"/>
      <c r="I458" s="1130"/>
      <c r="J458" s="1130"/>
      <c r="K458" s="1130"/>
      <c r="L458" s="1130"/>
      <c r="M458" s="1130"/>
      <c r="N458" s="1130"/>
      <c r="O458" s="1130"/>
      <c r="P458" s="1130"/>
      <c r="Q458" s="1130"/>
      <c r="R458" s="1130"/>
      <c r="S458" s="1130"/>
      <c r="T458" s="1130"/>
      <c r="U458" s="1130"/>
      <c r="V458" s="1130"/>
      <c r="W458" s="1130"/>
      <c r="X458" s="1130"/>
      <c r="Y458" s="1130"/>
      <c r="Z458" s="1130"/>
    </row>
    <row r="459" spans="1:26" ht="15.75" customHeight="1">
      <c r="A459" s="1130"/>
      <c r="B459" s="1130"/>
      <c r="C459" s="1130"/>
      <c r="D459" s="1130"/>
      <c r="E459" s="1130"/>
      <c r="F459" s="1130"/>
      <c r="G459" s="1130"/>
      <c r="H459" s="1130"/>
      <c r="I459" s="1130"/>
      <c r="J459" s="1130"/>
      <c r="K459" s="1130"/>
      <c r="L459" s="1130"/>
      <c r="M459" s="1130"/>
      <c r="N459" s="1130"/>
      <c r="O459" s="1130"/>
      <c r="P459" s="1130"/>
      <c r="Q459" s="1130"/>
      <c r="R459" s="1130"/>
      <c r="S459" s="1130"/>
      <c r="T459" s="1130"/>
      <c r="U459" s="1130"/>
      <c r="V459" s="1130"/>
      <c r="W459" s="1130"/>
      <c r="X459" s="1130"/>
      <c r="Y459" s="1130"/>
      <c r="Z459" s="1130"/>
    </row>
    <row r="460" spans="1:26" ht="15.75" customHeight="1">
      <c r="A460" s="1130"/>
      <c r="B460" s="1130"/>
      <c r="C460" s="1130"/>
      <c r="D460" s="1130"/>
      <c r="E460" s="1130"/>
      <c r="F460" s="1130"/>
      <c r="G460" s="1130"/>
      <c r="H460" s="1130"/>
      <c r="I460" s="1130"/>
      <c r="J460" s="1130"/>
      <c r="K460" s="1130"/>
      <c r="L460" s="1130"/>
      <c r="M460" s="1130"/>
      <c r="N460" s="1130"/>
      <c r="O460" s="1130"/>
      <c r="P460" s="1130"/>
      <c r="Q460" s="1130"/>
      <c r="R460" s="1130"/>
      <c r="S460" s="1130"/>
      <c r="T460" s="1130"/>
      <c r="U460" s="1130"/>
      <c r="V460" s="1130"/>
      <c r="W460" s="1130"/>
      <c r="X460" s="1130"/>
      <c r="Y460" s="1130"/>
      <c r="Z460" s="1130"/>
    </row>
    <row r="461" spans="1:26" ht="15.75" customHeight="1">
      <c r="A461" s="1130"/>
      <c r="B461" s="1130"/>
      <c r="C461" s="1130"/>
      <c r="D461" s="1130"/>
      <c r="E461" s="1130"/>
      <c r="F461" s="1130"/>
      <c r="G461" s="1130"/>
      <c r="H461" s="1130"/>
      <c r="I461" s="1130"/>
      <c r="J461" s="1130"/>
      <c r="K461" s="1130"/>
      <c r="L461" s="1130"/>
      <c r="M461" s="1130"/>
      <c r="N461" s="1130"/>
      <c r="O461" s="1130"/>
      <c r="P461" s="1130"/>
      <c r="Q461" s="1130"/>
      <c r="R461" s="1130"/>
      <c r="S461" s="1130"/>
      <c r="T461" s="1130"/>
      <c r="U461" s="1130"/>
      <c r="V461" s="1130"/>
      <c r="W461" s="1130"/>
      <c r="X461" s="1130"/>
      <c r="Y461" s="1130"/>
      <c r="Z461" s="1130"/>
    </row>
    <row r="462" spans="1:26" ht="15.75" customHeight="1">
      <c r="A462" s="1130"/>
      <c r="B462" s="1130"/>
      <c r="C462" s="1130"/>
      <c r="D462" s="1130"/>
      <c r="E462" s="1130"/>
      <c r="F462" s="1130"/>
      <c r="G462" s="1130"/>
      <c r="H462" s="1130"/>
      <c r="I462" s="1130"/>
      <c r="J462" s="1130"/>
      <c r="K462" s="1130"/>
      <c r="L462" s="1130"/>
      <c r="M462" s="1130"/>
      <c r="N462" s="1130"/>
      <c r="O462" s="1130"/>
      <c r="P462" s="1130"/>
      <c r="Q462" s="1130"/>
      <c r="R462" s="1130"/>
      <c r="S462" s="1130"/>
      <c r="T462" s="1130"/>
      <c r="U462" s="1130"/>
      <c r="V462" s="1130"/>
      <c r="W462" s="1130"/>
      <c r="X462" s="1130"/>
      <c r="Y462" s="1130"/>
      <c r="Z462" s="1130"/>
    </row>
    <row r="463" spans="1:26" ht="15.75" customHeight="1">
      <c r="A463" s="1130"/>
      <c r="B463" s="1130"/>
      <c r="C463" s="1130"/>
      <c r="D463" s="1130"/>
      <c r="E463" s="1130"/>
      <c r="F463" s="1130"/>
      <c r="G463" s="1130"/>
      <c r="H463" s="1130"/>
      <c r="I463" s="1130"/>
      <c r="J463" s="1130"/>
      <c r="K463" s="1130"/>
      <c r="L463" s="1130"/>
      <c r="M463" s="1130"/>
      <c r="N463" s="1130"/>
      <c r="O463" s="1130"/>
      <c r="P463" s="1130"/>
      <c r="Q463" s="1130"/>
      <c r="R463" s="1130"/>
      <c r="S463" s="1130"/>
      <c r="T463" s="1130"/>
      <c r="U463" s="1130"/>
      <c r="V463" s="1130"/>
      <c r="W463" s="1130"/>
      <c r="X463" s="1130"/>
      <c r="Y463" s="1130"/>
      <c r="Z463" s="1130"/>
    </row>
    <row r="464" spans="1:26" ht="15.75" customHeight="1">
      <c r="A464" s="1130"/>
      <c r="B464" s="1130"/>
      <c r="C464" s="1130"/>
      <c r="D464" s="1130"/>
      <c r="E464" s="1130"/>
      <c r="F464" s="1130"/>
      <c r="G464" s="1130"/>
      <c r="H464" s="1130"/>
      <c r="I464" s="1130"/>
      <c r="J464" s="1130"/>
      <c r="K464" s="1130"/>
      <c r="L464" s="1130"/>
      <c r="M464" s="1130"/>
      <c r="N464" s="1130"/>
      <c r="O464" s="1130"/>
      <c r="P464" s="1130"/>
      <c r="Q464" s="1130"/>
      <c r="R464" s="1130"/>
      <c r="S464" s="1130"/>
      <c r="T464" s="1130"/>
      <c r="U464" s="1130"/>
      <c r="V464" s="1130"/>
      <c r="W464" s="1130"/>
      <c r="X464" s="1130"/>
      <c r="Y464" s="1130"/>
      <c r="Z464" s="1130"/>
    </row>
    <row r="465" spans="1:26" ht="15.75" customHeight="1">
      <c r="A465" s="1130"/>
      <c r="B465" s="1130"/>
      <c r="C465" s="1130"/>
      <c r="D465" s="1130"/>
      <c r="E465" s="1130"/>
      <c r="F465" s="1130"/>
      <c r="G465" s="1130"/>
      <c r="H465" s="1130"/>
      <c r="I465" s="1130"/>
      <c r="J465" s="1130"/>
      <c r="K465" s="1130"/>
      <c r="L465" s="1130"/>
      <c r="M465" s="1130"/>
      <c r="N465" s="1130"/>
      <c r="O465" s="1130"/>
      <c r="P465" s="1130"/>
      <c r="Q465" s="1130"/>
      <c r="R465" s="1130"/>
      <c r="S465" s="1130"/>
      <c r="T465" s="1130"/>
      <c r="U465" s="1130"/>
      <c r="V465" s="1130"/>
      <c r="W465" s="1130"/>
      <c r="X465" s="1130"/>
      <c r="Y465" s="1130"/>
      <c r="Z465" s="1130"/>
    </row>
    <row r="466" spans="1:26" ht="15.75" customHeight="1">
      <c r="A466" s="1130"/>
      <c r="B466" s="1130"/>
      <c r="C466" s="1130"/>
      <c r="D466" s="1130"/>
      <c r="E466" s="1130"/>
      <c r="F466" s="1130"/>
      <c r="G466" s="1130"/>
      <c r="H466" s="1130"/>
      <c r="I466" s="1130"/>
      <c r="J466" s="1130"/>
      <c r="K466" s="1130"/>
      <c r="L466" s="1130"/>
      <c r="M466" s="1130"/>
      <c r="N466" s="1130"/>
      <c r="O466" s="1130"/>
      <c r="P466" s="1130"/>
      <c r="Q466" s="1130"/>
      <c r="R466" s="1130"/>
      <c r="S466" s="1130"/>
      <c r="T466" s="1130"/>
      <c r="U466" s="1130"/>
      <c r="V466" s="1130"/>
      <c r="W466" s="1130"/>
      <c r="X466" s="1130"/>
      <c r="Y466" s="1130"/>
      <c r="Z466" s="1130"/>
    </row>
    <row r="467" spans="1:26" ht="15.75" customHeight="1">
      <c r="A467" s="1130"/>
      <c r="B467" s="1130"/>
      <c r="C467" s="1130"/>
      <c r="D467" s="1130"/>
      <c r="E467" s="1130"/>
      <c r="F467" s="1130"/>
      <c r="G467" s="1130"/>
      <c r="H467" s="1130"/>
      <c r="I467" s="1130"/>
      <c r="J467" s="1130"/>
      <c r="K467" s="1130"/>
      <c r="L467" s="1130"/>
      <c r="M467" s="1130"/>
      <c r="N467" s="1130"/>
      <c r="O467" s="1130"/>
      <c r="P467" s="1130"/>
      <c r="Q467" s="1130"/>
      <c r="R467" s="1130"/>
      <c r="S467" s="1130"/>
      <c r="T467" s="1130"/>
      <c r="U467" s="1130"/>
      <c r="V467" s="1130"/>
      <c r="W467" s="1130"/>
      <c r="X467" s="1130"/>
      <c r="Y467" s="1130"/>
      <c r="Z467" s="1130"/>
    </row>
    <row r="468" spans="1:26" ht="15.75" customHeight="1">
      <c r="A468" s="1130"/>
      <c r="B468" s="1130"/>
      <c r="C468" s="1130"/>
      <c r="D468" s="1130"/>
      <c r="E468" s="1130"/>
      <c r="F468" s="1130"/>
      <c r="G468" s="1130"/>
      <c r="H468" s="1130"/>
      <c r="I468" s="1130"/>
      <c r="J468" s="1130"/>
      <c r="K468" s="1130"/>
      <c r="L468" s="1130"/>
      <c r="M468" s="1130"/>
      <c r="N468" s="1130"/>
      <c r="O468" s="1130"/>
      <c r="P468" s="1130"/>
      <c r="Q468" s="1130"/>
      <c r="R468" s="1130"/>
      <c r="S468" s="1130"/>
      <c r="T468" s="1130"/>
      <c r="U468" s="1130"/>
      <c r="V468" s="1130"/>
      <c r="W468" s="1130"/>
      <c r="X468" s="1130"/>
      <c r="Y468" s="1130"/>
      <c r="Z468" s="1130"/>
    </row>
    <row r="469" spans="1:26" ht="15.75" customHeight="1">
      <c r="A469" s="1130"/>
      <c r="B469" s="1130"/>
      <c r="C469" s="1130"/>
      <c r="D469" s="1130"/>
      <c r="E469" s="1130"/>
      <c r="F469" s="1130"/>
      <c r="G469" s="1130"/>
      <c r="H469" s="1130"/>
      <c r="I469" s="1130"/>
      <c r="J469" s="1130"/>
      <c r="K469" s="1130"/>
      <c r="L469" s="1130"/>
      <c r="M469" s="1130"/>
      <c r="N469" s="1130"/>
      <c r="O469" s="1130"/>
      <c r="P469" s="1130"/>
      <c r="Q469" s="1130"/>
      <c r="R469" s="1130"/>
      <c r="S469" s="1130"/>
      <c r="T469" s="1130"/>
      <c r="U469" s="1130"/>
      <c r="V469" s="1130"/>
      <c r="W469" s="1130"/>
      <c r="X469" s="1130"/>
      <c r="Y469" s="1130"/>
      <c r="Z469" s="1130"/>
    </row>
    <row r="470" spans="1:26" ht="15.75" customHeight="1">
      <c r="A470" s="1130"/>
      <c r="B470" s="1130"/>
      <c r="C470" s="1130"/>
      <c r="D470" s="1130"/>
      <c r="E470" s="1130"/>
      <c r="F470" s="1130"/>
      <c r="G470" s="1130"/>
      <c r="H470" s="1130"/>
      <c r="I470" s="1130"/>
      <c r="J470" s="1130"/>
      <c r="K470" s="1130"/>
      <c r="L470" s="1130"/>
      <c r="M470" s="1130"/>
      <c r="N470" s="1130"/>
      <c r="O470" s="1130"/>
      <c r="P470" s="1130"/>
      <c r="Q470" s="1130"/>
      <c r="R470" s="1130"/>
      <c r="S470" s="1130"/>
      <c r="T470" s="1130"/>
      <c r="U470" s="1130"/>
      <c r="V470" s="1130"/>
      <c r="W470" s="1130"/>
      <c r="X470" s="1130"/>
      <c r="Y470" s="1130"/>
      <c r="Z470" s="1130"/>
    </row>
    <row r="471" spans="1:26" ht="15.75" customHeight="1">
      <c r="A471" s="1130"/>
      <c r="B471" s="1130"/>
      <c r="C471" s="1130"/>
      <c r="D471" s="1130"/>
      <c r="E471" s="1130"/>
      <c r="F471" s="1130"/>
      <c r="G471" s="1130"/>
      <c r="H471" s="1130"/>
      <c r="I471" s="1130"/>
      <c r="J471" s="1130"/>
      <c r="K471" s="1130"/>
      <c r="L471" s="1130"/>
      <c r="M471" s="1130"/>
      <c r="N471" s="1130"/>
      <c r="O471" s="1130"/>
      <c r="P471" s="1130"/>
      <c r="Q471" s="1130"/>
      <c r="R471" s="1130"/>
      <c r="S471" s="1130"/>
      <c r="T471" s="1130"/>
      <c r="U471" s="1130"/>
      <c r="V471" s="1130"/>
      <c r="W471" s="1130"/>
      <c r="X471" s="1130"/>
      <c r="Y471" s="1130"/>
      <c r="Z471" s="1130"/>
    </row>
    <row r="472" spans="1:26" ht="15.75" customHeight="1">
      <c r="A472" s="1130"/>
      <c r="B472" s="1130"/>
      <c r="C472" s="1130"/>
      <c r="D472" s="1130"/>
      <c r="E472" s="1130"/>
      <c r="F472" s="1130"/>
      <c r="G472" s="1130"/>
      <c r="H472" s="1130"/>
      <c r="I472" s="1130"/>
      <c r="J472" s="1130"/>
      <c r="K472" s="1130"/>
      <c r="L472" s="1130"/>
      <c r="M472" s="1130"/>
      <c r="N472" s="1130"/>
      <c r="O472" s="1130"/>
      <c r="P472" s="1130"/>
      <c r="Q472" s="1130"/>
      <c r="R472" s="1130"/>
      <c r="S472" s="1130"/>
      <c r="T472" s="1130"/>
      <c r="U472" s="1130"/>
      <c r="V472" s="1130"/>
      <c r="W472" s="1130"/>
      <c r="X472" s="1130"/>
      <c r="Y472" s="1130"/>
      <c r="Z472" s="1130"/>
    </row>
    <row r="473" spans="1:26" ht="15.75" customHeight="1">
      <c r="A473" s="1130"/>
      <c r="B473" s="1130"/>
      <c r="C473" s="1130"/>
      <c r="D473" s="1130"/>
      <c r="E473" s="1130"/>
      <c r="F473" s="1130"/>
      <c r="G473" s="1130"/>
      <c r="H473" s="1130"/>
      <c r="I473" s="1130"/>
      <c r="J473" s="1130"/>
      <c r="K473" s="1130"/>
      <c r="L473" s="1130"/>
      <c r="M473" s="1130"/>
      <c r="N473" s="1130"/>
      <c r="O473" s="1130"/>
      <c r="P473" s="1130"/>
      <c r="Q473" s="1130"/>
      <c r="R473" s="1130"/>
      <c r="S473" s="1130"/>
      <c r="T473" s="1130"/>
      <c r="U473" s="1130"/>
      <c r="V473" s="1130"/>
      <c r="W473" s="1130"/>
      <c r="X473" s="1130"/>
      <c r="Y473" s="1130"/>
      <c r="Z473" s="1130"/>
    </row>
    <row r="474" spans="1:26" ht="15.75" customHeight="1">
      <c r="A474" s="1130"/>
      <c r="B474" s="1130"/>
      <c r="C474" s="1130"/>
      <c r="D474" s="1130"/>
      <c r="E474" s="1130"/>
      <c r="F474" s="1130"/>
      <c r="G474" s="1130"/>
      <c r="H474" s="1130"/>
      <c r="I474" s="1130"/>
      <c r="J474" s="1130"/>
      <c r="K474" s="1130"/>
      <c r="L474" s="1130"/>
      <c r="M474" s="1130"/>
      <c r="N474" s="1130"/>
      <c r="O474" s="1130"/>
      <c r="P474" s="1130"/>
      <c r="Q474" s="1130"/>
      <c r="R474" s="1130"/>
      <c r="S474" s="1130"/>
      <c r="T474" s="1130"/>
      <c r="U474" s="1130"/>
      <c r="V474" s="1130"/>
      <c r="W474" s="1130"/>
      <c r="X474" s="1130"/>
      <c r="Y474" s="1130"/>
      <c r="Z474" s="1130"/>
    </row>
    <row r="475" spans="1:26" ht="15.75" customHeight="1">
      <c r="A475" s="1130"/>
      <c r="B475" s="1130"/>
      <c r="C475" s="1130"/>
      <c r="D475" s="1130"/>
      <c r="E475" s="1130"/>
      <c r="F475" s="1130"/>
      <c r="G475" s="1130"/>
      <c r="H475" s="1130"/>
      <c r="I475" s="1130"/>
      <c r="J475" s="1130"/>
      <c r="K475" s="1130"/>
      <c r="L475" s="1130"/>
      <c r="M475" s="1130"/>
      <c r="N475" s="1130"/>
      <c r="O475" s="1130"/>
      <c r="P475" s="1130"/>
      <c r="Q475" s="1130"/>
      <c r="R475" s="1130"/>
      <c r="S475" s="1130"/>
      <c r="T475" s="1130"/>
      <c r="U475" s="1130"/>
      <c r="V475" s="1130"/>
      <c r="W475" s="1130"/>
      <c r="X475" s="1130"/>
      <c r="Y475" s="1130"/>
      <c r="Z475" s="1130"/>
    </row>
    <row r="476" spans="1:26" ht="15.75" customHeight="1">
      <c r="A476" s="1130"/>
      <c r="B476" s="1130"/>
      <c r="C476" s="1130"/>
      <c r="D476" s="1130"/>
      <c r="E476" s="1130"/>
      <c r="F476" s="1130"/>
      <c r="G476" s="1130"/>
      <c r="H476" s="1130"/>
      <c r="I476" s="1130"/>
      <c r="J476" s="1130"/>
      <c r="K476" s="1130"/>
      <c r="L476" s="1130"/>
      <c r="M476" s="1130"/>
      <c r="N476" s="1130"/>
      <c r="O476" s="1130"/>
      <c r="P476" s="1130"/>
      <c r="Q476" s="1130"/>
      <c r="R476" s="1130"/>
      <c r="S476" s="1130"/>
      <c r="T476" s="1130"/>
      <c r="U476" s="1130"/>
      <c r="V476" s="1130"/>
      <c r="W476" s="1130"/>
      <c r="X476" s="1130"/>
      <c r="Y476" s="1130"/>
      <c r="Z476" s="1130"/>
    </row>
    <row r="477" spans="1:26" ht="15.75" customHeight="1">
      <c r="A477" s="1130"/>
      <c r="B477" s="1130"/>
      <c r="C477" s="1130"/>
      <c r="D477" s="1130"/>
      <c r="E477" s="1130"/>
      <c r="F477" s="1130"/>
      <c r="G477" s="1130"/>
      <c r="H477" s="1130"/>
      <c r="I477" s="1130"/>
      <c r="J477" s="1130"/>
      <c r="K477" s="1130"/>
      <c r="L477" s="1130"/>
      <c r="M477" s="1130"/>
      <c r="N477" s="1130"/>
      <c r="O477" s="1130"/>
      <c r="P477" s="1130"/>
      <c r="Q477" s="1130"/>
      <c r="R477" s="1130"/>
      <c r="S477" s="1130"/>
      <c r="T477" s="1130"/>
      <c r="U477" s="1130"/>
      <c r="V477" s="1130"/>
      <c r="W477" s="1130"/>
      <c r="X477" s="1130"/>
      <c r="Y477" s="1130"/>
      <c r="Z477" s="1130"/>
    </row>
    <row r="478" spans="1:26" ht="15.75" customHeight="1">
      <c r="A478" s="1130"/>
      <c r="B478" s="1130"/>
      <c r="C478" s="1130"/>
      <c r="D478" s="1130"/>
      <c r="E478" s="1130"/>
      <c r="F478" s="1130"/>
      <c r="G478" s="1130"/>
      <c r="H478" s="1130"/>
      <c r="I478" s="1130"/>
      <c r="J478" s="1130"/>
      <c r="K478" s="1130"/>
      <c r="L478" s="1130"/>
      <c r="M478" s="1130"/>
      <c r="N478" s="1130"/>
      <c r="O478" s="1130"/>
      <c r="P478" s="1130"/>
      <c r="Q478" s="1130"/>
      <c r="R478" s="1130"/>
      <c r="S478" s="1130"/>
      <c r="T478" s="1130"/>
      <c r="U478" s="1130"/>
      <c r="V478" s="1130"/>
      <c r="W478" s="1130"/>
      <c r="X478" s="1130"/>
      <c r="Y478" s="1130"/>
      <c r="Z478" s="1130"/>
    </row>
    <row r="479" spans="1:26" ht="15.75" customHeight="1">
      <c r="A479" s="1130"/>
      <c r="B479" s="1130"/>
      <c r="C479" s="1130"/>
      <c r="D479" s="1130"/>
      <c r="E479" s="1130"/>
      <c r="F479" s="1130"/>
      <c r="G479" s="1130"/>
      <c r="H479" s="1130"/>
      <c r="I479" s="1130"/>
      <c r="J479" s="1130"/>
      <c r="K479" s="1130"/>
      <c r="L479" s="1130"/>
      <c r="M479" s="1130"/>
      <c r="N479" s="1130"/>
      <c r="O479" s="1130"/>
      <c r="P479" s="1130"/>
      <c r="Q479" s="1130"/>
      <c r="R479" s="1130"/>
      <c r="S479" s="1130"/>
      <c r="T479" s="1130"/>
      <c r="U479" s="1130"/>
      <c r="V479" s="1130"/>
      <c r="W479" s="1130"/>
      <c r="X479" s="1130"/>
      <c r="Y479" s="1130"/>
      <c r="Z479" s="1130"/>
    </row>
    <row r="480" spans="1:26" ht="15.75" customHeight="1">
      <c r="A480" s="1130"/>
      <c r="B480" s="1130"/>
      <c r="C480" s="1130"/>
      <c r="D480" s="1130"/>
      <c r="E480" s="1130"/>
      <c r="F480" s="1130"/>
      <c r="G480" s="1130"/>
      <c r="H480" s="1130"/>
      <c r="I480" s="1130"/>
      <c r="J480" s="1130"/>
      <c r="K480" s="1130"/>
      <c r="L480" s="1130"/>
      <c r="M480" s="1130"/>
      <c r="N480" s="1130"/>
      <c r="O480" s="1130"/>
      <c r="P480" s="1130"/>
      <c r="Q480" s="1130"/>
      <c r="R480" s="1130"/>
      <c r="S480" s="1130"/>
      <c r="T480" s="1130"/>
      <c r="U480" s="1130"/>
      <c r="V480" s="1130"/>
      <c r="W480" s="1130"/>
      <c r="X480" s="1130"/>
      <c r="Y480" s="1130"/>
      <c r="Z480" s="1130"/>
    </row>
    <row r="481" spans="1:26" ht="15.75" customHeight="1">
      <c r="A481" s="1130"/>
      <c r="B481" s="1130"/>
      <c r="C481" s="1130"/>
      <c r="D481" s="1130"/>
      <c r="E481" s="1130"/>
      <c r="F481" s="1130"/>
      <c r="G481" s="1130"/>
      <c r="H481" s="1130"/>
      <c r="I481" s="1130"/>
      <c r="J481" s="1130"/>
      <c r="K481" s="1130"/>
      <c r="L481" s="1130"/>
      <c r="M481" s="1130"/>
      <c r="N481" s="1130"/>
      <c r="O481" s="1130"/>
      <c r="P481" s="1130"/>
      <c r="Q481" s="1130"/>
      <c r="R481" s="1130"/>
      <c r="S481" s="1130"/>
      <c r="T481" s="1130"/>
      <c r="U481" s="1130"/>
      <c r="V481" s="1130"/>
      <c r="W481" s="1130"/>
      <c r="X481" s="1130"/>
      <c r="Y481" s="1130"/>
      <c r="Z481" s="1130"/>
    </row>
    <row r="482" spans="1:26" ht="15.75" customHeight="1">
      <c r="A482" s="1130"/>
      <c r="B482" s="1130"/>
      <c r="C482" s="1130"/>
      <c r="D482" s="1130"/>
      <c r="E482" s="1130"/>
      <c r="F482" s="1130"/>
      <c r="G482" s="1130"/>
      <c r="H482" s="1130"/>
      <c r="I482" s="1130"/>
      <c r="J482" s="1130"/>
      <c r="K482" s="1130"/>
      <c r="L482" s="1130"/>
      <c r="M482" s="1130"/>
      <c r="N482" s="1130"/>
      <c r="O482" s="1130"/>
      <c r="P482" s="1130"/>
      <c r="Q482" s="1130"/>
      <c r="R482" s="1130"/>
      <c r="S482" s="1130"/>
      <c r="T482" s="1130"/>
      <c r="U482" s="1130"/>
      <c r="V482" s="1130"/>
      <c r="W482" s="1130"/>
      <c r="X482" s="1130"/>
      <c r="Y482" s="1130"/>
      <c r="Z482" s="1130"/>
    </row>
    <row r="483" spans="1:26" ht="15.75" customHeight="1">
      <c r="A483" s="1130"/>
      <c r="B483" s="1130"/>
      <c r="C483" s="1130"/>
      <c r="D483" s="1130"/>
      <c r="E483" s="1130"/>
      <c r="F483" s="1130"/>
      <c r="G483" s="1130"/>
      <c r="H483" s="1130"/>
      <c r="I483" s="1130"/>
      <c r="J483" s="1130"/>
      <c r="K483" s="1130"/>
      <c r="L483" s="1130"/>
      <c r="M483" s="1130"/>
      <c r="N483" s="1130"/>
      <c r="O483" s="1130"/>
      <c r="P483" s="1130"/>
      <c r="Q483" s="1130"/>
      <c r="R483" s="1130"/>
      <c r="S483" s="1130"/>
      <c r="T483" s="1130"/>
      <c r="U483" s="1130"/>
      <c r="V483" s="1130"/>
      <c r="W483" s="1130"/>
      <c r="X483" s="1130"/>
      <c r="Y483" s="1130"/>
      <c r="Z483" s="1130"/>
    </row>
    <row r="484" spans="1:26" ht="15.75" customHeight="1">
      <c r="A484" s="1130"/>
      <c r="B484" s="1130"/>
      <c r="C484" s="1130"/>
      <c r="D484" s="1130"/>
      <c r="E484" s="1130"/>
      <c r="F484" s="1130"/>
      <c r="G484" s="1130"/>
      <c r="H484" s="1130"/>
      <c r="I484" s="1130"/>
      <c r="J484" s="1130"/>
      <c r="K484" s="1130"/>
      <c r="L484" s="1130"/>
      <c r="M484" s="1130"/>
      <c r="N484" s="1130"/>
      <c r="O484" s="1130"/>
      <c r="P484" s="1130"/>
      <c r="Q484" s="1130"/>
      <c r="R484" s="1130"/>
      <c r="S484" s="1130"/>
      <c r="T484" s="1130"/>
      <c r="U484" s="1130"/>
      <c r="V484" s="1130"/>
      <c r="W484" s="1130"/>
      <c r="X484" s="1130"/>
      <c r="Y484" s="1130"/>
      <c r="Z484" s="1130"/>
    </row>
    <row r="485" spans="1:26" ht="15.75" customHeight="1">
      <c r="A485" s="1130"/>
      <c r="B485" s="1130"/>
      <c r="C485" s="1130"/>
      <c r="D485" s="1130"/>
      <c r="E485" s="1130"/>
      <c r="F485" s="1130"/>
      <c r="G485" s="1130"/>
      <c r="H485" s="1130"/>
      <c r="I485" s="1130"/>
      <c r="J485" s="1130"/>
      <c r="K485" s="1130"/>
      <c r="L485" s="1130"/>
      <c r="M485" s="1130"/>
      <c r="N485" s="1130"/>
      <c r="O485" s="1130"/>
      <c r="P485" s="1130"/>
      <c r="Q485" s="1130"/>
      <c r="R485" s="1130"/>
      <c r="S485" s="1130"/>
      <c r="T485" s="1130"/>
      <c r="U485" s="1130"/>
      <c r="V485" s="1130"/>
      <c r="W485" s="1130"/>
      <c r="X485" s="1130"/>
      <c r="Y485" s="1130"/>
      <c r="Z485" s="1130"/>
    </row>
    <row r="486" spans="1:26" ht="15.75" customHeight="1">
      <c r="A486" s="1130"/>
      <c r="B486" s="1130"/>
      <c r="C486" s="1130"/>
      <c r="D486" s="1130"/>
      <c r="E486" s="1130"/>
      <c r="F486" s="1130"/>
      <c r="G486" s="1130"/>
      <c r="H486" s="1130"/>
      <c r="I486" s="1130"/>
      <c r="J486" s="1130"/>
      <c r="K486" s="1130"/>
      <c r="L486" s="1130"/>
      <c r="M486" s="1130"/>
      <c r="N486" s="1130"/>
      <c r="O486" s="1130"/>
      <c r="P486" s="1130"/>
      <c r="Q486" s="1130"/>
      <c r="R486" s="1130"/>
      <c r="S486" s="1130"/>
      <c r="T486" s="1130"/>
      <c r="U486" s="1130"/>
      <c r="V486" s="1130"/>
      <c r="W486" s="1130"/>
      <c r="X486" s="1130"/>
      <c r="Y486" s="1130"/>
      <c r="Z486" s="1130"/>
    </row>
    <row r="487" spans="1:26" ht="15.75" customHeight="1">
      <c r="A487" s="1130"/>
      <c r="B487" s="1130"/>
      <c r="C487" s="1130"/>
      <c r="D487" s="1130"/>
      <c r="E487" s="1130"/>
      <c r="F487" s="1130"/>
      <c r="G487" s="1130"/>
      <c r="H487" s="1130"/>
      <c r="I487" s="1130"/>
      <c r="J487" s="1130"/>
      <c r="K487" s="1130"/>
      <c r="L487" s="1130"/>
      <c r="M487" s="1130"/>
      <c r="N487" s="1130"/>
      <c r="O487" s="1130"/>
      <c r="P487" s="1130"/>
      <c r="Q487" s="1130"/>
      <c r="R487" s="1130"/>
      <c r="S487" s="1130"/>
      <c r="T487" s="1130"/>
      <c r="U487" s="1130"/>
      <c r="V487" s="1130"/>
      <c r="W487" s="1130"/>
      <c r="X487" s="1130"/>
      <c r="Y487" s="1130"/>
      <c r="Z487" s="1130"/>
    </row>
    <row r="488" spans="1:26" ht="15.75" customHeight="1">
      <c r="A488" s="1130"/>
      <c r="B488" s="1130"/>
      <c r="C488" s="1130"/>
      <c r="D488" s="1130"/>
      <c r="E488" s="1130"/>
      <c r="F488" s="1130"/>
      <c r="G488" s="1130"/>
      <c r="H488" s="1130"/>
      <c r="I488" s="1130"/>
      <c r="J488" s="1130"/>
      <c r="K488" s="1130"/>
      <c r="L488" s="1130"/>
      <c r="M488" s="1130"/>
      <c r="N488" s="1130"/>
      <c r="O488" s="1130"/>
      <c r="P488" s="1130"/>
      <c r="Q488" s="1130"/>
      <c r="R488" s="1130"/>
      <c r="S488" s="1130"/>
      <c r="T488" s="1130"/>
      <c r="U488" s="1130"/>
      <c r="V488" s="1130"/>
      <c r="W488" s="1130"/>
      <c r="X488" s="1130"/>
      <c r="Y488" s="1130"/>
      <c r="Z488" s="1130"/>
    </row>
    <row r="489" spans="1:26" ht="15.75" customHeight="1">
      <c r="A489" s="1130"/>
      <c r="B489" s="1130"/>
      <c r="C489" s="1130"/>
      <c r="D489" s="1130"/>
      <c r="E489" s="1130"/>
      <c r="F489" s="1130"/>
      <c r="G489" s="1130"/>
      <c r="H489" s="1130"/>
      <c r="I489" s="1130"/>
      <c r="J489" s="1130"/>
      <c r="K489" s="1130"/>
      <c r="L489" s="1130"/>
      <c r="M489" s="1130"/>
      <c r="N489" s="1130"/>
      <c r="O489" s="1130"/>
      <c r="P489" s="1130"/>
      <c r="Q489" s="1130"/>
      <c r="R489" s="1130"/>
      <c r="S489" s="1130"/>
      <c r="T489" s="1130"/>
      <c r="U489" s="1130"/>
      <c r="V489" s="1130"/>
      <c r="W489" s="1130"/>
      <c r="X489" s="1130"/>
      <c r="Y489" s="1130"/>
      <c r="Z489" s="1130"/>
    </row>
    <row r="490" spans="1:26" ht="15.75" customHeight="1">
      <c r="A490" s="1130"/>
      <c r="B490" s="1130"/>
      <c r="C490" s="1130"/>
      <c r="D490" s="1130"/>
      <c r="E490" s="1130"/>
      <c r="F490" s="1130"/>
      <c r="G490" s="1130"/>
      <c r="H490" s="1130"/>
      <c r="I490" s="1130"/>
      <c r="J490" s="1130"/>
      <c r="K490" s="1130"/>
      <c r="L490" s="1130"/>
      <c r="M490" s="1130"/>
      <c r="N490" s="1130"/>
      <c r="O490" s="1130"/>
      <c r="P490" s="1130"/>
      <c r="Q490" s="1130"/>
      <c r="R490" s="1130"/>
      <c r="S490" s="1130"/>
      <c r="T490" s="1130"/>
      <c r="U490" s="1130"/>
      <c r="V490" s="1130"/>
      <c r="W490" s="1130"/>
      <c r="X490" s="1130"/>
      <c r="Y490" s="1130"/>
      <c r="Z490" s="1130"/>
    </row>
    <row r="491" spans="1:26" ht="15.75" customHeight="1">
      <c r="A491" s="1130"/>
      <c r="B491" s="1130"/>
      <c r="C491" s="1130"/>
      <c r="D491" s="1130"/>
      <c r="E491" s="1130"/>
      <c r="F491" s="1130"/>
      <c r="G491" s="1130"/>
      <c r="H491" s="1130"/>
      <c r="I491" s="1130"/>
      <c r="J491" s="1130"/>
      <c r="K491" s="1130"/>
      <c r="L491" s="1130"/>
      <c r="M491" s="1130"/>
      <c r="N491" s="1130"/>
      <c r="O491" s="1130"/>
      <c r="P491" s="1130"/>
      <c r="Q491" s="1130"/>
      <c r="R491" s="1130"/>
      <c r="S491" s="1130"/>
      <c r="T491" s="1130"/>
      <c r="U491" s="1130"/>
      <c r="V491" s="1130"/>
      <c r="W491" s="1130"/>
      <c r="X491" s="1130"/>
      <c r="Y491" s="1130"/>
      <c r="Z491" s="1130"/>
    </row>
    <row r="492" spans="1:26" ht="15.75" customHeight="1">
      <c r="A492" s="1130"/>
      <c r="B492" s="1130"/>
      <c r="C492" s="1130"/>
      <c r="D492" s="1130"/>
      <c r="E492" s="1130"/>
      <c r="F492" s="1130"/>
      <c r="G492" s="1130"/>
      <c r="H492" s="1130"/>
      <c r="I492" s="1130"/>
      <c r="J492" s="1130"/>
      <c r="K492" s="1130"/>
      <c r="L492" s="1130"/>
      <c r="M492" s="1130"/>
      <c r="N492" s="1130"/>
      <c r="O492" s="1130"/>
      <c r="P492" s="1130"/>
      <c r="Q492" s="1130"/>
      <c r="R492" s="1130"/>
      <c r="S492" s="1130"/>
      <c r="T492" s="1130"/>
      <c r="U492" s="1130"/>
      <c r="V492" s="1130"/>
      <c r="W492" s="1130"/>
      <c r="X492" s="1130"/>
      <c r="Y492" s="1130"/>
      <c r="Z492" s="1130"/>
    </row>
    <row r="493" spans="1:26" ht="15.75" customHeight="1">
      <c r="A493" s="1130"/>
      <c r="B493" s="1130"/>
      <c r="C493" s="1130"/>
      <c r="D493" s="1130"/>
      <c r="E493" s="1130"/>
      <c r="F493" s="1130"/>
      <c r="G493" s="1130"/>
      <c r="H493" s="1130"/>
      <c r="I493" s="1130"/>
      <c r="J493" s="1130"/>
      <c r="K493" s="1130"/>
      <c r="L493" s="1130"/>
      <c r="M493" s="1130"/>
      <c r="N493" s="1130"/>
      <c r="O493" s="1130"/>
      <c r="P493" s="1130"/>
      <c r="Q493" s="1130"/>
      <c r="R493" s="1130"/>
      <c r="S493" s="1130"/>
      <c r="T493" s="1130"/>
      <c r="U493" s="1130"/>
      <c r="V493" s="1130"/>
      <c r="W493" s="1130"/>
      <c r="X493" s="1130"/>
      <c r="Y493" s="1130"/>
      <c r="Z493" s="1130"/>
    </row>
    <row r="494" spans="1:26" ht="15.75" customHeight="1">
      <c r="A494" s="1130"/>
      <c r="B494" s="1130"/>
      <c r="C494" s="1130"/>
      <c r="D494" s="1130"/>
      <c r="E494" s="1130"/>
      <c r="F494" s="1130"/>
      <c r="G494" s="1130"/>
      <c r="H494" s="1130"/>
      <c r="I494" s="1130"/>
      <c r="J494" s="1130"/>
      <c r="K494" s="1130"/>
      <c r="L494" s="1130"/>
      <c r="M494" s="1130"/>
      <c r="N494" s="1130"/>
      <c r="O494" s="1130"/>
      <c r="P494" s="1130"/>
      <c r="Q494" s="1130"/>
      <c r="R494" s="1130"/>
      <c r="S494" s="1130"/>
      <c r="T494" s="1130"/>
      <c r="U494" s="1130"/>
      <c r="V494" s="1130"/>
      <c r="W494" s="1130"/>
      <c r="X494" s="1130"/>
      <c r="Y494" s="1130"/>
      <c r="Z494" s="1130"/>
    </row>
    <row r="495" spans="1:26" ht="15.75" customHeight="1">
      <c r="A495" s="1130"/>
      <c r="B495" s="1130"/>
      <c r="C495" s="1130"/>
      <c r="D495" s="1130"/>
      <c r="E495" s="1130"/>
      <c r="F495" s="1130"/>
      <c r="G495" s="1130"/>
      <c r="H495" s="1130"/>
      <c r="I495" s="1130"/>
      <c r="J495" s="1130"/>
      <c r="K495" s="1130"/>
      <c r="L495" s="1130"/>
      <c r="M495" s="1130"/>
      <c r="N495" s="1130"/>
      <c r="O495" s="1130"/>
      <c r="P495" s="1130"/>
      <c r="Q495" s="1130"/>
      <c r="R495" s="1130"/>
      <c r="S495" s="1130"/>
      <c r="T495" s="1130"/>
      <c r="U495" s="1130"/>
      <c r="V495" s="1130"/>
      <c r="W495" s="1130"/>
      <c r="X495" s="1130"/>
      <c r="Y495" s="1130"/>
      <c r="Z495" s="1130"/>
    </row>
    <row r="496" spans="1:26" ht="15.75" customHeight="1">
      <c r="A496" s="1130"/>
      <c r="B496" s="1130"/>
      <c r="C496" s="1130"/>
      <c r="D496" s="1130"/>
      <c r="E496" s="1130"/>
      <c r="F496" s="1130"/>
      <c r="G496" s="1130"/>
      <c r="H496" s="1130"/>
      <c r="I496" s="1130"/>
      <c r="J496" s="1130"/>
      <c r="K496" s="1130"/>
      <c r="L496" s="1130"/>
      <c r="M496" s="1130"/>
      <c r="N496" s="1130"/>
      <c r="O496" s="1130"/>
      <c r="P496" s="1130"/>
      <c r="Q496" s="1130"/>
      <c r="R496" s="1130"/>
      <c r="S496" s="1130"/>
      <c r="T496" s="1130"/>
      <c r="U496" s="1130"/>
      <c r="V496" s="1130"/>
      <c r="W496" s="1130"/>
      <c r="X496" s="1130"/>
      <c r="Y496" s="1130"/>
      <c r="Z496" s="1130"/>
    </row>
    <row r="497" spans="1:26" ht="15.75" customHeight="1">
      <c r="A497" s="1130"/>
      <c r="B497" s="1130"/>
      <c r="C497" s="1130"/>
      <c r="D497" s="1130"/>
      <c r="E497" s="1130"/>
      <c r="F497" s="1130"/>
      <c r="G497" s="1130"/>
      <c r="H497" s="1130"/>
      <c r="I497" s="1130"/>
      <c r="J497" s="1130"/>
      <c r="K497" s="1130"/>
      <c r="L497" s="1130"/>
      <c r="M497" s="1130"/>
      <c r="N497" s="1130"/>
      <c r="O497" s="1130"/>
      <c r="P497" s="1130"/>
      <c r="Q497" s="1130"/>
      <c r="R497" s="1130"/>
      <c r="S497" s="1130"/>
      <c r="T497" s="1130"/>
      <c r="U497" s="1130"/>
      <c r="V497" s="1130"/>
      <c r="W497" s="1130"/>
      <c r="X497" s="1130"/>
      <c r="Y497" s="1130"/>
      <c r="Z497" s="1130"/>
    </row>
    <row r="498" spans="1:26" ht="15.75" customHeight="1">
      <c r="A498" s="1130"/>
      <c r="B498" s="1130"/>
      <c r="C498" s="1130"/>
      <c r="D498" s="1130"/>
      <c r="E498" s="1130"/>
      <c r="F498" s="1130"/>
      <c r="G498" s="1130"/>
      <c r="H498" s="1130"/>
      <c r="I498" s="1130"/>
      <c r="J498" s="1130"/>
      <c r="K498" s="1130"/>
      <c r="L498" s="1130"/>
      <c r="M498" s="1130"/>
      <c r="N498" s="1130"/>
      <c r="O498" s="1130"/>
      <c r="P498" s="1130"/>
      <c r="Q498" s="1130"/>
      <c r="R498" s="1130"/>
      <c r="S498" s="1130"/>
      <c r="T498" s="1130"/>
      <c r="U498" s="1130"/>
      <c r="V498" s="1130"/>
      <c r="W498" s="1130"/>
      <c r="X498" s="1130"/>
      <c r="Y498" s="1130"/>
      <c r="Z498" s="1130"/>
    </row>
    <row r="499" spans="1:26" ht="15.75" customHeight="1">
      <c r="A499" s="1130"/>
      <c r="B499" s="1130"/>
      <c r="C499" s="1130"/>
      <c r="D499" s="1130"/>
      <c r="E499" s="1130"/>
      <c r="F499" s="1130"/>
      <c r="G499" s="1130"/>
      <c r="H499" s="1130"/>
      <c r="I499" s="1130"/>
      <c r="J499" s="1130"/>
      <c r="K499" s="1130"/>
      <c r="L499" s="1130"/>
      <c r="M499" s="1130"/>
      <c r="N499" s="1130"/>
      <c r="O499" s="1130"/>
      <c r="P499" s="1130"/>
      <c r="Q499" s="1130"/>
      <c r="R499" s="1130"/>
      <c r="S499" s="1130"/>
      <c r="T499" s="1130"/>
      <c r="U499" s="1130"/>
      <c r="V499" s="1130"/>
      <c r="W499" s="1130"/>
      <c r="X499" s="1130"/>
      <c r="Y499" s="1130"/>
      <c r="Z499" s="1130"/>
    </row>
    <row r="500" spans="1:26" ht="15.75" customHeight="1">
      <c r="A500" s="1130"/>
      <c r="B500" s="1130"/>
      <c r="C500" s="1130"/>
      <c r="D500" s="1130"/>
      <c r="E500" s="1130"/>
      <c r="F500" s="1130"/>
      <c r="G500" s="1130"/>
      <c r="H500" s="1130"/>
      <c r="I500" s="1130"/>
      <c r="J500" s="1130"/>
      <c r="K500" s="1130"/>
      <c r="L500" s="1130"/>
      <c r="M500" s="1130"/>
      <c r="N500" s="1130"/>
      <c r="O500" s="1130"/>
      <c r="P500" s="1130"/>
      <c r="Q500" s="1130"/>
      <c r="R500" s="1130"/>
      <c r="S500" s="1130"/>
      <c r="T500" s="1130"/>
      <c r="U500" s="1130"/>
      <c r="V500" s="1130"/>
      <c r="W500" s="1130"/>
      <c r="X500" s="1130"/>
      <c r="Y500" s="1130"/>
      <c r="Z500" s="1130"/>
    </row>
    <row r="501" spans="1:26" ht="15.75" customHeight="1">
      <c r="A501" s="1130"/>
      <c r="B501" s="1130"/>
      <c r="C501" s="1130"/>
      <c r="D501" s="1130"/>
      <c r="E501" s="1130"/>
      <c r="F501" s="1130"/>
      <c r="G501" s="1130"/>
      <c r="H501" s="1130"/>
      <c r="I501" s="1130"/>
      <c r="J501" s="1130"/>
      <c r="K501" s="1130"/>
      <c r="L501" s="1130"/>
      <c r="M501" s="1130"/>
      <c r="N501" s="1130"/>
      <c r="O501" s="1130"/>
      <c r="P501" s="1130"/>
      <c r="Q501" s="1130"/>
      <c r="R501" s="1130"/>
      <c r="S501" s="1130"/>
      <c r="T501" s="1130"/>
      <c r="U501" s="1130"/>
      <c r="V501" s="1130"/>
      <c r="W501" s="1130"/>
      <c r="X501" s="1130"/>
      <c r="Y501" s="1130"/>
      <c r="Z501" s="1130"/>
    </row>
    <row r="502" spans="1:26" ht="15.75" customHeight="1">
      <c r="A502" s="1130"/>
      <c r="B502" s="1130"/>
      <c r="C502" s="1130"/>
      <c r="D502" s="1130"/>
      <c r="E502" s="1130"/>
      <c r="F502" s="1130"/>
      <c r="G502" s="1130"/>
      <c r="H502" s="1130"/>
      <c r="I502" s="1130"/>
      <c r="J502" s="1130"/>
      <c r="K502" s="1130"/>
      <c r="L502" s="1130"/>
      <c r="M502" s="1130"/>
      <c r="N502" s="1130"/>
      <c r="O502" s="1130"/>
      <c r="P502" s="1130"/>
      <c r="Q502" s="1130"/>
      <c r="R502" s="1130"/>
      <c r="S502" s="1130"/>
      <c r="T502" s="1130"/>
      <c r="U502" s="1130"/>
      <c r="V502" s="1130"/>
      <c r="W502" s="1130"/>
      <c r="X502" s="1130"/>
      <c r="Y502" s="1130"/>
      <c r="Z502" s="1130"/>
    </row>
    <row r="503" spans="1:26" ht="15.75" customHeight="1">
      <c r="A503" s="1130"/>
      <c r="B503" s="1130"/>
      <c r="C503" s="1130"/>
      <c r="D503" s="1130"/>
      <c r="E503" s="1130"/>
      <c r="F503" s="1130"/>
      <c r="G503" s="1130"/>
      <c r="H503" s="1130"/>
      <c r="I503" s="1130"/>
      <c r="J503" s="1130"/>
      <c r="K503" s="1130"/>
      <c r="L503" s="1130"/>
      <c r="M503" s="1130"/>
      <c r="N503" s="1130"/>
      <c r="O503" s="1130"/>
      <c r="P503" s="1130"/>
      <c r="Q503" s="1130"/>
      <c r="R503" s="1130"/>
      <c r="S503" s="1130"/>
      <c r="T503" s="1130"/>
      <c r="U503" s="1130"/>
      <c r="V503" s="1130"/>
      <c r="W503" s="1130"/>
      <c r="X503" s="1130"/>
      <c r="Y503" s="1130"/>
      <c r="Z503" s="1130"/>
    </row>
    <row r="504" spans="1:26" ht="15.75" customHeight="1">
      <c r="A504" s="1130"/>
      <c r="B504" s="1130"/>
      <c r="C504" s="1130"/>
      <c r="D504" s="1130"/>
      <c r="E504" s="1130"/>
      <c r="F504" s="1130"/>
      <c r="G504" s="1130"/>
      <c r="H504" s="1130"/>
      <c r="I504" s="1130"/>
      <c r="J504" s="1130"/>
      <c r="K504" s="1130"/>
      <c r="L504" s="1130"/>
      <c r="M504" s="1130"/>
      <c r="N504" s="1130"/>
      <c r="O504" s="1130"/>
      <c r="P504" s="1130"/>
      <c r="Q504" s="1130"/>
      <c r="R504" s="1130"/>
      <c r="S504" s="1130"/>
      <c r="T504" s="1130"/>
      <c r="U504" s="1130"/>
      <c r="V504" s="1130"/>
      <c r="W504" s="1130"/>
      <c r="X504" s="1130"/>
      <c r="Y504" s="1130"/>
      <c r="Z504" s="1130"/>
    </row>
    <row r="505" spans="1:26" ht="15.75" customHeight="1">
      <c r="A505" s="1130"/>
      <c r="B505" s="1130"/>
      <c r="C505" s="1130"/>
      <c r="D505" s="1130"/>
      <c r="E505" s="1130"/>
      <c r="F505" s="1130"/>
      <c r="G505" s="1130"/>
      <c r="H505" s="1130"/>
      <c r="I505" s="1130"/>
      <c r="J505" s="1130"/>
      <c r="K505" s="1130"/>
      <c r="L505" s="1130"/>
      <c r="M505" s="1130"/>
      <c r="N505" s="1130"/>
      <c r="O505" s="1130"/>
      <c r="P505" s="1130"/>
      <c r="Q505" s="1130"/>
      <c r="R505" s="1130"/>
      <c r="S505" s="1130"/>
      <c r="T505" s="1130"/>
      <c r="U505" s="1130"/>
      <c r="V505" s="1130"/>
      <c r="W505" s="1130"/>
      <c r="X505" s="1130"/>
      <c r="Y505" s="1130"/>
      <c r="Z505" s="1130"/>
    </row>
    <row r="506" spans="1:26" ht="15.75" customHeight="1">
      <c r="A506" s="1130"/>
      <c r="B506" s="1130"/>
      <c r="C506" s="1130"/>
      <c r="D506" s="1130"/>
      <c r="E506" s="1130"/>
      <c r="F506" s="1130"/>
      <c r="G506" s="1130"/>
      <c r="H506" s="1130"/>
      <c r="I506" s="1130"/>
      <c r="J506" s="1130"/>
      <c r="K506" s="1130"/>
      <c r="L506" s="1130"/>
      <c r="M506" s="1130"/>
      <c r="N506" s="1130"/>
      <c r="O506" s="1130"/>
      <c r="P506" s="1130"/>
      <c r="Q506" s="1130"/>
      <c r="R506" s="1130"/>
      <c r="S506" s="1130"/>
      <c r="T506" s="1130"/>
      <c r="U506" s="1130"/>
      <c r="V506" s="1130"/>
      <c r="W506" s="1130"/>
      <c r="X506" s="1130"/>
      <c r="Y506" s="1130"/>
      <c r="Z506" s="1130"/>
    </row>
    <row r="507" spans="1:26" ht="15.75" customHeight="1">
      <c r="A507" s="1130"/>
      <c r="B507" s="1130"/>
      <c r="C507" s="1130"/>
      <c r="D507" s="1130"/>
      <c r="E507" s="1130"/>
      <c r="F507" s="1130"/>
      <c r="G507" s="1130"/>
      <c r="H507" s="1130"/>
      <c r="I507" s="1130"/>
      <c r="J507" s="1130"/>
      <c r="K507" s="1130"/>
      <c r="L507" s="1130"/>
      <c r="M507" s="1130"/>
      <c r="N507" s="1130"/>
      <c r="O507" s="1130"/>
      <c r="P507" s="1130"/>
      <c r="Q507" s="1130"/>
      <c r="R507" s="1130"/>
      <c r="S507" s="1130"/>
      <c r="T507" s="1130"/>
      <c r="U507" s="1130"/>
      <c r="V507" s="1130"/>
      <c r="W507" s="1130"/>
      <c r="X507" s="1130"/>
      <c r="Y507" s="1130"/>
      <c r="Z507" s="1130"/>
    </row>
    <row r="508" spans="1:26" ht="15.75" customHeight="1">
      <c r="A508" s="1130"/>
      <c r="B508" s="1130"/>
      <c r="C508" s="1130"/>
      <c r="D508" s="1130"/>
      <c r="E508" s="1130"/>
      <c r="F508" s="1130"/>
      <c r="G508" s="1130"/>
      <c r="H508" s="1130"/>
      <c r="I508" s="1130"/>
      <c r="J508" s="1130"/>
      <c r="K508" s="1130"/>
      <c r="L508" s="1130"/>
      <c r="M508" s="1130"/>
      <c r="N508" s="1130"/>
      <c r="O508" s="1130"/>
      <c r="P508" s="1130"/>
      <c r="Q508" s="1130"/>
      <c r="R508" s="1130"/>
      <c r="S508" s="1130"/>
      <c r="T508" s="1130"/>
      <c r="U508" s="1130"/>
      <c r="V508" s="1130"/>
      <c r="W508" s="1130"/>
      <c r="X508" s="1130"/>
      <c r="Y508" s="1130"/>
      <c r="Z508" s="1130"/>
    </row>
    <row r="509" spans="1:26" ht="15.75" customHeight="1">
      <c r="A509" s="1130"/>
      <c r="B509" s="1130"/>
      <c r="C509" s="1130"/>
      <c r="D509" s="1130"/>
      <c r="E509" s="1130"/>
      <c r="F509" s="1130"/>
      <c r="G509" s="1130"/>
      <c r="H509" s="1130"/>
      <c r="I509" s="1130"/>
      <c r="J509" s="1130"/>
      <c r="K509" s="1130"/>
      <c r="L509" s="1130"/>
      <c r="M509" s="1130"/>
      <c r="N509" s="1130"/>
      <c r="O509" s="1130"/>
      <c r="P509" s="1130"/>
      <c r="Q509" s="1130"/>
      <c r="R509" s="1130"/>
      <c r="S509" s="1130"/>
      <c r="T509" s="1130"/>
      <c r="U509" s="1130"/>
      <c r="V509" s="1130"/>
      <c r="W509" s="1130"/>
      <c r="X509" s="1130"/>
      <c r="Y509" s="1130"/>
      <c r="Z509" s="1130"/>
    </row>
    <row r="510" spans="1:26" ht="15.75" customHeight="1">
      <c r="A510" s="1130"/>
      <c r="B510" s="1130"/>
      <c r="C510" s="1130"/>
      <c r="D510" s="1130"/>
      <c r="E510" s="1130"/>
      <c r="F510" s="1130"/>
      <c r="G510" s="1130"/>
      <c r="H510" s="1130"/>
      <c r="I510" s="1130"/>
      <c r="J510" s="1130"/>
      <c r="K510" s="1130"/>
      <c r="L510" s="1130"/>
      <c r="M510" s="1130"/>
      <c r="N510" s="1130"/>
      <c r="O510" s="1130"/>
      <c r="P510" s="1130"/>
      <c r="Q510" s="1130"/>
      <c r="R510" s="1130"/>
      <c r="S510" s="1130"/>
      <c r="T510" s="1130"/>
      <c r="U510" s="1130"/>
      <c r="V510" s="1130"/>
      <c r="W510" s="1130"/>
      <c r="X510" s="1130"/>
      <c r="Y510" s="1130"/>
      <c r="Z510" s="1130"/>
    </row>
    <row r="511" spans="1:26" ht="15.75" customHeight="1">
      <c r="A511" s="1130"/>
      <c r="B511" s="1130"/>
      <c r="C511" s="1130"/>
      <c r="D511" s="1130"/>
      <c r="E511" s="1130"/>
      <c r="F511" s="1130"/>
      <c r="G511" s="1130"/>
      <c r="H511" s="1130"/>
      <c r="I511" s="1130"/>
      <c r="J511" s="1130"/>
      <c r="K511" s="1130"/>
      <c r="L511" s="1130"/>
      <c r="M511" s="1130"/>
      <c r="N511" s="1130"/>
      <c r="O511" s="1130"/>
      <c r="P511" s="1130"/>
      <c r="Q511" s="1130"/>
      <c r="R511" s="1130"/>
      <c r="S511" s="1130"/>
      <c r="T511" s="1130"/>
      <c r="U511" s="1130"/>
      <c r="V511" s="1130"/>
      <c r="W511" s="1130"/>
      <c r="X511" s="1130"/>
      <c r="Y511" s="1130"/>
      <c r="Z511" s="1130"/>
    </row>
    <row r="512" spans="1:26" ht="15.75" customHeight="1">
      <c r="A512" s="1130"/>
      <c r="B512" s="1130"/>
      <c r="C512" s="1130"/>
      <c r="D512" s="1130"/>
      <c r="E512" s="1130"/>
      <c r="F512" s="1130"/>
      <c r="G512" s="1130"/>
      <c r="H512" s="1130"/>
      <c r="I512" s="1130"/>
      <c r="J512" s="1130"/>
      <c r="K512" s="1130"/>
      <c r="L512" s="1130"/>
      <c r="M512" s="1130"/>
      <c r="N512" s="1130"/>
      <c r="O512" s="1130"/>
      <c r="P512" s="1130"/>
      <c r="Q512" s="1130"/>
      <c r="R512" s="1130"/>
      <c r="S512" s="1130"/>
      <c r="T512" s="1130"/>
      <c r="U512" s="1130"/>
      <c r="V512" s="1130"/>
      <c r="W512" s="1130"/>
      <c r="X512" s="1130"/>
      <c r="Y512" s="1130"/>
      <c r="Z512" s="1130"/>
    </row>
    <row r="513" spans="1:26" ht="15.75" customHeight="1">
      <c r="A513" s="1130"/>
      <c r="B513" s="1130"/>
      <c r="C513" s="1130"/>
      <c r="D513" s="1130"/>
      <c r="E513" s="1130"/>
      <c r="F513" s="1130"/>
      <c r="G513" s="1130"/>
      <c r="H513" s="1130"/>
      <c r="I513" s="1130"/>
      <c r="J513" s="1130"/>
      <c r="K513" s="1130"/>
      <c r="L513" s="1130"/>
      <c r="M513" s="1130"/>
      <c r="N513" s="1130"/>
      <c r="O513" s="1130"/>
      <c r="P513" s="1130"/>
      <c r="Q513" s="1130"/>
      <c r="R513" s="1130"/>
      <c r="S513" s="1130"/>
      <c r="T513" s="1130"/>
      <c r="U513" s="1130"/>
      <c r="V513" s="1130"/>
      <c r="W513" s="1130"/>
      <c r="X513" s="1130"/>
      <c r="Y513" s="1130"/>
      <c r="Z513" s="1130"/>
    </row>
    <row r="514" spans="1:26" ht="15.75" customHeight="1">
      <c r="A514" s="1130"/>
      <c r="B514" s="1130"/>
      <c r="C514" s="1130"/>
      <c r="D514" s="1130"/>
      <c r="E514" s="1130"/>
      <c r="F514" s="1130"/>
      <c r="G514" s="1130"/>
      <c r="H514" s="1130"/>
      <c r="I514" s="1130"/>
      <c r="J514" s="1130"/>
      <c r="K514" s="1130"/>
      <c r="L514" s="1130"/>
      <c r="M514" s="1130"/>
      <c r="N514" s="1130"/>
      <c r="O514" s="1130"/>
      <c r="P514" s="1130"/>
      <c r="Q514" s="1130"/>
      <c r="R514" s="1130"/>
      <c r="S514" s="1130"/>
      <c r="T514" s="1130"/>
      <c r="U514" s="1130"/>
      <c r="V514" s="1130"/>
      <c r="W514" s="1130"/>
      <c r="X514" s="1130"/>
      <c r="Y514" s="1130"/>
      <c r="Z514" s="1130"/>
    </row>
    <row r="515" spans="1:26" ht="15.75" customHeight="1">
      <c r="A515" s="1130"/>
      <c r="B515" s="1130"/>
      <c r="C515" s="1130"/>
      <c r="D515" s="1130"/>
      <c r="E515" s="1130"/>
      <c r="F515" s="1130"/>
      <c r="G515" s="1130"/>
      <c r="H515" s="1130"/>
      <c r="I515" s="1130"/>
      <c r="J515" s="1130"/>
      <c r="K515" s="1130"/>
      <c r="L515" s="1130"/>
      <c r="M515" s="1130"/>
      <c r="N515" s="1130"/>
      <c r="O515" s="1130"/>
      <c r="P515" s="1130"/>
      <c r="Q515" s="1130"/>
      <c r="R515" s="1130"/>
      <c r="S515" s="1130"/>
      <c r="T515" s="1130"/>
      <c r="U515" s="1130"/>
      <c r="V515" s="1130"/>
      <c r="W515" s="1130"/>
      <c r="X515" s="1130"/>
      <c r="Y515" s="1130"/>
      <c r="Z515" s="1130"/>
    </row>
    <row r="516" spans="1:26" ht="15.75" customHeight="1">
      <c r="A516" s="1130"/>
      <c r="B516" s="1130"/>
      <c r="C516" s="1130"/>
      <c r="D516" s="1130"/>
      <c r="E516" s="1130"/>
      <c r="F516" s="1130"/>
      <c r="G516" s="1130"/>
      <c r="H516" s="1130"/>
      <c r="I516" s="1130"/>
      <c r="J516" s="1130"/>
      <c r="K516" s="1130"/>
      <c r="L516" s="1130"/>
      <c r="M516" s="1130"/>
      <c r="N516" s="1130"/>
      <c r="O516" s="1130"/>
      <c r="P516" s="1130"/>
      <c r="Q516" s="1130"/>
      <c r="R516" s="1130"/>
      <c r="S516" s="1130"/>
      <c r="T516" s="1130"/>
      <c r="U516" s="1130"/>
      <c r="V516" s="1130"/>
      <c r="W516" s="1130"/>
      <c r="X516" s="1130"/>
      <c r="Y516" s="1130"/>
      <c r="Z516" s="1130"/>
    </row>
    <row r="517" spans="1:26" ht="15.75" customHeight="1">
      <c r="A517" s="1130"/>
      <c r="B517" s="1130"/>
      <c r="C517" s="1130"/>
      <c r="D517" s="1130"/>
      <c r="E517" s="1130"/>
      <c r="F517" s="1130"/>
      <c r="G517" s="1130"/>
      <c r="H517" s="1130"/>
      <c r="I517" s="1130"/>
      <c r="J517" s="1130"/>
      <c r="K517" s="1130"/>
      <c r="L517" s="1130"/>
      <c r="M517" s="1130"/>
      <c r="N517" s="1130"/>
      <c r="O517" s="1130"/>
      <c r="P517" s="1130"/>
      <c r="Q517" s="1130"/>
      <c r="R517" s="1130"/>
      <c r="S517" s="1130"/>
      <c r="T517" s="1130"/>
      <c r="U517" s="1130"/>
      <c r="V517" s="1130"/>
      <c r="W517" s="1130"/>
      <c r="X517" s="1130"/>
      <c r="Y517" s="1130"/>
      <c r="Z517" s="1130"/>
    </row>
    <row r="518" spans="1:26" ht="15.75" customHeight="1">
      <c r="A518" s="1130"/>
      <c r="B518" s="1130"/>
      <c r="C518" s="1130"/>
      <c r="D518" s="1130"/>
      <c r="E518" s="1130"/>
      <c r="F518" s="1130"/>
      <c r="G518" s="1130"/>
      <c r="H518" s="1130"/>
      <c r="I518" s="1130"/>
      <c r="J518" s="1130"/>
      <c r="K518" s="1130"/>
      <c r="L518" s="1130"/>
      <c r="M518" s="1130"/>
      <c r="N518" s="1130"/>
      <c r="O518" s="1130"/>
      <c r="P518" s="1130"/>
      <c r="Q518" s="1130"/>
      <c r="R518" s="1130"/>
      <c r="S518" s="1130"/>
      <c r="T518" s="1130"/>
      <c r="U518" s="1130"/>
      <c r="V518" s="1130"/>
      <c r="W518" s="1130"/>
      <c r="X518" s="1130"/>
      <c r="Y518" s="1130"/>
      <c r="Z518" s="1130"/>
    </row>
    <row r="519" spans="1:26" ht="15.75" customHeight="1">
      <c r="A519" s="1130"/>
      <c r="B519" s="1130"/>
      <c r="C519" s="1130"/>
      <c r="D519" s="1130"/>
      <c r="E519" s="1130"/>
      <c r="F519" s="1130"/>
      <c r="G519" s="1130"/>
      <c r="H519" s="1130"/>
      <c r="I519" s="1130"/>
      <c r="J519" s="1130"/>
      <c r="K519" s="1130"/>
      <c r="L519" s="1130"/>
      <c r="M519" s="1130"/>
      <c r="N519" s="1130"/>
      <c r="O519" s="1130"/>
      <c r="P519" s="1130"/>
      <c r="Q519" s="1130"/>
      <c r="R519" s="1130"/>
      <c r="S519" s="1130"/>
      <c r="T519" s="1130"/>
      <c r="U519" s="1130"/>
      <c r="V519" s="1130"/>
      <c r="W519" s="1130"/>
      <c r="X519" s="1130"/>
      <c r="Y519" s="1130"/>
      <c r="Z519" s="1130"/>
    </row>
    <row r="520" spans="1:26" ht="15.75" customHeight="1">
      <c r="A520" s="1130"/>
      <c r="B520" s="1130"/>
      <c r="C520" s="1130"/>
      <c r="D520" s="1130"/>
      <c r="E520" s="1130"/>
      <c r="F520" s="1130"/>
      <c r="G520" s="1130"/>
      <c r="H520" s="1130"/>
      <c r="I520" s="1130"/>
      <c r="J520" s="1130"/>
      <c r="K520" s="1130"/>
      <c r="L520" s="1130"/>
      <c r="M520" s="1130"/>
      <c r="N520" s="1130"/>
      <c r="O520" s="1130"/>
      <c r="P520" s="1130"/>
      <c r="Q520" s="1130"/>
      <c r="R520" s="1130"/>
      <c r="S520" s="1130"/>
      <c r="T520" s="1130"/>
      <c r="U520" s="1130"/>
      <c r="V520" s="1130"/>
      <c r="W520" s="1130"/>
      <c r="X520" s="1130"/>
      <c r="Y520" s="1130"/>
      <c r="Z520" s="1130"/>
    </row>
    <row r="521" spans="1:26" ht="15.75" customHeight="1">
      <c r="A521" s="1130"/>
      <c r="B521" s="1130"/>
      <c r="C521" s="1130"/>
      <c r="D521" s="1130"/>
      <c r="E521" s="1130"/>
      <c r="F521" s="1130"/>
      <c r="G521" s="1130"/>
      <c r="H521" s="1130"/>
      <c r="I521" s="1130"/>
      <c r="J521" s="1130"/>
      <c r="K521" s="1130"/>
      <c r="L521" s="1130"/>
      <c r="M521" s="1130"/>
      <c r="N521" s="1130"/>
      <c r="O521" s="1130"/>
      <c r="P521" s="1130"/>
      <c r="Q521" s="1130"/>
      <c r="R521" s="1130"/>
      <c r="S521" s="1130"/>
      <c r="T521" s="1130"/>
      <c r="U521" s="1130"/>
      <c r="V521" s="1130"/>
      <c r="W521" s="1130"/>
      <c r="X521" s="1130"/>
      <c r="Y521" s="1130"/>
      <c r="Z521" s="1130"/>
    </row>
    <row r="522" spans="1:26" ht="15.75" customHeight="1">
      <c r="A522" s="1130"/>
      <c r="B522" s="1130"/>
      <c r="C522" s="1130"/>
      <c r="D522" s="1130"/>
      <c r="E522" s="1130"/>
      <c r="F522" s="1130"/>
      <c r="G522" s="1130"/>
      <c r="H522" s="1130"/>
      <c r="I522" s="1130"/>
      <c r="J522" s="1130"/>
      <c r="K522" s="1130"/>
      <c r="L522" s="1130"/>
      <c r="M522" s="1130"/>
      <c r="N522" s="1130"/>
      <c r="O522" s="1130"/>
      <c r="P522" s="1130"/>
      <c r="Q522" s="1130"/>
      <c r="R522" s="1130"/>
      <c r="S522" s="1130"/>
      <c r="T522" s="1130"/>
      <c r="U522" s="1130"/>
      <c r="V522" s="1130"/>
      <c r="W522" s="1130"/>
      <c r="X522" s="1130"/>
      <c r="Y522" s="1130"/>
      <c r="Z522" s="1130"/>
    </row>
    <row r="523" spans="1:26" ht="15.75" customHeight="1">
      <c r="A523" s="1130"/>
      <c r="B523" s="1130"/>
      <c r="C523" s="1130"/>
      <c r="D523" s="1130"/>
      <c r="E523" s="1130"/>
      <c r="F523" s="1130"/>
      <c r="G523" s="1130"/>
      <c r="H523" s="1130"/>
      <c r="I523" s="1130"/>
      <c r="J523" s="1130"/>
      <c r="K523" s="1130"/>
      <c r="L523" s="1130"/>
      <c r="M523" s="1130"/>
      <c r="N523" s="1130"/>
      <c r="O523" s="1130"/>
      <c r="P523" s="1130"/>
      <c r="Q523" s="1130"/>
      <c r="R523" s="1130"/>
      <c r="S523" s="1130"/>
      <c r="T523" s="1130"/>
      <c r="U523" s="1130"/>
      <c r="V523" s="1130"/>
      <c r="W523" s="1130"/>
      <c r="X523" s="1130"/>
      <c r="Y523" s="1130"/>
      <c r="Z523" s="1130"/>
    </row>
    <row r="524" spans="1:26" ht="15.75" customHeight="1">
      <c r="A524" s="1130"/>
      <c r="B524" s="1130"/>
      <c r="C524" s="1130"/>
      <c r="D524" s="1130"/>
      <c r="E524" s="1130"/>
      <c r="F524" s="1130"/>
      <c r="G524" s="1130"/>
      <c r="H524" s="1130"/>
      <c r="I524" s="1130"/>
      <c r="J524" s="1130"/>
      <c r="K524" s="1130"/>
      <c r="L524" s="1130"/>
      <c r="M524" s="1130"/>
      <c r="N524" s="1130"/>
      <c r="O524" s="1130"/>
      <c r="P524" s="1130"/>
      <c r="Q524" s="1130"/>
      <c r="R524" s="1130"/>
      <c r="S524" s="1130"/>
      <c r="T524" s="1130"/>
      <c r="U524" s="1130"/>
      <c r="V524" s="1130"/>
      <c r="W524" s="1130"/>
      <c r="X524" s="1130"/>
      <c r="Y524" s="1130"/>
      <c r="Z524" s="1130"/>
    </row>
    <row r="525" spans="1:26" ht="15.75" customHeight="1">
      <c r="A525" s="1130"/>
      <c r="B525" s="1130"/>
      <c r="C525" s="1130"/>
      <c r="D525" s="1130"/>
      <c r="E525" s="1130"/>
      <c r="F525" s="1130"/>
      <c r="G525" s="1130"/>
      <c r="H525" s="1130"/>
      <c r="I525" s="1130"/>
      <c r="J525" s="1130"/>
      <c r="K525" s="1130"/>
      <c r="L525" s="1130"/>
      <c r="M525" s="1130"/>
      <c r="N525" s="1130"/>
      <c r="O525" s="1130"/>
      <c r="P525" s="1130"/>
      <c r="Q525" s="1130"/>
      <c r="R525" s="1130"/>
      <c r="S525" s="1130"/>
      <c r="T525" s="1130"/>
      <c r="U525" s="1130"/>
      <c r="V525" s="1130"/>
      <c r="W525" s="1130"/>
      <c r="X525" s="1130"/>
      <c r="Y525" s="1130"/>
      <c r="Z525" s="1130"/>
    </row>
    <row r="526" spans="1:26" ht="15.75" customHeight="1">
      <c r="A526" s="1130"/>
      <c r="B526" s="1130"/>
      <c r="C526" s="1130"/>
      <c r="D526" s="1130"/>
      <c r="E526" s="1130"/>
      <c r="F526" s="1130"/>
      <c r="G526" s="1130"/>
      <c r="H526" s="1130"/>
      <c r="I526" s="1130"/>
      <c r="J526" s="1130"/>
      <c r="K526" s="1130"/>
      <c r="L526" s="1130"/>
      <c r="M526" s="1130"/>
      <c r="N526" s="1130"/>
      <c r="O526" s="1130"/>
      <c r="P526" s="1130"/>
      <c r="Q526" s="1130"/>
      <c r="R526" s="1130"/>
      <c r="S526" s="1130"/>
      <c r="T526" s="1130"/>
      <c r="U526" s="1130"/>
      <c r="V526" s="1130"/>
      <c r="W526" s="1130"/>
      <c r="X526" s="1130"/>
      <c r="Y526" s="1130"/>
      <c r="Z526" s="1130"/>
    </row>
    <row r="527" spans="1:26" ht="15.75" customHeight="1">
      <c r="A527" s="1130"/>
      <c r="B527" s="1130"/>
      <c r="C527" s="1130"/>
      <c r="D527" s="1130"/>
      <c r="E527" s="1130"/>
      <c r="F527" s="1130"/>
      <c r="G527" s="1130"/>
      <c r="H527" s="1130"/>
      <c r="I527" s="1130"/>
      <c r="J527" s="1130"/>
      <c r="K527" s="1130"/>
      <c r="L527" s="1130"/>
      <c r="M527" s="1130"/>
      <c r="N527" s="1130"/>
      <c r="O527" s="1130"/>
      <c r="P527" s="1130"/>
      <c r="Q527" s="1130"/>
      <c r="R527" s="1130"/>
      <c r="S527" s="1130"/>
      <c r="T527" s="1130"/>
      <c r="U527" s="1130"/>
      <c r="V527" s="1130"/>
      <c r="W527" s="1130"/>
      <c r="X527" s="1130"/>
      <c r="Y527" s="1130"/>
      <c r="Z527" s="1130"/>
    </row>
    <row r="528" spans="1:26" ht="15.75" customHeight="1">
      <c r="A528" s="1130"/>
      <c r="B528" s="1130"/>
      <c r="C528" s="1130"/>
      <c r="D528" s="1130"/>
      <c r="E528" s="1130"/>
      <c r="F528" s="1130"/>
      <c r="G528" s="1130"/>
      <c r="H528" s="1130"/>
      <c r="I528" s="1130"/>
      <c r="J528" s="1130"/>
      <c r="K528" s="1130"/>
      <c r="L528" s="1130"/>
      <c r="M528" s="1130"/>
      <c r="N528" s="1130"/>
      <c r="O528" s="1130"/>
      <c r="P528" s="1130"/>
      <c r="Q528" s="1130"/>
      <c r="R528" s="1130"/>
      <c r="S528" s="1130"/>
      <c r="T528" s="1130"/>
      <c r="U528" s="1130"/>
      <c r="V528" s="1130"/>
      <c r="W528" s="1130"/>
      <c r="X528" s="1130"/>
      <c r="Y528" s="1130"/>
      <c r="Z528" s="1130"/>
    </row>
    <row r="529" spans="1:26" ht="15.75" customHeight="1">
      <c r="A529" s="1130"/>
      <c r="B529" s="1130"/>
      <c r="C529" s="1130"/>
      <c r="D529" s="1130"/>
      <c r="E529" s="1130"/>
      <c r="F529" s="1130"/>
      <c r="G529" s="1130"/>
      <c r="H529" s="1130"/>
      <c r="I529" s="1130"/>
      <c r="J529" s="1130"/>
      <c r="K529" s="1130"/>
      <c r="L529" s="1130"/>
      <c r="M529" s="1130"/>
      <c r="N529" s="1130"/>
      <c r="O529" s="1130"/>
      <c r="P529" s="1130"/>
      <c r="Q529" s="1130"/>
      <c r="R529" s="1130"/>
      <c r="S529" s="1130"/>
      <c r="T529" s="1130"/>
      <c r="U529" s="1130"/>
      <c r="V529" s="1130"/>
      <c r="W529" s="1130"/>
      <c r="X529" s="1130"/>
      <c r="Y529" s="1130"/>
      <c r="Z529" s="1130"/>
    </row>
    <row r="530" spans="1:26" ht="15.75" customHeight="1">
      <c r="A530" s="1130"/>
      <c r="B530" s="1130"/>
      <c r="C530" s="1130"/>
      <c r="D530" s="1130"/>
      <c r="E530" s="1130"/>
      <c r="F530" s="1130"/>
      <c r="G530" s="1130"/>
      <c r="H530" s="1130"/>
      <c r="I530" s="1130"/>
      <c r="J530" s="1130"/>
      <c r="K530" s="1130"/>
      <c r="L530" s="1130"/>
      <c r="M530" s="1130"/>
      <c r="N530" s="1130"/>
      <c r="O530" s="1130"/>
      <c r="P530" s="1130"/>
      <c r="Q530" s="1130"/>
      <c r="R530" s="1130"/>
      <c r="S530" s="1130"/>
      <c r="T530" s="1130"/>
      <c r="U530" s="1130"/>
      <c r="V530" s="1130"/>
      <c r="W530" s="1130"/>
      <c r="X530" s="1130"/>
      <c r="Y530" s="1130"/>
      <c r="Z530" s="1130"/>
    </row>
    <row r="531" spans="1:26" ht="15.75" customHeight="1">
      <c r="A531" s="1130"/>
      <c r="B531" s="1130"/>
      <c r="C531" s="1130"/>
      <c r="D531" s="1130"/>
      <c r="E531" s="1130"/>
      <c r="F531" s="1130"/>
      <c r="G531" s="1130"/>
      <c r="H531" s="1130"/>
      <c r="I531" s="1130"/>
      <c r="J531" s="1130"/>
      <c r="K531" s="1130"/>
      <c r="L531" s="1130"/>
      <c r="M531" s="1130"/>
      <c r="N531" s="1130"/>
      <c r="O531" s="1130"/>
      <c r="P531" s="1130"/>
      <c r="Q531" s="1130"/>
      <c r="R531" s="1130"/>
      <c r="S531" s="1130"/>
      <c r="T531" s="1130"/>
      <c r="U531" s="1130"/>
      <c r="V531" s="1130"/>
      <c r="W531" s="1130"/>
      <c r="X531" s="1130"/>
      <c r="Y531" s="1130"/>
      <c r="Z531" s="1130"/>
    </row>
    <row r="532" spans="1:26" ht="15.75" customHeight="1">
      <c r="A532" s="1130"/>
      <c r="B532" s="1130"/>
      <c r="C532" s="1130"/>
      <c r="D532" s="1130"/>
      <c r="E532" s="1130"/>
      <c r="F532" s="1130"/>
      <c r="G532" s="1130"/>
      <c r="H532" s="1130"/>
      <c r="I532" s="1130"/>
      <c r="J532" s="1130"/>
      <c r="K532" s="1130"/>
      <c r="L532" s="1130"/>
      <c r="M532" s="1130"/>
      <c r="N532" s="1130"/>
      <c r="O532" s="1130"/>
      <c r="P532" s="1130"/>
      <c r="Q532" s="1130"/>
      <c r="R532" s="1130"/>
      <c r="S532" s="1130"/>
      <c r="T532" s="1130"/>
      <c r="U532" s="1130"/>
      <c r="V532" s="1130"/>
      <c r="W532" s="1130"/>
      <c r="X532" s="1130"/>
      <c r="Y532" s="1130"/>
      <c r="Z532" s="1130"/>
    </row>
    <row r="533" spans="1:26" ht="15.75" customHeight="1">
      <c r="A533" s="1130"/>
      <c r="B533" s="1130"/>
      <c r="C533" s="1130"/>
      <c r="D533" s="1130"/>
      <c r="E533" s="1130"/>
      <c r="F533" s="1130"/>
      <c r="G533" s="1130"/>
      <c r="H533" s="1130"/>
      <c r="I533" s="1130"/>
      <c r="J533" s="1130"/>
      <c r="K533" s="1130"/>
      <c r="L533" s="1130"/>
      <c r="M533" s="1130"/>
      <c r="N533" s="1130"/>
      <c r="O533" s="1130"/>
      <c r="P533" s="1130"/>
      <c r="Q533" s="1130"/>
      <c r="R533" s="1130"/>
      <c r="S533" s="1130"/>
      <c r="T533" s="1130"/>
      <c r="U533" s="1130"/>
      <c r="V533" s="1130"/>
      <c r="W533" s="1130"/>
      <c r="X533" s="1130"/>
      <c r="Y533" s="1130"/>
      <c r="Z533" s="1130"/>
    </row>
    <row r="534" spans="1:26" ht="15.75" customHeight="1">
      <c r="A534" s="1130"/>
      <c r="B534" s="1130"/>
      <c r="C534" s="1130"/>
      <c r="D534" s="1130"/>
      <c r="E534" s="1130"/>
      <c r="F534" s="1130"/>
      <c r="G534" s="1130"/>
      <c r="H534" s="1130"/>
      <c r="I534" s="1130"/>
      <c r="J534" s="1130"/>
      <c r="K534" s="1130"/>
      <c r="L534" s="1130"/>
      <c r="M534" s="1130"/>
      <c r="N534" s="1130"/>
      <c r="O534" s="1130"/>
      <c r="P534" s="1130"/>
      <c r="Q534" s="1130"/>
      <c r="R534" s="1130"/>
      <c r="S534" s="1130"/>
      <c r="T534" s="1130"/>
      <c r="U534" s="1130"/>
      <c r="V534" s="1130"/>
      <c r="W534" s="1130"/>
      <c r="X534" s="1130"/>
      <c r="Y534" s="1130"/>
      <c r="Z534" s="1130"/>
    </row>
    <row r="535" spans="1:26" ht="15.75" customHeight="1">
      <c r="A535" s="1130"/>
      <c r="B535" s="1130"/>
      <c r="C535" s="1130"/>
      <c r="D535" s="1130"/>
      <c r="E535" s="1130"/>
      <c r="F535" s="1130"/>
      <c r="G535" s="1130"/>
      <c r="H535" s="1130"/>
      <c r="I535" s="1130"/>
      <c r="J535" s="1130"/>
      <c r="K535" s="1130"/>
      <c r="L535" s="1130"/>
      <c r="M535" s="1130"/>
      <c r="N535" s="1130"/>
      <c r="O535" s="1130"/>
      <c r="P535" s="1130"/>
      <c r="Q535" s="1130"/>
      <c r="R535" s="1130"/>
      <c r="S535" s="1130"/>
      <c r="T535" s="1130"/>
      <c r="U535" s="1130"/>
      <c r="V535" s="1130"/>
      <c r="W535" s="1130"/>
      <c r="X535" s="1130"/>
      <c r="Y535" s="1130"/>
      <c r="Z535" s="1130"/>
    </row>
    <row r="536" spans="1:26" ht="15.75" customHeight="1">
      <c r="A536" s="1130"/>
      <c r="B536" s="1130"/>
      <c r="C536" s="1130"/>
      <c r="D536" s="1130"/>
      <c r="E536" s="1130"/>
      <c r="F536" s="1130"/>
      <c r="G536" s="1130"/>
      <c r="H536" s="1130"/>
      <c r="I536" s="1130"/>
      <c r="J536" s="1130"/>
      <c r="K536" s="1130"/>
      <c r="L536" s="1130"/>
      <c r="M536" s="1130"/>
      <c r="N536" s="1130"/>
      <c r="O536" s="1130"/>
      <c r="P536" s="1130"/>
      <c r="Q536" s="1130"/>
      <c r="R536" s="1130"/>
      <c r="S536" s="1130"/>
      <c r="T536" s="1130"/>
      <c r="U536" s="1130"/>
      <c r="V536" s="1130"/>
      <c r="W536" s="1130"/>
      <c r="X536" s="1130"/>
      <c r="Y536" s="1130"/>
      <c r="Z536" s="1130"/>
    </row>
    <row r="537" spans="1:26" ht="15.75" customHeight="1">
      <c r="A537" s="1130"/>
      <c r="B537" s="1130"/>
      <c r="C537" s="1130"/>
      <c r="D537" s="1130"/>
      <c r="E537" s="1130"/>
      <c r="F537" s="1130"/>
      <c r="G537" s="1130"/>
      <c r="H537" s="1130"/>
      <c r="I537" s="1130"/>
      <c r="J537" s="1130"/>
      <c r="K537" s="1130"/>
      <c r="L537" s="1130"/>
      <c r="M537" s="1130"/>
      <c r="N537" s="1130"/>
      <c r="O537" s="1130"/>
      <c r="P537" s="1130"/>
      <c r="Q537" s="1130"/>
      <c r="R537" s="1130"/>
      <c r="S537" s="1130"/>
      <c r="T537" s="1130"/>
      <c r="U537" s="1130"/>
      <c r="V537" s="1130"/>
      <c r="W537" s="1130"/>
      <c r="X537" s="1130"/>
      <c r="Y537" s="1130"/>
      <c r="Z537" s="1130"/>
    </row>
    <row r="538" spans="1:26" ht="15.75" customHeight="1">
      <c r="A538" s="1130"/>
      <c r="B538" s="1130"/>
      <c r="C538" s="1130"/>
      <c r="D538" s="1130"/>
      <c r="E538" s="1130"/>
      <c r="F538" s="1130"/>
      <c r="G538" s="1130"/>
      <c r="H538" s="1130"/>
      <c r="I538" s="1130"/>
      <c r="J538" s="1130"/>
      <c r="K538" s="1130"/>
      <c r="L538" s="1130"/>
      <c r="M538" s="1130"/>
      <c r="N538" s="1130"/>
      <c r="O538" s="1130"/>
      <c r="P538" s="1130"/>
      <c r="Q538" s="1130"/>
      <c r="R538" s="1130"/>
      <c r="S538" s="1130"/>
      <c r="T538" s="1130"/>
      <c r="U538" s="1130"/>
      <c r="V538" s="1130"/>
      <c r="W538" s="1130"/>
      <c r="X538" s="1130"/>
      <c r="Y538" s="1130"/>
      <c r="Z538" s="1130"/>
    </row>
    <row r="539" spans="1:26" ht="15.75" customHeight="1">
      <c r="A539" s="1130"/>
      <c r="B539" s="1130"/>
      <c r="C539" s="1130"/>
      <c r="D539" s="1130"/>
      <c r="E539" s="1130"/>
      <c r="F539" s="1130"/>
      <c r="G539" s="1130"/>
      <c r="H539" s="1130"/>
      <c r="I539" s="1130"/>
      <c r="J539" s="1130"/>
      <c r="K539" s="1130"/>
      <c r="L539" s="1130"/>
      <c r="M539" s="1130"/>
      <c r="N539" s="1130"/>
      <c r="O539" s="1130"/>
      <c r="P539" s="1130"/>
      <c r="Q539" s="1130"/>
      <c r="R539" s="1130"/>
      <c r="S539" s="1130"/>
      <c r="T539" s="1130"/>
      <c r="U539" s="1130"/>
      <c r="V539" s="1130"/>
      <c r="W539" s="1130"/>
      <c r="X539" s="1130"/>
      <c r="Y539" s="1130"/>
      <c r="Z539" s="1130"/>
    </row>
    <row r="540" spans="1:26" ht="15.75" customHeight="1">
      <c r="A540" s="1130"/>
      <c r="B540" s="1130"/>
      <c r="C540" s="1130"/>
      <c r="D540" s="1130"/>
      <c r="E540" s="1130"/>
      <c r="F540" s="1130"/>
      <c r="G540" s="1130"/>
      <c r="H540" s="1130"/>
      <c r="I540" s="1130"/>
      <c r="J540" s="1130"/>
      <c r="K540" s="1130"/>
      <c r="L540" s="1130"/>
      <c r="M540" s="1130"/>
      <c r="N540" s="1130"/>
      <c r="O540" s="1130"/>
      <c r="P540" s="1130"/>
      <c r="Q540" s="1130"/>
      <c r="R540" s="1130"/>
      <c r="S540" s="1130"/>
      <c r="T540" s="1130"/>
      <c r="U540" s="1130"/>
      <c r="V540" s="1130"/>
      <c r="W540" s="1130"/>
      <c r="X540" s="1130"/>
      <c r="Y540" s="1130"/>
      <c r="Z540" s="1130"/>
    </row>
    <row r="541" spans="1:26" ht="15.75" customHeight="1">
      <c r="A541" s="1130"/>
      <c r="B541" s="1130"/>
      <c r="C541" s="1130"/>
      <c r="D541" s="1130"/>
      <c r="E541" s="1130"/>
      <c r="F541" s="1130"/>
      <c r="G541" s="1130"/>
      <c r="H541" s="1130"/>
      <c r="I541" s="1130"/>
      <c r="J541" s="1130"/>
      <c r="K541" s="1130"/>
      <c r="L541" s="1130"/>
      <c r="M541" s="1130"/>
      <c r="N541" s="1130"/>
      <c r="O541" s="1130"/>
      <c r="P541" s="1130"/>
      <c r="Q541" s="1130"/>
      <c r="R541" s="1130"/>
      <c r="S541" s="1130"/>
      <c r="T541" s="1130"/>
      <c r="U541" s="1130"/>
      <c r="V541" s="1130"/>
      <c r="W541" s="1130"/>
      <c r="X541" s="1130"/>
      <c r="Y541" s="1130"/>
      <c r="Z541" s="1130"/>
    </row>
    <row r="542" spans="1:26" ht="15.75" customHeight="1">
      <c r="A542" s="1130"/>
      <c r="B542" s="1130"/>
      <c r="C542" s="1130"/>
      <c r="D542" s="1130"/>
      <c r="E542" s="1130"/>
      <c r="F542" s="1130"/>
      <c r="G542" s="1130"/>
      <c r="H542" s="1130"/>
      <c r="I542" s="1130"/>
      <c r="J542" s="1130"/>
      <c r="K542" s="1130"/>
      <c r="L542" s="1130"/>
      <c r="M542" s="1130"/>
      <c r="N542" s="1130"/>
      <c r="O542" s="1130"/>
      <c r="P542" s="1130"/>
      <c r="Q542" s="1130"/>
      <c r="R542" s="1130"/>
      <c r="S542" s="1130"/>
      <c r="T542" s="1130"/>
      <c r="U542" s="1130"/>
      <c r="V542" s="1130"/>
      <c r="W542" s="1130"/>
      <c r="X542" s="1130"/>
      <c r="Y542" s="1130"/>
      <c r="Z542" s="1130"/>
    </row>
    <row r="543" spans="1:26" ht="15.75" customHeight="1">
      <c r="A543" s="1130"/>
      <c r="B543" s="1130"/>
      <c r="C543" s="1130"/>
      <c r="D543" s="1130"/>
      <c r="E543" s="1130"/>
      <c r="F543" s="1130"/>
      <c r="G543" s="1130"/>
      <c r="H543" s="1130"/>
      <c r="I543" s="1130"/>
      <c r="J543" s="1130"/>
      <c r="K543" s="1130"/>
      <c r="L543" s="1130"/>
      <c r="M543" s="1130"/>
      <c r="N543" s="1130"/>
      <c r="O543" s="1130"/>
      <c r="P543" s="1130"/>
      <c r="Q543" s="1130"/>
      <c r="R543" s="1130"/>
      <c r="S543" s="1130"/>
      <c r="T543" s="1130"/>
      <c r="U543" s="1130"/>
      <c r="V543" s="1130"/>
      <c r="W543" s="1130"/>
      <c r="X543" s="1130"/>
      <c r="Y543" s="1130"/>
      <c r="Z543" s="1130"/>
    </row>
    <row r="544" spans="1:26" ht="15.75" customHeight="1">
      <c r="A544" s="1130"/>
      <c r="B544" s="1130"/>
      <c r="C544" s="1130"/>
      <c r="D544" s="1130"/>
      <c r="E544" s="1130"/>
      <c r="F544" s="1130"/>
      <c r="G544" s="1130"/>
      <c r="H544" s="1130"/>
      <c r="I544" s="1130"/>
      <c r="J544" s="1130"/>
      <c r="K544" s="1130"/>
      <c r="L544" s="1130"/>
      <c r="M544" s="1130"/>
      <c r="N544" s="1130"/>
      <c r="O544" s="1130"/>
      <c r="P544" s="1130"/>
      <c r="Q544" s="1130"/>
      <c r="R544" s="1130"/>
      <c r="S544" s="1130"/>
      <c r="T544" s="1130"/>
      <c r="U544" s="1130"/>
      <c r="V544" s="1130"/>
      <c r="W544" s="1130"/>
      <c r="X544" s="1130"/>
      <c r="Y544" s="1130"/>
      <c r="Z544" s="1130"/>
    </row>
    <row r="545" spans="1:26" ht="15.75" customHeight="1">
      <c r="A545" s="1130"/>
      <c r="B545" s="1130"/>
      <c r="C545" s="1130"/>
      <c r="D545" s="1130"/>
      <c r="E545" s="1130"/>
      <c r="F545" s="1130"/>
      <c r="G545" s="1130"/>
      <c r="H545" s="1130"/>
      <c r="I545" s="1130"/>
      <c r="J545" s="1130"/>
      <c r="K545" s="1130"/>
      <c r="L545" s="1130"/>
      <c r="M545" s="1130"/>
      <c r="N545" s="1130"/>
      <c r="O545" s="1130"/>
      <c r="P545" s="1130"/>
      <c r="Q545" s="1130"/>
      <c r="R545" s="1130"/>
      <c r="S545" s="1130"/>
      <c r="T545" s="1130"/>
      <c r="U545" s="1130"/>
      <c r="V545" s="1130"/>
      <c r="W545" s="1130"/>
      <c r="X545" s="1130"/>
      <c r="Y545" s="1130"/>
      <c r="Z545" s="1130"/>
    </row>
    <row r="546" spans="1:26" ht="15.75" customHeight="1">
      <c r="A546" s="1130"/>
      <c r="B546" s="1130"/>
      <c r="C546" s="1130"/>
      <c r="D546" s="1130"/>
      <c r="E546" s="1130"/>
      <c r="F546" s="1130"/>
      <c r="G546" s="1130"/>
      <c r="H546" s="1130"/>
      <c r="I546" s="1130"/>
      <c r="J546" s="1130"/>
      <c r="K546" s="1130"/>
      <c r="L546" s="1130"/>
      <c r="M546" s="1130"/>
      <c r="N546" s="1130"/>
      <c r="O546" s="1130"/>
      <c r="P546" s="1130"/>
      <c r="Q546" s="1130"/>
      <c r="R546" s="1130"/>
      <c r="S546" s="1130"/>
      <c r="T546" s="1130"/>
      <c r="U546" s="1130"/>
      <c r="V546" s="1130"/>
      <c r="W546" s="1130"/>
      <c r="X546" s="1130"/>
      <c r="Y546" s="1130"/>
      <c r="Z546" s="1130"/>
    </row>
    <row r="547" spans="1:26" ht="15.75" customHeight="1">
      <c r="A547" s="1130"/>
      <c r="B547" s="1130"/>
      <c r="C547" s="1130"/>
      <c r="D547" s="1130"/>
      <c r="E547" s="1130"/>
      <c r="F547" s="1130"/>
      <c r="G547" s="1130"/>
      <c r="H547" s="1130"/>
      <c r="I547" s="1130"/>
      <c r="J547" s="1130"/>
      <c r="K547" s="1130"/>
      <c r="L547" s="1130"/>
      <c r="M547" s="1130"/>
      <c r="N547" s="1130"/>
      <c r="O547" s="1130"/>
      <c r="P547" s="1130"/>
      <c r="Q547" s="1130"/>
      <c r="R547" s="1130"/>
      <c r="S547" s="1130"/>
      <c r="T547" s="1130"/>
      <c r="U547" s="1130"/>
      <c r="V547" s="1130"/>
      <c r="W547" s="1130"/>
      <c r="X547" s="1130"/>
      <c r="Y547" s="1130"/>
      <c r="Z547" s="1130"/>
    </row>
    <row r="548" spans="1:26" ht="15.75" customHeight="1">
      <c r="A548" s="1130"/>
      <c r="B548" s="1130"/>
      <c r="C548" s="1130"/>
      <c r="D548" s="1130"/>
      <c r="E548" s="1130"/>
      <c r="F548" s="1130"/>
      <c r="G548" s="1130"/>
      <c r="H548" s="1130"/>
      <c r="I548" s="1130"/>
      <c r="J548" s="1130"/>
      <c r="K548" s="1130"/>
      <c r="L548" s="1130"/>
      <c r="M548" s="1130"/>
      <c r="N548" s="1130"/>
      <c r="O548" s="1130"/>
      <c r="P548" s="1130"/>
      <c r="Q548" s="1130"/>
      <c r="R548" s="1130"/>
      <c r="S548" s="1130"/>
      <c r="T548" s="1130"/>
      <c r="U548" s="1130"/>
      <c r="V548" s="1130"/>
      <c r="W548" s="1130"/>
      <c r="X548" s="1130"/>
      <c r="Y548" s="1130"/>
      <c r="Z548" s="1130"/>
    </row>
    <row r="549" spans="1:26" ht="15.75" customHeight="1">
      <c r="A549" s="1130"/>
      <c r="B549" s="1130"/>
      <c r="C549" s="1130"/>
      <c r="D549" s="1130"/>
      <c r="E549" s="1130"/>
      <c r="F549" s="1130"/>
      <c r="G549" s="1130"/>
      <c r="H549" s="1130"/>
      <c r="I549" s="1130"/>
      <c r="J549" s="1130"/>
      <c r="K549" s="1130"/>
      <c r="L549" s="1130"/>
      <c r="M549" s="1130"/>
      <c r="N549" s="1130"/>
      <c r="O549" s="1130"/>
      <c r="P549" s="1130"/>
      <c r="Q549" s="1130"/>
      <c r="R549" s="1130"/>
      <c r="S549" s="1130"/>
      <c r="T549" s="1130"/>
      <c r="U549" s="1130"/>
      <c r="V549" s="1130"/>
      <c r="W549" s="1130"/>
      <c r="X549" s="1130"/>
      <c r="Y549" s="1130"/>
      <c r="Z549" s="1130"/>
    </row>
    <row r="550" spans="1:26" ht="15.75" customHeight="1">
      <c r="A550" s="1130"/>
      <c r="B550" s="1130"/>
      <c r="C550" s="1130"/>
      <c r="D550" s="1130"/>
      <c r="E550" s="1130"/>
      <c r="F550" s="1130"/>
      <c r="G550" s="1130"/>
      <c r="H550" s="1130"/>
      <c r="I550" s="1130"/>
      <c r="J550" s="1130"/>
      <c r="K550" s="1130"/>
      <c r="L550" s="1130"/>
      <c r="M550" s="1130"/>
      <c r="N550" s="1130"/>
      <c r="O550" s="1130"/>
      <c r="P550" s="1130"/>
      <c r="Q550" s="1130"/>
      <c r="R550" s="1130"/>
      <c r="S550" s="1130"/>
      <c r="T550" s="1130"/>
      <c r="U550" s="1130"/>
      <c r="V550" s="1130"/>
      <c r="W550" s="1130"/>
      <c r="X550" s="1130"/>
      <c r="Y550" s="1130"/>
      <c r="Z550" s="1130"/>
    </row>
    <row r="551" spans="1:26" ht="15.75" customHeight="1">
      <c r="A551" s="1130"/>
      <c r="B551" s="1130"/>
      <c r="C551" s="1130"/>
      <c r="D551" s="1130"/>
      <c r="E551" s="1130"/>
      <c r="F551" s="1130"/>
      <c r="G551" s="1130"/>
      <c r="H551" s="1130"/>
      <c r="I551" s="1130"/>
      <c r="J551" s="1130"/>
      <c r="K551" s="1130"/>
      <c r="L551" s="1130"/>
      <c r="M551" s="1130"/>
      <c r="N551" s="1130"/>
      <c r="O551" s="1130"/>
      <c r="P551" s="1130"/>
      <c r="Q551" s="1130"/>
      <c r="R551" s="1130"/>
      <c r="S551" s="1130"/>
      <c r="T551" s="1130"/>
      <c r="U551" s="1130"/>
      <c r="V551" s="1130"/>
      <c r="W551" s="1130"/>
      <c r="X551" s="1130"/>
      <c r="Y551" s="1130"/>
      <c r="Z551" s="1130"/>
    </row>
    <row r="552" spans="1:26" ht="15.75" customHeight="1">
      <c r="A552" s="1130"/>
      <c r="B552" s="1130"/>
      <c r="C552" s="1130"/>
      <c r="D552" s="1130"/>
      <c r="E552" s="1130"/>
      <c r="F552" s="1130"/>
      <c r="G552" s="1130"/>
      <c r="H552" s="1130"/>
      <c r="I552" s="1130"/>
      <c r="J552" s="1130"/>
      <c r="K552" s="1130"/>
      <c r="L552" s="1130"/>
      <c r="M552" s="1130"/>
      <c r="N552" s="1130"/>
      <c r="O552" s="1130"/>
      <c r="P552" s="1130"/>
      <c r="Q552" s="1130"/>
      <c r="R552" s="1130"/>
      <c r="S552" s="1130"/>
      <c r="T552" s="1130"/>
      <c r="U552" s="1130"/>
      <c r="V552" s="1130"/>
      <c r="W552" s="1130"/>
      <c r="X552" s="1130"/>
      <c r="Y552" s="1130"/>
      <c r="Z552" s="1130"/>
    </row>
    <row r="553" spans="1:26" ht="15.75" customHeight="1">
      <c r="A553" s="1130"/>
      <c r="B553" s="1130"/>
      <c r="C553" s="1130"/>
      <c r="D553" s="1130"/>
      <c r="E553" s="1130"/>
      <c r="F553" s="1130"/>
      <c r="G553" s="1130"/>
      <c r="H553" s="1130"/>
      <c r="I553" s="1130"/>
      <c r="J553" s="1130"/>
      <c r="K553" s="1130"/>
      <c r="L553" s="1130"/>
      <c r="M553" s="1130"/>
      <c r="N553" s="1130"/>
      <c r="O553" s="1130"/>
      <c r="P553" s="1130"/>
      <c r="Q553" s="1130"/>
      <c r="R553" s="1130"/>
      <c r="S553" s="1130"/>
      <c r="T553" s="1130"/>
      <c r="U553" s="1130"/>
      <c r="V553" s="1130"/>
      <c r="W553" s="1130"/>
      <c r="X553" s="1130"/>
      <c r="Y553" s="1130"/>
      <c r="Z553" s="1130"/>
    </row>
    <row r="554" spans="1:26" ht="15.75" customHeight="1">
      <c r="A554" s="1130"/>
      <c r="B554" s="1130"/>
      <c r="C554" s="1130"/>
      <c r="D554" s="1130"/>
      <c r="E554" s="1130"/>
      <c r="F554" s="1130"/>
      <c r="G554" s="1130"/>
      <c r="H554" s="1130"/>
      <c r="I554" s="1130"/>
      <c r="J554" s="1130"/>
      <c r="K554" s="1130"/>
      <c r="L554" s="1130"/>
      <c r="M554" s="1130"/>
      <c r="N554" s="1130"/>
      <c r="O554" s="1130"/>
      <c r="P554" s="1130"/>
      <c r="Q554" s="1130"/>
      <c r="R554" s="1130"/>
      <c r="S554" s="1130"/>
      <c r="T554" s="1130"/>
      <c r="U554" s="1130"/>
      <c r="V554" s="1130"/>
      <c r="W554" s="1130"/>
      <c r="X554" s="1130"/>
      <c r="Y554" s="1130"/>
      <c r="Z554" s="1130"/>
    </row>
    <row r="555" spans="1:26" ht="15.75" customHeight="1">
      <c r="A555" s="1130"/>
      <c r="B555" s="1130"/>
      <c r="C555" s="1130"/>
      <c r="D555" s="1130"/>
      <c r="E555" s="1130"/>
      <c r="F555" s="1130"/>
      <c r="G555" s="1130"/>
      <c r="H555" s="1130"/>
      <c r="I555" s="1130"/>
      <c r="J555" s="1130"/>
      <c r="K555" s="1130"/>
      <c r="L555" s="1130"/>
      <c r="M555" s="1130"/>
      <c r="N555" s="1130"/>
      <c r="O555" s="1130"/>
      <c r="P555" s="1130"/>
      <c r="Q555" s="1130"/>
      <c r="R555" s="1130"/>
      <c r="S555" s="1130"/>
      <c r="T555" s="1130"/>
      <c r="U555" s="1130"/>
      <c r="V555" s="1130"/>
      <c r="W555" s="1130"/>
      <c r="X555" s="1130"/>
      <c r="Y555" s="1130"/>
      <c r="Z555" s="1130"/>
    </row>
    <row r="556" spans="1:26" ht="15.75" customHeight="1">
      <c r="A556" s="1130"/>
      <c r="B556" s="1130"/>
      <c r="C556" s="1130"/>
      <c r="D556" s="1130"/>
      <c r="E556" s="1130"/>
      <c r="F556" s="1130"/>
      <c r="G556" s="1130"/>
      <c r="H556" s="1130"/>
      <c r="I556" s="1130"/>
      <c r="J556" s="1130"/>
      <c r="K556" s="1130"/>
      <c r="L556" s="1130"/>
      <c r="M556" s="1130"/>
      <c r="N556" s="1130"/>
      <c r="O556" s="1130"/>
      <c r="P556" s="1130"/>
      <c r="Q556" s="1130"/>
      <c r="R556" s="1130"/>
      <c r="S556" s="1130"/>
      <c r="T556" s="1130"/>
      <c r="U556" s="1130"/>
      <c r="V556" s="1130"/>
      <c r="W556" s="1130"/>
      <c r="X556" s="1130"/>
      <c r="Y556" s="1130"/>
      <c r="Z556" s="1130"/>
    </row>
    <row r="557" spans="1:26" ht="15.75" customHeight="1">
      <c r="A557" s="1130"/>
      <c r="B557" s="1130"/>
      <c r="C557" s="1130"/>
      <c r="D557" s="1130"/>
      <c r="E557" s="1130"/>
      <c r="F557" s="1130"/>
      <c r="G557" s="1130"/>
      <c r="H557" s="1130"/>
      <c r="I557" s="1130"/>
      <c r="J557" s="1130"/>
      <c r="K557" s="1130"/>
      <c r="L557" s="1130"/>
      <c r="M557" s="1130"/>
      <c r="N557" s="1130"/>
      <c r="O557" s="1130"/>
      <c r="P557" s="1130"/>
      <c r="Q557" s="1130"/>
      <c r="R557" s="1130"/>
      <c r="S557" s="1130"/>
      <c r="T557" s="1130"/>
      <c r="U557" s="1130"/>
      <c r="V557" s="1130"/>
      <c r="W557" s="1130"/>
      <c r="X557" s="1130"/>
      <c r="Y557" s="1130"/>
      <c r="Z557" s="1130"/>
    </row>
    <row r="558" spans="1:26" ht="15.75" customHeight="1">
      <c r="A558" s="1130"/>
      <c r="B558" s="1130"/>
      <c r="C558" s="1130"/>
      <c r="D558" s="1130"/>
      <c r="E558" s="1130"/>
      <c r="F558" s="1130"/>
      <c r="G558" s="1130"/>
      <c r="H558" s="1130"/>
      <c r="I558" s="1130"/>
      <c r="J558" s="1130"/>
      <c r="K558" s="1130"/>
      <c r="L558" s="1130"/>
      <c r="M558" s="1130"/>
      <c r="N558" s="1130"/>
      <c r="O558" s="1130"/>
      <c r="P558" s="1130"/>
      <c r="Q558" s="1130"/>
      <c r="R558" s="1130"/>
      <c r="S558" s="1130"/>
      <c r="T558" s="1130"/>
      <c r="U558" s="1130"/>
      <c r="V558" s="1130"/>
      <c r="W558" s="1130"/>
      <c r="X558" s="1130"/>
      <c r="Y558" s="1130"/>
      <c r="Z558" s="1130"/>
    </row>
    <row r="559" spans="1:26" ht="15.75" customHeight="1">
      <c r="A559" s="1130"/>
      <c r="B559" s="1130"/>
      <c r="C559" s="1130"/>
      <c r="D559" s="1130"/>
      <c r="E559" s="1130"/>
      <c r="F559" s="1130"/>
      <c r="G559" s="1130"/>
      <c r="H559" s="1130"/>
      <c r="I559" s="1130"/>
      <c r="J559" s="1130"/>
      <c r="K559" s="1130"/>
      <c r="L559" s="1130"/>
      <c r="M559" s="1130"/>
      <c r="N559" s="1130"/>
      <c r="O559" s="1130"/>
      <c r="P559" s="1130"/>
      <c r="Q559" s="1130"/>
      <c r="R559" s="1130"/>
      <c r="S559" s="1130"/>
      <c r="T559" s="1130"/>
      <c r="U559" s="1130"/>
      <c r="V559" s="1130"/>
      <c r="W559" s="1130"/>
      <c r="X559" s="1130"/>
      <c r="Y559" s="1130"/>
      <c r="Z559" s="1130"/>
    </row>
    <row r="560" spans="1:26" ht="15.75" customHeight="1">
      <c r="A560" s="1130"/>
      <c r="B560" s="1130"/>
      <c r="C560" s="1130"/>
      <c r="D560" s="1130"/>
      <c r="E560" s="1130"/>
      <c r="F560" s="1130"/>
      <c r="G560" s="1130"/>
      <c r="H560" s="1130"/>
      <c r="I560" s="1130"/>
      <c r="J560" s="1130"/>
      <c r="K560" s="1130"/>
      <c r="L560" s="1130"/>
      <c r="M560" s="1130"/>
      <c r="N560" s="1130"/>
      <c r="O560" s="1130"/>
      <c r="P560" s="1130"/>
      <c r="Q560" s="1130"/>
      <c r="R560" s="1130"/>
      <c r="S560" s="1130"/>
      <c r="T560" s="1130"/>
      <c r="U560" s="1130"/>
      <c r="V560" s="1130"/>
      <c r="W560" s="1130"/>
      <c r="X560" s="1130"/>
      <c r="Y560" s="1130"/>
      <c r="Z560" s="1130"/>
    </row>
    <row r="561" spans="1:26" ht="15.75" customHeight="1">
      <c r="A561" s="1130"/>
      <c r="B561" s="1130"/>
      <c r="C561" s="1130"/>
      <c r="D561" s="1130"/>
      <c r="E561" s="1130"/>
      <c r="F561" s="1130"/>
      <c r="G561" s="1130"/>
      <c r="H561" s="1130"/>
      <c r="I561" s="1130"/>
      <c r="J561" s="1130"/>
      <c r="K561" s="1130"/>
      <c r="L561" s="1130"/>
      <c r="M561" s="1130"/>
      <c r="N561" s="1130"/>
      <c r="O561" s="1130"/>
      <c r="P561" s="1130"/>
      <c r="Q561" s="1130"/>
      <c r="R561" s="1130"/>
      <c r="S561" s="1130"/>
      <c r="T561" s="1130"/>
      <c r="U561" s="1130"/>
      <c r="V561" s="1130"/>
      <c r="W561" s="1130"/>
      <c r="X561" s="1130"/>
      <c r="Y561" s="1130"/>
      <c r="Z561" s="1130"/>
    </row>
    <row r="562" spans="1:26" ht="15.75" customHeight="1">
      <c r="A562" s="1130"/>
      <c r="B562" s="1130"/>
      <c r="C562" s="1130"/>
      <c r="D562" s="1130"/>
      <c r="E562" s="1130"/>
      <c r="F562" s="1130"/>
      <c r="G562" s="1130"/>
      <c r="H562" s="1130"/>
      <c r="I562" s="1130"/>
      <c r="J562" s="1130"/>
      <c r="K562" s="1130"/>
      <c r="L562" s="1130"/>
      <c r="M562" s="1130"/>
      <c r="N562" s="1130"/>
      <c r="O562" s="1130"/>
      <c r="P562" s="1130"/>
      <c r="Q562" s="1130"/>
      <c r="R562" s="1130"/>
      <c r="S562" s="1130"/>
      <c r="T562" s="1130"/>
      <c r="U562" s="1130"/>
      <c r="V562" s="1130"/>
      <c r="W562" s="1130"/>
      <c r="X562" s="1130"/>
      <c r="Y562" s="1130"/>
      <c r="Z562" s="1130"/>
    </row>
    <row r="563" spans="1:26" ht="15.75" customHeight="1">
      <c r="A563" s="1130"/>
      <c r="B563" s="1130"/>
      <c r="C563" s="1130"/>
      <c r="D563" s="1130"/>
      <c r="E563" s="1130"/>
      <c r="F563" s="1130"/>
      <c r="G563" s="1130"/>
      <c r="H563" s="1130"/>
      <c r="I563" s="1130"/>
      <c r="J563" s="1130"/>
      <c r="K563" s="1130"/>
      <c r="L563" s="1130"/>
      <c r="M563" s="1130"/>
      <c r="N563" s="1130"/>
      <c r="O563" s="1130"/>
      <c r="P563" s="1130"/>
      <c r="Q563" s="1130"/>
      <c r="R563" s="1130"/>
      <c r="S563" s="1130"/>
      <c r="T563" s="1130"/>
      <c r="U563" s="1130"/>
      <c r="V563" s="1130"/>
      <c r="W563" s="1130"/>
      <c r="X563" s="1130"/>
      <c r="Y563" s="1130"/>
      <c r="Z563" s="1130"/>
    </row>
    <row r="564" spans="1:26" ht="15.75" customHeight="1">
      <c r="A564" s="1130"/>
      <c r="B564" s="1130"/>
      <c r="C564" s="1130"/>
      <c r="D564" s="1130"/>
      <c r="E564" s="1130"/>
      <c r="F564" s="1130"/>
      <c r="G564" s="1130"/>
      <c r="H564" s="1130"/>
      <c r="I564" s="1130"/>
      <c r="J564" s="1130"/>
      <c r="K564" s="1130"/>
      <c r="L564" s="1130"/>
      <c r="M564" s="1130"/>
      <c r="N564" s="1130"/>
      <c r="O564" s="1130"/>
      <c r="P564" s="1130"/>
      <c r="Q564" s="1130"/>
      <c r="R564" s="1130"/>
      <c r="S564" s="1130"/>
      <c r="T564" s="1130"/>
      <c r="U564" s="1130"/>
      <c r="V564" s="1130"/>
      <c r="W564" s="1130"/>
      <c r="X564" s="1130"/>
      <c r="Y564" s="1130"/>
      <c r="Z564" s="1130"/>
    </row>
    <row r="565" spans="1:26" ht="15.75" customHeight="1">
      <c r="A565" s="1130"/>
      <c r="B565" s="1130"/>
      <c r="C565" s="1130"/>
      <c r="D565" s="1130"/>
      <c r="E565" s="1130"/>
      <c r="F565" s="1130"/>
      <c r="G565" s="1130"/>
      <c r="H565" s="1130"/>
      <c r="I565" s="1130"/>
      <c r="J565" s="1130"/>
      <c r="K565" s="1130"/>
      <c r="L565" s="1130"/>
      <c r="M565" s="1130"/>
      <c r="N565" s="1130"/>
      <c r="O565" s="1130"/>
      <c r="P565" s="1130"/>
      <c r="Q565" s="1130"/>
      <c r="R565" s="1130"/>
      <c r="S565" s="1130"/>
      <c r="T565" s="1130"/>
      <c r="U565" s="1130"/>
      <c r="V565" s="1130"/>
      <c r="W565" s="1130"/>
      <c r="X565" s="1130"/>
      <c r="Y565" s="1130"/>
      <c r="Z565" s="1130"/>
    </row>
    <row r="566" spans="1:26" ht="15.75" customHeight="1">
      <c r="A566" s="1130"/>
      <c r="B566" s="1130"/>
      <c r="C566" s="1130"/>
      <c r="D566" s="1130"/>
      <c r="E566" s="1130"/>
      <c r="F566" s="1130"/>
      <c r="G566" s="1130"/>
      <c r="H566" s="1130"/>
      <c r="I566" s="1130"/>
      <c r="J566" s="1130"/>
      <c r="K566" s="1130"/>
      <c r="L566" s="1130"/>
      <c r="M566" s="1130"/>
      <c r="N566" s="1130"/>
      <c r="O566" s="1130"/>
      <c r="P566" s="1130"/>
      <c r="Q566" s="1130"/>
      <c r="R566" s="1130"/>
      <c r="S566" s="1130"/>
      <c r="T566" s="1130"/>
      <c r="U566" s="1130"/>
      <c r="V566" s="1130"/>
      <c r="W566" s="1130"/>
      <c r="X566" s="1130"/>
      <c r="Y566" s="1130"/>
      <c r="Z566" s="1130"/>
    </row>
    <row r="567" spans="1:26" ht="15.75" customHeight="1">
      <c r="A567" s="1130"/>
      <c r="B567" s="1130"/>
      <c r="C567" s="1130"/>
      <c r="D567" s="1130"/>
      <c r="E567" s="1130"/>
      <c r="F567" s="1130"/>
      <c r="G567" s="1130"/>
      <c r="H567" s="1130"/>
      <c r="I567" s="1130"/>
      <c r="J567" s="1130"/>
      <c r="K567" s="1130"/>
      <c r="L567" s="1130"/>
      <c r="M567" s="1130"/>
      <c r="N567" s="1130"/>
      <c r="O567" s="1130"/>
      <c r="P567" s="1130"/>
      <c r="Q567" s="1130"/>
      <c r="R567" s="1130"/>
      <c r="S567" s="1130"/>
      <c r="T567" s="1130"/>
      <c r="U567" s="1130"/>
      <c r="V567" s="1130"/>
      <c r="W567" s="1130"/>
      <c r="X567" s="1130"/>
      <c r="Y567" s="1130"/>
      <c r="Z567" s="1130"/>
    </row>
    <row r="568" spans="1:26" ht="15.75" customHeight="1">
      <c r="A568" s="1130"/>
      <c r="B568" s="1130"/>
      <c r="C568" s="1130"/>
      <c r="D568" s="1130"/>
      <c r="E568" s="1130"/>
      <c r="F568" s="1130"/>
      <c r="G568" s="1130"/>
      <c r="H568" s="1130"/>
      <c r="I568" s="1130"/>
      <c r="J568" s="1130"/>
      <c r="K568" s="1130"/>
      <c r="L568" s="1130"/>
      <c r="M568" s="1130"/>
      <c r="N568" s="1130"/>
      <c r="O568" s="1130"/>
      <c r="P568" s="1130"/>
      <c r="Q568" s="1130"/>
      <c r="R568" s="1130"/>
      <c r="S568" s="1130"/>
      <c r="T568" s="1130"/>
      <c r="U568" s="1130"/>
      <c r="V568" s="1130"/>
      <c r="W568" s="1130"/>
      <c r="X568" s="1130"/>
      <c r="Y568" s="1130"/>
      <c r="Z568" s="1130"/>
    </row>
    <row r="569" spans="1:26" ht="15.75" customHeight="1">
      <c r="A569" s="1130"/>
      <c r="B569" s="1130"/>
      <c r="C569" s="1130"/>
      <c r="D569" s="1130"/>
      <c r="E569" s="1130"/>
      <c r="F569" s="1130"/>
      <c r="G569" s="1130"/>
      <c r="H569" s="1130"/>
      <c r="I569" s="1130"/>
      <c r="J569" s="1130"/>
      <c r="K569" s="1130"/>
      <c r="L569" s="1130"/>
      <c r="M569" s="1130"/>
      <c r="N569" s="1130"/>
      <c r="O569" s="1130"/>
      <c r="P569" s="1130"/>
      <c r="Q569" s="1130"/>
      <c r="R569" s="1130"/>
      <c r="S569" s="1130"/>
      <c r="T569" s="1130"/>
      <c r="U569" s="1130"/>
      <c r="V569" s="1130"/>
      <c r="W569" s="1130"/>
      <c r="X569" s="1130"/>
      <c r="Y569" s="1130"/>
      <c r="Z569" s="1130"/>
    </row>
    <row r="570" spans="1:26" ht="15.75" customHeight="1">
      <c r="A570" s="1130"/>
      <c r="B570" s="1130"/>
      <c r="C570" s="1130"/>
      <c r="D570" s="1130"/>
      <c r="E570" s="1130"/>
      <c r="F570" s="1130"/>
      <c r="G570" s="1130"/>
      <c r="H570" s="1130"/>
      <c r="I570" s="1130"/>
      <c r="J570" s="1130"/>
      <c r="K570" s="1130"/>
      <c r="L570" s="1130"/>
      <c r="M570" s="1130"/>
      <c r="N570" s="1130"/>
      <c r="O570" s="1130"/>
      <c r="P570" s="1130"/>
      <c r="Q570" s="1130"/>
      <c r="R570" s="1130"/>
      <c r="S570" s="1130"/>
      <c r="T570" s="1130"/>
      <c r="U570" s="1130"/>
      <c r="V570" s="1130"/>
      <c r="W570" s="1130"/>
      <c r="X570" s="1130"/>
      <c r="Y570" s="1130"/>
      <c r="Z570" s="1130"/>
    </row>
    <row r="571" spans="1:26" ht="15.75" customHeight="1">
      <c r="A571" s="1130"/>
      <c r="B571" s="1130"/>
      <c r="C571" s="1130"/>
      <c r="D571" s="1130"/>
      <c r="E571" s="1130"/>
      <c r="F571" s="1130"/>
      <c r="G571" s="1130"/>
      <c r="H571" s="1130"/>
      <c r="I571" s="1130"/>
      <c r="J571" s="1130"/>
      <c r="K571" s="1130"/>
      <c r="L571" s="1130"/>
      <c r="M571" s="1130"/>
      <c r="N571" s="1130"/>
      <c r="O571" s="1130"/>
      <c r="P571" s="1130"/>
      <c r="Q571" s="1130"/>
      <c r="R571" s="1130"/>
      <c r="S571" s="1130"/>
      <c r="T571" s="1130"/>
      <c r="U571" s="1130"/>
      <c r="V571" s="1130"/>
      <c r="W571" s="1130"/>
      <c r="X571" s="1130"/>
      <c r="Y571" s="1130"/>
      <c r="Z571" s="1130"/>
    </row>
    <row r="572" spans="1:26" ht="15.75" customHeight="1">
      <c r="A572" s="1130"/>
      <c r="B572" s="1130"/>
      <c r="C572" s="1130"/>
      <c r="D572" s="1130"/>
      <c r="E572" s="1130"/>
      <c r="F572" s="1130"/>
      <c r="G572" s="1130"/>
      <c r="H572" s="1130"/>
      <c r="I572" s="1130"/>
      <c r="J572" s="1130"/>
      <c r="K572" s="1130"/>
      <c r="L572" s="1130"/>
      <c r="M572" s="1130"/>
      <c r="N572" s="1130"/>
      <c r="O572" s="1130"/>
      <c r="P572" s="1130"/>
      <c r="Q572" s="1130"/>
      <c r="R572" s="1130"/>
      <c r="S572" s="1130"/>
      <c r="T572" s="1130"/>
      <c r="U572" s="1130"/>
      <c r="V572" s="1130"/>
      <c r="W572" s="1130"/>
      <c r="X572" s="1130"/>
      <c r="Y572" s="1130"/>
      <c r="Z572" s="1130"/>
    </row>
    <row r="573" spans="1:26" ht="15.75" customHeight="1">
      <c r="A573" s="1130"/>
      <c r="B573" s="1130"/>
      <c r="C573" s="1130"/>
      <c r="D573" s="1130"/>
      <c r="E573" s="1130"/>
      <c r="F573" s="1130"/>
      <c r="G573" s="1130"/>
      <c r="H573" s="1130"/>
      <c r="I573" s="1130"/>
      <c r="J573" s="1130"/>
      <c r="K573" s="1130"/>
      <c r="L573" s="1130"/>
      <c r="M573" s="1130"/>
      <c r="N573" s="1130"/>
      <c r="O573" s="1130"/>
      <c r="P573" s="1130"/>
      <c r="Q573" s="1130"/>
      <c r="R573" s="1130"/>
      <c r="S573" s="1130"/>
      <c r="T573" s="1130"/>
      <c r="U573" s="1130"/>
      <c r="V573" s="1130"/>
      <c r="W573" s="1130"/>
      <c r="X573" s="1130"/>
      <c r="Y573" s="1130"/>
      <c r="Z573" s="1130"/>
    </row>
    <row r="574" spans="1:26" ht="15.75" customHeight="1">
      <c r="A574" s="1130"/>
      <c r="B574" s="1130"/>
      <c r="C574" s="1130"/>
      <c r="D574" s="1130"/>
      <c r="E574" s="1130"/>
      <c r="F574" s="1130"/>
      <c r="G574" s="1130"/>
      <c r="H574" s="1130"/>
      <c r="I574" s="1130"/>
      <c r="J574" s="1130"/>
      <c r="K574" s="1130"/>
      <c r="L574" s="1130"/>
      <c r="M574" s="1130"/>
      <c r="N574" s="1130"/>
      <c r="O574" s="1130"/>
      <c r="P574" s="1130"/>
      <c r="Q574" s="1130"/>
      <c r="R574" s="1130"/>
      <c r="S574" s="1130"/>
      <c r="T574" s="1130"/>
      <c r="U574" s="1130"/>
      <c r="V574" s="1130"/>
      <c r="W574" s="1130"/>
      <c r="X574" s="1130"/>
      <c r="Y574" s="1130"/>
      <c r="Z574" s="1130"/>
    </row>
    <row r="575" spans="1:26" ht="15.75" customHeight="1">
      <c r="A575" s="1130"/>
      <c r="B575" s="1130"/>
      <c r="C575" s="1130"/>
      <c r="D575" s="1130"/>
      <c r="E575" s="1130"/>
      <c r="F575" s="1130"/>
      <c r="G575" s="1130"/>
      <c r="H575" s="1130"/>
      <c r="I575" s="1130"/>
      <c r="J575" s="1130"/>
      <c r="K575" s="1130"/>
      <c r="L575" s="1130"/>
      <c r="M575" s="1130"/>
      <c r="N575" s="1130"/>
      <c r="O575" s="1130"/>
      <c r="P575" s="1130"/>
      <c r="Q575" s="1130"/>
      <c r="R575" s="1130"/>
      <c r="S575" s="1130"/>
      <c r="T575" s="1130"/>
      <c r="U575" s="1130"/>
      <c r="V575" s="1130"/>
      <c r="W575" s="1130"/>
      <c r="X575" s="1130"/>
      <c r="Y575" s="1130"/>
      <c r="Z575" s="1130"/>
    </row>
    <row r="576" spans="1:26" ht="15.75" customHeight="1">
      <c r="A576" s="1130"/>
      <c r="B576" s="1130"/>
      <c r="C576" s="1130"/>
      <c r="D576" s="1130"/>
      <c r="E576" s="1130"/>
      <c r="F576" s="1130"/>
      <c r="G576" s="1130"/>
      <c r="H576" s="1130"/>
      <c r="I576" s="1130"/>
      <c r="J576" s="1130"/>
      <c r="K576" s="1130"/>
      <c r="L576" s="1130"/>
      <c r="M576" s="1130"/>
      <c r="N576" s="1130"/>
      <c r="O576" s="1130"/>
      <c r="P576" s="1130"/>
      <c r="Q576" s="1130"/>
      <c r="R576" s="1130"/>
      <c r="S576" s="1130"/>
      <c r="T576" s="1130"/>
      <c r="U576" s="1130"/>
      <c r="V576" s="1130"/>
      <c r="W576" s="1130"/>
      <c r="X576" s="1130"/>
      <c r="Y576" s="1130"/>
      <c r="Z576" s="1130"/>
    </row>
    <row r="577" spans="1:26" ht="15.75" customHeight="1">
      <c r="A577" s="1130"/>
      <c r="B577" s="1130"/>
      <c r="C577" s="1130"/>
      <c r="D577" s="1130"/>
      <c r="E577" s="1130"/>
      <c r="F577" s="1130"/>
      <c r="G577" s="1130"/>
      <c r="H577" s="1130"/>
      <c r="I577" s="1130"/>
      <c r="J577" s="1130"/>
      <c r="K577" s="1130"/>
      <c r="L577" s="1130"/>
      <c r="M577" s="1130"/>
      <c r="N577" s="1130"/>
      <c r="O577" s="1130"/>
      <c r="P577" s="1130"/>
      <c r="Q577" s="1130"/>
      <c r="R577" s="1130"/>
      <c r="S577" s="1130"/>
      <c r="T577" s="1130"/>
      <c r="U577" s="1130"/>
      <c r="V577" s="1130"/>
      <c r="W577" s="1130"/>
      <c r="X577" s="1130"/>
      <c r="Y577" s="1130"/>
      <c r="Z577" s="1130"/>
    </row>
    <row r="578" spans="1:26" ht="15.75" customHeight="1">
      <c r="A578" s="1130"/>
      <c r="B578" s="1130"/>
      <c r="C578" s="1130"/>
      <c r="D578" s="1130"/>
      <c r="E578" s="1130"/>
      <c r="F578" s="1130"/>
      <c r="G578" s="1130"/>
      <c r="H578" s="1130"/>
      <c r="I578" s="1130"/>
      <c r="J578" s="1130"/>
      <c r="K578" s="1130"/>
      <c r="L578" s="1130"/>
      <c r="M578" s="1130"/>
      <c r="N578" s="1130"/>
      <c r="O578" s="1130"/>
      <c r="P578" s="1130"/>
      <c r="Q578" s="1130"/>
      <c r="R578" s="1130"/>
      <c r="S578" s="1130"/>
      <c r="T578" s="1130"/>
      <c r="U578" s="1130"/>
      <c r="V578" s="1130"/>
      <c r="W578" s="1130"/>
      <c r="X578" s="1130"/>
      <c r="Y578" s="1130"/>
      <c r="Z578" s="1130"/>
    </row>
    <row r="579" spans="1:26" ht="15.75" customHeight="1">
      <c r="A579" s="1130"/>
      <c r="B579" s="1130"/>
      <c r="C579" s="1130"/>
      <c r="D579" s="1130"/>
      <c r="E579" s="1130"/>
      <c r="F579" s="1130"/>
      <c r="G579" s="1130"/>
      <c r="H579" s="1130"/>
      <c r="I579" s="1130"/>
      <c r="J579" s="1130"/>
      <c r="K579" s="1130"/>
      <c r="L579" s="1130"/>
      <c r="M579" s="1130"/>
      <c r="N579" s="1130"/>
      <c r="O579" s="1130"/>
      <c r="P579" s="1130"/>
      <c r="Q579" s="1130"/>
      <c r="R579" s="1130"/>
      <c r="S579" s="1130"/>
      <c r="T579" s="1130"/>
      <c r="U579" s="1130"/>
      <c r="V579" s="1130"/>
      <c r="W579" s="1130"/>
      <c r="X579" s="1130"/>
      <c r="Y579" s="1130"/>
      <c r="Z579" s="1130"/>
    </row>
    <row r="580" spans="1:26" ht="15.75" customHeight="1">
      <c r="A580" s="1130"/>
      <c r="B580" s="1130"/>
      <c r="C580" s="1130"/>
      <c r="D580" s="1130"/>
      <c r="E580" s="1130"/>
      <c r="F580" s="1130"/>
      <c r="G580" s="1130"/>
      <c r="H580" s="1130"/>
      <c r="I580" s="1130"/>
      <c r="J580" s="1130"/>
      <c r="K580" s="1130"/>
      <c r="L580" s="1130"/>
      <c r="M580" s="1130"/>
      <c r="N580" s="1130"/>
      <c r="O580" s="1130"/>
      <c r="P580" s="1130"/>
      <c r="Q580" s="1130"/>
      <c r="R580" s="1130"/>
      <c r="S580" s="1130"/>
      <c r="T580" s="1130"/>
      <c r="U580" s="1130"/>
      <c r="V580" s="1130"/>
      <c r="W580" s="1130"/>
      <c r="X580" s="1130"/>
      <c r="Y580" s="1130"/>
      <c r="Z580" s="1130"/>
    </row>
    <row r="581" spans="1:26" ht="15.75" customHeight="1">
      <c r="A581" s="1130"/>
      <c r="B581" s="1130"/>
      <c r="C581" s="1130"/>
      <c r="D581" s="1130"/>
      <c r="E581" s="1130"/>
      <c r="F581" s="1130"/>
      <c r="G581" s="1130"/>
      <c r="H581" s="1130"/>
      <c r="I581" s="1130"/>
      <c r="J581" s="1130"/>
      <c r="K581" s="1130"/>
      <c r="L581" s="1130"/>
      <c r="M581" s="1130"/>
      <c r="N581" s="1130"/>
      <c r="O581" s="1130"/>
      <c r="P581" s="1130"/>
      <c r="Q581" s="1130"/>
      <c r="R581" s="1130"/>
      <c r="S581" s="1130"/>
      <c r="T581" s="1130"/>
      <c r="U581" s="1130"/>
      <c r="V581" s="1130"/>
      <c r="W581" s="1130"/>
      <c r="X581" s="1130"/>
      <c r="Y581" s="1130"/>
      <c r="Z581" s="1130"/>
    </row>
    <row r="582" spans="1:26" ht="15.75" customHeight="1">
      <c r="A582" s="1130"/>
      <c r="B582" s="1130"/>
      <c r="C582" s="1130"/>
      <c r="D582" s="1130"/>
      <c r="E582" s="1130"/>
      <c r="F582" s="1130"/>
      <c r="G582" s="1130"/>
      <c r="H582" s="1130"/>
      <c r="I582" s="1130"/>
      <c r="J582" s="1130"/>
      <c r="K582" s="1130"/>
      <c r="L582" s="1130"/>
      <c r="M582" s="1130"/>
      <c r="N582" s="1130"/>
      <c r="O582" s="1130"/>
      <c r="P582" s="1130"/>
      <c r="Q582" s="1130"/>
      <c r="R582" s="1130"/>
      <c r="S582" s="1130"/>
      <c r="T582" s="1130"/>
      <c r="U582" s="1130"/>
      <c r="V582" s="1130"/>
      <c r="W582" s="1130"/>
      <c r="X582" s="1130"/>
      <c r="Y582" s="1130"/>
      <c r="Z582" s="1130"/>
    </row>
    <row r="583" spans="1:26" ht="15.75" customHeight="1">
      <c r="A583" s="1130"/>
      <c r="B583" s="1130"/>
      <c r="C583" s="1130"/>
      <c r="D583" s="1130"/>
      <c r="E583" s="1130"/>
      <c r="F583" s="1130"/>
      <c r="G583" s="1130"/>
      <c r="H583" s="1130"/>
      <c r="I583" s="1130"/>
      <c r="J583" s="1130"/>
      <c r="K583" s="1130"/>
      <c r="L583" s="1130"/>
      <c r="M583" s="1130"/>
      <c r="N583" s="1130"/>
      <c r="O583" s="1130"/>
      <c r="P583" s="1130"/>
      <c r="Q583" s="1130"/>
      <c r="R583" s="1130"/>
      <c r="S583" s="1130"/>
      <c r="T583" s="1130"/>
      <c r="U583" s="1130"/>
      <c r="V583" s="1130"/>
      <c r="W583" s="1130"/>
      <c r="X583" s="1130"/>
      <c r="Y583" s="1130"/>
      <c r="Z583" s="1130"/>
    </row>
    <row r="584" spans="1:26" ht="15.75" customHeight="1">
      <c r="A584" s="1130"/>
      <c r="B584" s="1130"/>
      <c r="C584" s="1130"/>
      <c r="D584" s="1130"/>
      <c r="E584" s="1130"/>
      <c r="F584" s="1130"/>
      <c r="G584" s="1130"/>
      <c r="H584" s="1130"/>
      <c r="I584" s="1130"/>
      <c r="J584" s="1130"/>
      <c r="K584" s="1130"/>
      <c r="L584" s="1130"/>
      <c r="M584" s="1130"/>
      <c r="N584" s="1130"/>
      <c r="O584" s="1130"/>
      <c r="P584" s="1130"/>
      <c r="Q584" s="1130"/>
      <c r="R584" s="1130"/>
      <c r="S584" s="1130"/>
      <c r="T584" s="1130"/>
      <c r="U584" s="1130"/>
      <c r="V584" s="1130"/>
      <c r="W584" s="1130"/>
      <c r="X584" s="1130"/>
      <c r="Y584" s="1130"/>
      <c r="Z584" s="1130"/>
    </row>
    <row r="585" spans="1:26" ht="15.75" customHeight="1">
      <c r="A585" s="1130"/>
      <c r="B585" s="1130"/>
      <c r="C585" s="1130"/>
      <c r="D585" s="1130"/>
      <c r="E585" s="1130"/>
      <c r="F585" s="1130"/>
      <c r="G585" s="1130"/>
      <c r="H585" s="1130"/>
      <c r="I585" s="1130"/>
      <c r="J585" s="1130"/>
      <c r="K585" s="1130"/>
      <c r="L585" s="1130"/>
      <c r="M585" s="1130"/>
      <c r="N585" s="1130"/>
      <c r="O585" s="1130"/>
      <c r="P585" s="1130"/>
      <c r="Q585" s="1130"/>
      <c r="R585" s="1130"/>
      <c r="S585" s="1130"/>
      <c r="T585" s="1130"/>
      <c r="U585" s="1130"/>
      <c r="V585" s="1130"/>
      <c r="W585" s="1130"/>
      <c r="X585" s="1130"/>
      <c r="Y585" s="1130"/>
      <c r="Z585" s="1130"/>
    </row>
    <row r="586" spans="1:26" ht="15.75" customHeight="1">
      <c r="A586" s="1130"/>
      <c r="B586" s="1130"/>
      <c r="C586" s="1130"/>
      <c r="D586" s="1130"/>
      <c r="E586" s="1130"/>
      <c r="F586" s="1130"/>
      <c r="G586" s="1130"/>
      <c r="H586" s="1130"/>
      <c r="I586" s="1130"/>
      <c r="J586" s="1130"/>
      <c r="K586" s="1130"/>
      <c r="L586" s="1130"/>
      <c r="M586" s="1130"/>
      <c r="N586" s="1130"/>
      <c r="O586" s="1130"/>
      <c r="P586" s="1130"/>
      <c r="Q586" s="1130"/>
      <c r="R586" s="1130"/>
      <c r="S586" s="1130"/>
      <c r="T586" s="1130"/>
      <c r="U586" s="1130"/>
      <c r="V586" s="1130"/>
      <c r="W586" s="1130"/>
      <c r="X586" s="1130"/>
      <c r="Y586" s="1130"/>
      <c r="Z586" s="1130"/>
    </row>
    <row r="587" spans="1:26" ht="15.75" customHeight="1">
      <c r="A587" s="1130"/>
      <c r="B587" s="1130"/>
      <c r="C587" s="1130"/>
      <c r="D587" s="1130"/>
      <c r="E587" s="1130"/>
      <c r="F587" s="1130"/>
      <c r="G587" s="1130"/>
      <c r="H587" s="1130"/>
      <c r="I587" s="1130"/>
      <c r="J587" s="1130"/>
      <c r="K587" s="1130"/>
      <c r="L587" s="1130"/>
      <c r="M587" s="1130"/>
      <c r="N587" s="1130"/>
      <c r="O587" s="1130"/>
      <c r="P587" s="1130"/>
      <c r="Q587" s="1130"/>
      <c r="R587" s="1130"/>
      <c r="S587" s="1130"/>
      <c r="T587" s="1130"/>
      <c r="U587" s="1130"/>
      <c r="V587" s="1130"/>
      <c r="W587" s="1130"/>
      <c r="X587" s="1130"/>
      <c r="Y587" s="1130"/>
      <c r="Z587" s="1130"/>
    </row>
    <row r="588" spans="1:26" ht="15.75" customHeight="1">
      <c r="A588" s="1130"/>
      <c r="B588" s="1130"/>
      <c r="C588" s="1130"/>
      <c r="D588" s="1130"/>
      <c r="E588" s="1130"/>
      <c r="F588" s="1130"/>
      <c r="G588" s="1130"/>
      <c r="H588" s="1130"/>
      <c r="I588" s="1130"/>
      <c r="J588" s="1130"/>
      <c r="K588" s="1130"/>
      <c r="L588" s="1130"/>
      <c r="M588" s="1130"/>
      <c r="N588" s="1130"/>
      <c r="O588" s="1130"/>
      <c r="P588" s="1130"/>
      <c r="Q588" s="1130"/>
      <c r="R588" s="1130"/>
      <c r="S588" s="1130"/>
      <c r="T588" s="1130"/>
      <c r="U588" s="1130"/>
      <c r="V588" s="1130"/>
      <c r="W588" s="1130"/>
      <c r="X588" s="1130"/>
      <c r="Y588" s="1130"/>
      <c r="Z588" s="1130"/>
    </row>
    <row r="589" spans="1:26" ht="15.75" customHeight="1">
      <c r="A589" s="1130"/>
      <c r="B589" s="1130"/>
      <c r="C589" s="1130"/>
      <c r="D589" s="1130"/>
      <c r="E589" s="1130"/>
      <c r="F589" s="1130"/>
      <c r="G589" s="1130"/>
      <c r="H589" s="1130"/>
      <c r="I589" s="1130"/>
      <c r="J589" s="1130"/>
      <c r="K589" s="1130"/>
      <c r="L589" s="1130"/>
      <c r="M589" s="1130"/>
      <c r="N589" s="1130"/>
      <c r="O589" s="1130"/>
      <c r="P589" s="1130"/>
      <c r="Q589" s="1130"/>
      <c r="R589" s="1130"/>
      <c r="S589" s="1130"/>
      <c r="T589" s="1130"/>
      <c r="U589" s="1130"/>
      <c r="V589" s="1130"/>
      <c r="W589" s="1130"/>
      <c r="X589" s="1130"/>
      <c r="Y589" s="1130"/>
      <c r="Z589" s="1130"/>
    </row>
    <row r="590" spans="1:26" ht="15.75" customHeight="1">
      <c r="A590" s="1130"/>
      <c r="B590" s="1130"/>
      <c r="C590" s="1130"/>
      <c r="D590" s="1130"/>
      <c r="E590" s="1130"/>
      <c r="F590" s="1130"/>
      <c r="G590" s="1130"/>
      <c r="H590" s="1130"/>
      <c r="I590" s="1130"/>
      <c r="J590" s="1130"/>
      <c r="K590" s="1130"/>
      <c r="L590" s="1130"/>
      <c r="M590" s="1130"/>
      <c r="N590" s="1130"/>
      <c r="O590" s="1130"/>
      <c r="P590" s="1130"/>
      <c r="Q590" s="1130"/>
      <c r="R590" s="1130"/>
      <c r="S590" s="1130"/>
      <c r="T590" s="1130"/>
      <c r="U590" s="1130"/>
      <c r="V590" s="1130"/>
      <c r="W590" s="1130"/>
      <c r="X590" s="1130"/>
      <c r="Y590" s="1130"/>
      <c r="Z590" s="1130"/>
    </row>
    <row r="591" spans="1:26" ht="15.75" customHeight="1">
      <c r="A591" s="1130"/>
      <c r="B591" s="1130"/>
      <c r="C591" s="1130"/>
      <c r="D591" s="1130"/>
      <c r="E591" s="1130"/>
      <c r="F591" s="1130"/>
      <c r="G591" s="1130"/>
      <c r="H591" s="1130"/>
      <c r="I591" s="1130"/>
      <c r="J591" s="1130"/>
      <c r="K591" s="1130"/>
      <c r="L591" s="1130"/>
      <c r="M591" s="1130"/>
      <c r="N591" s="1130"/>
      <c r="O591" s="1130"/>
      <c r="P591" s="1130"/>
      <c r="Q591" s="1130"/>
      <c r="R591" s="1130"/>
      <c r="S591" s="1130"/>
      <c r="T591" s="1130"/>
      <c r="U591" s="1130"/>
      <c r="V591" s="1130"/>
      <c r="W591" s="1130"/>
      <c r="X591" s="1130"/>
      <c r="Y591" s="1130"/>
      <c r="Z591" s="1130"/>
    </row>
    <row r="592" spans="1:26" ht="15.75" customHeight="1">
      <c r="A592" s="1130"/>
      <c r="B592" s="1130"/>
      <c r="C592" s="1130"/>
      <c r="D592" s="1130"/>
      <c r="E592" s="1130"/>
      <c r="F592" s="1130"/>
      <c r="G592" s="1130"/>
      <c r="H592" s="1130"/>
      <c r="I592" s="1130"/>
      <c r="J592" s="1130"/>
      <c r="K592" s="1130"/>
      <c r="L592" s="1130"/>
      <c r="M592" s="1130"/>
      <c r="N592" s="1130"/>
      <c r="O592" s="1130"/>
      <c r="P592" s="1130"/>
      <c r="Q592" s="1130"/>
      <c r="R592" s="1130"/>
      <c r="S592" s="1130"/>
      <c r="T592" s="1130"/>
      <c r="U592" s="1130"/>
      <c r="V592" s="1130"/>
      <c r="W592" s="1130"/>
      <c r="X592" s="1130"/>
      <c r="Y592" s="1130"/>
      <c r="Z592" s="1130"/>
    </row>
    <row r="593" spans="1:26" ht="15.75" customHeight="1">
      <c r="A593" s="1130"/>
      <c r="B593" s="1130"/>
      <c r="C593" s="1130"/>
      <c r="D593" s="1130"/>
      <c r="E593" s="1130"/>
      <c r="F593" s="1130"/>
      <c r="G593" s="1130"/>
      <c r="H593" s="1130"/>
      <c r="I593" s="1130"/>
      <c r="J593" s="1130"/>
      <c r="K593" s="1130"/>
      <c r="L593" s="1130"/>
      <c r="M593" s="1130"/>
      <c r="N593" s="1130"/>
      <c r="O593" s="1130"/>
      <c r="P593" s="1130"/>
      <c r="Q593" s="1130"/>
      <c r="R593" s="1130"/>
      <c r="S593" s="1130"/>
      <c r="T593" s="1130"/>
      <c r="U593" s="1130"/>
      <c r="V593" s="1130"/>
      <c r="W593" s="1130"/>
      <c r="X593" s="1130"/>
      <c r="Y593" s="1130"/>
      <c r="Z593" s="1130"/>
    </row>
    <row r="594" spans="1:26" ht="15.75" customHeight="1">
      <c r="A594" s="1130"/>
      <c r="B594" s="1130"/>
      <c r="C594" s="1130"/>
      <c r="D594" s="1130"/>
      <c r="E594" s="1130"/>
      <c r="F594" s="1130"/>
      <c r="G594" s="1130"/>
      <c r="H594" s="1130"/>
      <c r="I594" s="1130"/>
      <c r="J594" s="1130"/>
      <c r="K594" s="1130"/>
      <c r="L594" s="1130"/>
      <c r="M594" s="1130"/>
      <c r="N594" s="1130"/>
      <c r="O594" s="1130"/>
      <c r="P594" s="1130"/>
      <c r="Q594" s="1130"/>
      <c r="R594" s="1130"/>
      <c r="S594" s="1130"/>
      <c r="T594" s="1130"/>
      <c r="U594" s="1130"/>
      <c r="V594" s="1130"/>
      <c r="W594" s="1130"/>
      <c r="X594" s="1130"/>
      <c r="Y594" s="1130"/>
      <c r="Z594" s="1130"/>
    </row>
    <row r="595" spans="1:26" ht="15.75" customHeight="1">
      <c r="A595" s="1130"/>
      <c r="B595" s="1130"/>
      <c r="C595" s="1130"/>
      <c r="D595" s="1130"/>
      <c r="E595" s="1130"/>
      <c r="F595" s="1130"/>
      <c r="G595" s="1130"/>
      <c r="H595" s="1130"/>
      <c r="I595" s="1130"/>
      <c r="J595" s="1130"/>
      <c r="K595" s="1130"/>
      <c r="L595" s="1130"/>
      <c r="M595" s="1130"/>
      <c r="N595" s="1130"/>
      <c r="O595" s="1130"/>
      <c r="P595" s="1130"/>
      <c r="Q595" s="1130"/>
      <c r="R595" s="1130"/>
      <c r="S595" s="1130"/>
      <c r="T595" s="1130"/>
      <c r="U595" s="1130"/>
      <c r="V595" s="1130"/>
      <c r="W595" s="1130"/>
      <c r="X595" s="1130"/>
      <c r="Y595" s="1130"/>
      <c r="Z595" s="1130"/>
    </row>
    <row r="596" spans="1:26" ht="15.75" customHeight="1">
      <c r="A596" s="1130"/>
      <c r="B596" s="1130"/>
      <c r="C596" s="1130"/>
      <c r="D596" s="1130"/>
      <c r="E596" s="1130"/>
      <c r="F596" s="1130"/>
      <c r="G596" s="1130"/>
      <c r="H596" s="1130"/>
      <c r="I596" s="1130"/>
      <c r="J596" s="1130"/>
      <c r="K596" s="1130"/>
      <c r="L596" s="1130"/>
      <c r="M596" s="1130"/>
      <c r="N596" s="1130"/>
      <c r="O596" s="1130"/>
      <c r="P596" s="1130"/>
      <c r="Q596" s="1130"/>
      <c r="R596" s="1130"/>
      <c r="S596" s="1130"/>
      <c r="T596" s="1130"/>
      <c r="U596" s="1130"/>
      <c r="V596" s="1130"/>
      <c r="W596" s="1130"/>
      <c r="X596" s="1130"/>
      <c r="Y596" s="1130"/>
      <c r="Z596" s="1130"/>
    </row>
    <row r="597" spans="1:26" ht="15.75" customHeight="1">
      <c r="A597" s="1130"/>
      <c r="B597" s="1130"/>
      <c r="C597" s="1130"/>
      <c r="D597" s="1130"/>
      <c r="E597" s="1130"/>
      <c r="F597" s="1130"/>
      <c r="G597" s="1130"/>
      <c r="H597" s="1130"/>
      <c r="I597" s="1130"/>
      <c r="J597" s="1130"/>
      <c r="K597" s="1130"/>
      <c r="L597" s="1130"/>
      <c r="M597" s="1130"/>
      <c r="N597" s="1130"/>
      <c r="O597" s="1130"/>
      <c r="P597" s="1130"/>
      <c r="Q597" s="1130"/>
      <c r="R597" s="1130"/>
      <c r="S597" s="1130"/>
      <c r="T597" s="1130"/>
      <c r="U597" s="1130"/>
      <c r="V597" s="1130"/>
      <c r="W597" s="1130"/>
      <c r="X597" s="1130"/>
      <c r="Y597" s="1130"/>
      <c r="Z597" s="1130"/>
    </row>
    <row r="598" spans="1:26" ht="15.75" customHeight="1">
      <c r="A598" s="1130"/>
      <c r="B598" s="1130"/>
      <c r="C598" s="1130"/>
      <c r="D598" s="1130"/>
      <c r="E598" s="1130"/>
      <c r="F598" s="1130"/>
      <c r="G598" s="1130"/>
      <c r="H598" s="1130"/>
      <c r="I598" s="1130"/>
      <c r="J598" s="1130"/>
      <c r="K598" s="1130"/>
      <c r="L598" s="1130"/>
      <c r="M598" s="1130"/>
      <c r="N598" s="1130"/>
      <c r="O598" s="1130"/>
      <c r="P598" s="1130"/>
      <c r="Q598" s="1130"/>
      <c r="R598" s="1130"/>
      <c r="S598" s="1130"/>
      <c r="T598" s="1130"/>
      <c r="U598" s="1130"/>
      <c r="V598" s="1130"/>
      <c r="W598" s="1130"/>
      <c r="X598" s="1130"/>
      <c r="Y598" s="1130"/>
      <c r="Z598" s="1130"/>
    </row>
    <row r="599" spans="1:26" ht="15.75" customHeight="1">
      <c r="A599" s="1130"/>
      <c r="B599" s="1130"/>
      <c r="C599" s="1130"/>
      <c r="D599" s="1130"/>
      <c r="E599" s="1130"/>
      <c r="F599" s="1130"/>
      <c r="G599" s="1130"/>
      <c r="H599" s="1130"/>
      <c r="I599" s="1130"/>
      <c r="J599" s="1130"/>
      <c r="K599" s="1130"/>
      <c r="L599" s="1130"/>
      <c r="M599" s="1130"/>
      <c r="N599" s="1130"/>
      <c r="O599" s="1130"/>
      <c r="P599" s="1130"/>
      <c r="Q599" s="1130"/>
      <c r="R599" s="1130"/>
      <c r="S599" s="1130"/>
      <c r="T599" s="1130"/>
      <c r="U599" s="1130"/>
      <c r="V599" s="1130"/>
      <c r="W599" s="1130"/>
      <c r="X599" s="1130"/>
      <c r="Y599" s="1130"/>
      <c r="Z599" s="1130"/>
    </row>
    <row r="600" spans="1:26" ht="15.75" customHeight="1">
      <c r="A600" s="1130"/>
      <c r="B600" s="1130"/>
      <c r="C600" s="1130"/>
      <c r="D600" s="1130"/>
      <c r="E600" s="1130"/>
      <c r="F600" s="1130"/>
      <c r="G600" s="1130"/>
      <c r="H600" s="1130"/>
      <c r="I600" s="1130"/>
      <c r="J600" s="1130"/>
      <c r="K600" s="1130"/>
      <c r="L600" s="1130"/>
      <c r="M600" s="1130"/>
      <c r="N600" s="1130"/>
      <c r="O600" s="1130"/>
      <c r="P600" s="1130"/>
      <c r="Q600" s="1130"/>
      <c r="R600" s="1130"/>
      <c r="S600" s="1130"/>
      <c r="T600" s="1130"/>
      <c r="U600" s="1130"/>
      <c r="V600" s="1130"/>
      <c r="W600" s="1130"/>
      <c r="X600" s="1130"/>
      <c r="Y600" s="1130"/>
      <c r="Z600" s="1130"/>
    </row>
    <row r="601" spans="1:26" ht="15.75" customHeight="1">
      <c r="A601" s="1130"/>
      <c r="B601" s="1130"/>
      <c r="C601" s="1130"/>
      <c r="D601" s="1130"/>
      <c r="E601" s="1130"/>
      <c r="F601" s="1130"/>
      <c r="G601" s="1130"/>
      <c r="H601" s="1130"/>
      <c r="I601" s="1130"/>
      <c r="J601" s="1130"/>
      <c r="K601" s="1130"/>
      <c r="L601" s="1130"/>
      <c r="M601" s="1130"/>
      <c r="N601" s="1130"/>
      <c r="O601" s="1130"/>
      <c r="P601" s="1130"/>
      <c r="Q601" s="1130"/>
      <c r="R601" s="1130"/>
      <c r="S601" s="1130"/>
      <c r="T601" s="1130"/>
      <c r="U601" s="1130"/>
      <c r="V601" s="1130"/>
      <c r="W601" s="1130"/>
      <c r="X601" s="1130"/>
      <c r="Y601" s="1130"/>
      <c r="Z601" s="1130"/>
    </row>
    <row r="602" spans="1:26" ht="15.75" customHeight="1">
      <c r="A602" s="1130"/>
      <c r="B602" s="1130"/>
      <c r="C602" s="1130"/>
      <c r="D602" s="1130"/>
      <c r="E602" s="1130"/>
      <c r="F602" s="1130"/>
      <c r="G602" s="1130"/>
      <c r="H602" s="1130"/>
      <c r="I602" s="1130"/>
      <c r="J602" s="1130"/>
      <c r="K602" s="1130"/>
      <c r="L602" s="1130"/>
      <c r="M602" s="1130"/>
      <c r="N602" s="1130"/>
      <c r="O602" s="1130"/>
      <c r="P602" s="1130"/>
      <c r="Q602" s="1130"/>
      <c r="R602" s="1130"/>
      <c r="S602" s="1130"/>
      <c r="T602" s="1130"/>
      <c r="U602" s="1130"/>
      <c r="V602" s="1130"/>
      <c r="W602" s="1130"/>
      <c r="X602" s="1130"/>
      <c r="Y602" s="1130"/>
      <c r="Z602" s="1130"/>
    </row>
    <row r="603" spans="1:26" ht="15.75" customHeight="1">
      <c r="A603" s="1130"/>
      <c r="B603" s="1130"/>
      <c r="C603" s="1130"/>
      <c r="D603" s="1130"/>
      <c r="E603" s="1130"/>
      <c r="F603" s="1130"/>
      <c r="G603" s="1130"/>
      <c r="H603" s="1130"/>
      <c r="I603" s="1130"/>
      <c r="J603" s="1130"/>
      <c r="K603" s="1130"/>
      <c r="L603" s="1130"/>
      <c r="M603" s="1130"/>
      <c r="N603" s="1130"/>
      <c r="O603" s="1130"/>
      <c r="P603" s="1130"/>
      <c r="Q603" s="1130"/>
      <c r="R603" s="1130"/>
      <c r="S603" s="1130"/>
      <c r="T603" s="1130"/>
      <c r="U603" s="1130"/>
      <c r="V603" s="1130"/>
      <c r="W603" s="1130"/>
      <c r="X603" s="1130"/>
      <c r="Y603" s="1130"/>
      <c r="Z603" s="1130"/>
    </row>
    <row r="604" spans="1:26" ht="15.75" customHeight="1">
      <c r="A604" s="1130"/>
      <c r="B604" s="1130"/>
      <c r="C604" s="1130"/>
      <c r="D604" s="1130"/>
      <c r="E604" s="1130"/>
      <c r="F604" s="1130"/>
      <c r="G604" s="1130"/>
      <c r="H604" s="1130"/>
      <c r="I604" s="1130"/>
      <c r="J604" s="1130"/>
      <c r="K604" s="1130"/>
      <c r="L604" s="1130"/>
      <c r="M604" s="1130"/>
      <c r="N604" s="1130"/>
      <c r="O604" s="1130"/>
      <c r="P604" s="1130"/>
      <c r="Q604" s="1130"/>
      <c r="R604" s="1130"/>
      <c r="S604" s="1130"/>
      <c r="T604" s="1130"/>
      <c r="U604" s="1130"/>
      <c r="V604" s="1130"/>
      <c r="W604" s="1130"/>
      <c r="X604" s="1130"/>
      <c r="Y604" s="1130"/>
      <c r="Z604" s="1130"/>
    </row>
    <row r="605" spans="1:26" ht="15.75" customHeight="1">
      <c r="A605" s="1130"/>
      <c r="B605" s="1130"/>
      <c r="C605" s="1130"/>
      <c r="D605" s="1130"/>
      <c r="E605" s="1130"/>
      <c r="F605" s="1130"/>
      <c r="G605" s="1130"/>
      <c r="H605" s="1130"/>
      <c r="I605" s="1130"/>
      <c r="J605" s="1130"/>
      <c r="K605" s="1130"/>
      <c r="L605" s="1130"/>
      <c r="M605" s="1130"/>
      <c r="N605" s="1130"/>
      <c r="O605" s="1130"/>
      <c r="P605" s="1130"/>
      <c r="Q605" s="1130"/>
      <c r="R605" s="1130"/>
      <c r="S605" s="1130"/>
      <c r="T605" s="1130"/>
      <c r="U605" s="1130"/>
      <c r="V605" s="1130"/>
      <c r="W605" s="1130"/>
      <c r="X605" s="1130"/>
      <c r="Y605" s="1130"/>
      <c r="Z605" s="1130"/>
    </row>
    <row r="606" spans="1:26" ht="15.75" customHeight="1">
      <c r="A606" s="1130"/>
      <c r="B606" s="1130"/>
      <c r="C606" s="1130"/>
      <c r="D606" s="1130"/>
      <c r="E606" s="1130"/>
      <c r="F606" s="1130"/>
      <c r="G606" s="1130"/>
      <c r="H606" s="1130"/>
      <c r="I606" s="1130"/>
      <c r="J606" s="1130"/>
      <c r="K606" s="1130"/>
      <c r="L606" s="1130"/>
      <c r="M606" s="1130"/>
      <c r="N606" s="1130"/>
      <c r="O606" s="1130"/>
      <c r="P606" s="1130"/>
      <c r="Q606" s="1130"/>
      <c r="R606" s="1130"/>
      <c r="S606" s="1130"/>
      <c r="T606" s="1130"/>
      <c r="U606" s="1130"/>
      <c r="V606" s="1130"/>
      <c r="W606" s="1130"/>
      <c r="X606" s="1130"/>
      <c r="Y606" s="1130"/>
      <c r="Z606" s="1130"/>
    </row>
    <row r="607" spans="1:26" ht="15.75" customHeight="1">
      <c r="A607" s="1130"/>
      <c r="B607" s="1130"/>
      <c r="C607" s="1130"/>
      <c r="D607" s="1130"/>
      <c r="E607" s="1130"/>
      <c r="F607" s="1130"/>
      <c r="G607" s="1130"/>
      <c r="H607" s="1130"/>
      <c r="I607" s="1130"/>
      <c r="J607" s="1130"/>
      <c r="K607" s="1130"/>
      <c r="L607" s="1130"/>
      <c r="M607" s="1130"/>
      <c r="N607" s="1130"/>
      <c r="O607" s="1130"/>
      <c r="P607" s="1130"/>
      <c r="Q607" s="1130"/>
      <c r="R607" s="1130"/>
      <c r="S607" s="1130"/>
      <c r="T607" s="1130"/>
      <c r="U607" s="1130"/>
      <c r="V607" s="1130"/>
      <c r="W607" s="1130"/>
      <c r="X607" s="1130"/>
      <c r="Y607" s="1130"/>
      <c r="Z607" s="1130"/>
    </row>
    <row r="608" spans="1:26" ht="15.75" customHeight="1">
      <c r="A608" s="1130"/>
      <c r="B608" s="1130"/>
      <c r="C608" s="1130"/>
      <c r="D608" s="1130"/>
      <c r="E608" s="1130"/>
      <c r="F608" s="1130"/>
      <c r="G608" s="1130"/>
      <c r="H608" s="1130"/>
      <c r="I608" s="1130"/>
      <c r="J608" s="1130"/>
      <c r="K608" s="1130"/>
      <c r="L608" s="1130"/>
      <c r="M608" s="1130"/>
      <c r="N608" s="1130"/>
      <c r="O608" s="1130"/>
      <c r="P608" s="1130"/>
      <c r="Q608" s="1130"/>
      <c r="R608" s="1130"/>
      <c r="S608" s="1130"/>
      <c r="T608" s="1130"/>
      <c r="U608" s="1130"/>
      <c r="V608" s="1130"/>
      <c r="W608" s="1130"/>
      <c r="X608" s="1130"/>
      <c r="Y608" s="1130"/>
      <c r="Z608" s="1130"/>
    </row>
    <row r="609" spans="1:26" ht="15.75" customHeight="1">
      <c r="A609" s="1130"/>
      <c r="B609" s="1130"/>
      <c r="C609" s="1130"/>
      <c r="D609" s="1130"/>
      <c r="E609" s="1130"/>
      <c r="F609" s="1130"/>
      <c r="G609" s="1130"/>
      <c r="H609" s="1130"/>
      <c r="I609" s="1130"/>
      <c r="J609" s="1130"/>
      <c r="K609" s="1130"/>
      <c r="L609" s="1130"/>
      <c r="M609" s="1130"/>
      <c r="N609" s="1130"/>
      <c r="O609" s="1130"/>
      <c r="P609" s="1130"/>
      <c r="Q609" s="1130"/>
      <c r="R609" s="1130"/>
      <c r="S609" s="1130"/>
      <c r="T609" s="1130"/>
      <c r="U609" s="1130"/>
      <c r="V609" s="1130"/>
      <c r="W609" s="1130"/>
      <c r="X609" s="1130"/>
      <c r="Y609" s="1130"/>
      <c r="Z609" s="1130"/>
    </row>
    <row r="610" spans="1:26" ht="15.75" customHeight="1">
      <c r="A610" s="1130"/>
      <c r="B610" s="1130"/>
      <c r="C610" s="1130"/>
      <c r="D610" s="1130"/>
      <c r="E610" s="1130"/>
      <c r="F610" s="1130"/>
      <c r="G610" s="1130"/>
      <c r="H610" s="1130"/>
      <c r="I610" s="1130"/>
      <c r="J610" s="1130"/>
      <c r="K610" s="1130"/>
      <c r="L610" s="1130"/>
      <c r="M610" s="1130"/>
      <c r="N610" s="1130"/>
      <c r="O610" s="1130"/>
      <c r="P610" s="1130"/>
      <c r="Q610" s="1130"/>
      <c r="R610" s="1130"/>
      <c r="S610" s="1130"/>
      <c r="T610" s="1130"/>
      <c r="U610" s="1130"/>
      <c r="V610" s="1130"/>
      <c r="W610" s="1130"/>
      <c r="X610" s="1130"/>
      <c r="Y610" s="1130"/>
      <c r="Z610" s="1130"/>
    </row>
    <row r="611" spans="1:26" ht="15.75" customHeight="1">
      <c r="A611" s="1130"/>
      <c r="B611" s="1130"/>
      <c r="C611" s="1130"/>
      <c r="D611" s="1130"/>
      <c r="E611" s="1130"/>
      <c r="F611" s="1130"/>
      <c r="G611" s="1130"/>
      <c r="H611" s="1130"/>
      <c r="I611" s="1130"/>
      <c r="J611" s="1130"/>
      <c r="K611" s="1130"/>
      <c r="L611" s="1130"/>
      <c r="M611" s="1130"/>
      <c r="N611" s="1130"/>
      <c r="O611" s="1130"/>
      <c r="P611" s="1130"/>
      <c r="Q611" s="1130"/>
      <c r="R611" s="1130"/>
      <c r="S611" s="1130"/>
      <c r="T611" s="1130"/>
      <c r="U611" s="1130"/>
      <c r="V611" s="1130"/>
      <c r="W611" s="1130"/>
      <c r="X611" s="1130"/>
      <c r="Y611" s="1130"/>
      <c r="Z611" s="1130"/>
    </row>
    <row r="612" spans="1:26" ht="15.75" customHeight="1">
      <c r="A612" s="1130"/>
      <c r="B612" s="1130"/>
      <c r="C612" s="1130"/>
      <c r="D612" s="1130"/>
      <c r="E612" s="1130"/>
      <c r="F612" s="1130"/>
      <c r="G612" s="1130"/>
      <c r="H612" s="1130"/>
      <c r="I612" s="1130"/>
      <c r="J612" s="1130"/>
      <c r="K612" s="1130"/>
      <c r="L612" s="1130"/>
      <c r="M612" s="1130"/>
      <c r="N612" s="1130"/>
      <c r="O612" s="1130"/>
      <c r="P612" s="1130"/>
      <c r="Q612" s="1130"/>
      <c r="R612" s="1130"/>
      <c r="S612" s="1130"/>
      <c r="T612" s="1130"/>
      <c r="U612" s="1130"/>
      <c r="V612" s="1130"/>
      <c r="W612" s="1130"/>
      <c r="X612" s="1130"/>
      <c r="Y612" s="1130"/>
      <c r="Z612" s="1130"/>
    </row>
    <row r="613" spans="1:26" ht="15.75" customHeight="1">
      <c r="A613" s="1130"/>
      <c r="B613" s="1130"/>
      <c r="C613" s="1130"/>
      <c r="D613" s="1130"/>
      <c r="E613" s="1130"/>
      <c r="F613" s="1130"/>
      <c r="G613" s="1130"/>
      <c r="H613" s="1130"/>
      <c r="I613" s="1130"/>
      <c r="J613" s="1130"/>
      <c r="K613" s="1130"/>
      <c r="L613" s="1130"/>
      <c r="M613" s="1130"/>
      <c r="N613" s="1130"/>
      <c r="O613" s="1130"/>
      <c r="P613" s="1130"/>
      <c r="Q613" s="1130"/>
      <c r="R613" s="1130"/>
      <c r="S613" s="1130"/>
      <c r="T613" s="1130"/>
      <c r="U613" s="1130"/>
      <c r="V613" s="1130"/>
      <c r="W613" s="1130"/>
      <c r="X613" s="1130"/>
      <c r="Y613" s="1130"/>
      <c r="Z613" s="1130"/>
    </row>
    <row r="614" spans="1:26" ht="15.75" customHeight="1">
      <c r="A614" s="1130"/>
      <c r="B614" s="1130"/>
      <c r="C614" s="1130"/>
      <c r="D614" s="1130"/>
      <c r="E614" s="1130"/>
      <c r="F614" s="1130"/>
      <c r="G614" s="1130"/>
      <c r="H614" s="1130"/>
      <c r="I614" s="1130"/>
      <c r="J614" s="1130"/>
      <c r="K614" s="1130"/>
      <c r="L614" s="1130"/>
      <c r="M614" s="1130"/>
      <c r="N614" s="1130"/>
      <c r="O614" s="1130"/>
      <c r="P614" s="1130"/>
      <c r="Q614" s="1130"/>
      <c r="R614" s="1130"/>
      <c r="S614" s="1130"/>
      <c r="T614" s="1130"/>
      <c r="U614" s="1130"/>
      <c r="V614" s="1130"/>
      <c r="W614" s="1130"/>
      <c r="X614" s="1130"/>
      <c r="Y614" s="1130"/>
      <c r="Z614" s="1130"/>
    </row>
    <row r="615" spans="1:26" ht="15.75" customHeight="1">
      <c r="A615" s="1130"/>
      <c r="B615" s="1130"/>
      <c r="C615" s="1130"/>
      <c r="D615" s="1130"/>
      <c r="E615" s="1130"/>
      <c r="F615" s="1130"/>
      <c r="G615" s="1130"/>
      <c r="H615" s="1130"/>
      <c r="I615" s="1130"/>
      <c r="J615" s="1130"/>
      <c r="K615" s="1130"/>
      <c r="L615" s="1130"/>
      <c r="M615" s="1130"/>
      <c r="N615" s="1130"/>
      <c r="O615" s="1130"/>
      <c r="P615" s="1130"/>
      <c r="Q615" s="1130"/>
      <c r="R615" s="1130"/>
      <c r="S615" s="1130"/>
      <c r="T615" s="1130"/>
      <c r="U615" s="1130"/>
      <c r="V615" s="1130"/>
      <c r="W615" s="1130"/>
      <c r="X615" s="1130"/>
      <c r="Y615" s="1130"/>
      <c r="Z615" s="1130"/>
    </row>
    <row r="616" spans="1:26" ht="15.75" customHeight="1">
      <c r="A616" s="1130"/>
      <c r="B616" s="1130"/>
      <c r="C616" s="1130"/>
      <c r="D616" s="1130"/>
      <c r="E616" s="1130"/>
      <c r="F616" s="1130"/>
      <c r="G616" s="1130"/>
      <c r="H616" s="1130"/>
      <c r="I616" s="1130"/>
      <c r="J616" s="1130"/>
      <c r="K616" s="1130"/>
      <c r="L616" s="1130"/>
      <c r="M616" s="1130"/>
      <c r="N616" s="1130"/>
      <c r="O616" s="1130"/>
      <c r="P616" s="1130"/>
      <c r="Q616" s="1130"/>
      <c r="R616" s="1130"/>
      <c r="S616" s="1130"/>
      <c r="T616" s="1130"/>
      <c r="U616" s="1130"/>
      <c r="V616" s="1130"/>
      <c r="W616" s="1130"/>
      <c r="X616" s="1130"/>
      <c r="Y616" s="1130"/>
      <c r="Z616" s="1130"/>
    </row>
    <row r="617" spans="1:26" ht="15.75" customHeight="1">
      <c r="A617" s="1130"/>
      <c r="B617" s="1130"/>
      <c r="C617" s="1130"/>
      <c r="D617" s="1130"/>
      <c r="E617" s="1130"/>
      <c r="F617" s="1130"/>
      <c r="G617" s="1130"/>
      <c r="H617" s="1130"/>
      <c r="I617" s="1130"/>
      <c r="J617" s="1130"/>
      <c r="K617" s="1130"/>
      <c r="L617" s="1130"/>
      <c r="M617" s="1130"/>
      <c r="N617" s="1130"/>
      <c r="O617" s="1130"/>
      <c r="P617" s="1130"/>
      <c r="Q617" s="1130"/>
      <c r="R617" s="1130"/>
      <c r="S617" s="1130"/>
      <c r="T617" s="1130"/>
      <c r="U617" s="1130"/>
      <c r="V617" s="1130"/>
      <c r="W617" s="1130"/>
      <c r="X617" s="1130"/>
      <c r="Y617" s="1130"/>
      <c r="Z617" s="1130"/>
    </row>
    <row r="618" spans="1:26" ht="15.75" customHeight="1">
      <c r="A618" s="1130"/>
      <c r="B618" s="1130"/>
      <c r="C618" s="1130"/>
      <c r="D618" s="1130"/>
      <c r="E618" s="1130"/>
      <c r="F618" s="1130"/>
      <c r="G618" s="1130"/>
      <c r="H618" s="1130"/>
      <c r="I618" s="1130"/>
      <c r="J618" s="1130"/>
      <c r="K618" s="1130"/>
      <c r="L618" s="1130"/>
      <c r="M618" s="1130"/>
      <c r="N618" s="1130"/>
      <c r="O618" s="1130"/>
      <c r="P618" s="1130"/>
      <c r="Q618" s="1130"/>
      <c r="R618" s="1130"/>
      <c r="S618" s="1130"/>
      <c r="T618" s="1130"/>
      <c r="U618" s="1130"/>
      <c r="V618" s="1130"/>
      <c r="W618" s="1130"/>
      <c r="X618" s="1130"/>
      <c r="Y618" s="1130"/>
      <c r="Z618" s="1130"/>
    </row>
    <row r="619" spans="1:26" ht="15.75" customHeight="1">
      <c r="A619" s="1130"/>
      <c r="B619" s="1130"/>
      <c r="C619" s="1130"/>
      <c r="D619" s="1130"/>
      <c r="E619" s="1130"/>
      <c r="F619" s="1130"/>
      <c r="G619" s="1130"/>
      <c r="H619" s="1130"/>
      <c r="I619" s="1130"/>
      <c r="J619" s="1130"/>
      <c r="K619" s="1130"/>
      <c r="L619" s="1130"/>
      <c r="M619" s="1130"/>
      <c r="N619" s="1130"/>
      <c r="O619" s="1130"/>
      <c r="P619" s="1130"/>
      <c r="Q619" s="1130"/>
      <c r="R619" s="1130"/>
      <c r="S619" s="1130"/>
      <c r="T619" s="1130"/>
      <c r="U619" s="1130"/>
      <c r="V619" s="1130"/>
      <c r="W619" s="1130"/>
      <c r="X619" s="1130"/>
      <c r="Y619" s="1130"/>
      <c r="Z619" s="1130"/>
    </row>
    <row r="620" spans="1:26" ht="15.75" customHeight="1">
      <c r="A620" s="1130"/>
      <c r="B620" s="1130"/>
      <c r="C620" s="1130"/>
      <c r="D620" s="1130"/>
      <c r="E620" s="1130"/>
      <c r="F620" s="1130"/>
      <c r="G620" s="1130"/>
      <c r="H620" s="1130"/>
      <c r="I620" s="1130"/>
      <c r="J620" s="1130"/>
      <c r="K620" s="1130"/>
      <c r="L620" s="1130"/>
      <c r="M620" s="1130"/>
      <c r="N620" s="1130"/>
      <c r="O620" s="1130"/>
      <c r="P620" s="1130"/>
      <c r="Q620" s="1130"/>
      <c r="R620" s="1130"/>
      <c r="S620" s="1130"/>
      <c r="T620" s="1130"/>
      <c r="U620" s="1130"/>
      <c r="V620" s="1130"/>
      <c r="W620" s="1130"/>
      <c r="X620" s="1130"/>
      <c r="Y620" s="1130"/>
      <c r="Z620" s="1130"/>
    </row>
    <row r="621" spans="1:26" ht="15.75" customHeight="1">
      <c r="A621" s="1130"/>
      <c r="B621" s="1130"/>
      <c r="C621" s="1130"/>
      <c r="D621" s="1130"/>
      <c r="E621" s="1130"/>
      <c r="F621" s="1130"/>
      <c r="G621" s="1130"/>
      <c r="H621" s="1130"/>
      <c r="I621" s="1130"/>
      <c r="J621" s="1130"/>
      <c r="K621" s="1130"/>
      <c r="L621" s="1130"/>
      <c r="M621" s="1130"/>
      <c r="N621" s="1130"/>
      <c r="O621" s="1130"/>
      <c r="P621" s="1130"/>
      <c r="Q621" s="1130"/>
      <c r="R621" s="1130"/>
      <c r="S621" s="1130"/>
      <c r="T621" s="1130"/>
      <c r="U621" s="1130"/>
      <c r="V621" s="1130"/>
      <c r="W621" s="1130"/>
      <c r="X621" s="1130"/>
      <c r="Y621" s="1130"/>
      <c r="Z621" s="1130"/>
    </row>
    <row r="622" spans="1:26" ht="15.75" customHeight="1">
      <c r="A622" s="1130"/>
      <c r="B622" s="1130"/>
      <c r="C622" s="1130"/>
      <c r="D622" s="1130"/>
      <c r="E622" s="1130"/>
      <c r="F622" s="1130"/>
      <c r="G622" s="1130"/>
      <c r="H622" s="1130"/>
      <c r="I622" s="1130"/>
      <c r="J622" s="1130"/>
      <c r="K622" s="1130"/>
      <c r="L622" s="1130"/>
      <c r="M622" s="1130"/>
      <c r="N622" s="1130"/>
      <c r="O622" s="1130"/>
      <c r="P622" s="1130"/>
      <c r="Q622" s="1130"/>
      <c r="R622" s="1130"/>
      <c r="S622" s="1130"/>
      <c r="T622" s="1130"/>
      <c r="U622" s="1130"/>
      <c r="V622" s="1130"/>
      <c r="W622" s="1130"/>
      <c r="X622" s="1130"/>
      <c r="Y622" s="1130"/>
      <c r="Z622" s="1130"/>
    </row>
    <row r="623" spans="1:26" ht="15.75" customHeight="1">
      <c r="A623" s="1130"/>
      <c r="B623" s="1130"/>
      <c r="C623" s="1130"/>
      <c r="D623" s="1130"/>
      <c r="E623" s="1130"/>
      <c r="F623" s="1130"/>
      <c r="G623" s="1130"/>
      <c r="H623" s="1130"/>
      <c r="I623" s="1130"/>
      <c r="J623" s="1130"/>
      <c r="K623" s="1130"/>
      <c r="L623" s="1130"/>
      <c r="M623" s="1130"/>
      <c r="N623" s="1130"/>
      <c r="O623" s="1130"/>
      <c r="P623" s="1130"/>
      <c r="Q623" s="1130"/>
      <c r="R623" s="1130"/>
      <c r="S623" s="1130"/>
      <c r="T623" s="1130"/>
      <c r="U623" s="1130"/>
      <c r="V623" s="1130"/>
      <c r="W623" s="1130"/>
      <c r="X623" s="1130"/>
      <c r="Y623" s="1130"/>
      <c r="Z623" s="1130"/>
    </row>
    <row r="624" spans="1:26" ht="15.75" customHeight="1">
      <c r="A624" s="1130"/>
      <c r="B624" s="1130"/>
      <c r="C624" s="1130"/>
      <c r="D624" s="1130"/>
      <c r="E624" s="1130"/>
      <c r="F624" s="1130"/>
      <c r="G624" s="1130"/>
      <c r="H624" s="1130"/>
      <c r="I624" s="1130"/>
      <c r="J624" s="1130"/>
      <c r="K624" s="1130"/>
      <c r="L624" s="1130"/>
      <c r="M624" s="1130"/>
      <c r="N624" s="1130"/>
      <c r="O624" s="1130"/>
      <c r="P624" s="1130"/>
      <c r="Q624" s="1130"/>
      <c r="R624" s="1130"/>
      <c r="S624" s="1130"/>
      <c r="T624" s="1130"/>
      <c r="U624" s="1130"/>
      <c r="V624" s="1130"/>
      <c r="W624" s="1130"/>
      <c r="X624" s="1130"/>
      <c r="Y624" s="1130"/>
      <c r="Z624" s="1130"/>
    </row>
    <row r="625" spans="1:26" ht="15.75" customHeight="1">
      <c r="A625" s="1130"/>
      <c r="B625" s="1130"/>
      <c r="C625" s="1130"/>
      <c r="D625" s="1130"/>
      <c r="E625" s="1130"/>
      <c r="F625" s="1130"/>
      <c r="G625" s="1130"/>
      <c r="H625" s="1130"/>
      <c r="I625" s="1130"/>
      <c r="J625" s="1130"/>
      <c r="K625" s="1130"/>
      <c r="L625" s="1130"/>
      <c r="M625" s="1130"/>
      <c r="N625" s="1130"/>
      <c r="O625" s="1130"/>
      <c r="P625" s="1130"/>
      <c r="Q625" s="1130"/>
      <c r="R625" s="1130"/>
      <c r="S625" s="1130"/>
      <c r="T625" s="1130"/>
      <c r="U625" s="1130"/>
      <c r="V625" s="1130"/>
      <c r="W625" s="1130"/>
      <c r="X625" s="1130"/>
      <c r="Y625" s="1130"/>
      <c r="Z625" s="1130"/>
    </row>
    <row r="626" spans="1:26" ht="15.75" customHeight="1">
      <c r="A626" s="1130"/>
      <c r="B626" s="1130"/>
      <c r="C626" s="1130"/>
      <c r="D626" s="1130"/>
      <c r="E626" s="1130"/>
      <c r="F626" s="1130"/>
      <c r="G626" s="1130"/>
      <c r="H626" s="1130"/>
      <c r="I626" s="1130"/>
      <c r="J626" s="1130"/>
      <c r="K626" s="1130"/>
      <c r="L626" s="1130"/>
      <c r="M626" s="1130"/>
      <c r="N626" s="1130"/>
      <c r="O626" s="1130"/>
      <c r="P626" s="1130"/>
      <c r="Q626" s="1130"/>
      <c r="R626" s="1130"/>
      <c r="S626" s="1130"/>
      <c r="T626" s="1130"/>
      <c r="U626" s="1130"/>
      <c r="V626" s="1130"/>
      <c r="W626" s="1130"/>
      <c r="X626" s="1130"/>
      <c r="Y626" s="1130"/>
      <c r="Z626" s="1130"/>
    </row>
    <row r="627" spans="1:26" ht="15.75" customHeight="1">
      <c r="A627" s="1130"/>
      <c r="B627" s="1130"/>
      <c r="C627" s="1130"/>
      <c r="D627" s="1130"/>
      <c r="E627" s="1130"/>
      <c r="F627" s="1130"/>
      <c r="G627" s="1130"/>
      <c r="H627" s="1130"/>
      <c r="I627" s="1130"/>
      <c r="J627" s="1130"/>
      <c r="K627" s="1130"/>
      <c r="L627" s="1130"/>
      <c r="M627" s="1130"/>
      <c r="N627" s="1130"/>
      <c r="O627" s="1130"/>
      <c r="P627" s="1130"/>
      <c r="Q627" s="1130"/>
      <c r="R627" s="1130"/>
      <c r="S627" s="1130"/>
      <c r="T627" s="1130"/>
      <c r="U627" s="1130"/>
      <c r="V627" s="1130"/>
      <c r="W627" s="1130"/>
      <c r="X627" s="1130"/>
      <c r="Y627" s="1130"/>
      <c r="Z627" s="1130"/>
    </row>
    <row r="628" spans="1:26" ht="15.75" customHeight="1">
      <c r="A628" s="1130"/>
      <c r="B628" s="1130"/>
      <c r="C628" s="1130"/>
      <c r="D628" s="1130"/>
      <c r="E628" s="1130"/>
      <c r="F628" s="1130"/>
      <c r="G628" s="1130"/>
      <c r="H628" s="1130"/>
      <c r="I628" s="1130"/>
      <c r="J628" s="1130"/>
      <c r="K628" s="1130"/>
      <c r="L628" s="1130"/>
      <c r="M628" s="1130"/>
      <c r="N628" s="1130"/>
      <c r="O628" s="1130"/>
      <c r="P628" s="1130"/>
      <c r="Q628" s="1130"/>
      <c r="R628" s="1130"/>
      <c r="S628" s="1130"/>
      <c r="T628" s="1130"/>
      <c r="U628" s="1130"/>
      <c r="V628" s="1130"/>
      <c r="W628" s="1130"/>
      <c r="X628" s="1130"/>
      <c r="Y628" s="1130"/>
      <c r="Z628" s="1130"/>
    </row>
    <row r="629" spans="1:26" ht="15.75" customHeight="1">
      <c r="A629" s="1130"/>
      <c r="B629" s="1130"/>
      <c r="C629" s="1130"/>
      <c r="D629" s="1130"/>
      <c r="E629" s="1130"/>
      <c r="F629" s="1130"/>
      <c r="G629" s="1130"/>
      <c r="H629" s="1130"/>
      <c r="I629" s="1130"/>
      <c r="J629" s="1130"/>
      <c r="K629" s="1130"/>
      <c r="L629" s="1130"/>
      <c r="M629" s="1130"/>
      <c r="N629" s="1130"/>
      <c r="O629" s="1130"/>
      <c r="P629" s="1130"/>
      <c r="Q629" s="1130"/>
      <c r="R629" s="1130"/>
      <c r="S629" s="1130"/>
      <c r="T629" s="1130"/>
      <c r="U629" s="1130"/>
      <c r="V629" s="1130"/>
      <c r="W629" s="1130"/>
      <c r="X629" s="1130"/>
      <c r="Y629" s="1130"/>
      <c r="Z629" s="1130"/>
    </row>
    <row r="630" spans="1:26" ht="15.75" customHeight="1">
      <c r="A630" s="1130"/>
      <c r="B630" s="1130"/>
      <c r="C630" s="1130"/>
      <c r="D630" s="1130"/>
      <c r="E630" s="1130"/>
      <c r="F630" s="1130"/>
      <c r="G630" s="1130"/>
      <c r="H630" s="1130"/>
      <c r="I630" s="1130"/>
      <c r="J630" s="1130"/>
      <c r="K630" s="1130"/>
      <c r="L630" s="1130"/>
      <c r="M630" s="1130"/>
      <c r="N630" s="1130"/>
      <c r="O630" s="1130"/>
      <c r="P630" s="1130"/>
      <c r="Q630" s="1130"/>
      <c r="R630" s="1130"/>
      <c r="S630" s="1130"/>
      <c r="T630" s="1130"/>
      <c r="U630" s="1130"/>
      <c r="V630" s="1130"/>
      <c r="W630" s="1130"/>
      <c r="X630" s="1130"/>
      <c r="Y630" s="1130"/>
      <c r="Z630" s="1130"/>
    </row>
    <row r="631" spans="1:26" ht="15.75" customHeight="1">
      <c r="A631" s="1130"/>
      <c r="B631" s="1130"/>
      <c r="C631" s="1130"/>
      <c r="D631" s="1130"/>
      <c r="E631" s="1130"/>
      <c r="F631" s="1130"/>
      <c r="G631" s="1130"/>
      <c r="H631" s="1130"/>
      <c r="I631" s="1130"/>
      <c r="J631" s="1130"/>
      <c r="K631" s="1130"/>
      <c r="L631" s="1130"/>
      <c r="M631" s="1130"/>
      <c r="N631" s="1130"/>
      <c r="O631" s="1130"/>
      <c r="P631" s="1130"/>
      <c r="Q631" s="1130"/>
      <c r="R631" s="1130"/>
      <c r="S631" s="1130"/>
      <c r="T631" s="1130"/>
      <c r="U631" s="1130"/>
      <c r="V631" s="1130"/>
      <c r="W631" s="1130"/>
      <c r="X631" s="1130"/>
      <c r="Y631" s="1130"/>
      <c r="Z631" s="1130"/>
    </row>
    <row r="632" spans="1:26" ht="15.75" customHeight="1">
      <c r="A632" s="1130"/>
      <c r="B632" s="1130"/>
      <c r="C632" s="1130"/>
      <c r="D632" s="1130"/>
      <c r="E632" s="1130"/>
      <c r="F632" s="1130"/>
      <c r="G632" s="1130"/>
      <c r="H632" s="1130"/>
      <c r="I632" s="1130"/>
      <c r="J632" s="1130"/>
      <c r="K632" s="1130"/>
      <c r="L632" s="1130"/>
      <c r="M632" s="1130"/>
      <c r="N632" s="1130"/>
      <c r="O632" s="1130"/>
      <c r="P632" s="1130"/>
      <c r="Q632" s="1130"/>
      <c r="R632" s="1130"/>
      <c r="S632" s="1130"/>
      <c r="T632" s="1130"/>
      <c r="U632" s="1130"/>
      <c r="V632" s="1130"/>
      <c r="W632" s="1130"/>
      <c r="X632" s="1130"/>
      <c r="Y632" s="1130"/>
      <c r="Z632" s="1130"/>
    </row>
    <row r="633" spans="1:26" ht="15.75" customHeight="1">
      <c r="A633" s="1130"/>
      <c r="B633" s="1130"/>
      <c r="C633" s="1130"/>
      <c r="D633" s="1130"/>
      <c r="E633" s="1130"/>
      <c r="F633" s="1130"/>
      <c r="G633" s="1130"/>
      <c r="H633" s="1130"/>
      <c r="I633" s="1130"/>
      <c r="J633" s="1130"/>
      <c r="K633" s="1130"/>
      <c r="L633" s="1130"/>
      <c r="M633" s="1130"/>
      <c r="N633" s="1130"/>
      <c r="O633" s="1130"/>
      <c r="P633" s="1130"/>
      <c r="Q633" s="1130"/>
      <c r="R633" s="1130"/>
      <c r="S633" s="1130"/>
      <c r="T633" s="1130"/>
      <c r="U633" s="1130"/>
      <c r="V633" s="1130"/>
      <c r="W633" s="1130"/>
      <c r="X633" s="1130"/>
      <c r="Y633" s="1130"/>
      <c r="Z633" s="1130"/>
    </row>
    <row r="634" spans="1:26" ht="15.75" customHeight="1">
      <c r="A634" s="1130"/>
      <c r="B634" s="1130"/>
      <c r="C634" s="1130"/>
      <c r="D634" s="1130"/>
      <c r="E634" s="1130"/>
      <c r="F634" s="1130"/>
      <c r="G634" s="1130"/>
      <c r="H634" s="1130"/>
      <c r="I634" s="1130"/>
      <c r="J634" s="1130"/>
      <c r="K634" s="1130"/>
      <c r="L634" s="1130"/>
      <c r="M634" s="1130"/>
      <c r="N634" s="1130"/>
      <c r="O634" s="1130"/>
      <c r="P634" s="1130"/>
      <c r="Q634" s="1130"/>
      <c r="R634" s="1130"/>
      <c r="S634" s="1130"/>
      <c r="T634" s="1130"/>
      <c r="U634" s="1130"/>
      <c r="V634" s="1130"/>
      <c r="W634" s="1130"/>
      <c r="X634" s="1130"/>
      <c r="Y634" s="1130"/>
      <c r="Z634" s="1130"/>
    </row>
    <row r="635" spans="1:26" ht="15.75" customHeight="1">
      <c r="A635" s="1130"/>
      <c r="B635" s="1130"/>
      <c r="C635" s="1130"/>
      <c r="D635" s="1130"/>
      <c r="E635" s="1130"/>
      <c r="F635" s="1130"/>
      <c r="G635" s="1130"/>
      <c r="H635" s="1130"/>
      <c r="I635" s="1130"/>
      <c r="J635" s="1130"/>
      <c r="K635" s="1130"/>
      <c r="L635" s="1130"/>
      <c r="M635" s="1130"/>
      <c r="N635" s="1130"/>
      <c r="O635" s="1130"/>
      <c r="P635" s="1130"/>
      <c r="Q635" s="1130"/>
      <c r="R635" s="1130"/>
      <c r="S635" s="1130"/>
      <c r="T635" s="1130"/>
      <c r="U635" s="1130"/>
      <c r="V635" s="1130"/>
      <c r="W635" s="1130"/>
      <c r="X635" s="1130"/>
      <c r="Y635" s="1130"/>
      <c r="Z635" s="1130"/>
    </row>
    <row r="636" spans="1:26" ht="15.75" customHeight="1">
      <c r="A636" s="1130"/>
      <c r="B636" s="1130"/>
      <c r="C636" s="1130"/>
      <c r="D636" s="1130"/>
      <c r="E636" s="1130"/>
      <c r="F636" s="1130"/>
      <c r="G636" s="1130"/>
      <c r="H636" s="1130"/>
      <c r="I636" s="1130"/>
      <c r="J636" s="1130"/>
      <c r="K636" s="1130"/>
      <c r="L636" s="1130"/>
      <c r="M636" s="1130"/>
      <c r="N636" s="1130"/>
      <c r="O636" s="1130"/>
      <c r="P636" s="1130"/>
      <c r="Q636" s="1130"/>
      <c r="R636" s="1130"/>
      <c r="S636" s="1130"/>
      <c r="T636" s="1130"/>
      <c r="U636" s="1130"/>
      <c r="V636" s="1130"/>
      <c r="W636" s="1130"/>
      <c r="X636" s="1130"/>
      <c r="Y636" s="1130"/>
      <c r="Z636" s="1130"/>
    </row>
    <row r="637" spans="1:26" ht="15.75" customHeight="1">
      <c r="A637" s="1130"/>
      <c r="B637" s="1130"/>
      <c r="C637" s="1130"/>
      <c r="D637" s="1130"/>
      <c r="E637" s="1130"/>
      <c r="F637" s="1130"/>
      <c r="G637" s="1130"/>
      <c r="H637" s="1130"/>
      <c r="I637" s="1130"/>
      <c r="J637" s="1130"/>
      <c r="K637" s="1130"/>
      <c r="L637" s="1130"/>
      <c r="M637" s="1130"/>
      <c r="N637" s="1130"/>
      <c r="O637" s="1130"/>
      <c r="P637" s="1130"/>
      <c r="Q637" s="1130"/>
      <c r="R637" s="1130"/>
      <c r="S637" s="1130"/>
      <c r="T637" s="1130"/>
      <c r="U637" s="1130"/>
      <c r="V637" s="1130"/>
      <c r="W637" s="1130"/>
      <c r="X637" s="1130"/>
      <c r="Y637" s="1130"/>
      <c r="Z637" s="1130"/>
    </row>
    <row r="638" spans="1:26" ht="15.75" customHeight="1">
      <c r="A638" s="1130"/>
      <c r="B638" s="1130"/>
      <c r="C638" s="1130"/>
      <c r="D638" s="1130"/>
      <c r="E638" s="1130"/>
      <c r="F638" s="1130"/>
      <c r="G638" s="1130"/>
      <c r="H638" s="1130"/>
      <c r="I638" s="1130"/>
      <c r="J638" s="1130"/>
      <c r="K638" s="1130"/>
      <c r="L638" s="1130"/>
      <c r="M638" s="1130"/>
      <c r="N638" s="1130"/>
      <c r="O638" s="1130"/>
      <c r="P638" s="1130"/>
      <c r="Q638" s="1130"/>
      <c r="R638" s="1130"/>
      <c r="S638" s="1130"/>
      <c r="T638" s="1130"/>
      <c r="U638" s="1130"/>
      <c r="V638" s="1130"/>
      <c r="W638" s="1130"/>
      <c r="X638" s="1130"/>
      <c r="Y638" s="1130"/>
      <c r="Z638" s="1130"/>
    </row>
    <row r="639" spans="1:26" ht="15.75" customHeight="1">
      <c r="A639" s="1130"/>
      <c r="B639" s="1130"/>
      <c r="C639" s="1130"/>
      <c r="D639" s="1130"/>
      <c r="E639" s="1130"/>
      <c r="F639" s="1130"/>
      <c r="G639" s="1130"/>
      <c r="H639" s="1130"/>
      <c r="I639" s="1130"/>
      <c r="J639" s="1130"/>
      <c r="K639" s="1130"/>
      <c r="L639" s="1130"/>
      <c r="M639" s="1130"/>
      <c r="N639" s="1130"/>
      <c r="O639" s="1130"/>
      <c r="P639" s="1130"/>
      <c r="Q639" s="1130"/>
      <c r="R639" s="1130"/>
      <c r="S639" s="1130"/>
      <c r="T639" s="1130"/>
      <c r="U639" s="1130"/>
      <c r="V639" s="1130"/>
      <c r="W639" s="1130"/>
      <c r="X639" s="1130"/>
      <c r="Y639" s="1130"/>
      <c r="Z639" s="1130"/>
    </row>
    <row r="640" spans="1:26" ht="15.75" customHeight="1">
      <c r="A640" s="1130"/>
      <c r="B640" s="1130"/>
      <c r="C640" s="1130"/>
      <c r="D640" s="1130"/>
      <c r="E640" s="1130"/>
      <c r="F640" s="1130"/>
      <c r="G640" s="1130"/>
      <c r="H640" s="1130"/>
      <c r="I640" s="1130"/>
      <c r="J640" s="1130"/>
      <c r="K640" s="1130"/>
      <c r="L640" s="1130"/>
      <c r="M640" s="1130"/>
      <c r="N640" s="1130"/>
      <c r="O640" s="1130"/>
      <c r="P640" s="1130"/>
      <c r="Q640" s="1130"/>
      <c r="R640" s="1130"/>
      <c r="S640" s="1130"/>
      <c r="T640" s="1130"/>
      <c r="U640" s="1130"/>
      <c r="V640" s="1130"/>
      <c r="W640" s="1130"/>
      <c r="X640" s="1130"/>
      <c r="Y640" s="1130"/>
      <c r="Z640" s="1130"/>
    </row>
    <row r="641" spans="1:26" ht="15.75" customHeight="1">
      <c r="A641" s="1130"/>
      <c r="B641" s="1130"/>
      <c r="C641" s="1130"/>
      <c r="D641" s="1130"/>
      <c r="E641" s="1130"/>
      <c r="F641" s="1130"/>
      <c r="G641" s="1130"/>
      <c r="H641" s="1130"/>
      <c r="I641" s="1130"/>
      <c r="J641" s="1130"/>
      <c r="K641" s="1130"/>
      <c r="L641" s="1130"/>
      <c r="M641" s="1130"/>
      <c r="N641" s="1130"/>
      <c r="O641" s="1130"/>
      <c r="P641" s="1130"/>
      <c r="Q641" s="1130"/>
      <c r="R641" s="1130"/>
      <c r="S641" s="1130"/>
      <c r="T641" s="1130"/>
      <c r="U641" s="1130"/>
      <c r="V641" s="1130"/>
      <c r="W641" s="1130"/>
      <c r="X641" s="1130"/>
      <c r="Y641" s="1130"/>
      <c r="Z641" s="1130"/>
    </row>
    <row r="642" spans="1:26" ht="15.75" customHeight="1">
      <c r="A642" s="1130"/>
      <c r="B642" s="1130"/>
      <c r="C642" s="1130"/>
      <c r="D642" s="1130"/>
      <c r="E642" s="1130"/>
      <c r="F642" s="1130"/>
      <c r="G642" s="1130"/>
      <c r="H642" s="1130"/>
      <c r="I642" s="1130"/>
      <c r="J642" s="1130"/>
      <c r="K642" s="1130"/>
      <c r="L642" s="1130"/>
      <c r="M642" s="1130"/>
      <c r="N642" s="1130"/>
      <c r="O642" s="1130"/>
      <c r="P642" s="1130"/>
      <c r="Q642" s="1130"/>
      <c r="R642" s="1130"/>
      <c r="S642" s="1130"/>
      <c r="T642" s="1130"/>
      <c r="U642" s="1130"/>
      <c r="V642" s="1130"/>
      <c r="W642" s="1130"/>
      <c r="X642" s="1130"/>
      <c r="Y642" s="1130"/>
      <c r="Z642" s="1130"/>
    </row>
    <row r="643" spans="1:26" ht="15.75" customHeight="1">
      <c r="A643" s="1130"/>
      <c r="B643" s="1130"/>
      <c r="C643" s="1130"/>
      <c r="D643" s="1130"/>
      <c r="E643" s="1130"/>
      <c r="F643" s="1130"/>
      <c r="G643" s="1130"/>
      <c r="H643" s="1130"/>
      <c r="I643" s="1130"/>
      <c r="J643" s="1130"/>
      <c r="K643" s="1130"/>
      <c r="L643" s="1130"/>
      <c r="M643" s="1130"/>
      <c r="N643" s="1130"/>
      <c r="O643" s="1130"/>
      <c r="P643" s="1130"/>
      <c r="Q643" s="1130"/>
      <c r="R643" s="1130"/>
      <c r="S643" s="1130"/>
      <c r="T643" s="1130"/>
      <c r="U643" s="1130"/>
      <c r="V643" s="1130"/>
      <c r="W643" s="1130"/>
      <c r="X643" s="1130"/>
      <c r="Y643" s="1130"/>
      <c r="Z643" s="1130"/>
    </row>
    <row r="644" spans="1:26" ht="15.75" customHeight="1">
      <c r="A644" s="1130"/>
      <c r="B644" s="1130"/>
      <c r="C644" s="1130"/>
      <c r="D644" s="1130"/>
      <c r="E644" s="1130"/>
      <c r="F644" s="1130"/>
      <c r="G644" s="1130"/>
      <c r="H644" s="1130"/>
      <c r="I644" s="1130"/>
      <c r="J644" s="1130"/>
      <c r="K644" s="1130"/>
      <c r="L644" s="1130"/>
      <c r="M644" s="1130"/>
      <c r="N644" s="1130"/>
      <c r="O644" s="1130"/>
      <c r="P644" s="1130"/>
      <c r="Q644" s="1130"/>
      <c r="R644" s="1130"/>
      <c r="S644" s="1130"/>
      <c r="T644" s="1130"/>
      <c r="U644" s="1130"/>
      <c r="V644" s="1130"/>
      <c r="W644" s="1130"/>
      <c r="X644" s="1130"/>
      <c r="Y644" s="1130"/>
      <c r="Z644" s="1130"/>
    </row>
    <row r="645" spans="1:26" ht="15.75" customHeight="1">
      <c r="A645" s="1130"/>
      <c r="B645" s="1130"/>
      <c r="C645" s="1130"/>
      <c r="D645" s="1130"/>
      <c r="E645" s="1130"/>
      <c r="F645" s="1130"/>
      <c r="G645" s="1130"/>
      <c r="H645" s="1130"/>
      <c r="I645" s="1130"/>
      <c r="J645" s="1130"/>
      <c r="K645" s="1130"/>
      <c r="L645" s="1130"/>
      <c r="M645" s="1130"/>
      <c r="N645" s="1130"/>
      <c r="O645" s="1130"/>
      <c r="P645" s="1130"/>
      <c r="Q645" s="1130"/>
      <c r="R645" s="1130"/>
      <c r="S645" s="1130"/>
      <c r="T645" s="1130"/>
      <c r="U645" s="1130"/>
      <c r="V645" s="1130"/>
      <c r="W645" s="1130"/>
      <c r="X645" s="1130"/>
      <c r="Y645" s="1130"/>
      <c r="Z645" s="1130"/>
    </row>
    <row r="646" spans="1:26" ht="15.75" customHeight="1">
      <c r="A646" s="1130"/>
      <c r="B646" s="1130"/>
      <c r="C646" s="1130"/>
      <c r="D646" s="1130"/>
      <c r="E646" s="1130"/>
      <c r="F646" s="1130"/>
      <c r="G646" s="1130"/>
      <c r="H646" s="1130"/>
      <c r="I646" s="1130"/>
      <c r="J646" s="1130"/>
      <c r="K646" s="1130"/>
      <c r="L646" s="1130"/>
      <c r="M646" s="1130"/>
      <c r="N646" s="1130"/>
      <c r="O646" s="1130"/>
      <c r="P646" s="1130"/>
      <c r="Q646" s="1130"/>
      <c r="R646" s="1130"/>
      <c r="S646" s="1130"/>
      <c r="T646" s="1130"/>
      <c r="U646" s="1130"/>
      <c r="V646" s="1130"/>
      <c r="W646" s="1130"/>
      <c r="X646" s="1130"/>
      <c r="Y646" s="1130"/>
      <c r="Z646" s="1130"/>
    </row>
    <row r="647" spans="1:26" ht="15.75" customHeight="1">
      <c r="A647" s="1130"/>
      <c r="B647" s="1130"/>
      <c r="C647" s="1130"/>
      <c r="D647" s="1130"/>
      <c r="E647" s="1130"/>
      <c r="F647" s="1130"/>
      <c r="G647" s="1130"/>
      <c r="H647" s="1130"/>
      <c r="I647" s="1130"/>
      <c r="J647" s="1130"/>
      <c r="K647" s="1130"/>
      <c r="L647" s="1130"/>
      <c r="M647" s="1130"/>
      <c r="N647" s="1130"/>
      <c r="O647" s="1130"/>
      <c r="P647" s="1130"/>
      <c r="Q647" s="1130"/>
      <c r="R647" s="1130"/>
      <c r="S647" s="1130"/>
      <c r="T647" s="1130"/>
      <c r="U647" s="1130"/>
      <c r="V647" s="1130"/>
      <c r="W647" s="1130"/>
      <c r="X647" s="1130"/>
      <c r="Y647" s="1130"/>
      <c r="Z647" s="1130"/>
    </row>
    <row r="648" spans="1:26" ht="15.75" customHeight="1">
      <c r="A648" s="1130"/>
      <c r="B648" s="1130"/>
      <c r="C648" s="1130"/>
      <c r="D648" s="1130"/>
      <c r="E648" s="1130"/>
      <c r="F648" s="1130"/>
      <c r="G648" s="1130"/>
      <c r="H648" s="1130"/>
      <c r="I648" s="1130"/>
      <c r="J648" s="1130"/>
      <c r="K648" s="1130"/>
      <c r="L648" s="1130"/>
      <c r="M648" s="1130"/>
      <c r="N648" s="1130"/>
      <c r="O648" s="1130"/>
      <c r="P648" s="1130"/>
      <c r="Q648" s="1130"/>
      <c r="R648" s="1130"/>
      <c r="S648" s="1130"/>
      <c r="T648" s="1130"/>
      <c r="U648" s="1130"/>
      <c r="V648" s="1130"/>
      <c r="W648" s="1130"/>
      <c r="X648" s="1130"/>
      <c r="Y648" s="1130"/>
      <c r="Z648" s="1130"/>
    </row>
    <row r="649" spans="1:26" ht="15.75" customHeight="1">
      <c r="A649" s="1130"/>
      <c r="B649" s="1130"/>
      <c r="C649" s="1130"/>
      <c r="D649" s="1130"/>
      <c r="E649" s="1130"/>
      <c r="F649" s="1130"/>
      <c r="G649" s="1130"/>
      <c r="H649" s="1130"/>
      <c r="I649" s="1130"/>
      <c r="J649" s="1130"/>
      <c r="K649" s="1130"/>
      <c r="L649" s="1130"/>
      <c r="M649" s="1130"/>
      <c r="N649" s="1130"/>
      <c r="O649" s="1130"/>
      <c r="P649" s="1130"/>
      <c r="Q649" s="1130"/>
      <c r="R649" s="1130"/>
      <c r="S649" s="1130"/>
      <c r="T649" s="1130"/>
      <c r="U649" s="1130"/>
      <c r="V649" s="1130"/>
      <c r="W649" s="1130"/>
      <c r="X649" s="1130"/>
      <c r="Y649" s="1130"/>
      <c r="Z649" s="1130"/>
    </row>
    <row r="650" spans="1:26" ht="15.75" customHeight="1">
      <c r="A650" s="1130"/>
      <c r="B650" s="1130"/>
      <c r="C650" s="1130"/>
      <c r="D650" s="1130"/>
      <c r="E650" s="1130"/>
      <c r="F650" s="1130"/>
      <c r="G650" s="1130"/>
      <c r="H650" s="1130"/>
      <c r="I650" s="1130"/>
      <c r="J650" s="1130"/>
      <c r="K650" s="1130"/>
      <c r="L650" s="1130"/>
      <c r="M650" s="1130"/>
      <c r="N650" s="1130"/>
      <c r="O650" s="1130"/>
      <c r="P650" s="1130"/>
      <c r="Q650" s="1130"/>
      <c r="R650" s="1130"/>
      <c r="S650" s="1130"/>
      <c r="T650" s="1130"/>
      <c r="U650" s="1130"/>
      <c r="V650" s="1130"/>
      <c r="W650" s="1130"/>
      <c r="X650" s="1130"/>
      <c r="Y650" s="1130"/>
      <c r="Z650" s="1130"/>
    </row>
    <row r="651" spans="1:26" ht="15.75" customHeight="1">
      <c r="A651" s="1130"/>
      <c r="B651" s="1130"/>
      <c r="C651" s="1130"/>
      <c r="D651" s="1130"/>
      <c r="E651" s="1130"/>
      <c r="F651" s="1130"/>
      <c r="G651" s="1130"/>
      <c r="H651" s="1130"/>
      <c r="I651" s="1130"/>
      <c r="J651" s="1130"/>
      <c r="K651" s="1130"/>
      <c r="L651" s="1130"/>
      <c r="M651" s="1130"/>
      <c r="N651" s="1130"/>
      <c r="O651" s="1130"/>
      <c r="P651" s="1130"/>
      <c r="Q651" s="1130"/>
      <c r="R651" s="1130"/>
      <c r="S651" s="1130"/>
      <c r="T651" s="1130"/>
      <c r="U651" s="1130"/>
      <c r="V651" s="1130"/>
      <c r="W651" s="1130"/>
      <c r="X651" s="1130"/>
      <c r="Y651" s="1130"/>
      <c r="Z651" s="1130"/>
    </row>
    <row r="652" spans="1:26" ht="15.75" customHeight="1">
      <c r="A652" s="1130"/>
      <c r="B652" s="1130"/>
      <c r="C652" s="1130"/>
      <c r="D652" s="1130"/>
      <c r="E652" s="1130"/>
      <c r="F652" s="1130"/>
      <c r="G652" s="1130"/>
      <c r="H652" s="1130"/>
      <c r="I652" s="1130"/>
      <c r="J652" s="1130"/>
      <c r="K652" s="1130"/>
      <c r="L652" s="1130"/>
      <c r="M652" s="1130"/>
      <c r="N652" s="1130"/>
      <c r="O652" s="1130"/>
      <c r="P652" s="1130"/>
      <c r="Q652" s="1130"/>
      <c r="R652" s="1130"/>
      <c r="S652" s="1130"/>
      <c r="T652" s="1130"/>
      <c r="U652" s="1130"/>
      <c r="V652" s="1130"/>
      <c r="W652" s="1130"/>
      <c r="X652" s="1130"/>
      <c r="Y652" s="1130"/>
      <c r="Z652" s="1130"/>
    </row>
    <row r="653" spans="1:26" ht="15.75" customHeight="1">
      <c r="A653" s="1130"/>
      <c r="B653" s="1130"/>
      <c r="C653" s="1130"/>
      <c r="D653" s="1130"/>
      <c r="E653" s="1130"/>
      <c r="F653" s="1130"/>
      <c r="G653" s="1130"/>
      <c r="H653" s="1130"/>
      <c r="I653" s="1130"/>
      <c r="J653" s="1130"/>
      <c r="K653" s="1130"/>
      <c r="L653" s="1130"/>
      <c r="M653" s="1130"/>
      <c r="N653" s="1130"/>
      <c r="O653" s="1130"/>
      <c r="P653" s="1130"/>
      <c r="Q653" s="1130"/>
      <c r="R653" s="1130"/>
      <c r="S653" s="1130"/>
      <c r="T653" s="1130"/>
      <c r="U653" s="1130"/>
      <c r="V653" s="1130"/>
      <c r="W653" s="1130"/>
      <c r="X653" s="1130"/>
      <c r="Y653" s="1130"/>
      <c r="Z653" s="1130"/>
    </row>
    <row r="654" spans="1:26" ht="15.75" customHeight="1">
      <c r="A654" s="1130"/>
      <c r="B654" s="1130"/>
      <c r="C654" s="1130"/>
      <c r="D654" s="1130"/>
      <c r="E654" s="1130"/>
      <c r="F654" s="1130"/>
      <c r="G654" s="1130"/>
      <c r="H654" s="1130"/>
      <c r="I654" s="1130"/>
      <c r="J654" s="1130"/>
      <c r="K654" s="1130"/>
      <c r="L654" s="1130"/>
      <c r="M654" s="1130"/>
      <c r="N654" s="1130"/>
      <c r="O654" s="1130"/>
      <c r="P654" s="1130"/>
      <c r="Q654" s="1130"/>
      <c r="R654" s="1130"/>
      <c r="S654" s="1130"/>
      <c r="T654" s="1130"/>
      <c r="U654" s="1130"/>
      <c r="V654" s="1130"/>
      <c r="W654" s="1130"/>
      <c r="X654" s="1130"/>
      <c r="Y654" s="1130"/>
      <c r="Z654" s="1130"/>
    </row>
    <row r="655" spans="1:26" ht="15.75" customHeight="1">
      <c r="A655" s="1130"/>
      <c r="B655" s="1130"/>
      <c r="C655" s="1130"/>
      <c r="D655" s="1130"/>
      <c r="E655" s="1130"/>
      <c r="F655" s="1130"/>
      <c r="G655" s="1130"/>
      <c r="H655" s="1130"/>
      <c r="I655" s="1130"/>
      <c r="J655" s="1130"/>
      <c r="K655" s="1130"/>
      <c r="L655" s="1130"/>
      <c r="M655" s="1130"/>
      <c r="N655" s="1130"/>
      <c r="O655" s="1130"/>
      <c r="P655" s="1130"/>
      <c r="Q655" s="1130"/>
      <c r="R655" s="1130"/>
      <c r="S655" s="1130"/>
      <c r="T655" s="1130"/>
      <c r="U655" s="1130"/>
      <c r="V655" s="1130"/>
      <c r="W655" s="1130"/>
      <c r="X655" s="1130"/>
      <c r="Y655" s="1130"/>
      <c r="Z655" s="1130"/>
    </row>
    <row r="656" spans="1:26" ht="15.75" customHeight="1">
      <c r="A656" s="1130"/>
      <c r="B656" s="1130"/>
      <c r="C656" s="1130"/>
      <c r="D656" s="1130"/>
      <c r="E656" s="1130"/>
      <c r="F656" s="1130"/>
      <c r="G656" s="1130"/>
      <c r="H656" s="1130"/>
      <c r="I656" s="1130"/>
      <c r="J656" s="1130"/>
      <c r="K656" s="1130"/>
      <c r="L656" s="1130"/>
      <c r="M656" s="1130"/>
      <c r="N656" s="1130"/>
      <c r="O656" s="1130"/>
      <c r="P656" s="1130"/>
      <c r="Q656" s="1130"/>
      <c r="R656" s="1130"/>
      <c r="S656" s="1130"/>
      <c r="T656" s="1130"/>
      <c r="U656" s="1130"/>
      <c r="V656" s="1130"/>
      <c r="W656" s="1130"/>
      <c r="X656" s="1130"/>
      <c r="Y656" s="1130"/>
      <c r="Z656" s="1130"/>
    </row>
    <row r="657" spans="1:26" ht="15.75" customHeight="1">
      <c r="A657" s="1130"/>
      <c r="B657" s="1130"/>
      <c r="C657" s="1130"/>
      <c r="D657" s="1130"/>
      <c r="E657" s="1130"/>
      <c r="F657" s="1130"/>
      <c r="G657" s="1130"/>
      <c r="H657" s="1130"/>
      <c r="I657" s="1130"/>
      <c r="J657" s="1130"/>
      <c r="K657" s="1130"/>
      <c r="L657" s="1130"/>
      <c r="M657" s="1130"/>
      <c r="N657" s="1130"/>
      <c r="O657" s="1130"/>
      <c r="P657" s="1130"/>
      <c r="Q657" s="1130"/>
      <c r="R657" s="1130"/>
      <c r="S657" s="1130"/>
      <c r="T657" s="1130"/>
      <c r="U657" s="1130"/>
      <c r="V657" s="1130"/>
      <c r="W657" s="1130"/>
      <c r="X657" s="1130"/>
      <c r="Y657" s="1130"/>
      <c r="Z657" s="1130"/>
    </row>
    <row r="658" spans="1:26" ht="15.75" customHeight="1">
      <c r="A658" s="1130"/>
      <c r="B658" s="1130"/>
      <c r="C658" s="1130"/>
      <c r="D658" s="1130"/>
      <c r="E658" s="1130"/>
      <c r="F658" s="1130"/>
      <c r="G658" s="1130"/>
      <c r="H658" s="1130"/>
      <c r="I658" s="1130"/>
      <c r="J658" s="1130"/>
      <c r="K658" s="1130"/>
      <c r="L658" s="1130"/>
      <c r="M658" s="1130"/>
      <c r="N658" s="1130"/>
      <c r="O658" s="1130"/>
      <c r="P658" s="1130"/>
      <c r="Q658" s="1130"/>
      <c r="R658" s="1130"/>
      <c r="S658" s="1130"/>
      <c r="T658" s="1130"/>
      <c r="U658" s="1130"/>
      <c r="V658" s="1130"/>
      <c r="W658" s="1130"/>
      <c r="X658" s="1130"/>
      <c r="Y658" s="1130"/>
      <c r="Z658" s="1130"/>
    </row>
    <row r="659" spans="1:26" ht="15.75" customHeight="1">
      <c r="A659" s="1130"/>
      <c r="B659" s="1130"/>
      <c r="C659" s="1130"/>
      <c r="D659" s="1130"/>
      <c r="E659" s="1130"/>
      <c r="F659" s="1130"/>
      <c r="G659" s="1130"/>
      <c r="H659" s="1130"/>
      <c r="I659" s="1130"/>
      <c r="J659" s="1130"/>
      <c r="K659" s="1130"/>
      <c r="L659" s="1130"/>
      <c r="M659" s="1130"/>
      <c r="N659" s="1130"/>
      <c r="O659" s="1130"/>
      <c r="P659" s="1130"/>
      <c r="Q659" s="1130"/>
      <c r="R659" s="1130"/>
      <c r="S659" s="1130"/>
      <c r="T659" s="1130"/>
      <c r="U659" s="1130"/>
      <c r="V659" s="1130"/>
      <c r="W659" s="1130"/>
      <c r="X659" s="1130"/>
      <c r="Y659" s="1130"/>
      <c r="Z659" s="1130"/>
    </row>
    <row r="660" spans="1:26" ht="15.75" customHeight="1">
      <c r="A660" s="1130"/>
      <c r="B660" s="1130"/>
      <c r="C660" s="1130"/>
      <c r="D660" s="1130"/>
      <c r="E660" s="1130"/>
      <c r="F660" s="1130"/>
      <c r="G660" s="1130"/>
      <c r="H660" s="1130"/>
      <c r="I660" s="1130"/>
      <c r="J660" s="1130"/>
      <c r="K660" s="1130"/>
      <c r="L660" s="1130"/>
      <c r="M660" s="1130"/>
      <c r="N660" s="1130"/>
      <c r="O660" s="1130"/>
      <c r="P660" s="1130"/>
      <c r="Q660" s="1130"/>
      <c r="R660" s="1130"/>
      <c r="S660" s="1130"/>
      <c r="T660" s="1130"/>
      <c r="U660" s="1130"/>
      <c r="V660" s="1130"/>
      <c r="W660" s="1130"/>
      <c r="X660" s="1130"/>
      <c r="Y660" s="1130"/>
      <c r="Z660" s="1130"/>
    </row>
    <row r="661" spans="1:26" ht="15.75" customHeight="1">
      <c r="A661" s="1130"/>
      <c r="B661" s="1130"/>
      <c r="C661" s="1130"/>
      <c r="D661" s="1130"/>
      <c r="E661" s="1130"/>
      <c r="F661" s="1130"/>
      <c r="G661" s="1130"/>
      <c r="H661" s="1130"/>
      <c r="I661" s="1130"/>
      <c r="J661" s="1130"/>
      <c r="K661" s="1130"/>
      <c r="L661" s="1130"/>
      <c r="M661" s="1130"/>
      <c r="N661" s="1130"/>
      <c r="O661" s="1130"/>
      <c r="P661" s="1130"/>
      <c r="Q661" s="1130"/>
      <c r="R661" s="1130"/>
      <c r="S661" s="1130"/>
      <c r="T661" s="1130"/>
      <c r="U661" s="1130"/>
      <c r="V661" s="1130"/>
      <c r="W661" s="1130"/>
      <c r="X661" s="1130"/>
      <c r="Y661" s="1130"/>
      <c r="Z661" s="1130"/>
    </row>
    <row r="662" spans="1:26" ht="15.75" customHeight="1">
      <c r="A662" s="1130"/>
      <c r="B662" s="1130"/>
      <c r="C662" s="1130"/>
      <c r="D662" s="1130"/>
      <c r="E662" s="1130"/>
      <c r="F662" s="1130"/>
      <c r="G662" s="1130"/>
      <c r="H662" s="1130"/>
      <c r="I662" s="1130"/>
      <c r="J662" s="1130"/>
      <c r="K662" s="1130"/>
      <c r="L662" s="1130"/>
      <c r="M662" s="1130"/>
      <c r="N662" s="1130"/>
      <c r="O662" s="1130"/>
      <c r="P662" s="1130"/>
      <c r="Q662" s="1130"/>
      <c r="R662" s="1130"/>
      <c r="S662" s="1130"/>
      <c r="T662" s="1130"/>
      <c r="U662" s="1130"/>
      <c r="V662" s="1130"/>
      <c r="W662" s="1130"/>
      <c r="X662" s="1130"/>
      <c r="Y662" s="1130"/>
      <c r="Z662" s="1130"/>
    </row>
    <row r="663" spans="1:26" ht="15.75" customHeight="1">
      <c r="A663" s="1130"/>
      <c r="B663" s="1130"/>
      <c r="C663" s="1130"/>
      <c r="D663" s="1130"/>
      <c r="E663" s="1130"/>
      <c r="F663" s="1130"/>
      <c r="G663" s="1130"/>
      <c r="H663" s="1130"/>
      <c r="I663" s="1130"/>
      <c r="J663" s="1130"/>
      <c r="K663" s="1130"/>
      <c r="L663" s="1130"/>
      <c r="M663" s="1130"/>
      <c r="N663" s="1130"/>
      <c r="O663" s="1130"/>
      <c r="P663" s="1130"/>
      <c r="Q663" s="1130"/>
      <c r="R663" s="1130"/>
      <c r="S663" s="1130"/>
      <c r="T663" s="1130"/>
      <c r="U663" s="1130"/>
      <c r="V663" s="1130"/>
      <c r="W663" s="1130"/>
      <c r="X663" s="1130"/>
      <c r="Y663" s="1130"/>
      <c r="Z663" s="1130"/>
    </row>
    <row r="664" spans="1:26" ht="15.75" customHeight="1">
      <c r="A664" s="1130"/>
      <c r="B664" s="1130"/>
      <c r="C664" s="1130"/>
      <c r="D664" s="1130"/>
      <c r="E664" s="1130"/>
      <c r="F664" s="1130"/>
      <c r="G664" s="1130"/>
      <c r="H664" s="1130"/>
      <c r="I664" s="1130"/>
      <c r="J664" s="1130"/>
      <c r="K664" s="1130"/>
      <c r="L664" s="1130"/>
      <c r="M664" s="1130"/>
      <c r="N664" s="1130"/>
      <c r="O664" s="1130"/>
      <c r="P664" s="1130"/>
      <c r="Q664" s="1130"/>
      <c r="R664" s="1130"/>
      <c r="S664" s="1130"/>
      <c r="T664" s="1130"/>
      <c r="U664" s="1130"/>
      <c r="V664" s="1130"/>
      <c r="W664" s="1130"/>
      <c r="X664" s="1130"/>
      <c r="Y664" s="1130"/>
      <c r="Z664" s="1130"/>
    </row>
    <row r="665" spans="1:26" ht="15.75" customHeight="1">
      <c r="A665" s="1130"/>
      <c r="B665" s="1130"/>
      <c r="C665" s="1130"/>
      <c r="D665" s="1130"/>
      <c r="E665" s="1130"/>
      <c r="F665" s="1130"/>
      <c r="G665" s="1130"/>
      <c r="H665" s="1130"/>
      <c r="I665" s="1130"/>
      <c r="J665" s="1130"/>
      <c r="K665" s="1130"/>
      <c r="L665" s="1130"/>
      <c r="M665" s="1130"/>
      <c r="N665" s="1130"/>
      <c r="O665" s="1130"/>
      <c r="P665" s="1130"/>
      <c r="Q665" s="1130"/>
      <c r="R665" s="1130"/>
      <c r="S665" s="1130"/>
      <c r="T665" s="1130"/>
      <c r="U665" s="1130"/>
      <c r="V665" s="1130"/>
      <c r="W665" s="1130"/>
      <c r="X665" s="1130"/>
      <c r="Y665" s="1130"/>
      <c r="Z665" s="1130"/>
    </row>
    <row r="666" spans="1:26" ht="15.75" customHeight="1">
      <c r="A666" s="1130"/>
      <c r="B666" s="1130"/>
      <c r="C666" s="1130"/>
      <c r="D666" s="1130"/>
      <c r="E666" s="1130"/>
      <c r="F666" s="1130"/>
      <c r="G666" s="1130"/>
      <c r="H666" s="1130"/>
      <c r="I666" s="1130"/>
      <c r="J666" s="1130"/>
      <c r="K666" s="1130"/>
      <c r="L666" s="1130"/>
      <c r="M666" s="1130"/>
      <c r="N666" s="1130"/>
      <c r="O666" s="1130"/>
      <c r="P666" s="1130"/>
      <c r="Q666" s="1130"/>
      <c r="R666" s="1130"/>
      <c r="S666" s="1130"/>
      <c r="T666" s="1130"/>
      <c r="U666" s="1130"/>
      <c r="V666" s="1130"/>
      <c r="W666" s="1130"/>
      <c r="X666" s="1130"/>
      <c r="Y666" s="1130"/>
      <c r="Z666" s="1130"/>
    </row>
    <row r="667" spans="1:26" ht="15.75" customHeight="1">
      <c r="A667" s="1130"/>
      <c r="B667" s="1130"/>
      <c r="C667" s="1130"/>
      <c r="D667" s="1130"/>
      <c r="E667" s="1130"/>
      <c r="F667" s="1130"/>
      <c r="G667" s="1130"/>
      <c r="H667" s="1130"/>
      <c r="I667" s="1130"/>
      <c r="J667" s="1130"/>
      <c r="K667" s="1130"/>
      <c r="L667" s="1130"/>
      <c r="M667" s="1130"/>
      <c r="N667" s="1130"/>
      <c r="O667" s="1130"/>
      <c r="P667" s="1130"/>
      <c r="Q667" s="1130"/>
      <c r="R667" s="1130"/>
      <c r="S667" s="1130"/>
      <c r="T667" s="1130"/>
      <c r="U667" s="1130"/>
      <c r="V667" s="1130"/>
      <c r="W667" s="1130"/>
      <c r="X667" s="1130"/>
      <c r="Y667" s="1130"/>
      <c r="Z667" s="1130"/>
    </row>
    <row r="668" spans="1:26" ht="15.75" customHeight="1">
      <c r="A668" s="1130"/>
      <c r="B668" s="1130"/>
      <c r="C668" s="1130"/>
      <c r="D668" s="1130"/>
      <c r="E668" s="1130"/>
      <c r="F668" s="1130"/>
      <c r="G668" s="1130"/>
      <c r="H668" s="1130"/>
      <c r="I668" s="1130"/>
      <c r="J668" s="1130"/>
      <c r="K668" s="1130"/>
      <c r="L668" s="1130"/>
      <c r="M668" s="1130"/>
      <c r="N668" s="1130"/>
      <c r="O668" s="1130"/>
      <c r="P668" s="1130"/>
      <c r="Q668" s="1130"/>
      <c r="R668" s="1130"/>
      <c r="S668" s="1130"/>
      <c r="T668" s="1130"/>
      <c r="U668" s="1130"/>
      <c r="V668" s="1130"/>
      <c r="W668" s="1130"/>
      <c r="X668" s="1130"/>
      <c r="Y668" s="1130"/>
      <c r="Z668" s="1130"/>
    </row>
    <row r="669" spans="1:26" ht="15.75" customHeight="1">
      <c r="A669" s="1130"/>
      <c r="B669" s="1130"/>
      <c r="C669" s="1130"/>
      <c r="D669" s="1130"/>
      <c r="E669" s="1130"/>
      <c r="F669" s="1130"/>
      <c r="G669" s="1130"/>
      <c r="H669" s="1130"/>
      <c r="I669" s="1130"/>
      <c r="J669" s="1130"/>
      <c r="K669" s="1130"/>
      <c r="L669" s="1130"/>
      <c r="M669" s="1130"/>
      <c r="N669" s="1130"/>
      <c r="O669" s="1130"/>
      <c r="P669" s="1130"/>
      <c r="Q669" s="1130"/>
      <c r="R669" s="1130"/>
      <c r="S669" s="1130"/>
      <c r="T669" s="1130"/>
      <c r="U669" s="1130"/>
      <c r="V669" s="1130"/>
      <c r="W669" s="1130"/>
      <c r="X669" s="1130"/>
      <c r="Y669" s="1130"/>
      <c r="Z669" s="1130"/>
    </row>
    <row r="670" spans="1:26" ht="15.75" customHeight="1">
      <c r="A670" s="1130"/>
      <c r="B670" s="1130"/>
      <c r="C670" s="1130"/>
      <c r="D670" s="1130"/>
      <c r="E670" s="1130"/>
      <c r="F670" s="1130"/>
      <c r="G670" s="1130"/>
      <c r="H670" s="1130"/>
      <c r="I670" s="1130"/>
      <c r="J670" s="1130"/>
      <c r="K670" s="1130"/>
      <c r="L670" s="1130"/>
      <c r="M670" s="1130"/>
      <c r="N670" s="1130"/>
      <c r="O670" s="1130"/>
      <c r="P670" s="1130"/>
      <c r="Q670" s="1130"/>
      <c r="R670" s="1130"/>
      <c r="S670" s="1130"/>
      <c r="T670" s="1130"/>
      <c r="U670" s="1130"/>
      <c r="V670" s="1130"/>
      <c r="W670" s="1130"/>
      <c r="X670" s="1130"/>
      <c r="Y670" s="1130"/>
      <c r="Z670" s="1130"/>
    </row>
    <row r="671" spans="1:26" ht="15.75" customHeight="1">
      <c r="A671" s="1130"/>
      <c r="B671" s="1130"/>
      <c r="C671" s="1130"/>
      <c r="D671" s="1130"/>
      <c r="E671" s="1130"/>
      <c r="F671" s="1130"/>
      <c r="G671" s="1130"/>
      <c r="H671" s="1130"/>
      <c r="I671" s="1130"/>
      <c r="J671" s="1130"/>
      <c r="K671" s="1130"/>
      <c r="L671" s="1130"/>
      <c r="M671" s="1130"/>
      <c r="N671" s="1130"/>
      <c r="O671" s="1130"/>
      <c r="P671" s="1130"/>
      <c r="Q671" s="1130"/>
      <c r="R671" s="1130"/>
      <c r="S671" s="1130"/>
      <c r="T671" s="1130"/>
      <c r="U671" s="1130"/>
      <c r="V671" s="1130"/>
      <c r="W671" s="1130"/>
      <c r="X671" s="1130"/>
      <c r="Y671" s="1130"/>
      <c r="Z671" s="1130"/>
    </row>
    <row r="672" spans="1:26" ht="15.75" customHeight="1">
      <c r="A672" s="1130"/>
      <c r="B672" s="1130"/>
      <c r="C672" s="1130"/>
      <c r="D672" s="1130"/>
      <c r="E672" s="1130"/>
      <c r="F672" s="1130"/>
      <c r="G672" s="1130"/>
      <c r="H672" s="1130"/>
      <c r="I672" s="1130"/>
      <c r="J672" s="1130"/>
      <c r="K672" s="1130"/>
      <c r="L672" s="1130"/>
      <c r="M672" s="1130"/>
      <c r="N672" s="1130"/>
      <c r="O672" s="1130"/>
      <c r="P672" s="1130"/>
      <c r="Q672" s="1130"/>
      <c r="R672" s="1130"/>
      <c r="S672" s="1130"/>
      <c r="T672" s="1130"/>
      <c r="U672" s="1130"/>
      <c r="V672" s="1130"/>
      <c r="W672" s="1130"/>
      <c r="X672" s="1130"/>
      <c r="Y672" s="1130"/>
      <c r="Z672" s="1130"/>
    </row>
    <row r="673" spans="1:26" ht="15.75" customHeight="1">
      <c r="A673" s="1130"/>
      <c r="B673" s="1130"/>
      <c r="C673" s="1130"/>
      <c r="D673" s="1130"/>
      <c r="E673" s="1130"/>
      <c r="F673" s="1130"/>
      <c r="G673" s="1130"/>
      <c r="H673" s="1130"/>
      <c r="I673" s="1130"/>
      <c r="J673" s="1130"/>
      <c r="K673" s="1130"/>
      <c r="L673" s="1130"/>
      <c r="M673" s="1130"/>
      <c r="N673" s="1130"/>
      <c r="O673" s="1130"/>
      <c r="P673" s="1130"/>
      <c r="Q673" s="1130"/>
      <c r="R673" s="1130"/>
      <c r="S673" s="1130"/>
      <c r="T673" s="1130"/>
      <c r="U673" s="1130"/>
      <c r="V673" s="1130"/>
      <c r="W673" s="1130"/>
      <c r="X673" s="1130"/>
      <c r="Y673" s="1130"/>
      <c r="Z673" s="1130"/>
    </row>
    <row r="674" spans="1:26" ht="15.75" customHeight="1">
      <c r="A674" s="1130"/>
      <c r="B674" s="1130"/>
      <c r="C674" s="1130"/>
      <c r="D674" s="1130"/>
      <c r="E674" s="1130"/>
      <c r="F674" s="1130"/>
      <c r="G674" s="1130"/>
      <c r="H674" s="1130"/>
      <c r="I674" s="1130"/>
      <c r="J674" s="1130"/>
      <c r="K674" s="1130"/>
      <c r="L674" s="1130"/>
      <c r="M674" s="1130"/>
      <c r="N674" s="1130"/>
      <c r="O674" s="1130"/>
      <c r="P674" s="1130"/>
      <c r="Q674" s="1130"/>
      <c r="R674" s="1130"/>
      <c r="S674" s="1130"/>
      <c r="T674" s="1130"/>
      <c r="U674" s="1130"/>
      <c r="V674" s="1130"/>
      <c r="W674" s="1130"/>
      <c r="X674" s="1130"/>
      <c r="Y674" s="1130"/>
      <c r="Z674" s="1130"/>
    </row>
    <row r="675" spans="1:26" ht="15.75" customHeight="1">
      <c r="A675" s="1130"/>
      <c r="B675" s="1130"/>
      <c r="C675" s="1130"/>
      <c r="D675" s="1130"/>
      <c r="E675" s="1130"/>
      <c r="F675" s="1130"/>
      <c r="G675" s="1130"/>
      <c r="H675" s="1130"/>
      <c r="I675" s="1130"/>
      <c r="J675" s="1130"/>
      <c r="K675" s="1130"/>
      <c r="L675" s="1130"/>
      <c r="M675" s="1130"/>
      <c r="N675" s="1130"/>
      <c r="O675" s="1130"/>
      <c r="P675" s="1130"/>
      <c r="Q675" s="1130"/>
      <c r="R675" s="1130"/>
      <c r="S675" s="1130"/>
      <c r="T675" s="1130"/>
      <c r="U675" s="1130"/>
      <c r="V675" s="1130"/>
      <c r="W675" s="1130"/>
      <c r="X675" s="1130"/>
      <c r="Y675" s="1130"/>
      <c r="Z675" s="1130"/>
    </row>
    <row r="676" spans="1:26" ht="15.75" customHeight="1">
      <c r="A676" s="1130"/>
      <c r="B676" s="1130"/>
      <c r="C676" s="1130"/>
      <c r="D676" s="1130"/>
      <c r="E676" s="1130"/>
      <c r="F676" s="1130"/>
      <c r="G676" s="1130"/>
      <c r="H676" s="1130"/>
      <c r="I676" s="1130"/>
      <c r="J676" s="1130"/>
      <c r="K676" s="1130"/>
      <c r="L676" s="1130"/>
      <c r="M676" s="1130"/>
      <c r="N676" s="1130"/>
      <c r="O676" s="1130"/>
      <c r="P676" s="1130"/>
      <c r="Q676" s="1130"/>
      <c r="R676" s="1130"/>
      <c r="S676" s="1130"/>
      <c r="T676" s="1130"/>
      <c r="U676" s="1130"/>
      <c r="V676" s="1130"/>
      <c r="W676" s="1130"/>
      <c r="X676" s="1130"/>
      <c r="Y676" s="1130"/>
      <c r="Z676" s="1130"/>
    </row>
    <row r="677" spans="1:26" ht="15.75" customHeight="1">
      <c r="A677" s="1130"/>
      <c r="B677" s="1130"/>
      <c r="C677" s="1130"/>
      <c r="D677" s="1130"/>
      <c r="E677" s="1130"/>
      <c r="F677" s="1130"/>
      <c r="G677" s="1130"/>
      <c r="H677" s="1130"/>
      <c r="I677" s="1130"/>
      <c r="J677" s="1130"/>
      <c r="K677" s="1130"/>
      <c r="L677" s="1130"/>
      <c r="M677" s="1130"/>
      <c r="N677" s="1130"/>
      <c r="O677" s="1130"/>
      <c r="P677" s="1130"/>
      <c r="Q677" s="1130"/>
      <c r="R677" s="1130"/>
      <c r="S677" s="1130"/>
      <c r="T677" s="1130"/>
      <c r="U677" s="1130"/>
      <c r="V677" s="1130"/>
      <c r="W677" s="1130"/>
      <c r="X677" s="1130"/>
      <c r="Y677" s="1130"/>
      <c r="Z677" s="1130"/>
    </row>
    <row r="678" spans="1:26" ht="15.75" customHeight="1">
      <c r="A678" s="1130"/>
      <c r="B678" s="1130"/>
      <c r="C678" s="1130"/>
      <c r="D678" s="1130"/>
      <c r="E678" s="1130"/>
      <c r="F678" s="1130"/>
      <c r="G678" s="1130"/>
      <c r="H678" s="1130"/>
      <c r="I678" s="1130"/>
      <c r="J678" s="1130"/>
      <c r="K678" s="1130"/>
      <c r="L678" s="1130"/>
      <c r="M678" s="1130"/>
      <c r="N678" s="1130"/>
      <c r="O678" s="1130"/>
      <c r="P678" s="1130"/>
      <c r="Q678" s="1130"/>
      <c r="R678" s="1130"/>
      <c r="S678" s="1130"/>
      <c r="T678" s="1130"/>
      <c r="U678" s="1130"/>
      <c r="V678" s="1130"/>
      <c r="W678" s="1130"/>
      <c r="X678" s="1130"/>
      <c r="Y678" s="1130"/>
      <c r="Z678" s="1130"/>
    </row>
    <row r="679" spans="1:26" ht="15.75" customHeight="1">
      <c r="A679" s="1130"/>
      <c r="B679" s="1130"/>
      <c r="C679" s="1130"/>
      <c r="D679" s="1130"/>
      <c r="E679" s="1130"/>
      <c r="F679" s="1130"/>
      <c r="G679" s="1130"/>
      <c r="H679" s="1130"/>
      <c r="I679" s="1130"/>
      <c r="J679" s="1130"/>
      <c r="K679" s="1130"/>
      <c r="L679" s="1130"/>
      <c r="M679" s="1130"/>
      <c r="N679" s="1130"/>
      <c r="O679" s="1130"/>
      <c r="P679" s="1130"/>
      <c r="Q679" s="1130"/>
      <c r="R679" s="1130"/>
      <c r="S679" s="1130"/>
      <c r="T679" s="1130"/>
      <c r="U679" s="1130"/>
      <c r="V679" s="1130"/>
      <c r="W679" s="1130"/>
      <c r="X679" s="1130"/>
      <c r="Y679" s="1130"/>
      <c r="Z679" s="1130"/>
    </row>
    <row r="680" spans="1:26" ht="15.75" customHeight="1">
      <c r="A680" s="1130"/>
      <c r="B680" s="1130"/>
      <c r="C680" s="1130"/>
      <c r="D680" s="1130"/>
      <c r="E680" s="1130"/>
      <c r="F680" s="1130"/>
      <c r="G680" s="1130"/>
      <c r="H680" s="1130"/>
      <c r="I680" s="1130"/>
      <c r="J680" s="1130"/>
      <c r="K680" s="1130"/>
      <c r="L680" s="1130"/>
      <c r="M680" s="1130"/>
      <c r="N680" s="1130"/>
      <c r="O680" s="1130"/>
      <c r="P680" s="1130"/>
      <c r="Q680" s="1130"/>
      <c r="R680" s="1130"/>
      <c r="S680" s="1130"/>
      <c r="T680" s="1130"/>
      <c r="U680" s="1130"/>
      <c r="V680" s="1130"/>
      <c r="W680" s="1130"/>
      <c r="X680" s="1130"/>
      <c r="Y680" s="1130"/>
      <c r="Z680" s="1130"/>
    </row>
    <row r="681" spans="1:26" ht="15.75" customHeight="1">
      <c r="A681" s="1130"/>
      <c r="B681" s="1130"/>
      <c r="C681" s="1130"/>
      <c r="D681" s="1130"/>
      <c r="E681" s="1130"/>
      <c r="F681" s="1130"/>
      <c r="G681" s="1130"/>
      <c r="H681" s="1130"/>
      <c r="I681" s="1130"/>
      <c r="J681" s="1130"/>
      <c r="K681" s="1130"/>
      <c r="L681" s="1130"/>
      <c r="M681" s="1130"/>
      <c r="N681" s="1130"/>
      <c r="O681" s="1130"/>
      <c r="P681" s="1130"/>
      <c r="Q681" s="1130"/>
      <c r="R681" s="1130"/>
      <c r="S681" s="1130"/>
      <c r="T681" s="1130"/>
      <c r="U681" s="1130"/>
      <c r="V681" s="1130"/>
      <c r="W681" s="1130"/>
      <c r="X681" s="1130"/>
      <c r="Y681" s="1130"/>
      <c r="Z681" s="1130"/>
    </row>
    <row r="682" spans="1:26" ht="15.75" customHeight="1">
      <c r="A682" s="1130"/>
      <c r="B682" s="1130"/>
      <c r="C682" s="1130"/>
      <c r="D682" s="1130"/>
      <c r="E682" s="1130"/>
      <c r="F682" s="1130"/>
      <c r="G682" s="1130"/>
      <c r="H682" s="1130"/>
      <c r="I682" s="1130"/>
      <c r="J682" s="1130"/>
      <c r="K682" s="1130"/>
      <c r="L682" s="1130"/>
      <c r="M682" s="1130"/>
      <c r="N682" s="1130"/>
      <c r="O682" s="1130"/>
      <c r="P682" s="1130"/>
      <c r="Q682" s="1130"/>
      <c r="R682" s="1130"/>
      <c r="S682" s="1130"/>
      <c r="T682" s="1130"/>
      <c r="U682" s="1130"/>
      <c r="V682" s="1130"/>
      <c r="W682" s="1130"/>
      <c r="X682" s="1130"/>
      <c r="Y682" s="1130"/>
      <c r="Z682" s="1130"/>
    </row>
    <row r="683" spans="1:26" ht="15.75" customHeight="1">
      <c r="A683" s="1130"/>
      <c r="B683" s="1130"/>
      <c r="C683" s="1130"/>
      <c r="D683" s="1130"/>
      <c r="E683" s="1130"/>
      <c r="F683" s="1130"/>
      <c r="G683" s="1130"/>
      <c r="H683" s="1130"/>
      <c r="I683" s="1130"/>
      <c r="J683" s="1130"/>
      <c r="K683" s="1130"/>
      <c r="L683" s="1130"/>
      <c r="M683" s="1130"/>
      <c r="N683" s="1130"/>
      <c r="O683" s="1130"/>
      <c r="P683" s="1130"/>
      <c r="Q683" s="1130"/>
      <c r="R683" s="1130"/>
      <c r="S683" s="1130"/>
      <c r="T683" s="1130"/>
      <c r="U683" s="1130"/>
      <c r="V683" s="1130"/>
      <c r="W683" s="1130"/>
      <c r="X683" s="1130"/>
      <c r="Y683" s="1130"/>
      <c r="Z683" s="1130"/>
    </row>
    <row r="684" spans="1:26" ht="15.75" customHeight="1">
      <c r="A684" s="1130"/>
      <c r="B684" s="1130"/>
      <c r="C684" s="1130"/>
      <c r="D684" s="1130"/>
      <c r="E684" s="1130"/>
      <c r="F684" s="1130"/>
      <c r="G684" s="1130"/>
      <c r="H684" s="1130"/>
      <c r="I684" s="1130"/>
      <c r="J684" s="1130"/>
      <c r="K684" s="1130"/>
      <c r="L684" s="1130"/>
      <c r="M684" s="1130"/>
      <c r="N684" s="1130"/>
      <c r="O684" s="1130"/>
      <c r="P684" s="1130"/>
      <c r="Q684" s="1130"/>
      <c r="R684" s="1130"/>
      <c r="S684" s="1130"/>
      <c r="T684" s="1130"/>
      <c r="U684" s="1130"/>
      <c r="V684" s="1130"/>
      <c r="W684" s="1130"/>
      <c r="X684" s="1130"/>
      <c r="Y684" s="1130"/>
      <c r="Z684" s="1130"/>
    </row>
    <row r="685" spans="1:26" ht="15.75" customHeight="1">
      <c r="A685" s="1130"/>
      <c r="B685" s="1130"/>
      <c r="C685" s="1130"/>
      <c r="D685" s="1130"/>
      <c r="E685" s="1130"/>
      <c r="F685" s="1130"/>
      <c r="G685" s="1130"/>
      <c r="H685" s="1130"/>
      <c r="I685" s="1130"/>
      <c r="J685" s="1130"/>
      <c r="K685" s="1130"/>
      <c r="L685" s="1130"/>
      <c r="M685" s="1130"/>
      <c r="N685" s="1130"/>
      <c r="O685" s="1130"/>
      <c r="P685" s="1130"/>
      <c r="Q685" s="1130"/>
      <c r="R685" s="1130"/>
      <c r="S685" s="1130"/>
      <c r="T685" s="1130"/>
      <c r="U685" s="1130"/>
      <c r="V685" s="1130"/>
      <c r="W685" s="1130"/>
      <c r="X685" s="1130"/>
      <c r="Y685" s="1130"/>
      <c r="Z685" s="1130"/>
    </row>
    <row r="686" spans="1:26" ht="15.75" customHeight="1">
      <c r="A686" s="1130"/>
      <c r="B686" s="1130"/>
      <c r="C686" s="1130"/>
      <c r="D686" s="1130"/>
      <c r="E686" s="1130"/>
      <c r="F686" s="1130"/>
      <c r="G686" s="1130"/>
      <c r="H686" s="1130"/>
      <c r="I686" s="1130"/>
      <c r="J686" s="1130"/>
      <c r="K686" s="1130"/>
      <c r="L686" s="1130"/>
      <c r="M686" s="1130"/>
      <c r="N686" s="1130"/>
      <c r="O686" s="1130"/>
      <c r="P686" s="1130"/>
      <c r="Q686" s="1130"/>
      <c r="R686" s="1130"/>
      <c r="S686" s="1130"/>
      <c r="T686" s="1130"/>
      <c r="U686" s="1130"/>
      <c r="V686" s="1130"/>
      <c r="W686" s="1130"/>
      <c r="X686" s="1130"/>
      <c r="Y686" s="1130"/>
      <c r="Z686" s="1130"/>
    </row>
    <row r="687" spans="1:26" ht="15.75" customHeight="1">
      <c r="A687" s="1130"/>
      <c r="B687" s="1130"/>
      <c r="C687" s="1130"/>
      <c r="D687" s="1130"/>
      <c r="E687" s="1130"/>
      <c r="F687" s="1130"/>
      <c r="G687" s="1130"/>
      <c r="H687" s="1130"/>
      <c r="I687" s="1130"/>
      <c r="J687" s="1130"/>
      <c r="K687" s="1130"/>
      <c r="L687" s="1130"/>
      <c r="M687" s="1130"/>
      <c r="N687" s="1130"/>
      <c r="O687" s="1130"/>
      <c r="P687" s="1130"/>
      <c r="Q687" s="1130"/>
      <c r="R687" s="1130"/>
      <c r="S687" s="1130"/>
      <c r="T687" s="1130"/>
      <c r="U687" s="1130"/>
      <c r="V687" s="1130"/>
      <c r="W687" s="1130"/>
      <c r="X687" s="1130"/>
      <c r="Y687" s="1130"/>
      <c r="Z687" s="1130"/>
    </row>
    <row r="688" spans="1:26" ht="15.75" customHeight="1">
      <c r="A688" s="1130"/>
      <c r="B688" s="1130"/>
      <c r="C688" s="1130"/>
      <c r="D688" s="1130"/>
      <c r="E688" s="1130"/>
      <c r="F688" s="1130"/>
      <c r="G688" s="1130"/>
      <c r="H688" s="1130"/>
      <c r="I688" s="1130"/>
      <c r="J688" s="1130"/>
      <c r="K688" s="1130"/>
      <c r="L688" s="1130"/>
      <c r="M688" s="1130"/>
      <c r="N688" s="1130"/>
      <c r="O688" s="1130"/>
      <c r="P688" s="1130"/>
      <c r="Q688" s="1130"/>
      <c r="R688" s="1130"/>
      <c r="S688" s="1130"/>
      <c r="T688" s="1130"/>
      <c r="U688" s="1130"/>
      <c r="V688" s="1130"/>
      <c r="W688" s="1130"/>
      <c r="X688" s="1130"/>
      <c r="Y688" s="1130"/>
      <c r="Z688" s="1130"/>
    </row>
    <row r="689" spans="1:26" ht="15.75" customHeight="1">
      <c r="A689" s="1130"/>
      <c r="B689" s="1130"/>
      <c r="C689" s="1130"/>
      <c r="D689" s="1130"/>
      <c r="E689" s="1130"/>
      <c r="F689" s="1130"/>
      <c r="G689" s="1130"/>
      <c r="H689" s="1130"/>
      <c r="I689" s="1130"/>
      <c r="J689" s="1130"/>
      <c r="K689" s="1130"/>
      <c r="L689" s="1130"/>
      <c r="M689" s="1130"/>
      <c r="N689" s="1130"/>
      <c r="O689" s="1130"/>
      <c r="P689" s="1130"/>
      <c r="Q689" s="1130"/>
      <c r="R689" s="1130"/>
      <c r="S689" s="1130"/>
      <c r="T689" s="1130"/>
      <c r="U689" s="1130"/>
      <c r="V689" s="1130"/>
      <c r="W689" s="1130"/>
      <c r="X689" s="1130"/>
      <c r="Y689" s="1130"/>
      <c r="Z689" s="1130"/>
    </row>
    <row r="690" spans="1:26" ht="15.75" customHeight="1">
      <c r="A690" s="1130"/>
      <c r="B690" s="1130"/>
      <c r="C690" s="1130"/>
      <c r="D690" s="1130"/>
      <c r="E690" s="1130"/>
      <c r="F690" s="1130"/>
      <c r="G690" s="1130"/>
      <c r="H690" s="1130"/>
      <c r="I690" s="1130"/>
      <c r="J690" s="1130"/>
      <c r="K690" s="1130"/>
      <c r="L690" s="1130"/>
      <c r="M690" s="1130"/>
      <c r="N690" s="1130"/>
      <c r="O690" s="1130"/>
      <c r="P690" s="1130"/>
      <c r="Q690" s="1130"/>
      <c r="R690" s="1130"/>
      <c r="S690" s="1130"/>
      <c r="T690" s="1130"/>
      <c r="U690" s="1130"/>
      <c r="V690" s="1130"/>
      <c r="W690" s="1130"/>
      <c r="X690" s="1130"/>
      <c r="Y690" s="1130"/>
      <c r="Z690" s="1130"/>
    </row>
    <row r="691" spans="1:26" ht="15.75" customHeight="1">
      <c r="A691" s="1130"/>
      <c r="B691" s="1130"/>
      <c r="C691" s="1130"/>
      <c r="D691" s="1130"/>
      <c r="E691" s="1130"/>
      <c r="F691" s="1130"/>
      <c r="G691" s="1130"/>
      <c r="H691" s="1130"/>
      <c r="I691" s="1130"/>
      <c r="J691" s="1130"/>
      <c r="K691" s="1130"/>
      <c r="L691" s="1130"/>
      <c r="M691" s="1130"/>
      <c r="N691" s="1130"/>
      <c r="O691" s="1130"/>
      <c r="P691" s="1130"/>
      <c r="Q691" s="1130"/>
      <c r="R691" s="1130"/>
      <c r="S691" s="1130"/>
      <c r="T691" s="1130"/>
      <c r="U691" s="1130"/>
      <c r="V691" s="1130"/>
      <c r="W691" s="1130"/>
      <c r="X691" s="1130"/>
      <c r="Y691" s="1130"/>
      <c r="Z691" s="1130"/>
    </row>
    <row r="692" spans="1:26" ht="15.75" customHeight="1">
      <c r="A692" s="1130"/>
      <c r="B692" s="1130"/>
      <c r="C692" s="1130"/>
      <c r="D692" s="1130"/>
      <c r="E692" s="1130"/>
      <c r="F692" s="1130"/>
      <c r="G692" s="1130"/>
      <c r="H692" s="1130"/>
      <c r="I692" s="1130"/>
      <c r="J692" s="1130"/>
      <c r="K692" s="1130"/>
      <c r="L692" s="1130"/>
      <c r="M692" s="1130"/>
      <c r="N692" s="1130"/>
      <c r="O692" s="1130"/>
      <c r="P692" s="1130"/>
      <c r="Q692" s="1130"/>
      <c r="R692" s="1130"/>
      <c r="S692" s="1130"/>
      <c r="T692" s="1130"/>
      <c r="U692" s="1130"/>
      <c r="V692" s="1130"/>
      <c r="W692" s="1130"/>
      <c r="X692" s="1130"/>
      <c r="Y692" s="1130"/>
      <c r="Z692" s="1130"/>
    </row>
    <row r="693" spans="1:26" ht="15.75" customHeight="1">
      <c r="A693" s="1130"/>
      <c r="B693" s="1130"/>
      <c r="C693" s="1130"/>
      <c r="D693" s="1130"/>
      <c r="E693" s="1130"/>
      <c r="F693" s="1130"/>
      <c r="G693" s="1130"/>
      <c r="H693" s="1130"/>
      <c r="I693" s="1130"/>
      <c r="J693" s="1130"/>
      <c r="K693" s="1130"/>
      <c r="L693" s="1130"/>
      <c r="M693" s="1130"/>
      <c r="N693" s="1130"/>
      <c r="O693" s="1130"/>
      <c r="P693" s="1130"/>
      <c r="Q693" s="1130"/>
      <c r="R693" s="1130"/>
      <c r="S693" s="1130"/>
      <c r="T693" s="1130"/>
      <c r="U693" s="1130"/>
      <c r="V693" s="1130"/>
      <c r="W693" s="1130"/>
      <c r="X693" s="1130"/>
      <c r="Y693" s="1130"/>
      <c r="Z693" s="1130"/>
    </row>
    <row r="694" spans="1:26" ht="15.75" customHeight="1">
      <c r="A694" s="1130"/>
      <c r="B694" s="1130"/>
      <c r="C694" s="1130"/>
      <c r="D694" s="1130"/>
      <c r="E694" s="1130"/>
      <c r="F694" s="1130"/>
      <c r="G694" s="1130"/>
      <c r="H694" s="1130"/>
      <c r="I694" s="1130"/>
      <c r="J694" s="1130"/>
      <c r="K694" s="1130"/>
      <c r="L694" s="1130"/>
      <c r="M694" s="1130"/>
      <c r="N694" s="1130"/>
      <c r="O694" s="1130"/>
      <c r="P694" s="1130"/>
      <c r="Q694" s="1130"/>
      <c r="R694" s="1130"/>
      <c r="S694" s="1130"/>
      <c r="T694" s="1130"/>
      <c r="U694" s="1130"/>
      <c r="V694" s="1130"/>
      <c r="W694" s="1130"/>
      <c r="X694" s="1130"/>
      <c r="Y694" s="1130"/>
      <c r="Z694" s="1130"/>
    </row>
    <row r="695" spans="1:26" ht="15.75" customHeight="1">
      <c r="A695" s="1130"/>
      <c r="B695" s="1130"/>
      <c r="C695" s="1130"/>
      <c r="D695" s="1130"/>
      <c r="E695" s="1130"/>
      <c r="F695" s="1130"/>
      <c r="G695" s="1130"/>
      <c r="H695" s="1130"/>
      <c r="I695" s="1130"/>
      <c r="J695" s="1130"/>
      <c r="K695" s="1130"/>
      <c r="L695" s="1130"/>
      <c r="M695" s="1130"/>
      <c r="N695" s="1130"/>
      <c r="O695" s="1130"/>
      <c r="P695" s="1130"/>
      <c r="Q695" s="1130"/>
      <c r="R695" s="1130"/>
      <c r="S695" s="1130"/>
      <c r="T695" s="1130"/>
      <c r="U695" s="1130"/>
      <c r="V695" s="1130"/>
      <c r="W695" s="1130"/>
      <c r="X695" s="1130"/>
      <c r="Y695" s="1130"/>
      <c r="Z695" s="1130"/>
    </row>
    <row r="696" spans="1:26" ht="15.75" customHeight="1">
      <c r="A696" s="1130"/>
      <c r="B696" s="1130"/>
      <c r="C696" s="1130"/>
      <c r="D696" s="1130"/>
      <c r="E696" s="1130"/>
      <c r="F696" s="1130"/>
      <c r="G696" s="1130"/>
      <c r="H696" s="1130"/>
      <c r="I696" s="1130"/>
      <c r="J696" s="1130"/>
      <c r="K696" s="1130"/>
      <c r="L696" s="1130"/>
      <c r="M696" s="1130"/>
      <c r="N696" s="1130"/>
      <c r="O696" s="1130"/>
      <c r="P696" s="1130"/>
      <c r="Q696" s="1130"/>
      <c r="R696" s="1130"/>
      <c r="S696" s="1130"/>
      <c r="T696" s="1130"/>
      <c r="U696" s="1130"/>
      <c r="V696" s="1130"/>
      <c r="W696" s="1130"/>
      <c r="X696" s="1130"/>
      <c r="Y696" s="1130"/>
      <c r="Z696" s="1130"/>
    </row>
    <row r="697" spans="1:26" ht="15.75" customHeight="1">
      <c r="A697" s="1130"/>
      <c r="B697" s="1130"/>
      <c r="C697" s="1130"/>
      <c r="D697" s="1130"/>
      <c r="E697" s="1130"/>
      <c r="F697" s="1130"/>
      <c r="G697" s="1130"/>
      <c r="H697" s="1130"/>
      <c r="I697" s="1130"/>
      <c r="J697" s="1130"/>
      <c r="K697" s="1130"/>
      <c r="L697" s="1130"/>
      <c r="M697" s="1130"/>
      <c r="N697" s="1130"/>
      <c r="O697" s="1130"/>
      <c r="P697" s="1130"/>
      <c r="Q697" s="1130"/>
      <c r="R697" s="1130"/>
      <c r="S697" s="1130"/>
      <c r="T697" s="1130"/>
      <c r="U697" s="1130"/>
      <c r="V697" s="1130"/>
      <c r="W697" s="1130"/>
      <c r="X697" s="1130"/>
      <c r="Y697" s="1130"/>
      <c r="Z697" s="1130"/>
    </row>
    <row r="698" spans="1:26" ht="15.75" customHeight="1">
      <c r="A698" s="1130"/>
      <c r="B698" s="1130"/>
      <c r="C698" s="1130"/>
      <c r="D698" s="1130"/>
      <c r="E698" s="1130"/>
      <c r="F698" s="1130"/>
      <c r="G698" s="1130"/>
      <c r="H698" s="1130"/>
      <c r="I698" s="1130"/>
      <c r="J698" s="1130"/>
      <c r="K698" s="1130"/>
      <c r="L698" s="1130"/>
      <c r="M698" s="1130"/>
      <c r="N698" s="1130"/>
      <c r="O698" s="1130"/>
      <c r="P698" s="1130"/>
      <c r="Q698" s="1130"/>
      <c r="R698" s="1130"/>
      <c r="S698" s="1130"/>
      <c r="T698" s="1130"/>
      <c r="U698" s="1130"/>
      <c r="V698" s="1130"/>
      <c r="W698" s="1130"/>
      <c r="X698" s="1130"/>
      <c r="Y698" s="1130"/>
      <c r="Z698" s="1130"/>
    </row>
    <row r="699" spans="1:26" ht="15.75" customHeight="1">
      <c r="A699" s="1130"/>
      <c r="B699" s="1130"/>
      <c r="C699" s="1130"/>
      <c r="D699" s="1130"/>
      <c r="E699" s="1130"/>
      <c r="F699" s="1130"/>
      <c r="G699" s="1130"/>
      <c r="H699" s="1130"/>
      <c r="I699" s="1130"/>
      <c r="J699" s="1130"/>
      <c r="K699" s="1130"/>
      <c r="L699" s="1130"/>
      <c r="M699" s="1130"/>
      <c r="N699" s="1130"/>
      <c r="O699" s="1130"/>
      <c r="P699" s="1130"/>
      <c r="Q699" s="1130"/>
      <c r="R699" s="1130"/>
      <c r="S699" s="1130"/>
      <c r="T699" s="1130"/>
      <c r="U699" s="1130"/>
      <c r="V699" s="1130"/>
      <c r="W699" s="1130"/>
      <c r="X699" s="1130"/>
      <c r="Y699" s="1130"/>
      <c r="Z699" s="1130"/>
    </row>
    <row r="700" spans="1:26" ht="15.75" customHeight="1">
      <c r="A700" s="1130"/>
      <c r="B700" s="1130"/>
      <c r="C700" s="1130"/>
      <c r="D700" s="1130"/>
      <c r="E700" s="1130"/>
      <c r="F700" s="1130"/>
      <c r="G700" s="1130"/>
      <c r="H700" s="1130"/>
      <c r="I700" s="1130"/>
      <c r="J700" s="1130"/>
      <c r="K700" s="1130"/>
      <c r="L700" s="1130"/>
      <c r="M700" s="1130"/>
      <c r="N700" s="1130"/>
      <c r="O700" s="1130"/>
      <c r="P700" s="1130"/>
      <c r="Q700" s="1130"/>
      <c r="R700" s="1130"/>
      <c r="S700" s="1130"/>
      <c r="T700" s="1130"/>
      <c r="U700" s="1130"/>
      <c r="V700" s="1130"/>
      <c r="W700" s="1130"/>
      <c r="X700" s="1130"/>
      <c r="Y700" s="1130"/>
      <c r="Z700" s="1130"/>
    </row>
    <row r="701" spans="1:26" ht="15.75" customHeight="1">
      <c r="A701" s="1130"/>
      <c r="B701" s="1130"/>
      <c r="C701" s="1130"/>
      <c r="D701" s="1130"/>
      <c r="E701" s="1130"/>
      <c r="F701" s="1130"/>
      <c r="G701" s="1130"/>
      <c r="H701" s="1130"/>
      <c r="I701" s="1130"/>
      <c r="J701" s="1130"/>
      <c r="K701" s="1130"/>
      <c r="L701" s="1130"/>
      <c r="M701" s="1130"/>
      <c r="N701" s="1130"/>
      <c r="O701" s="1130"/>
      <c r="P701" s="1130"/>
      <c r="Q701" s="1130"/>
      <c r="R701" s="1130"/>
      <c r="S701" s="1130"/>
      <c r="T701" s="1130"/>
      <c r="U701" s="1130"/>
      <c r="V701" s="1130"/>
      <c r="W701" s="1130"/>
      <c r="X701" s="1130"/>
      <c r="Y701" s="1130"/>
      <c r="Z701" s="1130"/>
    </row>
    <row r="702" spans="1:26" ht="15.75" customHeight="1">
      <c r="A702" s="1130"/>
      <c r="B702" s="1130"/>
      <c r="C702" s="1130"/>
      <c r="D702" s="1130"/>
      <c r="E702" s="1130"/>
      <c r="F702" s="1130"/>
      <c r="G702" s="1130"/>
      <c r="H702" s="1130"/>
      <c r="I702" s="1130"/>
      <c r="J702" s="1130"/>
      <c r="K702" s="1130"/>
      <c r="L702" s="1130"/>
      <c r="M702" s="1130"/>
      <c r="N702" s="1130"/>
      <c r="O702" s="1130"/>
      <c r="P702" s="1130"/>
      <c r="Q702" s="1130"/>
      <c r="R702" s="1130"/>
      <c r="S702" s="1130"/>
      <c r="T702" s="1130"/>
      <c r="U702" s="1130"/>
      <c r="V702" s="1130"/>
      <c r="W702" s="1130"/>
      <c r="X702" s="1130"/>
      <c r="Y702" s="1130"/>
      <c r="Z702" s="1130"/>
    </row>
    <row r="703" spans="1:26" ht="15.75" customHeight="1">
      <c r="A703" s="1130"/>
      <c r="B703" s="1130"/>
      <c r="C703" s="1130"/>
      <c r="D703" s="1130"/>
      <c r="E703" s="1130"/>
      <c r="F703" s="1130"/>
      <c r="G703" s="1130"/>
      <c r="H703" s="1130"/>
      <c r="I703" s="1130"/>
      <c r="J703" s="1130"/>
      <c r="K703" s="1130"/>
      <c r="L703" s="1130"/>
      <c r="M703" s="1130"/>
      <c r="N703" s="1130"/>
      <c r="O703" s="1130"/>
      <c r="P703" s="1130"/>
      <c r="Q703" s="1130"/>
      <c r="R703" s="1130"/>
      <c r="S703" s="1130"/>
      <c r="T703" s="1130"/>
      <c r="U703" s="1130"/>
      <c r="V703" s="1130"/>
      <c r="W703" s="1130"/>
      <c r="X703" s="1130"/>
      <c r="Y703" s="1130"/>
      <c r="Z703" s="1130"/>
    </row>
    <row r="704" spans="1:26" ht="15.75" customHeight="1">
      <c r="A704" s="1130"/>
      <c r="B704" s="1130"/>
      <c r="C704" s="1130"/>
      <c r="D704" s="1130"/>
      <c r="E704" s="1130"/>
      <c r="F704" s="1130"/>
      <c r="G704" s="1130"/>
      <c r="H704" s="1130"/>
      <c r="I704" s="1130"/>
      <c r="J704" s="1130"/>
      <c r="K704" s="1130"/>
      <c r="L704" s="1130"/>
      <c r="M704" s="1130"/>
      <c r="N704" s="1130"/>
      <c r="O704" s="1130"/>
      <c r="P704" s="1130"/>
      <c r="Q704" s="1130"/>
      <c r="R704" s="1130"/>
      <c r="S704" s="1130"/>
      <c r="T704" s="1130"/>
      <c r="U704" s="1130"/>
      <c r="V704" s="1130"/>
      <c r="W704" s="1130"/>
      <c r="X704" s="1130"/>
      <c r="Y704" s="1130"/>
      <c r="Z704" s="1130"/>
    </row>
    <row r="705" spans="1:26" ht="15.75" customHeight="1">
      <c r="A705" s="1130"/>
      <c r="B705" s="1130"/>
      <c r="C705" s="1130"/>
      <c r="D705" s="1130"/>
      <c r="E705" s="1130"/>
      <c r="F705" s="1130"/>
      <c r="G705" s="1130"/>
      <c r="H705" s="1130"/>
      <c r="I705" s="1130"/>
      <c r="J705" s="1130"/>
      <c r="K705" s="1130"/>
      <c r="L705" s="1130"/>
      <c r="M705" s="1130"/>
      <c r="N705" s="1130"/>
      <c r="O705" s="1130"/>
      <c r="P705" s="1130"/>
      <c r="Q705" s="1130"/>
      <c r="R705" s="1130"/>
      <c r="S705" s="1130"/>
      <c r="T705" s="1130"/>
      <c r="U705" s="1130"/>
      <c r="V705" s="1130"/>
      <c r="W705" s="1130"/>
      <c r="X705" s="1130"/>
      <c r="Y705" s="1130"/>
      <c r="Z705" s="1130"/>
    </row>
    <row r="706" spans="1:26" ht="15.75" customHeight="1">
      <c r="A706" s="1130"/>
      <c r="B706" s="1130"/>
      <c r="C706" s="1130"/>
      <c r="D706" s="1130"/>
      <c r="E706" s="1130"/>
      <c r="F706" s="1130"/>
      <c r="G706" s="1130"/>
      <c r="H706" s="1130"/>
      <c r="I706" s="1130"/>
      <c r="J706" s="1130"/>
      <c r="K706" s="1130"/>
      <c r="L706" s="1130"/>
      <c r="M706" s="1130"/>
      <c r="N706" s="1130"/>
      <c r="O706" s="1130"/>
      <c r="P706" s="1130"/>
      <c r="Q706" s="1130"/>
      <c r="R706" s="1130"/>
      <c r="S706" s="1130"/>
      <c r="T706" s="1130"/>
      <c r="U706" s="1130"/>
      <c r="V706" s="1130"/>
      <c r="W706" s="1130"/>
      <c r="X706" s="1130"/>
      <c r="Y706" s="1130"/>
      <c r="Z706" s="1130"/>
    </row>
    <row r="707" spans="1:26" ht="15.75" customHeight="1">
      <c r="A707" s="1130"/>
      <c r="B707" s="1130"/>
      <c r="C707" s="1130"/>
      <c r="D707" s="1130"/>
      <c r="E707" s="1130"/>
      <c r="F707" s="1130"/>
      <c r="G707" s="1130"/>
      <c r="H707" s="1130"/>
      <c r="I707" s="1130"/>
      <c r="J707" s="1130"/>
      <c r="K707" s="1130"/>
      <c r="L707" s="1130"/>
      <c r="M707" s="1130"/>
      <c r="N707" s="1130"/>
      <c r="O707" s="1130"/>
      <c r="P707" s="1130"/>
      <c r="Q707" s="1130"/>
      <c r="R707" s="1130"/>
      <c r="S707" s="1130"/>
      <c r="T707" s="1130"/>
      <c r="U707" s="1130"/>
      <c r="V707" s="1130"/>
      <c r="W707" s="1130"/>
      <c r="X707" s="1130"/>
      <c r="Y707" s="1130"/>
      <c r="Z707" s="1130"/>
    </row>
    <row r="708" spans="1:26" ht="15.75" customHeight="1">
      <c r="A708" s="1130"/>
      <c r="B708" s="1130"/>
      <c r="C708" s="1130"/>
      <c r="D708" s="1130"/>
      <c r="E708" s="1130"/>
      <c r="F708" s="1130"/>
      <c r="G708" s="1130"/>
      <c r="H708" s="1130"/>
      <c r="I708" s="1130"/>
      <c r="J708" s="1130"/>
      <c r="K708" s="1130"/>
      <c r="L708" s="1130"/>
      <c r="M708" s="1130"/>
      <c r="N708" s="1130"/>
      <c r="O708" s="1130"/>
      <c r="P708" s="1130"/>
      <c r="Q708" s="1130"/>
      <c r="R708" s="1130"/>
      <c r="S708" s="1130"/>
      <c r="T708" s="1130"/>
      <c r="U708" s="1130"/>
      <c r="V708" s="1130"/>
      <c r="W708" s="1130"/>
      <c r="X708" s="1130"/>
      <c r="Y708" s="1130"/>
      <c r="Z708" s="1130"/>
    </row>
    <row r="709" spans="1:26" ht="15.75" customHeight="1">
      <c r="A709" s="1130"/>
      <c r="B709" s="1130"/>
      <c r="C709" s="1130"/>
      <c r="D709" s="1130"/>
      <c r="E709" s="1130"/>
      <c r="F709" s="1130"/>
      <c r="G709" s="1130"/>
      <c r="H709" s="1130"/>
      <c r="I709" s="1130"/>
      <c r="J709" s="1130"/>
      <c r="K709" s="1130"/>
      <c r="L709" s="1130"/>
      <c r="M709" s="1130"/>
      <c r="N709" s="1130"/>
      <c r="O709" s="1130"/>
      <c r="P709" s="1130"/>
      <c r="Q709" s="1130"/>
      <c r="R709" s="1130"/>
      <c r="S709" s="1130"/>
      <c r="T709" s="1130"/>
      <c r="U709" s="1130"/>
      <c r="V709" s="1130"/>
      <c r="W709" s="1130"/>
      <c r="X709" s="1130"/>
      <c r="Y709" s="1130"/>
      <c r="Z709" s="1130"/>
    </row>
    <row r="710" spans="1:26" ht="15.75" customHeight="1">
      <c r="A710" s="1130"/>
      <c r="B710" s="1130"/>
      <c r="C710" s="1130"/>
      <c r="D710" s="1130"/>
      <c r="E710" s="1130"/>
      <c r="F710" s="1130"/>
      <c r="G710" s="1130"/>
      <c r="H710" s="1130"/>
      <c r="I710" s="1130"/>
      <c r="J710" s="1130"/>
      <c r="K710" s="1130"/>
      <c r="L710" s="1130"/>
      <c r="M710" s="1130"/>
      <c r="N710" s="1130"/>
      <c r="O710" s="1130"/>
      <c r="P710" s="1130"/>
      <c r="Q710" s="1130"/>
      <c r="R710" s="1130"/>
      <c r="S710" s="1130"/>
      <c r="T710" s="1130"/>
      <c r="U710" s="1130"/>
      <c r="V710" s="1130"/>
      <c r="W710" s="1130"/>
      <c r="X710" s="1130"/>
      <c r="Y710" s="1130"/>
      <c r="Z710" s="1130"/>
    </row>
    <row r="711" spans="1:26" ht="15.75" customHeight="1">
      <c r="A711" s="1130"/>
      <c r="B711" s="1130"/>
      <c r="C711" s="1130"/>
      <c r="D711" s="1130"/>
      <c r="E711" s="1130"/>
      <c r="F711" s="1130"/>
      <c r="G711" s="1130"/>
      <c r="H711" s="1130"/>
      <c r="I711" s="1130"/>
      <c r="J711" s="1130"/>
      <c r="K711" s="1130"/>
      <c r="L711" s="1130"/>
      <c r="M711" s="1130"/>
      <c r="N711" s="1130"/>
      <c r="O711" s="1130"/>
      <c r="P711" s="1130"/>
      <c r="Q711" s="1130"/>
      <c r="R711" s="1130"/>
      <c r="S711" s="1130"/>
      <c r="T711" s="1130"/>
      <c r="U711" s="1130"/>
      <c r="V711" s="1130"/>
      <c r="W711" s="1130"/>
      <c r="X711" s="1130"/>
      <c r="Y711" s="1130"/>
      <c r="Z711" s="1130"/>
    </row>
    <row r="712" spans="1:26" ht="15.75" customHeight="1">
      <c r="A712" s="1130"/>
      <c r="B712" s="1130"/>
      <c r="C712" s="1130"/>
      <c r="D712" s="1130"/>
      <c r="E712" s="1130"/>
      <c r="F712" s="1130"/>
      <c r="G712" s="1130"/>
      <c r="H712" s="1130"/>
      <c r="I712" s="1130"/>
      <c r="J712" s="1130"/>
      <c r="K712" s="1130"/>
      <c r="L712" s="1130"/>
      <c r="M712" s="1130"/>
      <c r="N712" s="1130"/>
      <c r="O712" s="1130"/>
      <c r="P712" s="1130"/>
      <c r="Q712" s="1130"/>
      <c r="R712" s="1130"/>
      <c r="S712" s="1130"/>
      <c r="T712" s="1130"/>
      <c r="U712" s="1130"/>
      <c r="V712" s="1130"/>
      <c r="W712" s="1130"/>
      <c r="X712" s="1130"/>
      <c r="Y712" s="1130"/>
      <c r="Z712" s="1130"/>
    </row>
    <row r="713" spans="1:26" ht="15.75" customHeight="1">
      <c r="A713" s="1130"/>
      <c r="B713" s="1130"/>
      <c r="C713" s="1130"/>
      <c r="D713" s="1130"/>
      <c r="E713" s="1130"/>
      <c r="F713" s="1130"/>
      <c r="G713" s="1130"/>
      <c r="H713" s="1130"/>
      <c r="I713" s="1130"/>
      <c r="J713" s="1130"/>
      <c r="K713" s="1130"/>
      <c r="L713" s="1130"/>
      <c r="M713" s="1130"/>
      <c r="N713" s="1130"/>
      <c r="O713" s="1130"/>
      <c r="P713" s="1130"/>
      <c r="Q713" s="1130"/>
      <c r="R713" s="1130"/>
      <c r="S713" s="1130"/>
      <c r="T713" s="1130"/>
      <c r="U713" s="1130"/>
      <c r="V713" s="1130"/>
      <c r="W713" s="1130"/>
      <c r="X713" s="1130"/>
      <c r="Y713" s="1130"/>
      <c r="Z713" s="1130"/>
    </row>
    <row r="714" spans="1:26" ht="15.75" customHeight="1">
      <c r="A714" s="1130"/>
      <c r="B714" s="1130"/>
      <c r="C714" s="1130"/>
      <c r="D714" s="1130"/>
      <c r="E714" s="1130"/>
      <c r="F714" s="1130"/>
      <c r="G714" s="1130"/>
      <c r="H714" s="1130"/>
      <c r="I714" s="1130"/>
      <c r="J714" s="1130"/>
      <c r="K714" s="1130"/>
      <c r="L714" s="1130"/>
      <c r="M714" s="1130"/>
      <c r="N714" s="1130"/>
      <c r="O714" s="1130"/>
      <c r="P714" s="1130"/>
      <c r="Q714" s="1130"/>
      <c r="R714" s="1130"/>
      <c r="S714" s="1130"/>
      <c r="T714" s="1130"/>
      <c r="U714" s="1130"/>
      <c r="V714" s="1130"/>
      <c r="W714" s="1130"/>
      <c r="X714" s="1130"/>
      <c r="Y714" s="1130"/>
      <c r="Z714" s="1130"/>
    </row>
    <row r="715" spans="1:26" ht="15.75" customHeight="1">
      <c r="A715" s="1130"/>
      <c r="B715" s="1130"/>
      <c r="C715" s="1130"/>
      <c r="D715" s="1130"/>
      <c r="E715" s="1130"/>
      <c r="F715" s="1130"/>
      <c r="G715" s="1130"/>
      <c r="H715" s="1130"/>
      <c r="I715" s="1130"/>
      <c r="J715" s="1130"/>
      <c r="K715" s="1130"/>
      <c r="L715" s="1130"/>
      <c r="M715" s="1130"/>
      <c r="N715" s="1130"/>
      <c r="O715" s="1130"/>
      <c r="P715" s="1130"/>
      <c r="Q715" s="1130"/>
      <c r="R715" s="1130"/>
      <c r="S715" s="1130"/>
      <c r="T715" s="1130"/>
      <c r="U715" s="1130"/>
      <c r="V715" s="1130"/>
      <c r="W715" s="1130"/>
      <c r="X715" s="1130"/>
      <c r="Y715" s="1130"/>
      <c r="Z715" s="1130"/>
    </row>
    <row r="716" spans="1:26" ht="15.75" customHeight="1">
      <c r="A716" s="1130"/>
      <c r="B716" s="1130"/>
      <c r="C716" s="1130"/>
      <c r="D716" s="1130"/>
      <c r="E716" s="1130"/>
      <c r="F716" s="1130"/>
      <c r="G716" s="1130"/>
      <c r="H716" s="1130"/>
      <c r="I716" s="1130"/>
      <c r="J716" s="1130"/>
      <c r="K716" s="1130"/>
      <c r="L716" s="1130"/>
      <c r="M716" s="1130"/>
      <c r="N716" s="1130"/>
      <c r="O716" s="1130"/>
      <c r="P716" s="1130"/>
      <c r="Q716" s="1130"/>
      <c r="R716" s="1130"/>
      <c r="S716" s="1130"/>
      <c r="T716" s="1130"/>
      <c r="U716" s="1130"/>
      <c r="V716" s="1130"/>
      <c r="W716" s="1130"/>
      <c r="X716" s="1130"/>
      <c r="Y716" s="1130"/>
      <c r="Z716" s="1130"/>
    </row>
    <row r="717" spans="1:26" ht="15.75" customHeight="1">
      <c r="A717" s="1130"/>
      <c r="B717" s="1130"/>
      <c r="C717" s="1130"/>
      <c r="D717" s="1130"/>
      <c r="E717" s="1130"/>
      <c r="F717" s="1130"/>
      <c r="G717" s="1130"/>
      <c r="H717" s="1130"/>
      <c r="I717" s="1130"/>
      <c r="J717" s="1130"/>
      <c r="K717" s="1130"/>
      <c r="L717" s="1130"/>
      <c r="M717" s="1130"/>
      <c r="N717" s="1130"/>
      <c r="O717" s="1130"/>
      <c r="P717" s="1130"/>
      <c r="Q717" s="1130"/>
      <c r="R717" s="1130"/>
      <c r="S717" s="1130"/>
      <c r="T717" s="1130"/>
      <c r="U717" s="1130"/>
      <c r="V717" s="1130"/>
      <c r="W717" s="1130"/>
      <c r="X717" s="1130"/>
      <c r="Y717" s="1130"/>
      <c r="Z717" s="1130"/>
    </row>
    <row r="718" spans="1:26" ht="15.75" customHeight="1">
      <c r="A718" s="1130"/>
      <c r="B718" s="1130"/>
      <c r="C718" s="1130"/>
      <c r="D718" s="1130"/>
      <c r="E718" s="1130"/>
      <c r="F718" s="1130"/>
      <c r="G718" s="1130"/>
      <c r="H718" s="1130"/>
      <c r="I718" s="1130"/>
      <c r="J718" s="1130"/>
      <c r="K718" s="1130"/>
      <c r="L718" s="1130"/>
      <c r="M718" s="1130"/>
      <c r="N718" s="1130"/>
      <c r="O718" s="1130"/>
      <c r="P718" s="1130"/>
      <c r="Q718" s="1130"/>
      <c r="R718" s="1130"/>
      <c r="S718" s="1130"/>
      <c r="T718" s="1130"/>
      <c r="U718" s="1130"/>
      <c r="V718" s="1130"/>
      <c r="W718" s="1130"/>
      <c r="X718" s="1130"/>
      <c r="Y718" s="1130"/>
      <c r="Z718" s="1130"/>
    </row>
    <row r="719" spans="1:26" ht="15.75" customHeight="1">
      <c r="A719" s="1130"/>
      <c r="B719" s="1130"/>
      <c r="C719" s="1130"/>
      <c r="D719" s="1130"/>
      <c r="E719" s="1130"/>
      <c r="F719" s="1130"/>
      <c r="G719" s="1130"/>
      <c r="H719" s="1130"/>
      <c r="I719" s="1130"/>
      <c r="J719" s="1130"/>
      <c r="K719" s="1130"/>
      <c r="L719" s="1130"/>
      <c r="M719" s="1130"/>
      <c r="N719" s="1130"/>
      <c r="O719" s="1130"/>
      <c r="P719" s="1130"/>
      <c r="Q719" s="1130"/>
      <c r="R719" s="1130"/>
      <c r="S719" s="1130"/>
      <c r="T719" s="1130"/>
      <c r="U719" s="1130"/>
      <c r="V719" s="1130"/>
      <c r="W719" s="1130"/>
      <c r="X719" s="1130"/>
      <c r="Y719" s="1130"/>
      <c r="Z719" s="1130"/>
    </row>
    <row r="720" spans="1:26" ht="15.75" customHeight="1">
      <c r="A720" s="1130"/>
      <c r="B720" s="1130"/>
      <c r="C720" s="1130"/>
      <c r="D720" s="1130"/>
      <c r="E720" s="1130"/>
      <c r="F720" s="1130"/>
      <c r="G720" s="1130"/>
      <c r="H720" s="1130"/>
      <c r="I720" s="1130"/>
      <c r="J720" s="1130"/>
      <c r="K720" s="1130"/>
      <c r="L720" s="1130"/>
      <c r="M720" s="1130"/>
      <c r="N720" s="1130"/>
      <c r="O720" s="1130"/>
      <c r="P720" s="1130"/>
      <c r="Q720" s="1130"/>
      <c r="R720" s="1130"/>
      <c r="S720" s="1130"/>
      <c r="T720" s="1130"/>
      <c r="U720" s="1130"/>
      <c r="V720" s="1130"/>
      <c r="W720" s="1130"/>
      <c r="X720" s="1130"/>
      <c r="Y720" s="1130"/>
      <c r="Z720" s="1130"/>
    </row>
    <row r="721" spans="1:26" ht="15.75" customHeight="1">
      <c r="A721" s="1130"/>
      <c r="B721" s="1130"/>
      <c r="C721" s="1130"/>
      <c r="D721" s="1130"/>
      <c r="E721" s="1130"/>
      <c r="F721" s="1130"/>
      <c r="G721" s="1130"/>
      <c r="H721" s="1130"/>
      <c r="I721" s="1130"/>
      <c r="J721" s="1130"/>
      <c r="K721" s="1130"/>
      <c r="L721" s="1130"/>
      <c r="M721" s="1130"/>
      <c r="N721" s="1130"/>
      <c r="O721" s="1130"/>
      <c r="P721" s="1130"/>
      <c r="Q721" s="1130"/>
      <c r="R721" s="1130"/>
      <c r="S721" s="1130"/>
      <c r="T721" s="1130"/>
      <c r="U721" s="1130"/>
      <c r="V721" s="1130"/>
      <c r="W721" s="1130"/>
      <c r="X721" s="1130"/>
      <c r="Y721" s="1130"/>
      <c r="Z721" s="1130"/>
    </row>
    <row r="722" spans="1:26" ht="15.75" customHeight="1">
      <c r="A722" s="1130"/>
      <c r="B722" s="1130"/>
      <c r="C722" s="1130"/>
      <c r="D722" s="1130"/>
      <c r="E722" s="1130"/>
      <c r="F722" s="1130"/>
      <c r="G722" s="1130"/>
      <c r="H722" s="1130"/>
      <c r="I722" s="1130"/>
      <c r="J722" s="1130"/>
      <c r="K722" s="1130"/>
      <c r="L722" s="1130"/>
      <c r="M722" s="1130"/>
      <c r="N722" s="1130"/>
      <c r="O722" s="1130"/>
      <c r="P722" s="1130"/>
      <c r="Q722" s="1130"/>
      <c r="R722" s="1130"/>
      <c r="S722" s="1130"/>
      <c r="T722" s="1130"/>
      <c r="U722" s="1130"/>
      <c r="V722" s="1130"/>
      <c r="W722" s="1130"/>
      <c r="X722" s="1130"/>
      <c r="Y722" s="1130"/>
      <c r="Z722" s="1130"/>
    </row>
    <row r="723" spans="1:26" ht="15.75" customHeight="1">
      <c r="A723" s="1130"/>
      <c r="B723" s="1130"/>
      <c r="C723" s="1130"/>
      <c r="D723" s="1130"/>
      <c r="E723" s="1130"/>
      <c r="F723" s="1130"/>
      <c r="G723" s="1130"/>
      <c r="H723" s="1130"/>
      <c r="I723" s="1130"/>
      <c r="J723" s="1130"/>
      <c r="K723" s="1130"/>
      <c r="L723" s="1130"/>
      <c r="M723" s="1130"/>
      <c r="N723" s="1130"/>
      <c r="O723" s="1130"/>
      <c r="P723" s="1130"/>
      <c r="Q723" s="1130"/>
      <c r="R723" s="1130"/>
      <c r="S723" s="1130"/>
      <c r="T723" s="1130"/>
      <c r="U723" s="1130"/>
      <c r="V723" s="1130"/>
      <c r="W723" s="1130"/>
      <c r="X723" s="1130"/>
      <c r="Y723" s="1130"/>
      <c r="Z723" s="1130"/>
    </row>
    <row r="724" spans="1:26" ht="15.75" customHeight="1">
      <c r="A724" s="1130"/>
      <c r="B724" s="1130"/>
      <c r="C724" s="1130"/>
      <c r="D724" s="1130"/>
      <c r="E724" s="1130"/>
      <c r="F724" s="1130"/>
      <c r="G724" s="1130"/>
      <c r="H724" s="1130"/>
      <c r="I724" s="1130"/>
      <c r="J724" s="1130"/>
      <c r="K724" s="1130"/>
      <c r="L724" s="1130"/>
      <c r="M724" s="1130"/>
      <c r="N724" s="1130"/>
      <c r="O724" s="1130"/>
      <c r="P724" s="1130"/>
      <c r="Q724" s="1130"/>
      <c r="R724" s="1130"/>
      <c r="S724" s="1130"/>
      <c r="T724" s="1130"/>
      <c r="U724" s="1130"/>
      <c r="V724" s="1130"/>
      <c r="W724" s="1130"/>
      <c r="X724" s="1130"/>
      <c r="Y724" s="1130"/>
      <c r="Z724" s="1130"/>
    </row>
    <row r="725" spans="1:26" ht="15.75" customHeight="1">
      <c r="A725" s="1130"/>
      <c r="B725" s="1130"/>
      <c r="C725" s="1130"/>
      <c r="D725" s="1130"/>
      <c r="E725" s="1130"/>
      <c r="F725" s="1130"/>
      <c r="G725" s="1130"/>
      <c r="H725" s="1130"/>
      <c r="I725" s="1130"/>
      <c r="J725" s="1130"/>
      <c r="K725" s="1130"/>
      <c r="L725" s="1130"/>
      <c r="M725" s="1130"/>
      <c r="N725" s="1130"/>
      <c r="O725" s="1130"/>
      <c r="P725" s="1130"/>
      <c r="Q725" s="1130"/>
      <c r="R725" s="1130"/>
      <c r="S725" s="1130"/>
      <c r="T725" s="1130"/>
      <c r="U725" s="1130"/>
      <c r="V725" s="1130"/>
      <c r="W725" s="1130"/>
      <c r="X725" s="1130"/>
      <c r="Y725" s="1130"/>
      <c r="Z725" s="1130"/>
    </row>
    <row r="726" spans="1:26" ht="15.75" customHeight="1">
      <c r="A726" s="1130"/>
      <c r="B726" s="1130"/>
      <c r="C726" s="1130"/>
      <c r="D726" s="1130"/>
      <c r="E726" s="1130"/>
      <c r="F726" s="1130"/>
      <c r="G726" s="1130"/>
      <c r="H726" s="1130"/>
      <c r="I726" s="1130"/>
      <c r="J726" s="1130"/>
      <c r="K726" s="1130"/>
      <c r="L726" s="1130"/>
      <c r="M726" s="1130"/>
      <c r="N726" s="1130"/>
      <c r="O726" s="1130"/>
      <c r="P726" s="1130"/>
      <c r="Q726" s="1130"/>
      <c r="R726" s="1130"/>
      <c r="S726" s="1130"/>
      <c r="T726" s="1130"/>
      <c r="U726" s="1130"/>
      <c r="V726" s="1130"/>
      <c r="W726" s="1130"/>
      <c r="X726" s="1130"/>
      <c r="Y726" s="1130"/>
      <c r="Z726" s="1130"/>
    </row>
    <row r="727" spans="1:26" ht="15.75" customHeight="1">
      <c r="A727" s="1130"/>
      <c r="B727" s="1130"/>
      <c r="C727" s="1130"/>
      <c r="D727" s="1130"/>
      <c r="E727" s="1130"/>
      <c r="F727" s="1130"/>
      <c r="G727" s="1130"/>
      <c r="H727" s="1130"/>
      <c r="I727" s="1130"/>
      <c r="J727" s="1130"/>
      <c r="K727" s="1130"/>
      <c r="L727" s="1130"/>
      <c r="M727" s="1130"/>
      <c r="N727" s="1130"/>
      <c r="O727" s="1130"/>
      <c r="P727" s="1130"/>
      <c r="Q727" s="1130"/>
      <c r="R727" s="1130"/>
      <c r="S727" s="1130"/>
      <c r="T727" s="1130"/>
      <c r="U727" s="1130"/>
      <c r="V727" s="1130"/>
      <c r="W727" s="1130"/>
      <c r="X727" s="1130"/>
      <c r="Y727" s="1130"/>
      <c r="Z727" s="1130"/>
    </row>
    <row r="728" spans="1:26" ht="15.75" customHeight="1">
      <c r="A728" s="1130"/>
      <c r="B728" s="1130"/>
      <c r="C728" s="1130"/>
      <c r="D728" s="1130"/>
      <c r="E728" s="1130"/>
      <c r="F728" s="1130"/>
      <c r="G728" s="1130"/>
      <c r="H728" s="1130"/>
      <c r="I728" s="1130"/>
      <c r="J728" s="1130"/>
      <c r="K728" s="1130"/>
      <c r="L728" s="1130"/>
      <c r="M728" s="1130"/>
      <c r="N728" s="1130"/>
      <c r="O728" s="1130"/>
      <c r="P728" s="1130"/>
      <c r="Q728" s="1130"/>
      <c r="R728" s="1130"/>
      <c r="S728" s="1130"/>
      <c r="T728" s="1130"/>
      <c r="U728" s="1130"/>
      <c r="V728" s="1130"/>
      <c r="W728" s="1130"/>
      <c r="X728" s="1130"/>
      <c r="Y728" s="1130"/>
      <c r="Z728" s="1130"/>
    </row>
    <row r="729" spans="1:26" ht="15.75" customHeight="1">
      <c r="A729" s="1130"/>
      <c r="B729" s="1130"/>
      <c r="C729" s="1130"/>
      <c r="D729" s="1130"/>
      <c r="E729" s="1130"/>
      <c r="F729" s="1130"/>
      <c r="G729" s="1130"/>
      <c r="H729" s="1130"/>
      <c r="I729" s="1130"/>
      <c r="J729" s="1130"/>
      <c r="K729" s="1130"/>
      <c r="L729" s="1130"/>
      <c r="M729" s="1130"/>
      <c r="N729" s="1130"/>
      <c r="O729" s="1130"/>
      <c r="P729" s="1130"/>
      <c r="Q729" s="1130"/>
      <c r="R729" s="1130"/>
      <c r="S729" s="1130"/>
      <c r="T729" s="1130"/>
      <c r="U729" s="1130"/>
      <c r="V729" s="1130"/>
      <c r="W729" s="1130"/>
      <c r="X729" s="1130"/>
      <c r="Y729" s="1130"/>
      <c r="Z729" s="1130"/>
    </row>
    <row r="730" spans="1:26" ht="15.75" customHeight="1">
      <c r="A730" s="1130"/>
      <c r="B730" s="1130"/>
      <c r="C730" s="1130"/>
      <c r="D730" s="1130"/>
      <c r="E730" s="1130"/>
      <c r="F730" s="1130"/>
      <c r="G730" s="1130"/>
      <c r="H730" s="1130"/>
      <c r="I730" s="1130"/>
      <c r="J730" s="1130"/>
      <c r="K730" s="1130"/>
      <c r="L730" s="1130"/>
      <c r="M730" s="1130"/>
      <c r="N730" s="1130"/>
      <c r="O730" s="1130"/>
      <c r="P730" s="1130"/>
      <c r="Q730" s="1130"/>
      <c r="R730" s="1130"/>
      <c r="S730" s="1130"/>
      <c r="T730" s="1130"/>
      <c r="U730" s="1130"/>
      <c r="V730" s="1130"/>
      <c r="W730" s="1130"/>
      <c r="X730" s="1130"/>
      <c r="Y730" s="1130"/>
      <c r="Z730" s="1130"/>
    </row>
    <row r="731" spans="1:26" ht="15.75" customHeight="1">
      <c r="A731" s="1130"/>
      <c r="B731" s="1130"/>
      <c r="C731" s="1130"/>
      <c r="D731" s="1130"/>
      <c r="E731" s="1130"/>
      <c r="F731" s="1130"/>
      <c r="G731" s="1130"/>
      <c r="H731" s="1130"/>
      <c r="I731" s="1130"/>
      <c r="J731" s="1130"/>
      <c r="K731" s="1130"/>
      <c r="L731" s="1130"/>
      <c r="M731" s="1130"/>
      <c r="N731" s="1130"/>
      <c r="O731" s="1130"/>
      <c r="P731" s="1130"/>
      <c r="Q731" s="1130"/>
      <c r="R731" s="1130"/>
      <c r="S731" s="1130"/>
      <c r="T731" s="1130"/>
      <c r="U731" s="1130"/>
      <c r="V731" s="1130"/>
      <c r="W731" s="1130"/>
      <c r="X731" s="1130"/>
      <c r="Y731" s="1130"/>
      <c r="Z731" s="1130"/>
    </row>
    <row r="732" spans="1:26" ht="15.75" customHeight="1">
      <c r="A732" s="1130"/>
      <c r="B732" s="1130"/>
      <c r="C732" s="1130"/>
      <c r="D732" s="1130"/>
      <c r="E732" s="1130"/>
      <c r="F732" s="1130"/>
      <c r="G732" s="1130"/>
      <c r="H732" s="1130"/>
      <c r="I732" s="1130"/>
      <c r="J732" s="1130"/>
      <c r="K732" s="1130"/>
      <c r="L732" s="1130"/>
      <c r="M732" s="1130"/>
      <c r="N732" s="1130"/>
      <c r="O732" s="1130"/>
      <c r="P732" s="1130"/>
      <c r="Q732" s="1130"/>
      <c r="R732" s="1130"/>
      <c r="S732" s="1130"/>
      <c r="T732" s="1130"/>
      <c r="U732" s="1130"/>
      <c r="V732" s="1130"/>
      <c r="W732" s="1130"/>
      <c r="X732" s="1130"/>
      <c r="Y732" s="1130"/>
      <c r="Z732" s="1130"/>
    </row>
    <row r="733" spans="1:26" ht="15.75" customHeight="1">
      <c r="A733" s="1130"/>
      <c r="B733" s="1130"/>
      <c r="C733" s="1130"/>
      <c r="D733" s="1130"/>
      <c r="E733" s="1130"/>
      <c r="F733" s="1130"/>
      <c r="G733" s="1130"/>
      <c r="H733" s="1130"/>
      <c r="I733" s="1130"/>
      <c r="J733" s="1130"/>
      <c r="K733" s="1130"/>
      <c r="L733" s="1130"/>
      <c r="M733" s="1130"/>
      <c r="N733" s="1130"/>
      <c r="O733" s="1130"/>
      <c r="P733" s="1130"/>
      <c r="Q733" s="1130"/>
      <c r="R733" s="1130"/>
      <c r="S733" s="1130"/>
      <c r="T733" s="1130"/>
      <c r="U733" s="1130"/>
      <c r="V733" s="1130"/>
      <c r="W733" s="1130"/>
      <c r="X733" s="1130"/>
      <c r="Y733" s="1130"/>
      <c r="Z733" s="1130"/>
    </row>
    <row r="734" spans="1:26" ht="15.75" customHeight="1">
      <c r="A734" s="1130"/>
      <c r="B734" s="1130"/>
      <c r="C734" s="1130"/>
      <c r="D734" s="1130"/>
      <c r="E734" s="1130"/>
      <c r="F734" s="1130"/>
      <c r="G734" s="1130"/>
      <c r="H734" s="1130"/>
      <c r="I734" s="1130"/>
      <c r="J734" s="1130"/>
      <c r="K734" s="1130"/>
      <c r="L734" s="1130"/>
      <c r="M734" s="1130"/>
      <c r="N734" s="1130"/>
      <c r="O734" s="1130"/>
      <c r="P734" s="1130"/>
      <c r="Q734" s="1130"/>
      <c r="R734" s="1130"/>
      <c r="S734" s="1130"/>
      <c r="T734" s="1130"/>
      <c r="U734" s="1130"/>
      <c r="V734" s="1130"/>
      <c r="W734" s="1130"/>
      <c r="X734" s="1130"/>
      <c r="Y734" s="1130"/>
      <c r="Z734" s="1130"/>
    </row>
    <row r="735" spans="1:26" ht="15.75" customHeight="1">
      <c r="A735" s="1130"/>
      <c r="B735" s="1130"/>
      <c r="C735" s="1130"/>
      <c r="D735" s="1130"/>
      <c r="E735" s="1130"/>
      <c r="F735" s="1130"/>
      <c r="G735" s="1130"/>
      <c r="H735" s="1130"/>
      <c r="I735" s="1130"/>
      <c r="J735" s="1130"/>
      <c r="K735" s="1130"/>
      <c r="L735" s="1130"/>
      <c r="M735" s="1130"/>
      <c r="N735" s="1130"/>
      <c r="O735" s="1130"/>
      <c r="P735" s="1130"/>
      <c r="Q735" s="1130"/>
      <c r="R735" s="1130"/>
      <c r="S735" s="1130"/>
      <c r="T735" s="1130"/>
      <c r="U735" s="1130"/>
      <c r="V735" s="1130"/>
      <c r="W735" s="1130"/>
      <c r="X735" s="1130"/>
      <c r="Y735" s="1130"/>
      <c r="Z735" s="1130"/>
    </row>
    <row r="736" spans="1:26" ht="15.75" customHeight="1">
      <c r="A736" s="1130"/>
      <c r="B736" s="1130"/>
      <c r="C736" s="1130"/>
      <c r="D736" s="1130"/>
      <c r="E736" s="1130"/>
      <c r="F736" s="1130"/>
      <c r="G736" s="1130"/>
      <c r="H736" s="1130"/>
      <c r="I736" s="1130"/>
      <c r="J736" s="1130"/>
      <c r="K736" s="1130"/>
      <c r="L736" s="1130"/>
      <c r="M736" s="1130"/>
      <c r="N736" s="1130"/>
      <c r="O736" s="1130"/>
      <c r="P736" s="1130"/>
      <c r="Q736" s="1130"/>
      <c r="R736" s="1130"/>
      <c r="S736" s="1130"/>
      <c r="T736" s="1130"/>
      <c r="U736" s="1130"/>
      <c r="V736" s="1130"/>
      <c r="W736" s="1130"/>
      <c r="X736" s="1130"/>
      <c r="Y736" s="1130"/>
      <c r="Z736" s="1130"/>
    </row>
    <row r="737" spans="1:26" ht="15.75" customHeight="1">
      <c r="A737" s="1130"/>
      <c r="B737" s="1130"/>
      <c r="C737" s="1130"/>
      <c r="D737" s="1130"/>
      <c r="E737" s="1130"/>
      <c r="F737" s="1130"/>
      <c r="G737" s="1130"/>
      <c r="H737" s="1130"/>
      <c r="I737" s="1130"/>
      <c r="J737" s="1130"/>
      <c r="K737" s="1130"/>
      <c r="L737" s="1130"/>
      <c r="M737" s="1130"/>
      <c r="N737" s="1130"/>
      <c r="O737" s="1130"/>
      <c r="P737" s="1130"/>
      <c r="Q737" s="1130"/>
      <c r="R737" s="1130"/>
      <c r="S737" s="1130"/>
      <c r="T737" s="1130"/>
      <c r="U737" s="1130"/>
      <c r="V737" s="1130"/>
      <c r="W737" s="1130"/>
      <c r="X737" s="1130"/>
      <c r="Y737" s="1130"/>
      <c r="Z737" s="1130"/>
    </row>
    <row r="738" spans="1:26" ht="15.75" customHeight="1">
      <c r="A738" s="1130"/>
      <c r="B738" s="1130"/>
      <c r="C738" s="1130"/>
      <c r="D738" s="1130"/>
      <c r="E738" s="1130"/>
      <c r="F738" s="1130"/>
      <c r="G738" s="1130"/>
      <c r="H738" s="1130"/>
      <c r="I738" s="1130"/>
      <c r="J738" s="1130"/>
      <c r="K738" s="1130"/>
      <c r="L738" s="1130"/>
      <c r="M738" s="1130"/>
      <c r="N738" s="1130"/>
      <c r="O738" s="1130"/>
      <c r="P738" s="1130"/>
      <c r="Q738" s="1130"/>
      <c r="R738" s="1130"/>
      <c r="S738" s="1130"/>
      <c r="T738" s="1130"/>
      <c r="U738" s="1130"/>
      <c r="V738" s="1130"/>
      <c r="W738" s="1130"/>
      <c r="X738" s="1130"/>
      <c r="Y738" s="1130"/>
      <c r="Z738" s="1130"/>
    </row>
    <row r="739" spans="1:26" ht="15.75" customHeight="1">
      <c r="A739" s="1130"/>
      <c r="B739" s="1130"/>
      <c r="C739" s="1130"/>
      <c r="D739" s="1130"/>
      <c r="E739" s="1130"/>
      <c r="F739" s="1130"/>
      <c r="G739" s="1130"/>
      <c r="H739" s="1130"/>
      <c r="I739" s="1130"/>
      <c r="J739" s="1130"/>
      <c r="K739" s="1130"/>
      <c r="L739" s="1130"/>
      <c r="M739" s="1130"/>
      <c r="N739" s="1130"/>
      <c r="O739" s="1130"/>
      <c r="P739" s="1130"/>
      <c r="Q739" s="1130"/>
      <c r="R739" s="1130"/>
      <c r="S739" s="1130"/>
      <c r="T739" s="1130"/>
      <c r="U739" s="1130"/>
      <c r="V739" s="1130"/>
      <c r="W739" s="1130"/>
      <c r="X739" s="1130"/>
      <c r="Y739" s="1130"/>
      <c r="Z739" s="1130"/>
    </row>
    <row r="740" spans="1:26" ht="15.75" customHeight="1">
      <c r="A740" s="1130"/>
      <c r="B740" s="1130"/>
      <c r="C740" s="1130"/>
      <c r="D740" s="1130"/>
      <c r="E740" s="1130"/>
      <c r="F740" s="1130"/>
      <c r="G740" s="1130"/>
      <c r="H740" s="1130"/>
      <c r="I740" s="1130"/>
      <c r="J740" s="1130"/>
      <c r="K740" s="1130"/>
      <c r="L740" s="1130"/>
      <c r="M740" s="1130"/>
      <c r="N740" s="1130"/>
      <c r="O740" s="1130"/>
      <c r="P740" s="1130"/>
      <c r="Q740" s="1130"/>
      <c r="R740" s="1130"/>
      <c r="S740" s="1130"/>
      <c r="T740" s="1130"/>
      <c r="U740" s="1130"/>
      <c r="V740" s="1130"/>
      <c r="W740" s="1130"/>
      <c r="X740" s="1130"/>
      <c r="Y740" s="1130"/>
      <c r="Z740" s="1130"/>
    </row>
    <row r="741" spans="1:26" ht="15.75" customHeight="1">
      <c r="A741" s="1130"/>
      <c r="B741" s="1130"/>
      <c r="C741" s="1130"/>
      <c r="D741" s="1130"/>
      <c r="E741" s="1130"/>
      <c r="F741" s="1130"/>
      <c r="G741" s="1130"/>
      <c r="H741" s="1130"/>
      <c r="I741" s="1130"/>
      <c r="J741" s="1130"/>
      <c r="K741" s="1130"/>
      <c r="L741" s="1130"/>
      <c r="M741" s="1130"/>
      <c r="N741" s="1130"/>
      <c r="O741" s="1130"/>
      <c r="P741" s="1130"/>
      <c r="Q741" s="1130"/>
      <c r="R741" s="1130"/>
      <c r="S741" s="1130"/>
      <c r="T741" s="1130"/>
      <c r="U741" s="1130"/>
      <c r="V741" s="1130"/>
      <c r="W741" s="1130"/>
      <c r="X741" s="1130"/>
      <c r="Y741" s="1130"/>
      <c r="Z741" s="1130"/>
    </row>
    <row r="742" spans="1:26" ht="15.75" customHeight="1">
      <c r="A742" s="1130"/>
      <c r="B742" s="1130"/>
      <c r="C742" s="1130"/>
      <c r="D742" s="1130"/>
      <c r="E742" s="1130"/>
      <c r="F742" s="1130"/>
      <c r="G742" s="1130"/>
      <c r="H742" s="1130"/>
      <c r="I742" s="1130"/>
      <c r="J742" s="1130"/>
      <c r="K742" s="1130"/>
      <c r="L742" s="1130"/>
      <c r="M742" s="1130"/>
      <c r="N742" s="1130"/>
      <c r="O742" s="1130"/>
      <c r="P742" s="1130"/>
      <c r="Q742" s="1130"/>
      <c r="R742" s="1130"/>
      <c r="S742" s="1130"/>
      <c r="T742" s="1130"/>
      <c r="U742" s="1130"/>
      <c r="V742" s="1130"/>
      <c r="W742" s="1130"/>
      <c r="X742" s="1130"/>
      <c r="Y742" s="1130"/>
      <c r="Z742" s="1130"/>
    </row>
    <row r="743" spans="1:26" ht="15.75" customHeight="1">
      <c r="A743" s="1130"/>
      <c r="B743" s="1130"/>
      <c r="C743" s="1130"/>
      <c r="D743" s="1130"/>
      <c r="E743" s="1130"/>
      <c r="F743" s="1130"/>
      <c r="G743" s="1130"/>
      <c r="H743" s="1130"/>
      <c r="I743" s="1130"/>
      <c r="J743" s="1130"/>
      <c r="K743" s="1130"/>
      <c r="L743" s="1130"/>
      <c r="M743" s="1130"/>
      <c r="N743" s="1130"/>
      <c r="O743" s="1130"/>
      <c r="P743" s="1130"/>
      <c r="Q743" s="1130"/>
      <c r="R743" s="1130"/>
      <c r="S743" s="1130"/>
      <c r="T743" s="1130"/>
      <c r="U743" s="1130"/>
      <c r="V743" s="1130"/>
      <c r="W743" s="1130"/>
      <c r="X743" s="1130"/>
      <c r="Y743" s="1130"/>
      <c r="Z743" s="1130"/>
    </row>
    <row r="744" spans="1:26" ht="15.75" customHeight="1">
      <c r="A744" s="1130"/>
      <c r="B744" s="1130"/>
      <c r="C744" s="1130"/>
      <c r="D744" s="1130"/>
      <c r="E744" s="1130"/>
      <c r="F744" s="1130"/>
      <c r="G744" s="1130"/>
      <c r="H744" s="1130"/>
      <c r="I744" s="1130"/>
      <c r="J744" s="1130"/>
      <c r="K744" s="1130"/>
      <c r="L744" s="1130"/>
      <c r="M744" s="1130"/>
      <c r="N744" s="1130"/>
      <c r="O744" s="1130"/>
      <c r="P744" s="1130"/>
      <c r="Q744" s="1130"/>
      <c r="R744" s="1130"/>
      <c r="S744" s="1130"/>
      <c r="T744" s="1130"/>
      <c r="U744" s="1130"/>
      <c r="V744" s="1130"/>
      <c r="W744" s="1130"/>
      <c r="X744" s="1130"/>
      <c r="Y744" s="1130"/>
      <c r="Z744" s="1130"/>
    </row>
    <row r="745" spans="1:26" ht="15.75" customHeight="1">
      <c r="A745" s="1130"/>
      <c r="B745" s="1130"/>
      <c r="C745" s="1130"/>
      <c r="D745" s="1130"/>
      <c r="E745" s="1130"/>
      <c r="F745" s="1130"/>
      <c r="G745" s="1130"/>
      <c r="H745" s="1130"/>
      <c r="I745" s="1130"/>
      <c r="J745" s="1130"/>
      <c r="K745" s="1130"/>
      <c r="L745" s="1130"/>
      <c r="M745" s="1130"/>
      <c r="N745" s="1130"/>
      <c r="O745" s="1130"/>
      <c r="P745" s="1130"/>
      <c r="Q745" s="1130"/>
      <c r="R745" s="1130"/>
      <c r="S745" s="1130"/>
      <c r="T745" s="1130"/>
      <c r="U745" s="1130"/>
      <c r="V745" s="1130"/>
      <c r="W745" s="1130"/>
      <c r="X745" s="1130"/>
      <c r="Y745" s="1130"/>
      <c r="Z745" s="1130"/>
    </row>
    <row r="746" spans="1:26" ht="15.75" customHeight="1">
      <c r="A746" s="1130"/>
      <c r="B746" s="1130"/>
      <c r="C746" s="1130"/>
      <c r="D746" s="1130"/>
      <c r="E746" s="1130"/>
      <c r="F746" s="1130"/>
      <c r="G746" s="1130"/>
      <c r="H746" s="1130"/>
      <c r="I746" s="1130"/>
      <c r="J746" s="1130"/>
      <c r="K746" s="1130"/>
      <c r="L746" s="1130"/>
      <c r="M746" s="1130"/>
      <c r="N746" s="1130"/>
      <c r="O746" s="1130"/>
      <c r="P746" s="1130"/>
      <c r="Q746" s="1130"/>
      <c r="R746" s="1130"/>
      <c r="S746" s="1130"/>
      <c r="T746" s="1130"/>
      <c r="U746" s="1130"/>
      <c r="V746" s="1130"/>
      <c r="W746" s="1130"/>
      <c r="X746" s="1130"/>
      <c r="Y746" s="1130"/>
      <c r="Z746" s="1130"/>
    </row>
    <row r="747" spans="1:26" ht="15.75" customHeight="1">
      <c r="A747" s="1130"/>
      <c r="B747" s="1130"/>
      <c r="C747" s="1130"/>
      <c r="D747" s="1130"/>
      <c r="E747" s="1130"/>
      <c r="F747" s="1130"/>
      <c r="G747" s="1130"/>
      <c r="H747" s="1130"/>
      <c r="I747" s="1130"/>
      <c r="J747" s="1130"/>
      <c r="K747" s="1130"/>
      <c r="L747" s="1130"/>
      <c r="M747" s="1130"/>
      <c r="N747" s="1130"/>
      <c r="O747" s="1130"/>
      <c r="P747" s="1130"/>
      <c r="Q747" s="1130"/>
      <c r="R747" s="1130"/>
      <c r="S747" s="1130"/>
      <c r="T747" s="1130"/>
      <c r="U747" s="1130"/>
      <c r="V747" s="1130"/>
      <c r="W747" s="1130"/>
      <c r="X747" s="1130"/>
      <c r="Y747" s="1130"/>
      <c r="Z747" s="1130"/>
    </row>
    <row r="748" spans="1:26" ht="15.75" customHeight="1">
      <c r="A748" s="1130"/>
      <c r="B748" s="1130"/>
      <c r="C748" s="1130"/>
      <c r="D748" s="1130"/>
      <c r="E748" s="1130"/>
      <c r="F748" s="1130"/>
      <c r="G748" s="1130"/>
      <c r="H748" s="1130"/>
      <c r="I748" s="1130"/>
      <c r="J748" s="1130"/>
      <c r="K748" s="1130"/>
      <c r="L748" s="1130"/>
      <c r="M748" s="1130"/>
      <c r="N748" s="1130"/>
      <c r="O748" s="1130"/>
      <c r="P748" s="1130"/>
      <c r="Q748" s="1130"/>
      <c r="R748" s="1130"/>
      <c r="S748" s="1130"/>
      <c r="T748" s="1130"/>
      <c r="U748" s="1130"/>
      <c r="V748" s="1130"/>
      <c r="W748" s="1130"/>
      <c r="X748" s="1130"/>
      <c r="Y748" s="1130"/>
      <c r="Z748" s="1130"/>
    </row>
    <row r="749" spans="1:26" ht="15.75" customHeight="1">
      <c r="A749" s="1130"/>
      <c r="B749" s="1130"/>
      <c r="C749" s="1130"/>
      <c r="D749" s="1130"/>
      <c r="E749" s="1130"/>
      <c r="F749" s="1130"/>
      <c r="G749" s="1130"/>
      <c r="H749" s="1130"/>
      <c r="I749" s="1130"/>
      <c r="J749" s="1130"/>
      <c r="K749" s="1130"/>
      <c r="L749" s="1130"/>
      <c r="M749" s="1130"/>
      <c r="N749" s="1130"/>
      <c r="O749" s="1130"/>
      <c r="P749" s="1130"/>
      <c r="Q749" s="1130"/>
      <c r="R749" s="1130"/>
      <c r="S749" s="1130"/>
      <c r="T749" s="1130"/>
      <c r="U749" s="1130"/>
      <c r="V749" s="1130"/>
      <c r="W749" s="1130"/>
      <c r="X749" s="1130"/>
      <c r="Y749" s="1130"/>
      <c r="Z749" s="1130"/>
    </row>
    <row r="750" spans="1:26" ht="15.75" customHeight="1">
      <c r="A750" s="1130"/>
      <c r="B750" s="1130"/>
      <c r="C750" s="1130"/>
      <c r="D750" s="1130"/>
      <c r="E750" s="1130"/>
      <c r="F750" s="1130"/>
      <c r="G750" s="1130"/>
      <c r="H750" s="1130"/>
      <c r="I750" s="1130"/>
      <c r="J750" s="1130"/>
      <c r="K750" s="1130"/>
      <c r="L750" s="1130"/>
      <c r="M750" s="1130"/>
      <c r="N750" s="1130"/>
      <c r="O750" s="1130"/>
      <c r="P750" s="1130"/>
      <c r="Q750" s="1130"/>
      <c r="R750" s="1130"/>
      <c r="S750" s="1130"/>
      <c r="T750" s="1130"/>
      <c r="U750" s="1130"/>
      <c r="V750" s="1130"/>
      <c r="W750" s="1130"/>
      <c r="X750" s="1130"/>
      <c r="Y750" s="1130"/>
      <c r="Z750" s="1130"/>
    </row>
    <row r="751" spans="1:26" ht="15.75" customHeight="1">
      <c r="A751" s="1130"/>
      <c r="B751" s="1130"/>
      <c r="C751" s="1130"/>
      <c r="D751" s="1130"/>
      <c r="E751" s="1130"/>
      <c r="F751" s="1130"/>
      <c r="G751" s="1130"/>
      <c r="H751" s="1130"/>
      <c r="I751" s="1130"/>
      <c r="J751" s="1130"/>
      <c r="K751" s="1130"/>
      <c r="L751" s="1130"/>
      <c r="M751" s="1130"/>
      <c r="N751" s="1130"/>
      <c r="O751" s="1130"/>
      <c r="P751" s="1130"/>
      <c r="Q751" s="1130"/>
      <c r="R751" s="1130"/>
      <c r="S751" s="1130"/>
      <c r="T751" s="1130"/>
      <c r="U751" s="1130"/>
      <c r="V751" s="1130"/>
      <c r="W751" s="1130"/>
      <c r="X751" s="1130"/>
      <c r="Y751" s="1130"/>
      <c r="Z751" s="1130"/>
    </row>
    <row r="752" spans="1:26" ht="15.75" customHeight="1">
      <c r="A752" s="1130"/>
      <c r="B752" s="1130"/>
      <c r="C752" s="1130"/>
      <c r="D752" s="1130"/>
      <c r="E752" s="1130"/>
      <c r="F752" s="1130"/>
      <c r="G752" s="1130"/>
      <c r="H752" s="1130"/>
      <c r="I752" s="1130"/>
      <c r="J752" s="1130"/>
      <c r="K752" s="1130"/>
      <c r="L752" s="1130"/>
      <c r="M752" s="1130"/>
      <c r="N752" s="1130"/>
      <c r="O752" s="1130"/>
      <c r="P752" s="1130"/>
      <c r="Q752" s="1130"/>
      <c r="R752" s="1130"/>
      <c r="S752" s="1130"/>
      <c r="T752" s="1130"/>
      <c r="U752" s="1130"/>
      <c r="V752" s="1130"/>
      <c r="W752" s="1130"/>
      <c r="X752" s="1130"/>
      <c r="Y752" s="1130"/>
      <c r="Z752" s="1130"/>
    </row>
    <row r="753" spans="1:26" ht="15.75" customHeight="1">
      <c r="A753" s="1130"/>
      <c r="B753" s="1130"/>
      <c r="C753" s="1130"/>
      <c r="D753" s="1130"/>
      <c r="E753" s="1130"/>
      <c r="F753" s="1130"/>
      <c r="G753" s="1130"/>
      <c r="H753" s="1130"/>
      <c r="I753" s="1130"/>
      <c r="J753" s="1130"/>
      <c r="K753" s="1130"/>
      <c r="L753" s="1130"/>
      <c r="M753" s="1130"/>
      <c r="N753" s="1130"/>
      <c r="O753" s="1130"/>
      <c r="P753" s="1130"/>
      <c r="Q753" s="1130"/>
      <c r="R753" s="1130"/>
      <c r="S753" s="1130"/>
      <c r="T753" s="1130"/>
      <c r="U753" s="1130"/>
      <c r="V753" s="1130"/>
      <c r="W753" s="1130"/>
      <c r="X753" s="1130"/>
      <c r="Y753" s="1130"/>
      <c r="Z753" s="1130"/>
    </row>
    <row r="754" spans="1:26" ht="15.75" customHeight="1">
      <c r="A754" s="1130"/>
      <c r="B754" s="1130"/>
      <c r="C754" s="1130"/>
      <c r="D754" s="1130"/>
      <c r="E754" s="1130"/>
      <c r="F754" s="1130"/>
      <c r="G754" s="1130"/>
      <c r="H754" s="1130"/>
      <c r="I754" s="1130"/>
      <c r="J754" s="1130"/>
      <c r="K754" s="1130"/>
      <c r="L754" s="1130"/>
      <c r="M754" s="1130"/>
      <c r="N754" s="1130"/>
      <c r="O754" s="1130"/>
      <c r="P754" s="1130"/>
      <c r="Q754" s="1130"/>
      <c r="R754" s="1130"/>
      <c r="S754" s="1130"/>
      <c r="T754" s="1130"/>
      <c r="U754" s="1130"/>
      <c r="V754" s="1130"/>
      <c r="W754" s="1130"/>
      <c r="X754" s="1130"/>
      <c r="Y754" s="1130"/>
      <c r="Z754" s="1130"/>
    </row>
    <row r="755" spans="1:26" ht="15.75" customHeight="1">
      <c r="A755" s="1130"/>
      <c r="B755" s="1130"/>
      <c r="C755" s="1130"/>
      <c r="D755" s="1130"/>
      <c r="E755" s="1130"/>
      <c r="F755" s="1130"/>
      <c r="G755" s="1130"/>
      <c r="H755" s="1130"/>
      <c r="I755" s="1130"/>
      <c r="J755" s="1130"/>
      <c r="K755" s="1130"/>
      <c r="L755" s="1130"/>
      <c r="M755" s="1130"/>
      <c r="N755" s="1130"/>
      <c r="O755" s="1130"/>
      <c r="P755" s="1130"/>
      <c r="Q755" s="1130"/>
      <c r="R755" s="1130"/>
      <c r="S755" s="1130"/>
      <c r="T755" s="1130"/>
      <c r="U755" s="1130"/>
      <c r="V755" s="1130"/>
      <c r="W755" s="1130"/>
      <c r="X755" s="1130"/>
      <c r="Y755" s="1130"/>
      <c r="Z755" s="1130"/>
    </row>
    <row r="756" spans="1:26" ht="15.75" customHeight="1">
      <c r="A756" s="1130"/>
      <c r="B756" s="1130"/>
      <c r="C756" s="1130"/>
      <c r="D756" s="1130"/>
      <c r="E756" s="1130"/>
      <c r="F756" s="1130"/>
      <c r="G756" s="1130"/>
      <c r="H756" s="1130"/>
      <c r="I756" s="1130"/>
      <c r="J756" s="1130"/>
      <c r="K756" s="1130"/>
      <c r="L756" s="1130"/>
      <c r="M756" s="1130"/>
      <c r="N756" s="1130"/>
      <c r="O756" s="1130"/>
      <c r="P756" s="1130"/>
      <c r="Q756" s="1130"/>
      <c r="R756" s="1130"/>
      <c r="S756" s="1130"/>
      <c r="T756" s="1130"/>
      <c r="U756" s="1130"/>
      <c r="V756" s="1130"/>
      <c r="W756" s="1130"/>
      <c r="X756" s="1130"/>
      <c r="Y756" s="1130"/>
      <c r="Z756" s="1130"/>
    </row>
    <row r="757" spans="1:26" ht="15.75" customHeight="1">
      <c r="A757" s="1130"/>
      <c r="B757" s="1130"/>
      <c r="C757" s="1130"/>
      <c r="D757" s="1130"/>
      <c r="E757" s="1130"/>
      <c r="F757" s="1130"/>
      <c r="G757" s="1130"/>
      <c r="H757" s="1130"/>
      <c r="I757" s="1130"/>
      <c r="J757" s="1130"/>
      <c r="K757" s="1130"/>
      <c r="L757" s="1130"/>
      <c r="M757" s="1130"/>
      <c r="N757" s="1130"/>
      <c r="O757" s="1130"/>
      <c r="P757" s="1130"/>
      <c r="Q757" s="1130"/>
      <c r="R757" s="1130"/>
      <c r="S757" s="1130"/>
      <c r="T757" s="1130"/>
      <c r="U757" s="1130"/>
      <c r="V757" s="1130"/>
      <c r="W757" s="1130"/>
      <c r="X757" s="1130"/>
      <c r="Y757" s="1130"/>
      <c r="Z757" s="1130"/>
    </row>
    <row r="758" spans="1:26" ht="15.75" customHeight="1">
      <c r="A758" s="1130"/>
      <c r="B758" s="1130"/>
      <c r="C758" s="1130"/>
      <c r="D758" s="1130"/>
      <c r="E758" s="1130"/>
      <c r="F758" s="1130"/>
      <c r="G758" s="1130"/>
      <c r="H758" s="1130"/>
      <c r="I758" s="1130"/>
      <c r="J758" s="1130"/>
      <c r="K758" s="1130"/>
      <c r="L758" s="1130"/>
      <c r="M758" s="1130"/>
      <c r="N758" s="1130"/>
      <c r="O758" s="1130"/>
      <c r="P758" s="1130"/>
      <c r="Q758" s="1130"/>
      <c r="R758" s="1130"/>
      <c r="S758" s="1130"/>
      <c r="T758" s="1130"/>
      <c r="U758" s="1130"/>
      <c r="V758" s="1130"/>
      <c r="W758" s="1130"/>
      <c r="X758" s="1130"/>
      <c r="Y758" s="1130"/>
      <c r="Z758" s="1130"/>
    </row>
    <row r="759" spans="1:26" ht="15.75" customHeight="1">
      <c r="A759" s="1130"/>
      <c r="B759" s="1130"/>
      <c r="C759" s="1130"/>
      <c r="D759" s="1130"/>
      <c r="E759" s="1130"/>
      <c r="F759" s="1130"/>
      <c r="G759" s="1130"/>
      <c r="H759" s="1130"/>
      <c r="I759" s="1130"/>
      <c r="J759" s="1130"/>
      <c r="K759" s="1130"/>
      <c r="L759" s="1130"/>
      <c r="M759" s="1130"/>
      <c r="N759" s="1130"/>
      <c r="O759" s="1130"/>
      <c r="P759" s="1130"/>
      <c r="Q759" s="1130"/>
      <c r="R759" s="1130"/>
      <c r="S759" s="1130"/>
      <c r="T759" s="1130"/>
      <c r="U759" s="1130"/>
      <c r="V759" s="1130"/>
      <c r="W759" s="1130"/>
      <c r="X759" s="1130"/>
      <c r="Y759" s="1130"/>
      <c r="Z759" s="1130"/>
    </row>
    <row r="760" spans="1:26" ht="15.75" customHeight="1">
      <c r="A760" s="1130"/>
      <c r="B760" s="1130"/>
      <c r="C760" s="1130"/>
      <c r="D760" s="1130"/>
      <c r="E760" s="1130"/>
      <c r="F760" s="1130"/>
      <c r="G760" s="1130"/>
      <c r="H760" s="1130"/>
      <c r="I760" s="1130"/>
      <c r="J760" s="1130"/>
      <c r="K760" s="1130"/>
      <c r="L760" s="1130"/>
      <c r="M760" s="1130"/>
      <c r="N760" s="1130"/>
      <c r="O760" s="1130"/>
      <c r="P760" s="1130"/>
      <c r="Q760" s="1130"/>
      <c r="R760" s="1130"/>
      <c r="S760" s="1130"/>
      <c r="T760" s="1130"/>
      <c r="U760" s="1130"/>
      <c r="V760" s="1130"/>
      <c r="W760" s="1130"/>
      <c r="X760" s="1130"/>
      <c r="Y760" s="1130"/>
      <c r="Z760" s="1130"/>
    </row>
    <row r="761" spans="1:26" ht="15.75" customHeight="1">
      <c r="A761" s="1130"/>
      <c r="B761" s="1130"/>
      <c r="C761" s="1130"/>
      <c r="D761" s="1130"/>
      <c r="E761" s="1130"/>
      <c r="F761" s="1130"/>
      <c r="G761" s="1130"/>
      <c r="H761" s="1130"/>
      <c r="I761" s="1130"/>
      <c r="J761" s="1130"/>
      <c r="K761" s="1130"/>
      <c r="L761" s="1130"/>
      <c r="M761" s="1130"/>
      <c r="N761" s="1130"/>
      <c r="O761" s="1130"/>
      <c r="P761" s="1130"/>
      <c r="Q761" s="1130"/>
      <c r="R761" s="1130"/>
      <c r="S761" s="1130"/>
      <c r="T761" s="1130"/>
      <c r="U761" s="1130"/>
      <c r="V761" s="1130"/>
      <c r="W761" s="1130"/>
      <c r="X761" s="1130"/>
      <c r="Y761" s="1130"/>
      <c r="Z761" s="1130"/>
    </row>
    <row r="762" spans="1:26" ht="15.75" customHeight="1">
      <c r="A762" s="1130"/>
      <c r="B762" s="1130"/>
      <c r="C762" s="1130"/>
      <c r="D762" s="1130"/>
      <c r="E762" s="1130"/>
      <c r="F762" s="1130"/>
      <c r="G762" s="1130"/>
      <c r="H762" s="1130"/>
      <c r="I762" s="1130"/>
      <c r="J762" s="1130"/>
      <c r="K762" s="1130"/>
      <c r="L762" s="1130"/>
      <c r="M762" s="1130"/>
      <c r="N762" s="1130"/>
      <c r="O762" s="1130"/>
      <c r="P762" s="1130"/>
      <c r="Q762" s="1130"/>
      <c r="R762" s="1130"/>
      <c r="S762" s="1130"/>
      <c r="T762" s="1130"/>
      <c r="U762" s="1130"/>
      <c r="V762" s="1130"/>
      <c r="W762" s="1130"/>
      <c r="X762" s="1130"/>
      <c r="Y762" s="1130"/>
      <c r="Z762" s="1130"/>
    </row>
    <row r="763" spans="1:26" ht="15.75" customHeight="1">
      <c r="A763" s="1130"/>
      <c r="B763" s="1130"/>
      <c r="C763" s="1130"/>
      <c r="D763" s="1130"/>
      <c r="E763" s="1130"/>
      <c r="F763" s="1130"/>
      <c r="G763" s="1130"/>
      <c r="H763" s="1130"/>
      <c r="I763" s="1130"/>
      <c r="J763" s="1130"/>
      <c r="K763" s="1130"/>
      <c r="L763" s="1130"/>
      <c r="M763" s="1130"/>
      <c r="N763" s="1130"/>
      <c r="O763" s="1130"/>
      <c r="P763" s="1130"/>
      <c r="Q763" s="1130"/>
      <c r="R763" s="1130"/>
      <c r="S763" s="1130"/>
      <c r="T763" s="1130"/>
      <c r="U763" s="1130"/>
      <c r="V763" s="1130"/>
      <c r="W763" s="1130"/>
      <c r="X763" s="1130"/>
      <c r="Y763" s="1130"/>
      <c r="Z763" s="1130"/>
    </row>
    <row r="764" spans="1:26" ht="15.75" customHeight="1">
      <c r="A764" s="1130"/>
      <c r="B764" s="1130"/>
      <c r="C764" s="1130"/>
      <c r="D764" s="1130"/>
      <c r="E764" s="1130"/>
      <c r="F764" s="1130"/>
      <c r="G764" s="1130"/>
      <c r="H764" s="1130"/>
      <c r="I764" s="1130"/>
      <c r="J764" s="1130"/>
      <c r="K764" s="1130"/>
      <c r="L764" s="1130"/>
      <c r="M764" s="1130"/>
      <c r="N764" s="1130"/>
      <c r="O764" s="1130"/>
      <c r="P764" s="1130"/>
      <c r="Q764" s="1130"/>
      <c r="R764" s="1130"/>
      <c r="S764" s="1130"/>
      <c r="T764" s="1130"/>
      <c r="U764" s="1130"/>
      <c r="V764" s="1130"/>
      <c r="W764" s="1130"/>
      <c r="X764" s="1130"/>
      <c r="Y764" s="1130"/>
      <c r="Z764" s="1130"/>
    </row>
    <row r="765" spans="1:26" ht="15.75" customHeight="1">
      <c r="A765" s="1130"/>
      <c r="B765" s="1130"/>
      <c r="C765" s="1130"/>
      <c r="D765" s="1130"/>
      <c r="E765" s="1130"/>
      <c r="F765" s="1130"/>
      <c r="G765" s="1130"/>
      <c r="H765" s="1130"/>
      <c r="I765" s="1130"/>
      <c r="J765" s="1130"/>
      <c r="K765" s="1130"/>
      <c r="L765" s="1130"/>
      <c r="M765" s="1130"/>
      <c r="N765" s="1130"/>
      <c r="O765" s="1130"/>
      <c r="P765" s="1130"/>
      <c r="Q765" s="1130"/>
      <c r="R765" s="1130"/>
      <c r="S765" s="1130"/>
      <c r="T765" s="1130"/>
      <c r="U765" s="1130"/>
      <c r="V765" s="1130"/>
      <c r="W765" s="1130"/>
      <c r="X765" s="1130"/>
      <c r="Y765" s="1130"/>
      <c r="Z765" s="1130"/>
    </row>
    <row r="766" spans="1:26" ht="15.75" customHeight="1">
      <c r="A766" s="1130"/>
      <c r="B766" s="1130"/>
      <c r="C766" s="1130"/>
      <c r="D766" s="1130"/>
      <c r="E766" s="1130"/>
      <c r="F766" s="1130"/>
      <c r="G766" s="1130"/>
      <c r="H766" s="1130"/>
      <c r="I766" s="1130"/>
      <c r="J766" s="1130"/>
      <c r="K766" s="1130"/>
      <c r="L766" s="1130"/>
      <c r="M766" s="1130"/>
      <c r="N766" s="1130"/>
      <c r="O766" s="1130"/>
      <c r="P766" s="1130"/>
      <c r="Q766" s="1130"/>
      <c r="R766" s="1130"/>
      <c r="S766" s="1130"/>
      <c r="T766" s="1130"/>
      <c r="U766" s="1130"/>
      <c r="V766" s="1130"/>
      <c r="W766" s="1130"/>
      <c r="X766" s="1130"/>
      <c r="Y766" s="1130"/>
      <c r="Z766" s="1130"/>
    </row>
    <row r="767" spans="1:26" ht="15.75" customHeight="1">
      <c r="A767" s="1130"/>
      <c r="B767" s="1130"/>
      <c r="C767" s="1130"/>
      <c r="D767" s="1130"/>
      <c r="E767" s="1130"/>
      <c r="F767" s="1130"/>
      <c r="G767" s="1130"/>
      <c r="H767" s="1130"/>
      <c r="I767" s="1130"/>
      <c r="J767" s="1130"/>
      <c r="K767" s="1130"/>
      <c r="L767" s="1130"/>
      <c r="M767" s="1130"/>
      <c r="N767" s="1130"/>
      <c r="O767" s="1130"/>
      <c r="P767" s="1130"/>
      <c r="Q767" s="1130"/>
      <c r="R767" s="1130"/>
      <c r="S767" s="1130"/>
      <c r="T767" s="1130"/>
      <c r="U767" s="1130"/>
      <c r="V767" s="1130"/>
      <c r="W767" s="1130"/>
      <c r="X767" s="1130"/>
      <c r="Y767" s="1130"/>
      <c r="Z767" s="1130"/>
    </row>
    <row r="768" spans="1:26" ht="15.75" customHeight="1">
      <c r="A768" s="1130"/>
      <c r="B768" s="1130"/>
      <c r="C768" s="1130"/>
      <c r="D768" s="1130"/>
      <c r="E768" s="1130"/>
      <c r="F768" s="1130"/>
      <c r="G768" s="1130"/>
      <c r="H768" s="1130"/>
      <c r="I768" s="1130"/>
      <c r="J768" s="1130"/>
      <c r="K768" s="1130"/>
      <c r="L768" s="1130"/>
      <c r="M768" s="1130"/>
      <c r="N768" s="1130"/>
      <c r="O768" s="1130"/>
      <c r="P768" s="1130"/>
      <c r="Q768" s="1130"/>
      <c r="R768" s="1130"/>
      <c r="S768" s="1130"/>
      <c r="T768" s="1130"/>
      <c r="U768" s="1130"/>
      <c r="V768" s="1130"/>
      <c r="W768" s="1130"/>
      <c r="X768" s="1130"/>
      <c r="Y768" s="1130"/>
      <c r="Z768" s="1130"/>
    </row>
    <row r="769" spans="1:26" ht="15.75" customHeight="1">
      <c r="A769" s="1130"/>
      <c r="B769" s="1130"/>
      <c r="C769" s="1130"/>
      <c r="D769" s="1130"/>
      <c r="E769" s="1130"/>
      <c r="F769" s="1130"/>
      <c r="G769" s="1130"/>
      <c r="H769" s="1130"/>
      <c r="I769" s="1130"/>
      <c r="J769" s="1130"/>
      <c r="K769" s="1130"/>
      <c r="L769" s="1130"/>
      <c r="M769" s="1130"/>
      <c r="N769" s="1130"/>
      <c r="O769" s="1130"/>
      <c r="P769" s="1130"/>
      <c r="Q769" s="1130"/>
      <c r="R769" s="1130"/>
      <c r="S769" s="1130"/>
      <c r="T769" s="1130"/>
      <c r="U769" s="1130"/>
      <c r="V769" s="1130"/>
      <c r="W769" s="1130"/>
      <c r="X769" s="1130"/>
      <c r="Y769" s="1130"/>
      <c r="Z769" s="1130"/>
    </row>
    <row r="770" spans="1:26" ht="15.75" customHeight="1">
      <c r="A770" s="1130"/>
      <c r="B770" s="1130"/>
      <c r="C770" s="1130"/>
      <c r="D770" s="1130"/>
      <c r="E770" s="1130"/>
      <c r="F770" s="1130"/>
      <c r="G770" s="1130"/>
      <c r="H770" s="1130"/>
      <c r="I770" s="1130"/>
      <c r="J770" s="1130"/>
      <c r="K770" s="1130"/>
      <c r="L770" s="1130"/>
      <c r="M770" s="1130"/>
      <c r="N770" s="1130"/>
      <c r="O770" s="1130"/>
      <c r="P770" s="1130"/>
      <c r="Q770" s="1130"/>
      <c r="R770" s="1130"/>
      <c r="S770" s="1130"/>
      <c r="T770" s="1130"/>
      <c r="U770" s="1130"/>
      <c r="V770" s="1130"/>
      <c r="W770" s="1130"/>
      <c r="X770" s="1130"/>
      <c r="Y770" s="1130"/>
      <c r="Z770" s="1130"/>
    </row>
    <row r="771" spans="1:26" ht="15.75" customHeight="1">
      <c r="A771" s="1130"/>
      <c r="B771" s="1130"/>
      <c r="C771" s="1130"/>
      <c r="D771" s="1130"/>
      <c r="E771" s="1130"/>
      <c r="F771" s="1130"/>
      <c r="G771" s="1130"/>
      <c r="H771" s="1130"/>
      <c r="I771" s="1130"/>
      <c r="J771" s="1130"/>
      <c r="K771" s="1130"/>
      <c r="L771" s="1130"/>
      <c r="M771" s="1130"/>
      <c r="N771" s="1130"/>
      <c r="O771" s="1130"/>
      <c r="P771" s="1130"/>
      <c r="Q771" s="1130"/>
      <c r="R771" s="1130"/>
      <c r="S771" s="1130"/>
      <c r="T771" s="1130"/>
      <c r="U771" s="1130"/>
      <c r="V771" s="1130"/>
      <c r="W771" s="1130"/>
      <c r="X771" s="1130"/>
      <c r="Y771" s="1130"/>
      <c r="Z771" s="1130"/>
    </row>
    <row r="772" spans="1:26" ht="15.75" customHeight="1">
      <c r="A772" s="1130"/>
      <c r="B772" s="1130"/>
      <c r="C772" s="1130"/>
      <c r="D772" s="1130"/>
      <c r="E772" s="1130"/>
      <c r="F772" s="1130"/>
      <c r="G772" s="1130"/>
      <c r="H772" s="1130"/>
      <c r="I772" s="1130"/>
      <c r="J772" s="1130"/>
      <c r="K772" s="1130"/>
      <c r="L772" s="1130"/>
      <c r="M772" s="1130"/>
      <c r="N772" s="1130"/>
      <c r="O772" s="1130"/>
      <c r="P772" s="1130"/>
      <c r="Q772" s="1130"/>
      <c r="R772" s="1130"/>
      <c r="S772" s="1130"/>
      <c r="T772" s="1130"/>
      <c r="U772" s="1130"/>
      <c r="V772" s="1130"/>
      <c r="W772" s="1130"/>
      <c r="X772" s="1130"/>
      <c r="Y772" s="1130"/>
      <c r="Z772" s="1130"/>
    </row>
    <row r="773" spans="1:26" ht="15.75" customHeight="1">
      <c r="A773" s="1130"/>
      <c r="B773" s="1130"/>
      <c r="C773" s="1130"/>
      <c r="D773" s="1130"/>
      <c r="E773" s="1130"/>
      <c r="F773" s="1130"/>
      <c r="G773" s="1130"/>
      <c r="H773" s="1130"/>
      <c r="I773" s="1130"/>
      <c r="J773" s="1130"/>
      <c r="K773" s="1130"/>
      <c r="L773" s="1130"/>
      <c r="M773" s="1130"/>
      <c r="N773" s="1130"/>
      <c r="O773" s="1130"/>
      <c r="P773" s="1130"/>
      <c r="Q773" s="1130"/>
      <c r="R773" s="1130"/>
      <c r="S773" s="1130"/>
      <c r="T773" s="1130"/>
      <c r="U773" s="1130"/>
      <c r="V773" s="1130"/>
      <c r="W773" s="1130"/>
      <c r="X773" s="1130"/>
      <c r="Y773" s="1130"/>
      <c r="Z773" s="1130"/>
    </row>
    <row r="774" spans="1:26" ht="15.75" customHeight="1">
      <c r="A774" s="1130"/>
      <c r="B774" s="1130"/>
      <c r="C774" s="1130"/>
      <c r="D774" s="1130"/>
      <c r="E774" s="1130"/>
      <c r="F774" s="1130"/>
      <c r="G774" s="1130"/>
      <c r="H774" s="1130"/>
      <c r="I774" s="1130"/>
      <c r="J774" s="1130"/>
      <c r="K774" s="1130"/>
      <c r="L774" s="1130"/>
      <c r="M774" s="1130"/>
      <c r="N774" s="1130"/>
      <c r="O774" s="1130"/>
      <c r="P774" s="1130"/>
      <c r="Q774" s="1130"/>
      <c r="R774" s="1130"/>
      <c r="S774" s="1130"/>
      <c r="T774" s="1130"/>
      <c r="U774" s="1130"/>
      <c r="V774" s="1130"/>
      <c r="W774" s="1130"/>
      <c r="X774" s="1130"/>
      <c r="Y774" s="1130"/>
      <c r="Z774" s="1130"/>
    </row>
    <row r="775" spans="1:26" ht="15.75" customHeight="1">
      <c r="A775" s="1130"/>
      <c r="B775" s="1130"/>
      <c r="C775" s="1130"/>
      <c r="D775" s="1130"/>
      <c r="E775" s="1130"/>
      <c r="F775" s="1130"/>
      <c r="G775" s="1130"/>
      <c r="H775" s="1130"/>
      <c r="I775" s="1130"/>
      <c r="J775" s="1130"/>
      <c r="K775" s="1130"/>
      <c r="L775" s="1130"/>
      <c r="M775" s="1130"/>
      <c r="N775" s="1130"/>
      <c r="O775" s="1130"/>
      <c r="P775" s="1130"/>
      <c r="Q775" s="1130"/>
      <c r="R775" s="1130"/>
      <c r="S775" s="1130"/>
      <c r="T775" s="1130"/>
      <c r="U775" s="1130"/>
      <c r="V775" s="1130"/>
      <c r="W775" s="1130"/>
      <c r="X775" s="1130"/>
      <c r="Y775" s="1130"/>
      <c r="Z775" s="1130"/>
    </row>
    <row r="776" spans="1:26" ht="15.75" customHeight="1">
      <c r="A776" s="1130"/>
      <c r="B776" s="1130"/>
      <c r="C776" s="1130"/>
      <c r="D776" s="1130"/>
      <c r="E776" s="1130"/>
      <c r="F776" s="1130"/>
      <c r="G776" s="1130"/>
      <c r="H776" s="1130"/>
      <c r="I776" s="1130"/>
      <c r="J776" s="1130"/>
      <c r="K776" s="1130"/>
      <c r="L776" s="1130"/>
      <c r="M776" s="1130"/>
      <c r="N776" s="1130"/>
      <c r="O776" s="1130"/>
      <c r="P776" s="1130"/>
      <c r="Q776" s="1130"/>
      <c r="R776" s="1130"/>
      <c r="S776" s="1130"/>
      <c r="T776" s="1130"/>
      <c r="U776" s="1130"/>
      <c r="V776" s="1130"/>
      <c r="W776" s="1130"/>
      <c r="X776" s="1130"/>
      <c r="Y776" s="1130"/>
      <c r="Z776" s="1130"/>
    </row>
    <row r="777" spans="1:26" ht="15.75" customHeight="1">
      <c r="A777" s="1130"/>
      <c r="B777" s="1130"/>
      <c r="C777" s="1130"/>
      <c r="D777" s="1130"/>
      <c r="E777" s="1130"/>
      <c r="F777" s="1130"/>
      <c r="G777" s="1130"/>
      <c r="H777" s="1130"/>
      <c r="I777" s="1130"/>
      <c r="J777" s="1130"/>
      <c r="K777" s="1130"/>
      <c r="L777" s="1130"/>
      <c r="M777" s="1130"/>
      <c r="N777" s="1130"/>
      <c r="O777" s="1130"/>
      <c r="P777" s="1130"/>
      <c r="Q777" s="1130"/>
      <c r="R777" s="1130"/>
      <c r="S777" s="1130"/>
      <c r="T777" s="1130"/>
      <c r="U777" s="1130"/>
      <c r="V777" s="1130"/>
      <c r="W777" s="1130"/>
      <c r="X777" s="1130"/>
      <c r="Y777" s="1130"/>
      <c r="Z777" s="1130"/>
    </row>
    <row r="778" spans="1:26" ht="15.75" customHeight="1">
      <c r="A778" s="1130"/>
      <c r="B778" s="1130"/>
      <c r="C778" s="1130"/>
      <c r="D778" s="1130"/>
      <c r="E778" s="1130"/>
      <c r="F778" s="1130"/>
      <c r="G778" s="1130"/>
      <c r="H778" s="1130"/>
      <c r="I778" s="1130"/>
      <c r="J778" s="1130"/>
      <c r="K778" s="1130"/>
      <c r="L778" s="1130"/>
      <c r="M778" s="1130"/>
      <c r="N778" s="1130"/>
      <c r="O778" s="1130"/>
      <c r="P778" s="1130"/>
      <c r="Q778" s="1130"/>
      <c r="R778" s="1130"/>
      <c r="S778" s="1130"/>
      <c r="T778" s="1130"/>
      <c r="U778" s="1130"/>
      <c r="V778" s="1130"/>
      <c r="W778" s="1130"/>
      <c r="X778" s="1130"/>
      <c r="Y778" s="1130"/>
      <c r="Z778" s="1130"/>
    </row>
    <row r="779" spans="1:26" ht="15.75" customHeight="1">
      <c r="A779" s="1130"/>
      <c r="B779" s="1130"/>
      <c r="C779" s="1130"/>
      <c r="D779" s="1130"/>
      <c r="E779" s="1130"/>
      <c r="F779" s="1130"/>
      <c r="G779" s="1130"/>
      <c r="H779" s="1130"/>
      <c r="I779" s="1130"/>
      <c r="J779" s="1130"/>
      <c r="K779" s="1130"/>
      <c r="L779" s="1130"/>
      <c r="M779" s="1130"/>
      <c r="N779" s="1130"/>
      <c r="O779" s="1130"/>
      <c r="P779" s="1130"/>
      <c r="Q779" s="1130"/>
      <c r="R779" s="1130"/>
      <c r="S779" s="1130"/>
      <c r="T779" s="1130"/>
      <c r="U779" s="1130"/>
      <c r="V779" s="1130"/>
      <c r="W779" s="1130"/>
      <c r="X779" s="1130"/>
      <c r="Y779" s="1130"/>
      <c r="Z779" s="1130"/>
    </row>
    <row r="780" spans="1:26" ht="15.75" customHeight="1">
      <c r="A780" s="1130"/>
      <c r="B780" s="1130"/>
      <c r="C780" s="1130"/>
      <c r="D780" s="1130"/>
      <c r="E780" s="1130"/>
      <c r="F780" s="1130"/>
      <c r="G780" s="1130"/>
      <c r="H780" s="1130"/>
      <c r="I780" s="1130"/>
      <c r="J780" s="1130"/>
      <c r="K780" s="1130"/>
      <c r="L780" s="1130"/>
      <c r="M780" s="1130"/>
      <c r="N780" s="1130"/>
      <c r="O780" s="1130"/>
      <c r="P780" s="1130"/>
      <c r="Q780" s="1130"/>
      <c r="R780" s="1130"/>
      <c r="S780" s="1130"/>
      <c r="T780" s="1130"/>
      <c r="U780" s="1130"/>
      <c r="V780" s="1130"/>
      <c r="W780" s="1130"/>
      <c r="X780" s="1130"/>
      <c r="Y780" s="1130"/>
      <c r="Z780" s="1130"/>
    </row>
    <row r="781" spans="1:26" ht="15.75" customHeight="1">
      <c r="A781" s="1130"/>
      <c r="B781" s="1130"/>
      <c r="C781" s="1130"/>
      <c r="D781" s="1130"/>
      <c r="E781" s="1130"/>
      <c r="F781" s="1130"/>
      <c r="G781" s="1130"/>
      <c r="H781" s="1130"/>
      <c r="I781" s="1130"/>
      <c r="J781" s="1130"/>
      <c r="K781" s="1130"/>
      <c r="L781" s="1130"/>
      <c r="M781" s="1130"/>
      <c r="N781" s="1130"/>
      <c r="O781" s="1130"/>
      <c r="P781" s="1130"/>
      <c r="Q781" s="1130"/>
      <c r="R781" s="1130"/>
      <c r="S781" s="1130"/>
      <c r="T781" s="1130"/>
      <c r="U781" s="1130"/>
      <c r="V781" s="1130"/>
      <c r="W781" s="1130"/>
      <c r="X781" s="1130"/>
      <c r="Y781" s="1130"/>
      <c r="Z781" s="1130"/>
    </row>
    <row r="782" spans="1:26" ht="15.75" customHeight="1">
      <c r="A782" s="1130"/>
      <c r="B782" s="1130"/>
      <c r="C782" s="1130"/>
      <c r="D782" s="1130"/>
      <c r="E782" s="1130"/>
      <c r="F782" s="1130"/>
      <c r="G782" s="1130"/>
      <c r="H782" s="1130"/>
      <c r="I782" s="1130"/>
      <c r="J782" s="1130"/>
      <c r="K782" s="1130"/>
      <c r="L782" s="1130"/>
      <c r="M782" s="1130"/>
      <c r="N782" s="1130"/>
      <c r="O782" s="1130"/>
      <c r="P782" s="1130"/>
      <c r="Q782" s="1130"/>
      <c r="R782" s="1130"/>
      <c r="S782" s="1130"/>
      <c r="T782" s="1130"/>
      <c r="U782" s="1130"/>
      <c r="V782" s="1130"/>
      <c r="W782" s="1130"/>
      <c r="X782" s="1130"/>
      <c r="Y782" s="1130"/>
      <c r="Z782" s="1130"/>
    </row>
    <row r="783" spans="1:26" ht="15.75" customHeight="1">
      <c r="A783" s="1130"/>
      <c r="B783" s="1130"/>
      <c r="C783" s="1130"/>
      <c r="D783" s="1130"/>
      <c r="E783" s="1130"/>
      <c r="F783" s="1130"/>
      <c r="G783" s="1130"/>
      <c r="H783" s="1130"/>
      <c r="I783" s="1130"/>
      <c r="J783" s="1130"/>
      <c r="K783" s="1130"/>
      <c r="L783" s="1130"/>
      <c r="M783" s="1130"/>
      <c r="N783" s="1130"/>
      <c r="O783" s="1130"/>
      <c r="P783" s="1130"/>
      <c r="Q783" s="1130"/>
      <c r="R783" s="1130"/>
      <c r="S783" s="1130"/>
      <c r="T783" s="1130"/>
      <c r="U783" s="1130"/>
      <c r="V783" s="1130"/>
      <c r="W783" s="1130"/>
      <c r="X783" s="1130"/>
      <c r="Y783" s="1130"/>
      <c r="Z783" s="1130"/>
    </row>
    <row r="784" spans="1:26" ht="15.75" customHeight="1">
      <c r="A784" s="1130"/>
      <c r="B784" s="1130"/>
      <c r="C784" s="1130"/>
      <c r="D784" s="1130"/>
      <c r="E784" s="1130"/>
      <c r="F784" s="1130"/>
      <c r="G784" s="1130"/>
      <c r="H784" s="1130"/>
      <c r="I784" s="1130"/>
      <c r="J784" s="1130"/>
      <c r="K784" s="1130"/>
      <c r="L784" s="1130"/>
      <c r="M784" s="1130"/>
      <c r="N784" s="1130"/>
      <c r="O784" s="1130"/>
      <c r="P784" s="1130"/>
      <c r="Q784" s="1130"/>
      <c r="R784" s="1130"/>
      <c r="S784" s="1130"/>
      <c r="T784" s="1130"/>
      <c r="U784" s="1130"/>
      <c r="V784" s="1130"/>
      <c r="W784" s="1130"/>
      <c r="X784" s="1130"/>
      <c r="Y784" s="1130"/>
      <c r="Z784" s="1130"/>
    </row>
    <row r="785" spans="1:26" ht="15.75" customHeight="1">
      <c r="A785" s="1130"/>
      <c r="B785" s="1130"/>
      <c r="C785" s="1130"/>
      <c r="D785" s="1130"/>
      <c r="E785" s="1130"/>
      <c r="F785" s="1130"/>
      <c r="G785" s="1130"/>
      <c r="H785" s="1130"/>
      <c r="I785" s="1130"/>
      <c r="J785" s="1130"/>
      <c r="K785" s="1130"/>
      <c r="L785" s="1130"/>
      <c r="M785" s="1130"/>
      <c r="N785" s="1130"/>
      <c r="O785" s="1130"/>
      <c r="P785" s="1130"/>
      <c r="Q785" s="1130"/>
      <c r="R785" s="1130"/>
      <c r="S785" s="1130"/>
      <c r="T785" s="1130"/>
      <c r="U785" s="1130"/>
      <c r="V785" s="1130"/>
      <c r="W785" s="1130"/>
      <c r="X785" s="1130"/>
      <c r="Y785" s="1130"/>
      <c r="Z785" s="1130"/>
    </row>
    <row r="786" spans="1:26" ht="15.75" customHeight="1">
      <c r="A786" s="1130"/>
      <c r="B786" s="1130"/>
      <c r="C786" s="1130"/>
      <c r="D786" s="1130"/>
      <c r="E786" s="1130"/>
      <c r="F786" s="1130"/>
      <c r="G786" s="1130"/>
      <c r="H786" s="1130"/>
      <c r="I786" s="1130"/>
      <c r="J786" s="1130"/>
      <c r="K786" s="1130"/>
      <c r="L786" s="1130"/>
      <c r="M786" s="1130"/>
      <c r="N786" s="1130"/>
      <c r="O786" s="1130"/>
      <c r="P786" s="1130"/>
      <c r="Q786" s="1130"/>
      <c r="R786" s="1130"/>
      <c r="S786" s="1130"/>
      <c r="T786" s="1130"/>
      <c r="U786" s="1130"/>
      <c r="V786" s="1130"/>
      <c r="W786" s="1130"/>
      <c r="X786" s="1130"/>
      <c r="Y786" s="1130"/>
      <c r="Z786" s="1130"/>
    </row>
    <row r="787" spans="1:26" ht="15.75" customHeight="1">
      <c r="A787" s="1130"/>
      <c r="B787" s="1130"/>
      <c r="C787" s="1130"/>
      <c r="D787" s="1130"/>
      <c r="E787" s="1130"/>
      <c r="F787" s="1130"/>
      <c r="G787" s="1130"/>
      <c r="H787" s="1130"/>
      <c r="I787" s="1130"/>
      <c r="J787" s="1130"/>
      <c r="K787" s="1130"/>
      <c r="L787" s="1130"/>
      <c r="M787" s="1130"/>
      <c r="N787" s="1130"/>
      <c r="O787" s="1130"/>
      <c r="P787" s="1130"/>
      <c r="Q787" s="1130"/>
      <c r="R787" s="1130"/>
      <c r="S787" s="1130"/>
      <c r="T787" s="1130"/>
      <c r="U787" s="1130"/>
      <c r="V787" s="1130"/>
      <c r="W787" s="1130"/>
      <c r="X787" s="1130"/>
      <c r="Y787" s="1130"/>
      <c r="Z787" s="1130"/>
    </row>
    <row r="788" spans="1:26" ht="15.75" customHeight="1">
      <c r="A788" s="1130"/>
      <c r="B788" s="1130"/>
      <c r="C788" s="1130"/>
      <c r="D788" s="1130"/>
      <c r="E788" s="1130"/>
      <c r="F788" s="1130"/>
      <c r="G788" s="1130"/>
      <c r="H788" s="1130"/>
      <c r="I788" s="1130"/>
      <c r="J788" s="1130"/>
      <c r="K788" s="1130"/>
      <c r="L788" s="1130"/>
      <c r="M788" s="1130"/>
      <c r="N788" s="1130"/>
      <c r="O788" s="1130"/>
      <c r="P788" s="1130"/>
      <c r="Q788" s="1130"/>
      <c r="R788" s="1130"/>
      <c r="S788" s="1130"/>
      <c r="T788" s="1130"/>
      <c r="U788" s="1130"/>
      <c r="V788" s="1130"/>
      <c r="W788" s="1130"/>
      <c r="X788" s="1130"/>
      <c r="Y788" s="1130"/>
      <c r="Z788" s="1130"/>
    </row>
    <row r="789" spans="1:26" ht="15.75" customHeight="1">
      <c r="A789" s="1130"/>
      <c r="B789" s="1130"/>
      <c r="C789" s="1130"/>
      <c r="D789" s="1130"/>
      <c r="E789" s="1130"/>
      <c r="F789" s="1130"/>
      <c r="G789" s="1130"/>
      <c r="H789" s="1130"/>
      <c r="I789" s="1130"/>
      <c r="J789" s="1130"/>
      <c r="K789" s="1130"/>
      <c r="L789" s="1130"/>
      <c r="M789" s="1130"/>
      <c r="N789" s="1130"/>
      <c r="O789" s="1130"/>
      <c r="P789" s="1130"/>
      <c r="Q789" s="1130"/>
      <c r="R789" s="1130"/>
      <c r="S789" s="1130"/>
      <c r="T789" s="1130"/>
      <c r="U789" s="1130"/>
      <c r="V789" s="1130"/>
      <c r="W789" s="1130"/>
      <c r="X789" s="1130"/>
      <c r="Y789" s="1130"/>
      <c r="Z789" s="1130"/>
    </row>
    <row r="790" spans="1:26" ht="15.75" customHeight="1">
      <c r="A790" s="1130"/>
      <c r="B790" s="1130"/>
      <c r="C790" s="1130"/>
      <c r="D790" s="1130"/>
      <c r="E790" s="1130"/>
      <c r="F790" s="1130"/>
      <c r="G790" s="1130"/>
      <c r="H790" s="1130"/>
      <c r="I790" s="1130"/>
      <c r="J790" s="1130"/>
      <c r="K790" s="1130"/>
      <c r="L790" s="1130"/>
      <c r="M790" s="1130"/>
      <c r="N790" s="1130"/>
      <c r="O790" s="1130"/>
      <c r="P790" s="1130"/>
      <c r="Q790" s="1130"/>
      <c r="R790" s="1130"/>
      <c r="S790" s="1130"/>
      <c r="T790" s="1130"/>
      <c r="U790" s="1130"/>
      <c r="V790" s="1130"/>
      <c r="W790" s="1130"/>
      <c r="X790" s="1130"/>
      <c r="Y790" s="1130"/>
      <c r="Z790" s="1130"/>
    </row>
    <row r="791" spans="1:26" ht="15.75" customHeight="1">
      <c r="A791" s="1130"/>
      <c r="B791" s="1130"/>
      <c r="C791" s="1130"/>
      <c r="D791" s="1130"/>
      <c r="E791" s="1130"/>
      <c r="F791" s="1130"/>
      <c r="G791" s="1130"/>
      <c r="H791" s="1130"/>
      <c r="I791" s="1130"/>
      <c r="J791" s="1130"/>
      <c r="K791" s="1130"/>
      <c r="L791" s="1130"/>
      <c r="M791" s="1130"/>
      <c r="N791" s="1130"/>
      <c r="O791" s="1130"/>
      <c r="P791" s="1130"/>
      <c r="Q791" s="1130"/>
      <c r="R791" s="1130"/>
      <c r="S791" s="1130"/>
      <c r="T791" s="1130"/>
      <c r="U791" s="1130"/>
      <c r="V791" s="1130"/>
      <c r="W791" s="1130"/>
      <c r="X791" s="1130"/>
      <c r="Y791" s="1130"/>
      <c r="Z791" s="1130"/>
    </row>
    <row r="792" spans="1:26" ht="15.75" customHeight="1">
      <c r="A792" s="1130"/>
      <c r="B792" s="1130"/>
      <c r="C792" s="1130"/>
      <c r="D792" s="1130"/>
      <c r="E792" s="1130"/>
      <c r="F792" s="1130"/>
      <c r="G792" s="1130"/>
      <c r="H792" s="1130"/>
      <c r="I792" s="1130"/>
      <c r="J792" s="1130"/>
      <c r="K792" s="1130"/>
      <c r="L792" s="1130"/>
      <c r="M792" s="1130"/>
      <c r="N792" s="1130"/>
      <c r="O792" s="1130"/>
      <c r="P792" s="1130"/>
      <c r="Q792" s="1130"/>
      <c r="R792" s="1130"/>
      <c r="S792" s="1130"/>
      <c r="T792" s="1130"/>
      <c r="U792" s="1130"/>
      <c r="V792" s="1130"/>
      <c r="W792" s="1130"/>
      <c r="X792" s="1130"/>
      <c r="Y792" s="1130"/>
      <c r="Z792" s="1130"/>
    </row>
    <row r="793" spans="1:26" ht="15.75" customHeight="1">
      <c r="A793" s="1130"/>
      <c r="B793" s="1130"/>
      <c r="C793" s="1130"/>
      <c r="D793" s="1130"/>
      <c r="E793" s="1130"/>
      <c r="F793" s="1130"/>
      <c r="G793" s="1130"/>
      <c r="H793" s="1130"/>
      <c r="I793" s="1130"/>
      <c r="J793" s="1130"/>
      <c r="K793" s="1130"/>
      <c r="L793" s="1130"/>
      <c r="M793" s="1130"/>
      <c r="N793" s="1130"/>
      <c r="O793" s="1130"/>
      <c r="P793" s="1130"/>
      <c r="Q793" s="1130"/>
      <c r="R793" s="1130"/>
      <c r="S793" s="1130"/>
      <c r="T793" s="1130"/>
      <c r="U793" s="1130"/>
      <c r="V793" s="1130"/>
      <c r="W793" s="1130"/>
      <c r="X793" s="1130"/>
      <c r="Y793" s="1130"/>
      <c r="Z793" s="1130"/>
    </row>
    <row r="794" spans="1:26" ht="15.75" customHeight="1">
      <c r="A794" s="1130"/>
      <c r="B794" s="1130"/>
      <c r="C794" s="1130"/>
      <c r="D794" s="1130"/>
      <c r="E794" s="1130"/>
      <c r="F794" s="1130"/>
      <c r="G794" s="1130"/>
      <c r="H794" s="1130"/>
      <c r="I794" s="1130"/>
      <c r="J794" s="1130"/>
      <c r="K794" s="1130"/>
      <c r="L794" s="1130"/>
      <c r="M794" s="1130"/>
      <c r="N794" s="1130"/>
      <c r="O794" s="1130"/>
      <c r="P794" s="1130"/>
      <c r="Q794" s="1130"/>
      <c r="R794" s="1130"/>
      <c r="S794" s="1130"/>
      <c r="T794" s="1130"/>
      <c r="U794" s="1130"/>
      <c r="V794" s="1130"/>
      <c r="W794" s="1130"/>
      <c r="X794" s="1130"/>
      <c r="Y794" s="1130"/>
      <c r="Z794" s="1130"/>
    </row>
    <row r="795" spans="1:26" ht="15.75" customHeight="1">
      <c r="A795" s="1130"/>
      <c r="B795" s="1130"/>
      <c r="C795" s="1130"/>
      <c r="D795" s="1130"/>
      <c r="E795" s="1130"/>
      <c r="F795" s="1130"/>
      <c r="G795" s="1130"/>
      <c r="H795" s="1130"/>
      <c r="I795" s="1130"/>
      <c r="J795" s="1130"/>
      <c r="K795" s="1130"/>
      <c r="L795" s="1130"/>
      <c r="M795" s="1130"/>
      <c r="N795" s="1130"/>
      <c r="O795" s="1130"/>
      <c r="P795" s="1130"/>
      <c r="Q795" s="1130"/>
      <c r="R795" s="1130"/>
      <c r="S795" s="1130"/>
      <c r="T795" s="1130"/>
      <c r="U795" s="1130"/>
      <c r="V795" s="1130"/>
      <c r="W795" s="1130"/>
      <c r="X795" s="1130"/>
      <c r="Y795" s="1130"/>
      <c r="Z795" s="1130"/>
    </row>
    <row r="796" spans="1:26" ht="15.75" customHeight="1">
      <c r="A796" s="1130"/>
      <c r="B796" s="1130"/>
      <c r="C796" s="1130"/>
      <c r="D796" s="1130"/>
      <c r="E796" s="1130"/>
      <c r="F796" s="1130"/>
      <c r="G796" s="1130"/>
      <c r="H796" s="1130"/>
      <c r="I796" s="1130"/>
      <c r="J796" s="1130"/>
      <c r="K796" s="1130"/>
      <c r="L796" s="1130"/>
      <c r="M796" s="1130"/>
      <c r="N796" s="1130"/>
      <c r="O796" s="1130"/>
      <c r="P796" s="1130"/>
      <c r="Q796" s="1130"/>
      <c r="R796" s="1130"/>
      <c r="S796" s="1130"/>
      <c r="T796" s="1130"/>
      <c r="U796" s="1130"/>
      <c r="V796" s="1130"/>
      <c r="W796" s="1130"/>
      <c r="X796" s="1130"/>
      <c r="Y796" s="1130"/>
      <c r="Z796" s="1130"/>
    </row>
    <row r="797" spans="1:26" ht="15.75" customHeight="1">
      <c r="A797" s="1130"/>
      <c r="B797" s="1130"/>
      <c r="C797" s="1130"/>
      <c r="D797" s="1130"/>
      <c r="E797" s="1130"/>
      <c r="F797" s="1130"/>
      <c r="G797" s="1130"/>
      <c r="H797" s="1130"/>
      <c r="I797" s="1130"/>
      <c r="J797" s="1130"/>
      <c r="K797" s="1130"/>
      <c r="L797" s="1130"/>
      <c r="M797" s="1130"/>
      <c r="N797" s="1130"/>
      <c r="O797" s="1130"/>
      <c r="P797" s="1130"/>
      <c r="Q797" s="1130"/>
      <c r="R797" s="1130"/>
      <c r="S797" s="1130"/>
      <c r="T797" s="1130"/>
      <c r="U797" s="1130"/>
      <c r="V797" s="1130"/>
      <c r="W797" s="1130"/>
      <c r="X797" s="1130"/>
      <c r="Y797" s="1130"/>
      <c r="Z797" s="1130"/>
    </row>
    <row r="798" spans="1:26" ht="15.75" customHeight="1">
      <c r="A798" s="1130"/>
      <c r="B798" s="1130"/>
      <c r="C798" s="1130"/>
      <c r="D798" s="1130"/>
      <c r="E798" s="1130"/>
      <c r="F798" s="1130"/>
      <c r="G798" s="1130"/>
      <c r="H798" s="1130"/>
      <c r="I798" s="1130"/>
      <c r="J798" s="1130"/>
      <c r="K798" s="1130"/>
      <c r="L798" s="1130"/>
      <c r="M798" s="1130"/>
      <c r="N798" s="1130"/>
      <c r="O798" s="1130"/>
      <c r="P798" s="1130"/>
      <c r="Q798" s="1130"/>
      <c r="R798" s="1130"/>
      <c r="S798" s="1130"/>
      <c r="T798" s="1130"/>
      <c r="U798" s="1130"/>
      <c r="V798" s="1130"/>
      <c r="W798" s="1130"/>
      <c r="X798" s="1130"/>
      <c r="Y798" s="1130"/>
      <c r="Z798" s="1130"/>
    </row>
    <row r="799" spans="1:26" ht="15.75" customHeight="1">
      <c r="A799" s="1130"/>
      <c r="B799" s="1130"/>
      <c r="C799" s="1130"/>
      <c r="D799" s="1130"/>
      <c r="E799" s="1130"/>
      <c r="F799" s="1130"/>
      <c r="G799" s="1130"/>
      <c r="H799" s="1130"/>
      <c r="I799" s="1130"/>
      <c r="J799" s="1130"/>
      <c r="K799" s="1130"/>
      <c r="L799" s="1130"/>
      <c r="M799" s="1130"/>
      <c r="N799" s="1130"/>
      <c r="O799" s="1130"/>
      <c r="P799" s="1130"/>
      <c r="Q799" s="1130"/>
      <c r="R799" s="1130"/>
      <c r="S799" s="1130"/>
      <c r="T799" s="1130"/>
      <c r="U799" s="1130"/>
      <c r="V799" s="1130"/>
      <c r="W799" s="1130"/>
      <c r="X799" s="1130"/>
      <c r="Y799" s="1130"/>
      <c r="Z799" s="1130"/>
    </row>
    <row r="800" spans="1:26" ht="15.75" customHeight="1">
      <c r="A800" s="1130"/>
      <c r="B800" s="1130"/>
      <c r="C800" s="1130"/>
      <c r="D800" s="1130"/>
      <c r="E800" s="1130"/>
      <c r="F800" s="1130"/>
      <c r="G800" s="1130"/>
      <c r="H800" s="1130"/>
      <c r="I800" s="1130"/>
      <c r="J800" s="1130"/>
      <c r="K800" s="1130"/>
      <c r="L800" s="1130"/>
      <c r="M800" s="1130"/>
      <c r="N800" s="1130"/>
      <c r="O800" s="1130"/>
      <c r="P800" s="1130"/>
      <c r="Q800" s="1130"/>
      <c r="R800" s="1130"/>
      <c r="S800" s="1130"/>
      <c r="T800" s="1130"/>
      <c r="U800" s="1130"/>
      <c r="V800" s="1130"/>
      <c r="W800" s="1130"/>
      <c r="X800" s="1130"/>
      <c r="Y800" s="1130"/>
      <c r="Z800" s="1130"/>
    </row>
    <row r="801" spans="1:26" ht="15.75" customHeight="1">
      <c r="A801" s="1130"/>
      <c r="B801" s="1130"/>
      <c r="C801" s="1130"/>
      <c r="D801" s="1130"/>
      <c r="E801" s="1130"/>
      <c r="F801" s="1130"/>
      <c r="G801" s="1130"/>
      <c r="H801" s="1130"/>
      <c r="I801" s="1130"/>
      <c r="J801" s="1130"/>
      <c r="K801" s="1130"/>
      <c r="L801" s="1130"/>
      <c r="M801" s="1130"/>
      <c r="N801" s="1130"/>
      <c r="O801" s="1130"/>
      <c r="P801" s="1130"/>
      <c r="Q801" s="1130"/>
      <c r="R801" s="1130"/>
      <c r="S801" s="1130"/>
      <c r="T801" s="1130"/>
      <c r="U801" s="1130"/>
      <c r="V801" s="1130"/>
      <c r="W801" s="1130"/>
      <c r="X801" s="1130"/>
      <c r="Y801" s="1130"/>
      <c r="Z801" s="1130"/>
    </row>
    <row r="802" spans="1:26" ht="15.75" customHeight="1">
      <c r="A802" s="1130"/>
      <c r="B802" s="1130"/>
      <c r="C802" s="1130"/>
      <c r="D802" s="1130"/>
      <c r="E802" s="1130"/>
      <c r="F802" s="1130"/>
      <c r="G802" s="1130"/>
      <c r="H802" s="1130"/>
      <c r="I802" s="1130"/>
      <c r="J802" s="1130"/>
      <c r="K802" s="1130"/>
      <c r="L802" s="1130"/>
      <c r="M802" s="1130"/>
      <c r="N802" s="1130"/>
      <c r="O802" s="1130"/>
      <c r="P802" s="1130"/>
      <c r="Q802" s="1130"/>
      <c r="R802" s="1130"/>
      <c r="S802" s="1130"/>
      <c r="T802" s="1130"/>
      <c r="U802" s="1130"/>
      <c r="V802" s="1130"/>
      <c r="W802" s="1130"/>
      <c r="X802" s="1130"/>
      <c r="Y802" s="1130"/>
      <c r="Z802" s="1130"/>
    </row>
    <row r="803" spans="1:26" ht="15.75" customHeight="1">
      <c r="A803" s="1130"/>
      <c r="B803" s="1130"/>
      <c r="C803" s="1130"/>
      <c r="D803" s="1130"/>
      <c r="E803" s="1130"/>
      <c r="F803" s="1130"/>
      <c r="G803" s="1130"/>
      <c r="H803" s="1130"/>
      <c r="I803" s="1130"/>
      <c r="J803" s="1130"/>
      <c r="K803" s="1130"/>
      <c r="L803" s="1130"/>
      <c r="M803" s="1130"/>
      <c r="N803" s="1130"/>
      <c r="O803" s="1130"/>
      <c r="P803" s="1130"/>
      <c r="Q803" s="1130"/>
      <c r="R803" s="1130"/>
      <c r="S803" s="1130"/>
      <c r="T803" s="1130"/>
      <c r="U803" s="1130"/>
      <c r="V803" s="1130"/>
      <c r="W803" s="1130"/>
      <c r="X803" s="1130"/>
      <c r="Y803" s="1130"/>
      <c r="Z803" s="1130"/>
    </row>
    <row r="804" spans="1:26" ht="15.75" customHeight="1">
      <c r="A804" s="1130"/>
      <c r="B804" s="1130"/>
      <c r="C804" s="1130"/>
      <c r="D804" s="1130"/>
      <c r="E804" s="1130"/>
      <c r="F804" s="1130"/>
      <c r="G804" s="1130"/>
      <c r="H804" s="1130"/>
      <c r="I804" s="1130"/>
      <c r="J804" s="1130"/>
      <c r="K804" s="1130"/>
      <c r="L804" s="1130"/>
      <c r="M804" s="1130"/>
      <c r="N804" s="1130"/>
      <c r="O804" s="1130"/>
      <c r="P804" s="1130"/>
      <c r="Q804" s="1130"/>
      <c r="R804" s="1130"/>
      <c r="S804" s="1130"/>
      <c r="T804" s="1130"/>
      <c r="U804" s="1130"/>
      <c r="V804" s="1130"/>
      <c r="W804" s="1130"/>
      <c r="X804" s="1130"/>
      <c r="Y804" s="1130"/>
      <c r="Z804" s="1130"/>
    </row>
    <row r="805" spans="1:26" ht="15.75" customHeight="1">
      <c r="A805" s="1130"/>
      <c r="B805" s="1130"/>
      <c r="C805" s="1130"/>
      <c r="D805" s="1130"/>
      <c r="E805" s="1130"/>
      <c r="F805" s="1130"/>
      <c r="G805" s="1130"/>
      <c r="H805" s="1130"/>
      <c r="I805" s="1130"/>
      <c r="J805" s="1130"/>
      <c r="K805" s="1130"/>
      <c r="L805" s="1130"/>
      <c r="M805" s="1130"/>
      <c r="N805" s="1130"/>
      <c r="O805" s="1130"/>
      <c r="P805" s="1130"/>
      <c r="Q805" s="1130"/>
      <c r="R805" s="1130"/>
      <c r="S805" s="1130"/>
      <c r="T805" s="1130"/>
      <c r="U805" s="1130"/>
      <c r="V805" s="1130"/>
      <c r="W805" s="1130"/>
      <c r="X805" s="1130"/>
      <c r="Y805" s="1130"/>
      <c r="Z805" s="1130"/>
    </row>
    <row r="806" spans="1:26" ht="15.75" customHeight="1">
      <c r="A806" s="1130"/>
      <c r="B806" s="1130"/>
      <c r="C806" s="1130"/>
      <c r="D806" s="1130"/>
      <c r="E806" s="1130"/>
      <c r="F806" s="1130"/>
      <c r="G806" s="1130"/>
      <c r="H806" s="1130"/>
      <c r="I806" s="1130"/>
      <c r="J806" s="1130"/>
      <c r="K806" s="1130"/>
      <c r="L806" s="1130"/>
      <c r="M806" s="1130"/>
      <c r="N806" s="1130"/>
      <c r="O806" s="1130"/>
      <c r="P806" s="1130"/>
      <c r="Q806" s="1130"/>
      <c r="R806" s="1130"/>
      <c r="S806" s="1130"/>
      <c r="T806" s="1130"/>
      <c r="U806" s="1130"/>
      <c r="V806" s="1130"/>
      <c r="W806" s="1130"/>
      <c r="X806" s="1130"/>
      <c r="Y806" s="1130"/>
      <c r="Z806" s="1130"/>
    </row>
    <row r="807" spans="1:26" ht="15.75" customHeight="1">
      <c r="A807" s="1130"/>
      <c r="B807" s="1130"/>
      <c r="C807" s="1130"/>
      <c r="D807" s="1130"/>
      <c r="E807" s="1130"/>
      <c r="F807" s="1130"/>
      <c r="G807" s="1130"/>
      <c r="H807" s="1130"/>
      <c r="I807" s="1130"/>
      <c r="J807" s="1130"/>
      <c r="K807" s="1130"/>
      <c r="L807" s="1130"/>
      <c r="M807" s="1130"/>
      <c r="N807" s="1130"/>
      <c r="O807" s="1130"/>
      <c r="P807" s="1130"/>
      <c r="Q807" s="1130"/>
      <c r="R807" s="1130"/>
      <c r="S807" s="1130"/>
      <c r="T807" s="1130"/>
      <c r="U807" s="1130"/>
      <c r="V807" s="1130"/>
      <c r="W807" s="1130"/>
      <c r="X807" s="1130"/>
      <c r="Y807" s="1130"/>
      <c r="Z807" s="1130"/>
    </row>
    <row r="808" spans="1:26" ht="15.75" customHeight="1">
      <c r="A808" s="1130"/>
      <c r="B808" s="1130"/>
      <c r="C808" s="1130"/>
      <c r="D808" s="1130"/>
      <c r="E808" s="1130"/>
      <c r="F808" s="1130"/>
      <c r="G808" s="1130"/>
      <c r="H808" s="1130"/>
      <c r="I808" s="1130"/>
      <c r="J808" s="1130"/>
      <c r="K808" s="1130"/>
      <c r="L808" s="1130"/>
      <c r="M808" s="1130"/>
      <c r="N808" s="1130"/>
      <c r="O808" s="1130"/>
      <c r="P808" s="1130"/>
      <c r="Q808" s="1130"/>
      <c r="R808" s="1130"/>
      <c r="S808" s="1130"/>
      <c r="T808" s="1130"/>
      <c r="U808" s="1130"/>
      <c r="V808" s="1130"/>
      <c r="W808" s="1130"/>
      <c r="X808" s="1130"/>
      <c r="Y808" s="1130"/>
      <c r="Z808" s="1130"/>
    </row>
    <row r="809" spans="1:26" ht="15.75" customHeight="1">
      <c r="A809" s="1130"/>
      <c r="B809" s="1130"/>
      <c r="C809" s="1130"/>
      <c r="D809" s="1130"/>
      <c r="E809" s="1130"/>
      <c r="F809" s="1130"/>
      <c r="G809" s="1130"/>
      <c r="H809" s="1130"/>
      <c r="I809" s="1130"/>
      <c r="J809" s="1130"/>
      <c r="K809" s="1130"/>
      <c r="L809" s="1130"/>
      <c r="M809" s="1130"/>
      <c r="N809" s="1130"/>
      <c r="O809" s="1130"/>
      <c r="P809" s="1130"/>
      <c r="Q809" s="1130"/>
      <c r="R809" s="1130"/>
      <c r="S809" s="1130"/>
      <c r="T809" s="1130"/>
      <c r="U809" s="1130"/>
      <c r="V809" s="1130"/>
      <c r="W809" s="1130"/>
      <c r="X809" s="1130"/>
      <c r="Y809" s="1130"/>
      <c r="Z809" s="1130"/>
    </row>
    <row r="810" spans="1:26" ht="15.75" customHeight="1">
      <c r="A810" s="1130"/>
      <c r="B810" s="1130"/>
      <c r="C810" s="1130"/>
      <c r="D810" s="1130"/>
      <c r="E810" s="1130"/>
      <c r="F810" s="1130"/>
      <c r="G810" s="1130"/>
      <c r="H810" s="1130"/>
      <c r="I810" s="1130"/>
      <c r="J810" s="1130"/>
      <c r="K810" s="1130"/>
      <c r="L810" s="1130"/>
      <c r="M810" s="1130"/>
      <c r="N810" s="1130"/>
      <c r="O810" s="1130"/>
      <c r="P810" s="1130"/>
      <c r="Q810" s="1130"/>
      <c r="R810" s="1130"/>
      <c r="S810" s="1130"/>
      <c r="T810" s="1130"/>
      <c r="U810" s="1130"/>
      <c r="V810" s="1130"/>
      <c r="W810" s="1130"/>
      <c r="X810" s="1130"/>
      <c r="Y810" s="1130"/>
      <c r="Z810" s="1130"/>
    </row>
    <row r="811" spans="1:26" ht="15.75" customHeight="1">
      <c r="A811" s="1130"/>
      <c r="B811" s="1130"/>
      <c r="C811" s="1130"/>
      <c r="D811" s="1130"/>
      <c r="E811" s="1130"/>
      <c r="F811" s="1130"/>
      <c r="G811" s="1130"/>
      <c r="H811" s="1130"/>
      <c r="I811" s="1130"/>
      <c r="J811" s="1130"/>
      <c r="K811" s="1130"/>
      <c r="L811" s="1130"/>
      <c r="M811" s="1130"/>
      <c r="N811" s="1130"/>
      <c r="O811" s="1130"/>
      <c r="P811" s="1130"/>
      <c r="Q811" s="1130"/>
      <c r="R811" s="1130"/>
      <c r="S811" s="1130"/>
      <c r="T811" s="1130"/>
      <c r="U811" s="1130"/>
      <c r="V811" s="1130"/>
      <c r="W811" s="1130"/>
      <c r="X811" s="1130"/>
      <c r="Y811" s="1130"/>
      <c r="Z811" s="1130"/>
    </row>
    <row r="812" spans="1:26" ht="15.75" customHeight="1">
      <c r="A812" s="1130"/>
      <c r="B812" s="1130"/>
      <c r="C812" s="1130"/>
      <c r="D812" s="1130"/>
      <c r="E812" s="1130"/>
      <c r="F812" s="1130"/>
      <c r="G812" s="1130"/>
      <c r="H812" s="1130"/>
      <c r="I812" s="1130"/>
      <c r="J812" s="1130"/>
      <c r="K812" s="1130"/>
      <c r="L812" s="1130"/>
      <c r="M812" s="1130"/>
      <c r="N812" s="1130"/>
      <c r="O812" s="1130"/>
      <c r="P812" s="1130"/>
      <c r="Q812" s="1130"/>
      <c r="R812" s="1130"/>
      <c r="S812" s="1130"/>
      <c r="T812" s="1130"/>
      <c r="U812" s="1130"/>
      <c r="V812" s="1130"/>
      <c r="W812" s="1130"/>
      <c r="X812" s="1130"/>
      <c r="Y812" s="1130"/>
      <c r="Z812" s="1130"/>
    </row>
    <row r="813" spans="1:26" ht="15.75" customHeight="1">
      <c r="A813" s="1130"/>
      <c r="B813" s="1130"/>
      <c r="C813" s="1130"/>
      <c r="D813" s="1130"/>
      <c r="E813" s="1130"/>
      <c r="F813" s="1130"/>
      <c r="G813" s="1130"/>
      <c r="H813" s="1130"/>
      <c r="I813" s="1130"/>
      <c r="J813" s="1130"/>
      <c r="K813" s="1130"/>
      <c r="L813" s="1130"/>
      <c r="M813" s="1130"/>
      <c r="N813" s="1130"/>
      <c r="O813" s="1130"/>
      <c r="P813" s="1130"/>
      <c r="Q813" s="1130"/>
      <c r="R813" s="1130"/>
      <c r="S813" s="1130"/>
      <c r="T813" s="1130"/>
      <c r="U813" s="1130"/>
      <c r="V813" s="1130"/>
      <c r="W813" s="1130"/>
      <c r="X813" s="1130"/>
      <c r="Y813" s="1130"/>
      <c r="Z813" s="1130"/>
    </row>
    <row r="814" spans="1:26" ht="15.75" customHeight="1">
      <c r="A814" s="1130"/>
      <c r="B814" s="1130"/>
      <c r="C814" s="1130"/>
      <c r="D814" s="1130"/>
      <c r="E814" s="1130"/>
      <c r="F814" s="1130"/>
      <c r="G814" s="1130"/>
      <c r="H814" s="1130"/>
      <c r="I814" s="1130"/>
      <c r="J814" s="1130"/>
      <c r="K814" s="1130"/>
      <c r="L814" s="1130"/>
      <c r="M814" s="1130"/>
      <c r="N814" s="1130"/>
      <c r="O814" s="1130"/>
      <c r="P814" s="1130"/>
      <c r="Q814" s="1130"/>
      <c r="R814" s="1130"/>
      <c r="S814" s="1130"/>
      <c r="T814" s="1130"/>
      <c r="U814" s="1130"/>
      <c r="V814" s="1130"/>
      <c r="W814" s="1130"/>
      <c r="X814" s="1130"/>
      <c r="Y814" s="1130"/>
      <c r="Z814" s="1130"/>
    </row>
    <row r="815" spans="1:26" ht="15.75" customHeight="1">
      <c r="A815" s="1130"/>
      <c r="B815" s="1130"/>
      <c r="C815" s="1130"/>
      <c r="D815" s="1130"/>
      <c r="E815" s="1130"/>
      <c r="F815" s="1130"/>
      <c r="G815" s="1130"/>
      <c r="H815" s="1130"/>
      <c r="I815" s="1130"/>
      <c r="J815" s="1130"/>
      <c r="K815" s="1130"/>
      <c r="L815" s="1130"/>
      <c r="M815" s="1130"/>
      <c r="N815" s="1130"/>
      <c r="O815" s="1130"/>
      <c r="P815" s="1130"/>
      <c r="Q815" s="1130"/>
      <c r="R815" s="1130"/>
      <c r="S815" s="1130"/>
      <c r="T815" s="1130"/>
      <c r="U815" s="1130"/>
      <c r="V815" s="1130"/>
      <c r="W815" s="1130"/>
      <c r="X815" s="1130"/>
      <c r="Y815" s="1130"/>
      <c r="Z815" s="1130"/>
    </row>
    <row r="816" spans="1:26" ht="15.75" customHeight="1">
      <c r="A816" s="1130"/>
      <c r="B816" s="1130"/>
      <c r="C816" s="1130"/>
      <c r="D816" s="1130"/>
      <c r="E816" s="1130"/>
      <c r="F816" s="1130"/>
      <c r="G816" s="1130"/>
      <c r="H816" s="1130"/>
      <c r="I816" s="1130"/>
      <c r="J816" s="1130"/>
      <c r="K816" s="1130"/>
      <c r="L816" s="1130"/>
      <c r="M816" s="1130"/>
      <c r="N816" s="1130"/>
      <c r="O816" s="1130"/>
      <c r="P816" s="1130"/>
      <c r="Q816" s="1130"/>
      <c r="R816" s="1130"/>
      <c r="S816" s="1130"/>
      <c r="T816" s="1130"/>
      <c r="U816" s="1130"/>
      <c r="V816" s="1130"/>
      <c r="W816" s="1130"/>
      <c r="X816" s="1130"/>
      <c r="Y816" s="1130"/>
      <c r="Z816" s="1130"/>
    </row>
    <row r="817" spans="1:26" ht="15.75" customHeight="1">
      <c r="A817" s="1130"/>
      <c r="B817" s="1130"/>
      <c r="C817" s="1130"/>
      <c r="D817" s="1130"/>
      <c r="E817" s="1130"/>
      <c r="F817" s="1130"/>
      <c r="G817" s="1130"/>
      <c r="H817" s="1130"/>
      <c r="I817" s="1130"/>
      <c r="J817" s="1130"/>
      <c r="K817" s="1130"/>
      <c r="L817" s="1130"/>
      <c r="M817" s="1130"/>
      <c r="N817" s="1130"/>
      <c r="O817" s="1130"/>
      <c r="P817" s="1130"/>
      <c r="Q817" s="1130"/>
      <c r="R817" s="1130"/>
      <c r="S817" s="1130"/>
      <c r="T817" s="1130"/>
      <c r="U817" s="1130"/>
      <c r="V817" s="1130"/>
      <c r="W817" s="1130"/>
      <c r="X817" s="1130"/>
      <c r="Y817" s="1130"/>
      <c r="Z817" s="1130"/>
    </row>
    <row r="818" spans="1:26" ht="15.75" customHeight="1">
      <c r="A818" s="1130"/>
      <c r="B818" s="1130"/>
      <c r="C818" s="1130"/>
      <c r="D818" s="1130"/>
      <c r="E818" s="1130"/>
      <c r="F818" s="1130"/>
      <c r="G818" s="1130"/>
      <c r="H818" s="1130"/>
      <c r="I818" s="1130"/>
      <c r="J818" s="1130"/>
      <c r="K818" s="1130"/>
      <c r="L818" s="1130"/>
      <c r="M818" s="1130"/>
      <c r="N818" s="1130"/>
      <c r="O818" s="1130"/>
      <c r="P818" s="1130"/>
      <c r="Q818" s="1130"/>
      <c r="R818" s="1130"/>
      <c r="S818" s="1130"/>
      <c r="T818" s="1130"/>
      <c r="U818" s="1130"/>
      <c r="V818" s="1130"/>
      <c r="W818" s="1130"/>
      <c r="X818" s="1130"/>
      <c r="Y818" s="1130"/>
      <c r="Z818" s="1130"/>
    </row>
    <row r="819" spans="1:26" ht="15.75" customHeight="1">
      <c r="A819" s="1130"/>
      <c r="B819" s="1130"/>
      <c r="C819" s="1130"/>
      <c r="D819" s="1130"/>
      <c r="E819" s="1130"/>
      <c r="F819" s="1130"/>
      <c r="G819" s="1130"/>
      <c r="H819" s="1130"/>
      <c r="I819" s="1130"/>
      <c r="J819" s="1130"/>
      <c r="K819" s="1130"/>
      <c r="L819" s="1130"/>
      <c r="M819" s="1130"/>
      <c r="N819" s="1130"/>
      <c r="O819" s="1130"/>
      <c r="P819" s="1130"/>
      <c r="Q819" s="1130"/>
      <c r="R819" s="1130"/>
      <c r="S819" s="1130"/>
      <c r="T819" s="1130"/>
      <c r="U819" s="1130"/>
      <c r="V819" s="1130"/>
      <c r="W819" s="1130"/>
      <c r="X819" s="1130"/>
      <c r="Y819" s="1130"/>
      <c r="Z819" s="1130"/>
    </row>
    <row r="820" spans="1:26" ht="15.75" customHeight="1">
      <c r="A820" s="1130"/>
      <c r="B820" s="1130"/>
      <c r="C820" s="1130"/>
      <c r="D820" s="1130"/>
      <c r="E820" s="1130"/>
      <c r="F820" s="1130"/>
      <c r="G820" s="1130"/>
      <c r="H820" s="1130"/>
      <c r="I820" s="1130"/>
      <c r="J820" s="1130"/>
      <c r="K820" s="1130"/>
      <c r="L820" s="1130"/>
      <c r="M820" s="1130"/>
      <c r="N820" s="1130"/>
      <c r="O820" s="1130"/>
      <c r="P820" s="1130"/>
      <c r="Q820" s="1130"/>
      <c r="R820" s="1130"/>
      <c r="S820" s="1130"/>
      <c r="T820" s="1130"/>
      <c r="U820" s="1130"/>
      <c r="V820" s="1130"/>
      <c r="W820" s="1130"/>
      <c r="X820" s="1130"/>
      <c r="Y820" s="1130"/>
      <c r="Z820" s="1130"/>
    </row>
    <row r="821" spans="1:26" ht="15.75" customHeight="1">
      <c r="A821" s="1130"/>
      <c r="B821" s="1130"/>
      <c r="C821" s="1130"/>
      <c r="D821" s="1130"/>
      <c r="E821" s="1130"/>
      <c r="F821" s="1130"/>
      <c r="G821" s="1130"/>
      <c r="H821" s="1130"/>
      <c r="I821" s="1130"/>
      <c r="J821" s="1130"/>
      <c r="K821" s="1130"/>
      <c r="L821" s="1130"/>
      <c r="M821" s="1130"/>
      <c r="N821" s="1130"/>
      <c r="O821" s="1130"/>
      <c r="P821" s="1130"/>
      <c r="Q821" s="1130"/>
      <c r="R821" s="1130"/>
      <c r="S821" s="1130"/>
      <c r="T821" s="1130"/>
      <c r="U821" s="1130"/>
      <c r="V821" s="1130"/>
      <c r="W821" s="1130"/>
      <c r="X821" s="1130"/>
      <c r="Y821" s="1130"/>
      <c r="Z821" s="1130"/>
    </row>
    <row r="822" spans="1:26" ht="15.75" customHeight="1">
      <c r="A822" s="1130"/>
      <c r="B822" s="1130"/>
      <c r="C822" s="1130"/>
      <c r="D822" s="1130"/>
      <c r="E822" s="1130"/>
      <c r="F822" s="1130"/>
      <c r="G822" s="1130"/>
      <c r="H822" s="1130"/>
      <c r="I822" s="1130"/>
      <c r="J822" s="1130"/>
      <c r="K822" s="1130"/>
      <c r="L822" s="1130"/>
      <c r="M822" s="1130"/>
      <c r="N822" s="1130"/>
      <c r="O822" s="1130"/>
      <c r="P822" s="1130"/>
      <c r="Q822" s="1130"/>
      <c r="R822" s="1130"/>
      <c r="S822" s="1130"/>
      <c r="T822" s="1130"/>
      <c r="U822" s="1130"/>
      <c r="V822" s="1130"/>
      <c r="W822" s="1130"/>
      <c r="X822" s="1130"/>
      <c r="Y822" s="1130"/>
      <c r="Z822" s="1130"/>
    </row>
    <row r="823" spans="1:26" ht="15.75" customHeight="1">
      <c r="A823" s="1130"/>
      <c r="B823" s="1130"/>
      <c r="C823" s="1130"/>
      <c r="D823" s="1130"/>
      <c r="E823" s="1130"/>
      <c r="F823" s="1130"/>
      <c r="G823" s="1130"/>
      <c r="H823" s="1130"/>
      <c r="I823" s="1130"/>
      <c r="J823" s="1130"/>
      <c r="K823" s="1130"/>
      <c r="L823" s="1130"/>
      <c r="M823" s="1130"/>
      <c r="N823" s="1130"/>
      <c r="O823" s="1130"/>
      <c r="P823" s="1130"/>
      <c r="Q823" s="1130"/>
      <c r="R823" s="1130"/>
      <c r="S823" s="1130"/>
      <c r="T823" s="1130"/>
      <c r="U823" s="1130"/>
      <c r="V823" s="1130"/>
      <c r="W823" s="1130"/>
      <c r="X823" s="1130"/>
      <c r="Y823" s="1130"/>
      <c r="Z823" s="1130"/>
    </row>
    <row r="824" spans="1:26" ht="15.75" customHeight="1">
      <c r="A824" s="1130"/>
      <c r="B824" s="1130"/>
      <c r="C824" s="1130"/>
      <c r="D824" s="1130"/>
      <c r="E824" s="1130"/>
      <c r="F824" s="1130"/>
      <c r="G824" s="1130"/>
      <c r="H824" s="1130"/>
      <c r="I824" s="1130"/>
      <c r="J824" s="1130"/>
      <c r="K824" s="1130"/>
      <c r="L824" s="1130"/>
      <c r="M824" s="1130"/>
      <c r="N824" s="1130"/>
      <c r="O824" s="1130"/>
      <c r="P824" s="1130"/>
      <c r="Q824" s="1130"/>
      <c r="R824" s="1130"/>
      <c r="S824" s="1130"/>
      <c r="T824" s="1130"/>
      <c r="U824" s="1130"/>
      <c r="V824" s="1130"/>
      <c r="W824" s="1130"/>
      <c r="X824" s="1130"/>
      <c r="Y824" s="1130"/>
      <c r="Z824" s="1130"/>
    </row>
    <row r="825" spans="1:26" ht="15.75" customHeight="1">
      <c r="A825" s="1130"/>
      <c r="B825" s="1130"/>
      <c r="C825" s="1130"/>
      <c r="D825" s="1130"/>
      <c r="E825" s="1130"/>
      <c r="F825" s="1130"/>
      <c r="G825" s="1130"/>
      <c r="H825" s="1130"/>
      <c r="I825" s="1130"/>
      <c r="J825" s="1130"/>
      <c r="K825" s="1130"/>
      <c r="L825" s="1130"/>
      <c r="M825" s="1130"/>
      <c r="N825" s="1130"/>
      <c r="O825" s="1130"/>
      <c r="P825" s="1130"/>
      <c r="Q825" s="1130"/>
      <c r="R825" s="1130"/>
      <c r="S825" s="1130"/>
      <c r="T825" s="1130"/>
      <c r="U825" s="1130"/>
      <c r="V825" s="1130"/>
      <c r="W825" s="1130"/>
      <c r="X825" s="1130"/>
      <c r="Y825" s="1130"/>
      <c r="Z825" s="1130"/>
    </row>
    <row r="826" spans="1:26" ht="15.75" customHeight="1">
      <c r="A826" s="1130"/>
      <c r="B826" s="1130"/>
      <c r="C826" s="1130"/>
      <c r="D826" s="1130"/>
      <c r="E826" s="1130"/>
      <c r="F826" s="1130"/>
      <c r="G826" s="1130"/>
      <c r="H826" s="1130"/>
      <c r="I826" s="1130"/>
      <c r="J826" s="1130"/>
      <c r="K826" s="1130"/>
      <c r="L826" s="1130"/>
      <c r="M826" s="1130"/>
      <c r="N826" s="1130"/>
      <c r="O826" s="1130"/>
      <c r="P826" s="1130"/>
      <c r="Q826" s="1130"/>
      <c r="R826" s="1130"/>
      <c r="S826" s="1130"/>
      <c r="T826" s="1130"/>
      <c r="U826" s="1130"/>
      <c r="V826" s="1130"/>
      <c r="W826" s="1130"/>
      <c r="X826" s="1130"/>
      <c r="Y826" s="1130"/>
      <c r="Z826" s="1130"/>
    </row>
    <row r="827" spans="1:26" ht="15.75" customHeight="1">
      <c r="A827" s="1130"/>
      <c r="B827" s="1130"/>
      <c r="C827" s="1130"/>
      <c r="D827" s="1130"/>
      <c r="E827" s="1130"/>
      <c r="F827" s="1130"/>
      <c r="G827" s="1130"/>
      <c r="H827" s="1130"/>
      <c r="I827" s="1130"/>
      <c r="J827" s="1130"/>
      <c r="K827" s="1130"/>
      <c r="L827" s="1130"/>
      <c r="M827" s="1130"/>
      <c r="N827" s="1130"/>
      <c r="O827" s="1130"/>
      <c r="P827" s="1130"/>
      <c r="Q827" s="1130"/>
      <c r="R827" s="1130"/>
      <c r="S827" s="1130"/>
      <c r="T827" s="1130"/>
      <c r="U827" s="1130"/>
      <c r="V827" s="1130"/>
      <c r="W827" s="1130"/>
      <c r="X827" s="1130"/>
      <c r="Y827" s="1130"/>
      <c r="Z827" s="1130"/>
    </row>
    <row r="828" spans="1:26" ht="15.75" customHeight="1">
      <c r="A828" s="1130"/>
      <c r="B828" s="1130"/>
      <c r="C828" s="1130"/>
      <c r="D828" s="1130"/>
      <c r="E828" s="1130"/>
      <c r="F828" s="1130"/>
      <c r="G828" s="1130"/>
      <c r="H828" s="1130"/>
      <c r="I828" s="1130"/>
      <c r="J828" s="1130"/>
      <c r="K828" s="1130"/>
      <c r="L828" s="1130"/>
      <c r="M828" s="1130"/>
      <c r="N828" s="1130"/>
      <c r="O828" s="1130"/>
      <c r="P828" s="1130"/>
      <c r="Q828" s="1130"/>
      <c r="R828" s="1130"/>
      <c r="S828" s="1130"/>
      <c r="T828" s="1130"/>
      <c r="U828" s="1130"/>
      <c r="V828" s="1130"/>
      <c r="W828" s="1130"/>
      <c r="X828" s="1130"/>
      <c r="Y828" s="1130"/>
      <c r="Z828" s="1130"/>
    </row>
    <row r="829" spans="1:26" ht="15.75" customHeight="1">
      <c r="A829" s="1130"/>
      <c r="B829" s="1130"/>
      <c r="C829" s="1130"/>
      <c r="D829" s="1130"/>
      <c r="E829" s="1130"/>
      <c r="F829" s="1130"/>
      <c r="G829" s="1130"/>
      <c r="H829" s="1130"/>
      <c r="I829" s="1130"/>
      <c r="J829" s="1130"/>
      <c r="K829" s="1130"/>
      <c r="L829" s="1130"/>
      <c r="M829" s="1130"/>
      <c r="N829" s="1130"/>
      <c r="O829" s="1130"/>
      <c r="P829" s="1130"/>
      <c r="Q829" s="1130"/>
      <c r="R829" s="1130"/>
      <c r="S829" s="1130"/>
      <c r="T829" s="1130"/>
      <c r="U829" s="1130"/>
      <c r="V829" s="1130"/>
      <c r="W829" s="1130"/>
      <c r="X829" s="1130"/>
      <c r="Y829" s="1130"/>
      <c r="Z829" s="1130"/>
    </row>
    <row r="830" spans="1:26" ht="15.75" customHeight="1">
      <c r="A830" s="1130"/>
      <c r="B830" s="1130"/>
      <c r="C830" s="1130"/>
      <c r="D830" s="1130"/>
      <c r="E830" s="1130"/>
      <c r="F830" s="1130"/>
      <c r="G830" s="1130"/>
      <c r="H830" s="1130"/>
      <c r="I830" s="1130"/>
      <c r="J830" s="1130"/>
      <c r="K830" s="1130"/>
      <c r="L830" s="1130"/>
      <c r="M830" s="1130"/>
      <c r="N830" s="1130"/>
      <c r="O830" s="1130"/>
      <c r="P830" s="1130"/>
      <c r="Q830" s="1130"/>
      <c r="R830" s="1130"/>
      <c r="S830" s="1130"/>
      <c r="T830" s="1130"/>
      <c r="U830" s="1130"/>
      <c r="V830" s="1130"/>
      <c r="W830" s="1130"/>
      <c r="X830" s="1130"/>
      <c r="Y830" s="1130"/>
      <c r="Z830" s="1130"/>
    </row>
    <row r="831" spans="1:26" ht="15.75" customHeight="1">
      <c r="A831" s="1130"/>
      <c r="B831" s="1130"/>
      <c r="C831" s="1130"/>
      <c r="D831" s="1130"/>
      <c r="E831" s="1130"/>
      <c r="F831" s="1130"/>
      <c r="G831" s="1130"/>
      <c r="H831" s="1130"/>
      <c r="I831" s="1130"/>
      <c r="J831" s="1130"/>
      <c r="K831" s="1130"/>
      <c r="L831" s="1130"/>
      <c r="M831" s="1130"/>
      <c r="N831" s="1130"/>
      <c r="O831" s="1130"/>
      <c r="P831" s="1130"/>
      <c r="Q831" s="1130"/>
      <c r="R831" s="1130"/>
      <c r="S831" s="1130"/>
      <c r="T831" s="1130"/>
      <c r="U831" s="1130"/>
      <c r="V831" s="1130"/>
      <c r="W831" s="1130"/>
      <c r="X831" s="1130"/>
      <c r="Y831" s="1130"/>
      <c r="Z831" s="1130"/>
    </row>
    <row r="832" spans="1:26" ht="15.75" customHeight="1">
      <c r="A832" s="1130"/>
      <c r="B832" s="1130"/>
      <c r="C832" s="1130"/>
      <c r="D832" s="1130"/>
      <c r="E832" s="1130"/>
      <c r="F832" s="1130"/>
      <c r="G832" s="1130"/>
      <c r="H832" s="1130"/>
      <c r="I832" s="1130"/>
      <c r="J832" s="1130"/>
      <c r="K832" s="1130"/>
      <c r="L832" s="1130"/>
      <c r="M832" s="1130"/>
      <c r="N832" s="1130"/>
      <c r="O832" s="1130"/>
      <c r="P832" s="1130"/>
      <c r="Q832" s="1130"/>
      <c r="R832" s="1130"/>
      <c r="S832" s="1130"/>
      <c r="T832" s="1130"/>
      <c r="U832" s="1130"/>
      <c r="V832" s="1130"/>
      <c r="W832" s="1130"/>
      <c r="X832" s="1130"/>
      <c r="Y832" s="1130"/>
      <c r="Z832" s="1130"/>
    </row>
    <row r="833" spans="1:26" ht="15.75" customHeight="1">
      <c r="A833" s="1130"/>
      <c r="B833" s="1130"/>
      <c r="C833" s="1130"/>
      <c r="D833" s="1130"/>
      <c r="E833" s="1130"/>
      <c r="F833" s="1130"/>
      <c r="G833" s="1130"/>
      <c r="H833" s="1130"/>
      <c r="I833" s="1130"/>
      <c r="J833" s="1130"/>
      <c r="K833" s="1130"/>
      <c r="L833" s="1130"/>
      <c r="M833" s="1130"/>
      <c r="N833" s="1130"/>
      <c r="O833" s="1130"/>
      <c r="P833" s="1130"/>
      <c r="Q833" s="1130"/>
      <c r="R833" s="1130"/>
      <c r="S833" s="1130"/>
      <c r="T833" s="1130"/>
      <c r="U833" s="1130"/>
      <c r="V833" s="1130"/>
      <c r="W833" s="1130"/>
      <c r="X833" s="1130"/>
      <c r="Y833" s="1130"/>
      <c r="Z833" s="1130"/>
    </row>
    <row r="834" spans="1:26" ht="15.75" customHeight="1">
      <c r="A834" s="1130"/>
      <c r="B834" s="1130"/>
      <c r="C834" s="1130"/>
      <c r="D834" s="1130"/>
      <c r="E834" s="1130"/>
      <c r="F834" s="1130"/>
      <c r="G834" s="1130"/>
      <c r="H834" s="1130"/>
      <c r="I834" s="1130"/>
      <c r="J834" s="1130"/>
      <c r="K834" s="1130"/>
      <c r="L834" s="1130"/>
      <c r="M834" s="1130"/>
      <c r="N834" s="1130"/>
      <c r="O834" s="1130"/>
      <c r="P834" s="1130"/>
      <c r="Q834" s="1130"/>
      <c r="R834" s="1130"/>
      <c r="S834" s="1130"/>
      <c r="T834" s="1130"/>
      <c r="U834" s="1130"/>
      <c r="V834" s="1130"/>
      <c r="W834" s="1130"/>
      <c r="X834" s="1130"/>
      <c r="Y834" s="1130"/>
      <c r="Z834" s="1130"/>
    </row>
    <row r="835" spans="1:26" ht="15.75" customHeight="1">
      <c r="A835" s="1130"/>
      <c r="B835" s="1130"/>
      <c r="C835" s="1130"/>
      <c r="D835" s="1130"/>
      <c r="E835" s="1130"/>
      <c r="F835" s="1130"/>
      <c r="G835" s="1130"/>
      <c r="H835" s="1130"/>
      <c r="I835" s="1130"/>
      <c r="J835" s="1130"/>
      <c r="K835" s="1130"/>
      <c r="L835" s="1130"/>
      <c r="M835" s="1130"/>
      <c r="N835" s="1130"/>
      <c r="O835" s="1130"/>
      <c r="P835" s="1130"/>
      <c r="Q835" s="1130"/>
      <c r="R835" s="1130"/>
      <c r="S835" s="1130"/>
      <c r="T835" s="1130"/>
      <c r="U835" s="1130"/>
      <c r="V835" s="1130"/>
      <c r="W835" s="1130"/>
      <c r="X835" s="1130"/>
      <c r="Y835" s="1130"/>
      <c r="Z835" s="1130"/>
    </row>
    <row r="836" spans="1:26" ht="15.75" customHeight="1">
      <c r="A836" s="1130"/>
      <c r="B836" s="1130"/>
      <c r="C836" s="1130"/>
      <c r="D836" s="1130"/>
      <c r="E836" s="1130"/>
      <c r="F836" s="1130"/>
      <c r="G836" s="1130"/>
      <c r="H836" s="1130"/>
      <c r="I836" s="1130"/>
      <c r="J836" s="1130"/>
      <c r="K836" s="1130"/>
      <c r="L836" s="1130"/>
      <c r="M836" s="1130"/>
      <c r="N836" s="1130"/>
      <c r="O836" s="1130"/>
      <c r="P836" s="1130"/>
      <c r="Q836" s="1130"/>
      <c r="R836" s="1130"/>
      <c r="S836" s="1130"/>
      <c r="T836" s="1130"/>
      <c r="U836" s="1130"/>
      <c r="V836" s="1130"/>
      <c r="W836" s="1130"/>
      <c r="X836" s="1130"/>
      <c r="Y836" s="1130"/>
      <c r="Z836" s="1130"/>
    </row>
    <row r="837" spans="1:26" ht="15.75" customHeight="1">
      <c r="A837" s="1130"/>
      <c r="B837" s="1130"/>
      <c r="C837" s="1130"/>
      <c r="D837" s="1130"/>
      <c r="E837" s="1130"/>
      <c r="F837" s="1130"/>
      <c r="G837" s="1130"/>
      <c r="H837" s="1130"/>
      <c r="I837" s="1130"/>
      <c r="J837" s="1130"/>
      <c r="K837" s="1130"/>
      <c r="L837" s="1130"/>
      <c r="M837" s="1130"/>
      <c r="N837" s="1130"/>
      <c r="O837" s="1130"/>
      <c r="P837" s="1130"/>
      <c r="Q837" s="1130"/>
      <c r="R837" s="1130"/>
      <c r="S837" s="1130"/>
      <c r="T837" s="1130"/>
      <c r="U837" s="1130"/>
      <c r="V837" s="1130"/>
      <c r="W837" s="1130"/>
      <c r="X837" s="1130"/>
      <c r="Y837" s="1130"/>
      <c r="Z837" s="1130"/>
    </row>
    <row r="838" spans="1:26" ht="15.75" customHeight="1">
      <c r="A838" s="1130"/>
      <c r="B838" s="1130"/>
      <c r="C838" s="1130"/>
      <c r="D838" s="1130"/>
      <c r="E838" s="1130"/>
      <c r="F838" s="1130"/>
      <c r="G838" s="1130"/>
      <c r="H838" s="1130"/>
      <c r="I838" s="1130"/>
      <c r="J838" s="1130"/>
      <c r="K838" s="1130"/>
      <c r="L838" s="1130"/>
      <c r="M838" s="1130"/>
      <c r="N838" s="1130"/>
      <c r="O838" s="1130"/>
      <c r="P838" s="1130"/>
      <c r="Q838" s="1130"/>
      <c r="R838" s="1130"/>
      <c r="S838" s="1130"/>
      <c r="T838" s="1130"/>
      <c r="U838" s="1130"/>
      <c r="V838" s="1130"/>
      <c r="W838" s="1130"/>
      <c r="X838" s="1130"/>
      <c r="Y838" s="1130"/>
      <c r="Z838" s="1130"/>
    </row>
    <row r="839" spans="1:26" ht="15.75" customHeight="1">
      <c r="A839" s="1130"/>
      <c r="B839" s="1130"/>
      <c r="C839" s="1130"/>
      <c r="D839" s="1130"/>
      <c r="E839" s="1130"/>
      <c r="F839" s="1130"/>
      <c r="G839" s="1130"/>
      <c r="H839" s="1130"/>
      <c r="I839" s="1130"/>
      <c r="J839" s="1130"/>
      <c r="K839" s="1130"/>
      <c r="L839" s="1130"/>
      <c r="M839" s="1130"/>
      <c r="N839" s="1130"/>
      <c r="O839" s="1130"/>
      <c r="P839" s="1130"/>
      <c r="Q839" s="1130"/>
      <c r="R839" s="1130"/>
      <c r="S839" s="1130"/>
      <c r="T839" s="1130"/>
      <c r="U839" s="1130"/>
      <c r="V839" s="1130"/>
      <c r="W839" s="1130"/>
      <c r="X839" s="1130"/>
      <c r="Y839" s="1130"/>
      <c r="Z839" s="1130"/>
    </row>
    <row r="840" spans="1:26" ht="15.75" customHeight="1">
      <c r="A840" s="1130"/>
      <c r="B840" s="1130"/>
      <c r="C840" s="1130"/>
      <c r="D840" s="1130"/>
      <c r="E840" s="1130"/>
      <c r="F840" s="1130"/>
      <c r="G840" s="1130"/>
      <c r="H840" s="1130"/>
      <c r="I840" s="1130"/>
      <c r="J840" s="1130"/>
      <c r="K840" s="1130"/>
      <c r="L840" s="1130"/>
      <c r="M840" s="1130"/>
      <c r="N840" s="1130"/>
      <c r="O840" s="1130"/>
      <c r="P840" s="1130"/>
      <c r="Q840" s="1130"/>
      <c r="R840" s="1130"/>
      <c r="S840" s="1130"/>
      <c r="T840" s="1130"/>
      <c r="U840" s="1130"/>
      <c r="V840" s="1130"/>
      <c r="W840" s="1130"/>
      <c r="X840" s="1130"/>
      <c r="Y840" s="1130"/>
      <c r="Z840" s="1130"/>
    </row>
    <row r="841" spans="1:26" ht="15.75" customHeight="1">
      <c r="A841" s="1130"/>
      <c r="B841" s="1130"/>
      <c r="C841" s="1130"/>
      <c r="D841" s="1130"/>
      <c r="E841" s="1130"/>
      <c r="F841" s="1130"/>
      <c r="G841" s="1130"/>
      <c r="H841" s="1130"/>
      <c r="I841" s="1130"/>
      <c r="J841" s="1130"/>
      <c r="K841" s="1130"/>
      <c r="L841" s="1130"/>
      <c r="M841" s="1130"/>
      <c r="N841" s="1130"/>
      <c r="O841" s="1130"/>
      <c r="P841" s="1130"/>
      <c r="Q841" s="1130"/>
      <c r="R841" s="1130"/>
      <c r="S841" s="1130"/>
      <c r="T841" s="1130"/>
      <c r="U841" s="1130"/>
      <c r="V841" s="1130"/>
      <c r="W841" s="1130"/>
      <c r="X841" s="1130"/>
      <c r="Y841" s="1130"/>
      <c r="Z841" s="1130"/>
    </row>
    <row r="842" spans="1:26" ht="15.75" customHeight="1">
      <c r="A842" s="1130"/>
      <c r="B842" s="1130"/>
      <c r="C842" s="1130"/>
      <c r="D842" s="1130"/>
      <c r="E842" s="1130"/>
      <c r="F842" s="1130"/>
      <c r="G842" s="1130"/>
      <c r="H842" s="1130"/>
      <c r="I842" s="1130"/>
      <c r="J842" s="1130"/>
      <c r="K842" s="1130"/>
      <c r="L842" s="1130"/>
      <c r="M842" s="1130"/>
      <c r="N842" s="1130"/>
      <c r="O842" s="1130"/>
      <c r="P842" s="1130"/>
      <c r="Q842" s="1130"/>
      <c r="R842" s="1130"/>
      <c r="S842" s="1130"/>
      <c r="T842" s="1130"/>
      <c r="U842" s="1130"/>
      <c r="V842" s="1130"/>
      <c r="W842" s="1130"/>
      <c r="X842" s="1130"/>
      <c r="Y842" s="1130"/>
      <c r="Z842" s="1130"/>
    </row>
    <row r="843" spans="1:26" ht="15.75" customHeight="1">
      <c r="A843" s="1130"/>
      <c r="B843" s="1130"/>
      <c r="C843" s="1130"/>
      <c r="D843" s="1130"/>
      <c r="E843" s="1130"/>
      <c r="F843" s="1130"/>
      <c r="G843" s="1130"/>
      <c r="H843" s="1130"/>
      <c r="I843" s="1130"/>
      <c r="J843" s="1130"/>
      <c r="K843" s="1130"/>
      <c r="L843" s="1130"/>
      <c r="M843" s="1130"/>
      <c r="N843" s="1130"/>
      <c r="O843" s="1130"/>
      <c r="P843" s="1130"/>
      <c r="Q843" s="1130"/>
      <c r="R843" s="1130"/>
      <c r="S843" s="1130"/>
      <c r="T843" s="1130"/>
      <c r="U843" s="1130"/>
      <c r="V843" s="1130"/>
      <c r="W843" s="1130"/>
      <c r="X843" s="1130"/>
      <c r="Y843" s="1130"/>
      <c r="Z843" s="1130"/>
    </row>
    <row r="844" spans="1:26" ht="15.75" customHeight="1">
      <c r="A844" s="1130"/>
      <c r="B844" s="1130"/>
      <c r="C844" s="1130"/>
      <c r="D844" s="1130"/>
      <c r="E844" s="1130"/>
      <c r="F844" s="1130"/>
      <c r="G844" s="1130"/>
      <c r="H844" s="1130"/>
      <c r="I844" s="1130"/>
      <c r="J844" s="1130"/>
      <c r="K844" s="1130"/>
      <c r="L844" s="1130"/>
      <c r="M844" s="1130"/>
      <c r="N844" s="1130"/>
      <c r="O844" s="1130"/>
      <c r="P844" s="1130"/>
      <c r="Q844" s="1130"/>
      <c r="R844" s="1130"/>
      <c r="S844" s="1130"/>
      <c r="T844" s="1130"/>
      <c r="U844" s="1130"/>
      <c r="V844" s="1130"/>
      <c r="W844" s="1130"/>
      <c r="X844" s="1130"/>
      <c r="Y844" s="1130"/>
      <c r="Z844" s="1130"/>
    </row>
    <row r="845" spans="1:26" ht="15.75" customHeight="1">
      <c r="A845" s="1130"/>
      <c r="B845" s="1130"/>
      <c r="C845" s="1130"/>
      <c r="D845" s="1130"/>
      <c r="E845" s="1130"/>
      <c r="F845" s="1130"/>
      <c r="G845" s="1130"/>
      <c r="H845" s="1130"/>
      <c r="I845" s="1130"/>
      <c r="J845" s="1130"/>
      <c r="K845" s="1130"/>
      <c r="L845" s="1130"/>
      <c r="M845" s="1130"/>
      <c r="N845" s="1130"/>
      <c r="O845" s="1130"/>
      <c r="P845" s="1130"/>
      <c r="Q845" s="1130"/>
      <c r="R845" s="1130"/>
      <c r="S845" s="1130"/>
      <c r="T845" s="1130"/>
      <c r="U845" s="1130"/>
      <c r="V845" s="1130"/>
      <c r="W845" s="1130"/>
      <c r="X845" s="1130"/>
      <c r="Y845" s="1130"/>
      <c r="Z845" s="1130"/>
    </row>
    <row r="846" spans="1:26" ht="15.75" customHeight="1">
      <c r="A846" s="1130"/>
      <c r="B846" s="1130"/>
      <c r="C846" s="1130"/>
      <c r="D846" s="1130"/>
      <c r="E846" s="1130"/>
      <c r="F846" s="1130"/>
      <c r="G846" s="1130"/>
      <c r="H846" s="1130"/>
      <c r="I846" s="1130"/>
      <c r="J846" s="1130"/>
      <c r="K846" s="1130"/>
      <c r="L846" s="1130"/>
      <c r="M846" s="1130"/>
      <c r="N846" s="1130"/>
      <c r="O846" s="1130"/>
      <c r="P846" s="1130"/>
      <c r="Q846" s="1130"/>
      <c r="R846" s="1130"/>
      <c r="S846" s="1130"/>
      <c r="T846" s="1130"/>
      <c r="U846" s="1130"/>
      <c r="V846" s="1130"/>
      <c r="W846" s="1130"/>
      <c r="X846" s="1130"/>
      <c r="Y846" s="1130"/>
      <c r="Z846" s="1130"/>
    </row>
    <row r="847" spans="1:26" ht="15.75" customHeight="1">
      <c r="A847" s="1130"/>
      <c r="B847" s="1130"/>
      <c r="C847" s="1130"/>
      <c r="D847" s="1130"/>
      <c r="E847" s="1130"/>
      <c r="F847" s="1130"/>
      <c r="G847" s="1130"/>
      <c r="H847" s="1130"/>
      <c r="I847" s="1130"/>
      <c r="J847" s="1130"/>
      <c r="K847" s="1130"/>
      <c r="L847" s="1130"/>
      <c r="M847" s="1130"/>
      <c r="N847" s="1130"/>
      <c r="O847" s="1130"/>
      <c r="P847" s="1130"/>
      <c r="Q847" s="1130"/>
      <c r="R847" s="1130"/>
      <c r="S847" s="1130"/>
      <c r="T847" s="1130"/>
      <c r="U847" s="1130"/>
      <c r="V847" s="1130"/>
      <c r="W847" s="1130"/>
      <c r="X847" s="1130"/>
      <c r="Y847" s="1130"/>
      <c r="Z847" s="1130"/>
    </row>
    <row r="848" spans="1:26" ht="15.75" customHeight="1">
      <c r="A848" s="1130"/>
      <c r="B848" s="1130"/>
      <c r="C848" s="1130"/>
      <c r="D848" s="1130"/>
      <c r="E848" s="1130"/>
      <c r="F848" s="1130"/>
      <c r="G848" s="1130"/>
      <c r="H848" s="1130"/>
      <c r="I848" s="1130"/>
      <c r="J848" s="1130"/>
      <c r="K848" s="1130"/>
      <c r="L848" s="1130"/>
      <c r="M848" s="1130"/>
      <c r="N848" s="1130"/>
      <c r="O848" s="1130"/>
      <c r="P848" s="1130"/>
      <c r="Q848" s="1130"/>
      <c r="R848" s="1130"/>
      <c r="S848" s="1130"/>
      <c r="T848" s="1130"/>
      <c r="U848" s="1130"/>
      <c r="V848" s="1130"/>
      <c r="W848" s="1130"/>
      <c r="X848" s="1130"/>
      <c r="Y848" s="1130"/>
      <c r="Z848" s="1130"/>
    </row>
    <row r="849" spans="1:26" ht="15.75" customHeight="1">
      <c r="A849" s="1130"/>
      <c r="B849" s="1130"/>
      <c r="C849" s="1130"/>
      <c r="D849" s="1130"/>
      <c r="E849" s="1130"/>
      <c r="F849" s="1130"/>
      <c r="G849" s="1130"/>
      <c r="H849" s="1130"/>
      <c r="I849" s="1130"/>
      <c r="J849" s="1130"/>
      <c r="K849" s="1130"/>
      <c r="L849" s="1130"/>
      <c r="M849" s="1130"/>
      <c r="N849" s="1130"/>
      <c r="O849" s="1130"/>
      <c r="P849" s="1130"/>
      <c r="Q849" s="1130"/>
      <c r="R849" s="1130"/>
      <c r="S849" s="1130"/>
      <c r="T849" s="1130"/>
      <c r="U849" s="1130"/>
      <c r="V849" s="1130"/>
      <c r="W849" s="1130"/>
      <c r="X849" s="1130"/>
      <c r="Y849" s="1130"/>
      <c r="Z849" s="1130"/>
    </row>
    <row r="850" spans="1:26" ht="15.75" customHeight="1">
      <c r="A850" s="1130"/>
      <c r="B850" s="1130"/>
      <c r="C850" s="1130"/>
      <c r="D850" s="1130"/>
      <c r="E850" s="1130"/>
      <c r="F850" s="1130"/>
      <c r="G850" s="1130"/>
      <c r="H850" s="1130"/>
      <c r="I850" s="1130"/>
      <c r="J850" s="1130"/>
      <c r="K850" s="1130"/>
      <c r="L850" s="1130"/>
      <c r="M850" s="1130"/>
      <c r="N850" s="1130"/>
      <c r="O850" s="1130"/>
      <c r="P850" s="1130"/>
      <c r="Q850" s="1130"/>
      <c r="R850" s="1130"/>
      <c r="S850" s="1130"/>
      <c r="T850" s="1130"/>
      <c r="U850" s="1130"/>
      <c r="V850" s="1130"/>
      <c r="W850" s="1130"/>
      <c r="X850" s="1130"/>
      <c r="Y850" s="1130"/>
      <c r="Z850" s="1130"/>
    </row>
    <row r="851" spans="1:26" ht="15.75" customHeight="1">
      <c r="A851" s="1130"/>
      <c r="B851" s="1130"/>
      <c r="C851" s="1130"/>
      <c r="D851" s="1130"/>
      <c r="E851" s="1130"/>
      <c r="F851" s="1130"/>
      <c r="G851" s="1130"/>
      <c r="H851" s="1130"/>
      <c r="I851" s="1130"/>
      <c r="J851" s="1130"/>
      <c r="K851" s="1130"/>
      <c r="L851" s="1130"/>
      <c r="M851" s="1130"/>
      <c r="N851" s="1130"/>
      <c r="O851" s="1130"/>
      <c r="P851" s="1130"/>
      <c r="Q851" s="1130"/>
      <c r="R851" s="1130"/>
      <c r="S851" s="1130"/>
      <c r="T851" s="1130"/>
      <c r="U851" s="1130"/>
      <c r="V851" s="1130"/>
      <c r="W851" s="1130"/>
      <c r="X851" s="1130"/>
      <c r="Y851" s="1130"/>
      <c r="Z851" s="1130"/>
    </row>
    <row r="852" spans="1:26" ht="15.75" customHeight="1">
      <c r="A852" s="1130"/>
      <c r="B852" s="1130"/>
      <c r="C852" s="1130"/>
      <c r="D852" s="1130"/>
      <c r="E852" s="1130"/>
      <c r="F852" s="1130"/>
      <c r="G852" s="1130"/>
      <c r="H852" s="1130"/>
      <c r="I852" s="1130"/>
      <c r="J852" s="1130"/>
      <c r="K852" s="1130"/>
      <c r="L852" s="1130"/>
      <c r="M852" s="1130"/>
      <c r="N852" s="1130"/>
      <c r="O852" s="1130"/>
      <c r="P852" s="1130"/>
      <c r="Q852" s="1130"/>
      <c r="R852" s="1130"/>
      <c r="S852" s="1130"/>
      <c r="T852" s="1130"/>
      <c r="U852" s="1130"/>
      <c r="V852" s="1130"/>
      <c r="W852" s="1130"/>
      <c r="X852" s="1130"/>
      <c r="Y852" s="1130"/>
      <c r="Z852" s="1130"/>
    </row>
    <row r="853" spans="1:26" ht="15.75" customHeight="1">
      <c r="A853" s="1130"/>
      <c r="B853" s="1130"/>
      <c r="C853" s="1130"/>
      <c r="D853" s="1130"/>
      <c r="E853" s="1130"/>
      <c r="F853" s="1130"/>
      <c r="G853" s="1130"/>
      <c r="H853" s="1130"/>
      <c r="I853" s="1130"/>
      <c r="J853" s="1130"/>
      <c r="K853" s="1130"/>
      <c r="L853" s="1130"/>
      <c r="M853" s="1130"/>
      <c r="N853" s="1130"/>
      <c r="O853" s="1130"/>
      <c r="P853" s="1130"/>
      <c r="Q853" s="1130"/>
      <c r="R853" s="1130"/>
      <c r="S853" s="1130"/>
      <c r="T853" s="1130"/>
      <c r="U853" s="1130"/>
      <c r="V853" s="1130"/>
      <c r="W853" s="1130"/>
      <c r="X853" s="1130"/>
      <c r="Y853" s="1130"/>
      <c r="Z853" s="1130"/>
    </row>
    <row r="854" spans="1:26" ht="15.75" customHeight="1">
      <c r="A854" s="1130"/>
      <c r="B854" s="1130"/>
      <c r="C854" s="1130"/>
      <c r="D854" s="1130"/>
      <c r="E854" s="1130"/>
      <c r="F854" s="1130"/>
      <c r="G854" s="1130"/>
      <c r="H854" s="1130"/>
      <c r="I854" s="1130"/>
      <c r="J854" s="1130"/>
      <c r="K854" s="1130"/>
      <c r="L854" s="1130"/>
      <c r="M854" s="1130"/>
      <c r="N854" s="1130"/>
      <c r="O854" s="1130"/>
      <c r="P854" s="1130"/>
      <c r="Q854" s="1130"/>
      <c r="R854" s="1130"/>
      <c r="S854" s="1130"/>
      <c r="T854" s="1130"/>
      <c r="U854" s="1130"/>
      <c r="V854" s="1130"/>
      <c r="W854" s="1130"/>
      <c r="X854" s="1130"/>
      <c r="Y854" s="1130"/>
      <c r="Z854" s="1130"/>
    </row>
    <row r="855" spans="1:26" ht="15.75" customHeight="1">
      <c r="A855" s="1130"/>
      <c r="B855" s="1130"/>
      <c r="C855" s="1130"/>
      <c r="D855" s="1130"/>
      <c r="E855" s="1130"/>
      <c r="F855" s="1130"/>
      <c r="G855" s="1130"/>
      <c r="H855" s="1130"/>
      <c r="I855" s="1130"/>
      <c r="J855" s="1130"/>
      <c r="K855" s="1130"/>
      <c r="L855" s="1130"/>
      <c r="M855" s="1130"/>
      <c r="N855" s="1130"/>
      <c r="O855" s="1130"/>
      <c r="P855" s="1130"/>
      <c r="Q855" s="1130"/>
      <c r="R855" s="1130"/>
      <c r="S855" s="1130"/>
      <c r="T855" s="1130"/>
      <c r="U855" s="1130"/>
      <c r="V855" s="1130"/>
      <c r="W855" s="1130"/>
      <c r="X855" s="1130"/>
      <c r="Y855" s="1130"/>
      <c r="Z855" s="1130"/>
    </row>
    <row r="856" spans="1:26" ht="15.75" customHeight="1">
      <c r="A856" s="1130"/>
      <c r="B856" s="1130"/>
      <c r="C856" s="1130"/>
      <c r="D856" s="1130"/>
      <c r="E856" s="1130"/>
      <c r="F856" s="1130"/>
      <c r="G856" s="1130"/>
      <c r="H856" s="1130"/>
      <c r="I856" s="1130"/>
      <c r="J856" s="1130"/>
      <c r="K856" s="1130"/>
      <c r="L856" s="1130"/>
      <c r="M856" s="1130"/>
      <c r="N856" s="1130"/>
      <c r="O856" s="1130"/>
      <c r="P856" s="1130"/>
      <c r="Q856" s="1130"/>
      <c r="R856" s="1130"/>
      <c r="S856" s="1130"/>
      <c r="T856" s="1130"/>
      <c r="U856" s="1130"/>
      <c r="V856" s="1130"/>
      <c r="W856" s="1130"/>
      <c r="X856" s="1130"/>
      <c r="Y856" s="1130"/>
      <c r="Z856" s="1130"/>
    </row>
    <row r="857" spans="1:26" ht="15.75" customHeight="1">
      <c r="A857" s="1130"/>
      <c r="B857" s="1130"/>
      <c r="C857" s="1130"/>
      <c r="D857" s="1130"/>
      <c r="E857" s="1130"/>
      <c r="F857" s="1130"/>
      <c r="G857" s="1130"/>
      <c r="H857" s="1130"/>
      <c r="I857" s="1130"/>
      <c r="J857" s="1130"/>
      <c r="K857" s="1130"/>
      <c r="L857" s="1130"/>
      <c r="M857" s="1130"/>
      <c r="N857" s="1130"/>
      <c r="O857" s="1130"/>
      <c r="P857" s="1130"/>
      <c r="Q857" s="1130"/>
      <c r="R857" s="1130"/>
      <c r="S857" s="1130"/>
      <c r="T857" s="1130"/>
      <c r="U857" s="1130"/>
      <c r="V857" s="1130"/>
      <c r="W857" s="1130"/>
      <c r="X857" s="1130"/>
      <c r="Y857" s="1130"/>
      <c r="Z857" s="1130"/>
    </row>
    <row r="858" spans="1:26" ht="15.75" customHeight="1">
      <c r="A858" s="1130"/>
      <c r="B858" s="1130"/>
      <c r="C858" s="1130"/>
      <c r="D858" s="1130"/>
      <c r="E858" s="1130"/>
      <c r="F858" s="1130"/>
      <c r="G858" s="1130"/>
      <c r="H858" s="1130"/>
      <c r="I858" s="1130"/>
      <c r="J858" s="1130"/>
      <c r="K858" s="1130"/>
      <c r="L858" s="1130"/>
      <c r="M858" s="1130"/>
      <c r="N858" s="1130"/>
      <c r="O858" s="1130"/>
      <c r="P858" s="1130"/>
      <c r="Q858" s="1130"/>
      <c r="R858" s="1130"/>
      <c r="S858" s="1130"/>
      <c r="T858" s="1130"/>
      <c r="U858" s="1130"/>
      <c r="V858" s="1130"/>
      <c r="W858" s="1130"/>
      <c r="X858" s="1130"/>
      <c r="Y858" s="1130"/>
      <c r="Z858" s="1130"/>
    </row>
    <row r="859" spans="1:26" ht="15.75" customHeight="1">
      <c r="A859" s="1130"/>
      <c r="B859" s="1130"/>
      <c r="C859" s="1130"/>
      <c r="D859" s="1130"/>
      <c r="E859" s="1130"/>
      <c r="F859" s="1130"/>
      <c r="G859" s="1130"/>
      <c r="H859" s="1130"/>
      <c r="I859" s="1130"/>
      <c r="J859" s="1130"/>
      <c r="K859" s="1130"/>
      <c r="L859" s="1130"/>
      <c r="M859" s="1130"/>
      <c r="N859" s="1130"/>
      <c r="O859" s="1130"/>
      <c r="P859" s="1130"/>
      <c r="Q859" s="1130"/>
      <c r="R859" s="1130"/>
      <c r="S859" s="1130"/>
      <c r="T859" s="1130"/>
      <c r="U859" s="1130"/>
      <c r="V859" s="1130"/>
      <c r="W859" s="1130"/>
      <c r="X859" s="1130"/>
      <c r="Y859" s="1130"/>
      <c r="Z859" s="1130"/>
    </row>
    <row r="860" spans="1:26" ht="15.75" customHeight="1">
      <c r="A860" s="1130"/>
      <c r="B860" s="1130"/>
      <c r="C860" s="1130"/>
      <c r="D860" s="1130"/>
      <c r="E860" s="1130"/>
      <c r="F860" s="1130"/>
      <c r="G860" s="1130"/>
      <c r="H860" s="1130"/>
      <c r="I860" s="1130"/>
      <c r="J860" s="1130"/>
      <c r="K860" s="1130"/>
      <c r="L860" s="1130"/>
      <c r="M860" s="1130"/>
      <c r="N860" s="1130"/>
      <c r="O860" s="1130"/>
      <c r="P860" s="1130"/>
      <c r="Q860" s="1130"/>
      <c r="R860" s="1130"/>
      <c r="S860" s="1130"/>
      <c r="T860" s="1130"/>
      <c r="U860" s="1130"/>
      <c r="V860" s="1130"/>
      <c r="W860" s="1130"/>
      <c r="X860" s="1130"/>
      <c r="Y860" s="1130"/>
      <c r="Z860" s="1130"/>
    </row>
    <row r="861" spans="1:26" ht="15.75" customHeight="1">
      <c r="A861" s="1130"/>
      <c r="B861" s="1130"/>
      <c r="C861" s="1130"/>
      <c r="D861" s="1130"/>
      <c r="E861" s="1130"/>
      <c r="F861" s="1130"/>
      <c r="G861" s="1130"/>
      <c r="H861" s="1130"/>
      <c r="I861" s="1130"/>
      <c r="J861" s="1130"/>
      <c r="K861" s="1130"/>
      <c r="L861" s="1130"/>
      <c r="M861" s="1130"/>
      <c r="N861" s="1130"/>
      <c r="O861" s="1130"/>
      <c r="P861" s="1130"/>
      <c r="Q861" s="1130"/>
      <c r="R861" s="1130"/>
      <c r="S861" s="1130"/>
      <c r="T861" s="1130"/>
      <c r="U861" s="1130"/>
      <c r="V861" s="1130"/>
      <c r="W861" s="1130"/>
      <c r="X861" s="1130"/>
      <c r="Y861" s="1130"/>
      <c r="Z861" s="1130"/>
    </row>
    <row r="862" spans="1:26" ht="15.75" customHeight="1">
      <c r="A862" s="1130"/>
      <c r="B862" s="1130"/>
      <c r="C862" s="1130"/>
      <c r="D862" s="1130"/>
      <c r="E862" s="1130"/>
      <c r="F862" s="1130"/>
      <c r="G862" s="1130"/>
      <c r="H862" s="1130"/>
      <c r="I862" s="1130"/>
      <c r="J862" s="1130"/>
      <c r="K862" s="1130"/>
      <c r="L862" s="1130"/>
      <c r="M862" s="1130"/>
      <c r="N862" s="1130"/>
      <c r="O862" s="1130"/>
      <c r="P862" s="1130"/>
      <c r="Q862" s="1130"/>
      <c r="R862" s="1130"/>
      <c r="S862" s="1130"/>
      <c r="T862" s="1130"/>
      <c r="U862" s="1130"/>
      <c r="V862" s="1130"/>
      <c r="W862" s="1130"/>
      <c r="X862" s="1130"/>
      <c r="Y862" s="1130"/>
      <c r="Z862" s="1130"/>
    </row>
    <row r="863" spans="1:26" ht="15.75" customHeight="1">
      <c r="A863" s="1130"/>
      <c r="B863" s="1130"/>
      <c r="C863" s="1130"/>
      <c r="D863" s="1130"/>
      <c r="E863" s="1130"/>
      <c r="F863" s="1130"/>
      <c r="G863" s="1130"/>
      <c r="H863" s="1130"/>
      <c r="I863" s="1130"/>
      <c r="J863" s="1130"/>
      <c r="K863" s="1130"/>
      <c r="L863" s="1130"/>
      <c r="M863" s="1130"/>
      <c r="N863" s="1130"/>
      <c r="O863" s="1130"/>
      <c r="P863" s="1130"/>
      <c r="Q863" s="1130"/>
      <c r="R863" s="1130"/>
      <c r="S863" s="1130"/>
      <c r="T863" s="1130"/>
      <c r="U863" s="1130"/>
      <c r="V863" s="1130"/>
      <c r="W863" s="1130"/>
      <c r="X863" s="1130"/>
      <c r="Y863" s="1130"/>
      <c r="Z863" s="1130"/>
    </row>
    <row r="864" spans="1:26" ht="15.75" customHeight="1">
      <c r="A864" s="1130"/>
      <c r="B864" s="1130"/>
      <c r="C864" s="1130"/>
      <c r="D864" s="1130"/>
      <c r="E864" s="1130"/>
      <c r="F864" s="1130"/>
      <c r="G864" s="1130"/>
      <c r="H864" s="1130"/>
      <c r="I864" s="1130"/>
      <c r="J864" s="1130"/>
      <c r="K864" s="1130"/>
      <c r="L864" s="1130"/>
      <c r="M864" s="1130"/>
      <c r="N864" s="1130"/>
      <c r="O864" s="1130"/>
      <c r="P864" s="1130"/>
      <c r="Q864" s="1130"/>
      <c r="R864" s="1130"/>
      <c r="S864" s="1130"/>
      <c r="T864" s="1130"/>
      <c r="U864" s="1130"/>
      <c r="V864" s="1130"/>
      <c r="W864" s="1130"/>
      <c r="X864" s="1130"/>
      <c r="Y864" s="1130"/>
      <c r="Z864" s="1130"/>
    </row>
    <row r="865" spans="1:26" ht="15.75" customHeight="1">
      <c r="A865" s="1130"/>
      <c r="B865" s="1130"/>
      <c r="C865" s="1130"/>
      <c r="D865" s="1130"/>
      <c r="E865" s="1130"/>
      <c r="F865" s="1130"/>
      <c r="G865" s="1130"/>
      <c r="H865" s="1130"/>
      <c r="I865" s="1130"/>
      <c r="J865" s="1130"/>
      <c r="K865" s="1130"/>
      <c r="L865" s="1130"/>
      <c r="M865" s="1130"/>
      <c r="N865" s="1130"/>
      <c r="O865" s="1130"/>
      <c r="P865" s="1130"/>
      <c r="Q865" s="1130"/>
      <c r="R865" s="1130"/>
      <c r="S865" s="1130"/>
      <c r="T865" s="1130"/>
      <c r="U865" s="1130"/>
      <c r="V865" s="1130"/>
      <c r="W865" s="1130"/>
      <c r="X865" s="1130"/>
      <c r="Y865" s="1130"/>
      <c r="Z865" s="1130"/>
    </row>
    <row r="866" spans="1:26" ht="15.75" customHeight="1">
      <c r="A866" s="1130"/>
      <c r="B866" s="1130"/>
      <c r="C866" s="1130"/>
      <c r="D866" s="1130"/>
      <c r="E866" s="1130"/>
      <c r="F866" s="1130"/>
      <c r="G866" s="1130"/>
      <c r="H866" s="1130"/>
      <c r="I866" s="1130"/>
      <c r="J866" s="1130"/>
      <c r="K866" s="1130"/>
      <c r="L866" s="1130"/>
      <c r="M866" s="1130"/>
      <c r="N866" s="1130"/>
      <c r="O866" s="1130"/>
      <c r="P866" s="1130"/>
      <c r="Q866" s="1130"/>
      <c r="R866" s="1130"/>
      <c r="S866" s="1130"/>
      <c r="T866" s="1130"/>
      <c r="U866" s="1130"/>
      <c r="V866" s="1130"/>
      <c r="W866" s="1130"/>
      <c r="X866" s="1130"/>
      <c r="Y866" s="1130"/>
      <c r="Z866" s="1130"/>
    </row>
    <row r="867" spans="1:26" ht="15.75" customHeight="1">
      <c r="A867" s="1130"/>
      <c r="B867" s="1130"/>
      <c r="C867" s="1130"/>
      <c r="D867" s="1130"/>
      <c r="E867" s="1130"/>
      <c r="F867" s="1130"/>
      <c r="G867" s="1130"/>
      <c r="H867" s="1130"/>
      <c r="I867" s="1130"/>
      <c r="J867" s="1130"/>
      <c r="K867" s="1130"/>
      <c r="L867" s="1130"/>
      <c r="M867" s="1130"/>
      <c r="N867" s="1130"/>
      <c r="O867" s="1130"/>
      <c r="P867" s="1130"/>
      <c r="Q867" s="1130"/>
      <c r="R867" s="1130"/>
      <c r="S867" s="1130"/>
      <c r="T867" s="1130"/>
      <c r="U867" s="1130"/>
      <c r="V867" s="1130"/>
      <c r="W867" s="1130"/>
      <c r="X867" s="1130"/>
      <c r="Y867" s="1130"/>
      <c r="Z867" s="1130"/>
    </row>
    <row r="868" spans="1:26" ht="15.75" customHeight="1">
      <c r="A868" s="1130"/>
      <c r="B868" s="1130"/>
      <c r="C868" s="1130"/>
      <c r="D868" s="1130"/>
      <c r="E868" s="1130"/>
      <c r="F868" s="1130"/>
      <c r="G868" s="1130"/>
      <c r="H868" s="1130"/>
      <c r="I868" s="1130"/>
      <c r="J868" s="1130"/>
      <c r="K868" s="1130"/>
      <c r="L868" s="1130"/>
      <c r="M868" s="1130"/>
      <c r="N868" s="1130"/>
      <c r="O868" s="1130"/>
      <c r="P868" s="1130"/>
      <c r="Q868" s="1130"/>
      <c r="R868" s="1130"/>
      <c r="S868" s="1130"/>
      <c r="T868" s="1130"/>
      <c r="U868" s="1130"/>
      <c r="V868" s="1130"/>
      <c r="W868" s="1130"/>
      <c r="X868" s="1130"/>
      <c r="Y868" s="1130"/>
      <c r="Z868" s="1130"/>
    </row>
    <row r="869" spans="1:26" ht="15.75" customHeight="1">
      <c r="A869" s="1130"/>
      <c r="B869" s="1130"/>
      <c r="C869" s="1130"/>
      <c r="D869" s="1130"/>
      <c r="E869" s="1130"/>
      <c r="F869" s="1130"/>
      <c r="G869" s="1130"/>
      <c r="H869" s="1130"/>
      <c r="I869" s="1130"/>
      <c r="J869" s="1130"/>
      <c r="K869" s="1130"/>
      <c r="L869" s="1130"/>
      <c r="M869" s="1130"/>
      <c r="N869" s="1130"/>
      <c r="O869" s="1130"/>
      <c r="P869" s="1130"/>
      <c r="Q869" s="1130"/>
      <c r="R869" s="1130"/>
      <c r="S869" s="1130"/>
      <c r="T869" s="1130"/>
      <c r="U869" s="1130"/>
      <c r="V869" s="1130"/>
      <c r="W869" s="1130"/>
      <c r="X869" s="1130"/>
      <c r="Y869" s="1130"/>
      <c r="Z869" s="1130"/>
    </row>
    <row r="870" spans="1:26" ht="15.75" customHeight="1">
      <c r="A870" s="1130"/>
      <c r="B870" s="1130"/>
      <c r="C870" s="1130"/>
      <c r="D870" s="1130"/>
      <c r="E870" s="1130"/>
      <c r="F870" s="1130"/>
      <c r="G870" s="1130"/>
      <c r="H870" s="1130"/>
      <c r="I870" s="1130"/>
      <c r="J870" s="1130"/>
      <c r="K870" s="1130"/>
      <c r="L870" s="1130"/>
      <c r="M870" s="1130"/>
      <c r="N870" s="1130"/>
      <c r="O870" s="1130"/>
      <c r="P870" s="1130"/>
      <c r="Q870" s="1130"/>
      <c r="R870" s="1130"/>
      <c r="S870" s="1130"/>
      <c r="T870" s="1130"/>
      <c r="U870" s="1130"/>
      <c r="V870" s="1130"/>
      <c r="W870" s="1130"/>
      <c r="X870" s="1130"/>
      <c r="Y870" s="1130"/>
      <c r="Z870" s="1130"/>
    </row>
    <row r="871" spans="1:26" ht="15.75" customHeight="1">
      <c r="A871" s="1130"/>
      <c r="B871" s="1130"/>
      <c r="C871" s="1130"/>
      <c r="D871" s="1130"/>
      <c r="E871" s="1130"/>
      <c r="F871" s="1130"/>
      <c r="G871" s="1130"/>
      <c r="H871" s="1130"/>
      <c r="I871" s="1130"/>
      <c r="J871" s="1130"/>
      <c r="K871" s="1130"/>
      <c r="L871" s="1130"/>
      <c r="M871" s="1130"/>
      <c r="N871" s="1130"/>
      <c r="O871" s="1130"/>
      <c r="P871" s="1130"/>
      <c r="Q871" s="1130"/>
      <c r="R871" s="1130"/>
      <c r="S871" s="1130"/>
      <c r="T871" s="1130"/>
      <c r="U871" s="1130"/>
      <c r="V871" s="1130"/>
      <c r="W871" s="1130"/>
      <c r="X871" s="1130"/>
      <c r="Y871" s="1130"/>
      <c r="Z871" s="1130"/>
    </row>
    <row r="872" spans="1:26" ht="15.75" customHeight="1">
      <c r="A872" s="1130"/>
      <c r="B872" s="1130"/>
      <c r="C872" s="1130"/>
      <c r="D872" s="1130"/>
      <c r="E872" s="1130"/>
      <c r="F872" s="1130"/>
      <c r="G872" s="1130"/>
      <c r="H872" s="1130"/>
      <c r="I872" s="1130"/>
      <c r="J872" s="1130"/>
      <c r="K872" s="1130"/>
      <c r="L872" s="1130"/>
      <c r="M872" s="1130"/>
      <c r="N872" s="1130"/>
      <c r="O872" s="1130"/>
      <c r="P872" s="1130"/>
      <c r="Q872" s="1130"/>
      <c r="R872" s="1130"/>
      <c r="S872" s="1130"/>
      <c r="T872" s="1130"/>
      <c r="U872" s="1130"/>
      <c r="V872" s="1130"/>
      <c r="W872" s="1130"/>
      <c r="X872" s="1130"/>
      <c r="Y872" s="1130"/>
      <c r="Z872" s="1130"/>
    </row>
    <row r="873" spans="1:26" ht="15.75" customHeight="1">
      <c r="A873" s="1130"/>
      <c r="B873" s="1130"/>
      <c r="C873" s="1130"/>
      <c r="D873" s="1130"/>
      <c r="E873" s="1130"/>
      <c r="F873" s="1130"/>
      <c r="G873" s="1130"/>
      <c r="H873" s="1130"/>
      <c r="I873" s="1130"/>
      <c r="J873" s="1130"/>
      <c r="K873" s="1130"/>
      <c r="L873" s="1130"/>
      <c r="M873" s="1130"/>
      <c r="N873" s="1130"/>
      <c r="O873" s="1130"/>
      <c r="P873" s="1130"/>
      <c r="Q873" s="1130"/>
      <c r="R873" s="1130"/>
      <c r="S873" s="1130"/>
      <c r="T873" s="1130"/>
      <c r="U873" s="1130"/>
      <c r="V873" s="1130"/>
      <c r="W873" s="1130"/>
      <c r="X873" s="1130"/>
      <c r="Y873" s="1130"/>
      <c r="Z873" s="1130"/>
    </row>
    <row r="874" spans="1:26" ht="15.75" customHeight="1">
      <c r="A874" s="1130"/>
      <c r="B874" s="1130"/>
      <c r="C874" s="1130"/>
      <c r="D874" s="1130"/>
      <c r="E874" s="1130"/>
      <c r="F874" s="1130"/>
      <c r="G874" s="1130"/>
      <c r="H874" s="1130"/>
      <c r="I874" s="1130"/>
      <c r="J874" s="1130"/>
      <c r="K874" s="1130"/>
      <c r="L874" s="1130"/>
      <c r="M874" s="1130"/>
      <c r="N874" s="1130"/>
      <c r="O874" s="1130"/>
      <c r="P874" s="1130"/>
      <c r="Q874" s="1130"/>
      <c r="R874" s="1130"/>
      <c r="S874" s="1130"/>
      <c r="T874" s="1130"/>
      <c r="U874" s="1130"/>
      <c r="V874" s="1130"/>
      <c r="W874" s="1130"/>
      <c r="X874" s="1130"/>
      <c r="Y874" s="1130"/>
      <c r="Z874" s="1130"/>
    </row>
    <row r="875" spans="1:26" ht="15.75" customHeight="1">
      <c r="A875" s="1130"/>
      <c r="B875" s="1130"/>
      <c r="C875" s="1130"/>
      <c r="D875" s="1130"/>
      <c r="E875" s="1130"/>
      <c r="F875" s="1130"/>
      <c r="G875" s="1130"/>
      <c r="H875" s="1130"/>
      <c r="I875" s="1130"/>
      <c r="J875" s="1130"/>
      <c r="K875" s="1130"/>
      <c r="L875" s="1130"/>
      <c r="M875" s="1130"/>
      <c r="N875" s="1130"/>
      <c r="O875" s="1130"/>
      <c r="P875" s="1130"/>
      <c r="Q875" s="1130"/>
      <c r="R875" s="1130"/>
      <c r="S875" s="1130"/>
      <c r="T875" s="1130"/>
      <c r="U875" s="1130"/>
      <c r="V875" s="1130"/>
      <c r="W875" s="1130"/>
      <c r="X875" s="1130"/>
      <c r="Y875" s="1130"/>
      <c r="Z875" s="1130"/>
    </row>
    <row r="876" spans="1:26" ht="15.75" customHeight="1">
      <c r="A876" s="1130"/>
      <c r="B876" s="1130"/>
      <c r="C876" s="1130"/>
      <c r="D876" s="1130"/>
      <c r="E876" s="1130"/>
      <c r="F876" s="1130"/>
      <c r="G876" s="1130"/>
      <c r="H876" s="1130"/>
      <c r="I876" s="1130"/>
      <c r="J876" s="1130"/>
      <c r="K876" s="1130"/>
      <c r="L876" s="1130"/>
      <c r="M876" s="1130"/>
      <c r="N876" s="1130"/>
      <c r="O876" s="1130"/>
      <c r="P876" s="1130"/>
      <c r="Q876" s="1130"/>
      <c r="R876" s="1130"/>
      <c r="S876" s="1130"/>
      <c r="T876" s="1130"/>
      <c r="U876" s="1130"/>
      <c r="V876" s="1130"/>
      <c r="W876" s="1130"/>
      <c r="X876" s="1130"/>
      <c r="Y876" s="1130"/>
      <c r="Z876" s="1130"/>
    </row>
    <row r="877" spans="1:26" ht="15.75" customHeight="1">
      <c r="A877" s="1130"/>
      <c r="B877" s="1130"/>
      <c r="C877" s="1130"/>
      <c r="D877" s="1130"/>
      <c r="E877" s="1130"/>
      <c r="F877" s="1130"/>
      <c r="G877" s="1130"/>
      <c r="H877" s="1130"/>
      <c r="I877" s="1130"/>
      <c r="J877" s="1130"/>
      <c r="K877" s="1130"/>
      <c r="L877" s="1130"/>
      <c r="M877" s="1130"/>
      <c r="N877" s="1130"/>
      <c r="O877" s="1130"/>
      <c r="P877" s="1130"/>
      <c r="Q877" s="1130"/>
      <c r="R877" s="1130"/>
      <c r="S877" s="1130"/>
      <c r="T877" s="1130"/>
      <c r="U877" s="1130"/>
      <c r="V877" s="1130"/>
      <c r="W877" s="1130"/>
      <c r="X877" s="1130"/>
      <c r="Y877" s="1130"/>
      <c r="Z877" s="1130"/>
    </row>
    <row r="878" spans="1:26" ht="15.75" customHeight="1">
      <c r="A878" s="1130"/>
      <c r="B878" s="1130"/>
      <c r="C878" s="1130"/>
      <c r="D878" s="1130"/>
      <c r="E878" s="1130"/>
      <c r="F878" s="1130"/>
      <c r="G878" s="1130"/>
      <c r="H878" s="1130"/>
      <c r="I878" s="1130"/>
      <c r="J878" s="1130"/>
      <c r="K878" s="1130"/>
      <c r="L878" s="1130"/>
      <c r="M878" s="1130"/>
      <c r="N878" s="1130"/>
      <c r="O878" s="1130"/>
      <c r="P878" s="1130"/>
      <c r="Q878" s="1130"/>
      <c r="R878" s="1130"/>
      <c r="S878" s="1130"/>
      <c r="T878" s="1130"/>
      <c r="U878" s="1130"/>
      <c r="V878" s="1130"/>
      <c r="W878" s="1130"/>
      <c r="X878" s="1130"/>
      <c r="Y878" s="1130"/>
      <c r="Z878" s="1130"/>
    </row>
    <row r="879" spans="1:26" ht="15.75" customHeight="1">
      <c r="A879" s="1130"/>
      <c r="B879" s="1130"/>
      <c r="C879" s="1130"/>
      <c r="D879" s="1130"/>
      <c r="E879" s="1130"/>
      <c r="F879" s="1130"/>
      <c r="G879" s="1130"/>
      <c r="H879" s="1130"/>
      <c r="I879" s="1130"/>
      <c r="J879" s="1130"/>
      <c r="K879" s="1130"/>
      <c r="L879" s="1130"/>
      <c r="M879" s="1130"/>
      <c r="N879" s="1130"/>
      <c r="O879" s="1130"/>
      <c r="P879" s="1130"/>
      <c r="Q879" s="1130"/>
      <c r="R879" s="1130"/>
      <c r="S879" s="1130"/>
      <c r="T879" s="1130"/>
      <c r="U879" s="1130"/>
      <c r="V879" s="1130"/>
      <c r="W879" s="1130"/>
      <c r="X879" s="1130"/>
      <c r="Y879" s="1130"/>
      <c r="Z879" s="1130"/>
    </row>
    <row r="880" spans="1:26" ht="15.75" customHeight="1">
      <c r="A880" s="1130"/>
      <c r="B880" s="1130"/>
      <c r="C880" s="1130"/>
      <c r="D880" s="1130"/>
      <c r="E880" s="1130"/>
      <c r="F880" s="1130"/>
      <c r="G880" s="1130"/>
      <c r="H880" s="1130"/>
      <c r="I880" s="1130"/>
      <c r="J880" s="1130"/>
      <c r="K880" s="1130"/>
      <c r="L880" s="1130"/>
      <c r="M880" s="1130"/>
      <c r="N880" s="1130"/>
      <c r="O880" s="1130"/>
      <c r="P880" s="1130"/>
      <c r="Q880" s="1130"/>
      <c r="R880" s="1130"/>
      <c r="S880" s="1130"/>
      <c r="T880" s="1130"/>
      <c r="U880" s="1130"/>
      <c r="V880" s="1130"/>
      <c r="W880" s="1130"/>
      <c r="X880" s="1130"/>
      <c r="Y880" s="1130"/>
      <c r="Z880" s="1130"/>
    </row>
    <row r="881" spans="1:26" ht="15.75" customHeight="1">
      <c r="A881" s="1130"/>
      <c r="B881" s="1130"/>
      <c r="C881" s="1130"/>
      <c r="D881" s="1130"/>
      <c r="E881" s="1130"/>
      <c r="F881" s="1130"/>
      <c r="G881" s="1130"/>
      <c r="H881" s="1130"/>
      <c r="I881" s="1130"/>
      <c r="J881" s="1130"/>
      <c r="K881" s="1130"/>
      <c r="L881" s="1130"/>
      <c r="M881" s="1130"/>
      <c r="N881" s="1130"/>
      <c r="O881" s="1130"/>
      <c r="P881" s="1130"/>
      <c r="Q881" s="1130"/>
      <c r="R881" s="1130"/>
      <c r="S881" s="1130"/>
      <c r="T881" s="1130"/>
      <c r="U881" s="1130"/>
      <c r="V881" s="1130"/>
      <c r="W881" s="1130"/>
      <c r="X881" s="1130"/>
      <c r="Y881" s="1130"/>
      <c r="Z881" s="1130"/>
    </row>
    <row r="882" spans="1:26" ht="15.75" customHeight="1">
      <c r="A882" s="1130"/>
      <c r="B882" s="1130"/>
      <c r="C882" s="1130"/>
      <c r="D882" s="1130"/>
      <c r="E882" s="1130"/>
      <c r="F882" s="1130"/>
      <c r="G882" s="1130"/>
      <c r="H882" s="1130"/>
      <c r="I882" s="1130"/>
      <c r="J882" s="1130"/>
      <c r="K882" s="1130"/>
      <c r="L882" s="1130"/>
      <c r="M882" s="1130"/>
      <c r="N882" s="1130"/>
      <c r="O882" s="1130"/>
      <c r="P882" s="1130"/>
      <c r="Q882" s="1130"/>
      <c r="R882" s="1130"/>
      <c r="S882" s="1130"/>
      <c r="T882" s="1130"/>
      <c r="U882" s="1130"/>
      <c r="V882" s="1130"/>
      <c r="W882" s="1130"/>
      <c r="X882" s="1130"/>
      <c r="Y882" s="1130"/>
      <c r="Z882" s="1130"/>
    </row>
    <row r="883" spans="1:26" ht="15.75" customHeight="1">
      <c r="A883" s="1130"/>
      <c r="B883" s="1130"/>
      <c r="C883" s="1130"/>
      <c r="D883" s="1130"/>
      <c r="E883" s="1130"/>
      <c r="F883" s="1130"/>
      <c r="G883" s="1130"/>
      <c r="H883" s="1130"/>
      <c r="I883" s="1130"/>
      <c r="J883" s="1130"/>
      <c r="K883" s="1130"/>
      <c r="L883" s="1130"/>
      <c r="M883" s="1130"/>
      <c r="N883" s="1130"/>
      <c r="O883" s="1130"/>
      <c r="P883" s="1130"/>
      <c r="Q883" s="1130"/>
      <c r="R883" s="1130"/>
      <c r="S883" s="1130"/>
      <c r="T883" s="1130"/>
      <c r="U883" s="1130"/>
      <c r="V883" s="1130"/>
      <c r="W883" s="1130"/>
      <c r="X883" s="1130"/>
      <c r="Y883" s="1130"/>
      <c r="Z883" s="1130"/>
    </row>
    <row r="884" spans="1:26" ht="15.75" customHeight="1">
      <c r="A884" s="1130"/>
      <c r="B884" s="1130"/>
      <c r="C884" s="1130"/>
      <c r="D884" s="1130"/>
      <c r="E884" s="1130"/>
      <c r="F884" s="1130"/>
      <c r="G884" s="1130"/>
      <c r="H884" s="1130"/>
      <c r="I884" s="1130"/>
      <c r="J884" s="1130"/>
      <c r="K884" s="1130"/>
      <c r="L884" s="1130"/>
      <c r="M884" s="1130"/>
      <c r="N884" s="1130"/>
      <c r="O884" s="1130"/>
      <c r="P884" s="1130"/>
      <c r="Q884" s="1130"/>
      <c r="R884" s="1130"/>
      <c r="S884" s="1130"/>
      <c r="T884" s="1130"/>
      <c r="U884" s="1130"/>
      <c r="V884" s="1130"/>
      <c r="W884" s="1130"/>
      <c r="X884" s="1130"/>
      <c r="Y884" s="1130"/>
      <c r="Z884" s="1130"/>
    </row>
    <row r="885" spans="1:26" ht="15.75" customHeight="1">
      <c r="A885" s="1130"/>
      <c r="B885" s="1130"/>
      <c r="C885" s="1130"/>
      <c r="D885" s="1130"/>
      <c r="E885" s="1130"/>
      <c r="F885" s="1130"/>
      <c r="G885" s="1130"/>
      <c r="H885" s="1130"/>
      <c r="I885" s="1130"/>
      <c r="J885" s="1130"/>
      <c r="K885" s="1130"/>
      <c r="L885" s="1130"/>
      <c r="M885" s="1130"/>
      <c r="N885" s="1130"/>
      <c r="O885" s="1130"/>
      <c r="P885" s="1130"/>
      <c r="Q885" s="1130"/>
      <c r="R885" s="1130"/>
      <c r="S885" s="1130"/>
      <c r="T885" s="1130"/>
      <c r="U885" s="1130"/>
      <c r="V885" s="1130"/>
      <c r="W885" s="1130"/>
      <c r="X885" s="1130"/>
      <c r="Y885" s="1130"/>
      <c r="Z885" s="1130"/>
    </row>
    <row r="886" spans="1:26" ht="15.75" customHeight="1">
      <c r="A886" s="1130"/>
      <c r="B886" s="1130"/>
      <c r="C886" s="1130"/>
      <c r="D886" s="1130"/>
      <c r="E886" s="1130"/>
      <c r="F886" s="1130"/>
      <c r="G886" s="1130"/>
      <c r="H886" s="1130"/>
      <c r="I886" s="1130"/>
      <c r="J886" s="1130"/>
      <c r="K886" s="1130"/>
      <c r="L886" s="1130"/>
      <c r="M886" s="1130"/>
      <c r="N886" s="1130"/>
      <c r="O886" s="1130"/>
      <c r="P886" s="1130"/>
      <c r="Q886" s="1130"/>
      <c r="R886" s="1130"/>
      <c r="S886" s="1130"/>
      <c r="T886" s="1130"/>
      <c r="U886" s="1130"/>
      <c r="V886" s="1130"/>
      <c r="W886" s="1130"/>
      <c r="X886" s="1130"/>
      <c r="Y886" s="1130"/>
      <c r="Z886" s="1130"/>
    </row>
    <row r="887" spans="1:26" ht="15.75" customHeight="1">
      <c r="A887" s="1130"/>
      <c r="B887" s="1130"/>
      <c r="C887" s="1130"/>
      <c r="D887" s="1130"/>
      <c r="E887" s="1130"/>
      <c r="F887" s="1130"/>
      <c r="G887" s="1130"/>
      <c r="H887" s="1130"/>
      <c r="I887" s="1130"/>
      <c r="J887" s="1130"/>
      <c r="K887" s="1130"/>
      <c r="L887" s="1130"/>
      <c r="M887" s="1130"/>
      <c r="N887" s="1130"/>
      <c r="O887" s="1130"/>
      <c r="P887" s="1130"/>
      <c r="Q887" s="1130"/>
      <c r="R887" s="1130"/>
      <c r="S887" s="1130"/>
      <c r="T887" s="1130"/>
      <c r="U887" s="1130"/>
      <c r="V887" s="1130"/>
      <c r="W887" s="1130"/>
      <c r="X887" s="1130"/>
      <c r="Y887" s="1130"/>
      <c r="Z887" s="1130"/>
    </row>
    <row r="888" spans="1:26" ht="15.75" customHeight="1">
      <c r="A888" s="1130"/>
      <c r="B888" s="1130"/>
      <c r="C888" s="1130"/>
      <c r="D888" s="1130"/>
      <c r="E888" s="1130"/>
      <c r="F888" s="1130"/>
      <c r="G888" s="1130"/>
      <c r="H888" s="1130"/>
      <c r="I888" s="1130"/>
      <c r="J888" s="1130"/>
      <c r="K888" s="1130"/>
      <c r="L888" s="1130"/>
      <c r="M888" s="1130"/>
      <c r="N888" s="1130"/>
      <c r="O888" s="1130"/>
      <c r="P888" s="1130"/>
      <c r="Q888" s="1130"/>
      <c r="R888" s="1130"/>
      <c r="S888" s="1130"/>
      <c r="T888" s="1130"/>
      <c r="U888" s="1130"/>
      <c r="V888" s="1130"/>
      <c r="W888" s="1130"/>
      <c r="X888" s="1130"/>
      <c r="Y888" s="1130"/>
      <c r="Z888" s="1130"/>
    </row>
    <row r="889" spans="1:26" ht="15.75" customHeight="1">
      <c r="A889" s="1130"/>
      <c r="B889" s="1130"/>
      <c r="C889" s="1130"/>
      <c r="D889" s="1130"/>
      <c r="E889" s="1130"/>
      <c r="F889" s="1130"/>
      <c r="G889" s="1130"/>
      <c r="H889" s="1130"/>
      <c r="I889" s="1130"/>
      <c r="J889" s="1130"/>
      <c r="K889" s="1130"/>
      <c r="L889" s="1130"/>
      <c r="M889" s="1130"/>
      <c r="N889" s="1130"/>
      <c r="O889" s="1130"/>
      <c r="P889" s="1130"/>
      <c r="Q889" s="1130"/>
      <c r="R889" s="1130"/>
      <c r="S889" s="1130"/>
      <c r="T889" s="1130"/>
      <c r="U889" s="1130"/>
      <c r="V889" s="1130"/>
      <c r="W889" s="1130"/>
      <c r="X889" s="1130"/>
      <c r="Y889" s="1130"/>
      <c r="Z889" s="1130"/>
    </row>
    <row r="890" spans="1:26" ht="15.75" customHeight="1">
      <c r="A890" s="1130"/>
      <c r="B890" s="1130"/>
      <c r="C890" s="1130"/>
      <c r="D890" s="1130"/>
      <c r="E890" s="1130"/>
      <c r="F890" s="1130"/>
      <c r="G890" s="1130"/>
      <c r="H890" s="1130"/>
      <c r="I890" s="1130"/>
      <c r="J890" s="1130"/>
      <c r="K890" s="1130"/>
      <c r="L890" s="1130"/>
      <c r="M890" s="1130"/>
      <c r="N890" s="1130"/>
      <c r="O890" s="1130"/>
      <c r="P890" s="1130"/>
      <c r="Q890" s="1130"/>
      <c r="R890" s="1130"/>
      <c r="S890" s="1130"/>
      <c r="T890" s="1130"/>
      <c r="U890" s="1130"/>
      <c r="V890" s="1130"/>
      <c r="W890" s="1130"/>
      <c r="X890" s="1130"/>
      <c r="Y890" s="1130"/>
      <c r="Z890" s="1130"/>
    </row>
    <row r="891" spans="1:26" ht="15.75" customHeight="1">
      <c r="A891" s="1130"/>
      <c r="B891" s="1130"/>
      <c r="C891" s="1130"/>
      <c r="D891" s="1130"/>
      <c r="E891" s="1130"/>
      <c r="F891" s="1130"/>
      <c r="G891" s="1130"/>
      <c r="H891" s="1130"/>
      <c r="I891" s="1130"/>
      <c r="J891" s="1130"/>
      <c r="K891" s="1130"/>
      <c r="L891" s="1130"/>
      <c r="M891" s="1130"/>
      <c r="N891" s="1130"/>
      <c r="O891" s="1130"/>
      <c r="P891" s="1130"/>
      <c r="Q891" s="1130"/>
      <c r="R891" s="1130"/>
      <c r="S891" s="1130"/>
      <c r="T891" s="1130"/>
      <c r="U891" s="1130"/>
      <c r="V891" s="1130"/>
      <c r="W891" s="1130"/>
      <c r="X891" s="1130"/>
      <c r="Y891" s="1130"/>
      <c r="Z891" s="1130"/>
    </row>
    <row r="892" spans="1:26" ht="15.75" customHeight="1">
      <c r="A892" s="1130"/>
      <c r="B892" s="1130"/>
      <c r="C892" s="1130"/>
      <c r="D892" s="1130"/>
      <c r="E892" s="1130"/>
      <c r="F892" s="1130"/>
      <c r="G892" s="1130"/>
      <c r="H892" s="1130"/>
      <c r="I892" s="1130"/>
      <c r="J892" s="1130"/>
      <c r="K892" s="1130"/>
      <c r="L892" s="1130"/>
      <c r="M892" s="1130"/>
      <c r="N892" s="1130"/>
      <c r="O892" s="1130"/>
      <c r="P892" s="1130"/>
      <c r="Q892" s="1130"/>
      <c r="R892" s="1130"/>
      <c r="S892" s="1130"/>
      <c r="T892" s="1130"/>
      <c r="U892" s="1130"/>
      <c r="V892" s="1130"/>
      <c r="W892" s="1130"/>
      <c r="X892" s="1130"/>
      <c r="Y892" s="1130"/>
      <c r="Z892" s="1130"/>
    </row>
    <row r="893" spans="1:26" ht="15.75" customHeight="1">
      <c r="A893" s="1130"/>
      <c r="B893" s="1130"/>
      <c r="C893" s="1130"/>
      <c r="D893" s="1130"/>
      <c r="E893" s="1130"/>
      <c r="F893" s="1130"/>
      <c r="G893" s="1130"/>
      <c r="H893" s="1130"/>
      <c r="I893" s="1130"/>
      <c r="J893" s="1130"/>
      <c r="K893" s="1130"/>
      <c r="L893" s="1130"/>
      <c r="M893" s="1130"/>
      <c r="N893" s="1130"/>
      <c r="O893" s="1130"/>
      <c r="P893" s="1130"/>
      <c r="Q893" s="1130"/>
      <c r="R893" s="1130"/>
      <c r="S893" s="1130"/>
      <c r="T893" s="1130"/>
      <c r="U893" s="1130"/>
      <c r="V893" s="1130"/>
      <c r="W893" s="1130"/>
      <c r="X893" s="1130"/>
      <c r="Y893" s="1130"/>
      <c r="Z893" s="1130"/>
    </row>
    <row r="894" spans="1:26" ht="15.75" customHeight="1">
      <c r="A894" s="1130"/>
      <c r="B894" s="1130"/>
      <c r="C894" s="1130"/>
      <c r="D894" s="1130"/>
      <c r="E894" s="1130"/>
      <c r="F894" s="1130"/>
      <c r="G894" s="1130"/>
      <c r="H894" s="1130"/>
      <c r="I894" s="1130"/>
      <c r="J894" s="1130"/>
      <c r="K894" s="1130"/>
      <c r="L894" s="1130"/>
      <c r="M894" s="1130"/>
      <c r="N894" s="1130"/>
      <c r="O894" s="1130"/>
      <c r="P894" s="1130"/>
      <c r="Q894" s="1130"/>
      <c r="R894" s="1130"/>
      <c r="S894" s="1130"/>
      <c r="T894" s="1130"/>
      <c r="U894" s="1130"/>
      <c r="V894" s="1130"/>
      <c r="W894" s="1130"/>
      <c r="X894" s="1130"/>
      <c r="Y894" s="1130"/>
      <c r="Z894" s="1130"/>
    </row>
    <row r="895" spans="1:26" ht="15.75" customHeight="1">
      <c r="A895" s="1130"/>
      <c r="B895" s="1130"/>
      <c r="C895" s="1130"/>
      <c r="D895" s="1130"/>
      <c r="E895" s="1130"/>
      <c r="F895" s="1130"/>
      <c r="G895" s="1130"/>
      <c r="H895" s="1130"/>
      <c r="I895" s="1130"/>
      <c r="J895" s="1130"/>
      <c r="K895" s="1130"/>
      <c r="L895" s="1130"/>
      <c r="M895" s="1130"/>
      <c r="N895" s="1130"/>
      <c r="O895" s="1130"/>
      <c r="P895" s="1130"/>
      <c r="Q895" s="1130"/>
      <c r="R895" s="1130"/>
      <c r="S895" s="1130"/>
      <c r="T895" s="1130"/>
      <c r="U895" s="1130"/>
      <c r="V895" s="1130"/>
      <c r="W895" s="1130"/>
      <c r="X895" s="1130"/>
      <c r="Y895" s="1130"/>
      <c r="Z895" s="1130"/>
    </row>
    <row r="896" spans="1:26" ht="15.75" customHeight="1">
      <c r="A896" s="1130"/>
      <c r="B896" s="1130"/>
      <c r="C896" s="1130"/>
      <c r="D896" s="1130"/>
      <c r="E896" s="1130"/>
      <c r="F896" s="1130"/>
      <c r="G896" s="1130"/>
      <c r="H896" s="1130"/>
      <c r="I896" s="1130"/>
      <c r="J896" s="1130"/>
      <c r="K896" s="1130"/>
      <c r="L896" s="1130"/>
      <c r="M896" s="1130"/>
      <c r="N896" s="1130"/>
      <c r="O896" s="1130"/>
      <c r="P896" s="1130"/>
      <c r="Q896" s="1130"/>
      <c r="R896" s="1130"/>
      <c r="S896" s="1130"/>
      <c r="T896" s="1130"/>
      <c r="U896" s="1130"/>
      <c r="V896" s="1130"/>
      <c r="W896" s="1130"/>
      <c r="X896" s="1130"/>
      <c r="Y896" s="1130"/>
      <c r="Z896" s="1130"/>
    </row>
    <row r="897" spans="1:26" ht="15.75" customHeight="1">
      <c r="A897" s="1130"/>
      <c r="B897" s="1130"/>
      <c r="C897" s="1130"/>
      <c r="D897" s="1130"/>
      <c r="E897" s="1130"/>
      <c r="F897" s="1130"/>
      <c r="G897" s="1130"/>
      <c r="H897" s="1130"/>
      <c r="I897" s="1130"/>
      <c r="J897" s="1130"/>
      <c r="K897" s="1130"/>
      <c r="L897" s="1130"/>
      <c r="M897" s="1130"/>
      <c r="N897" s="1130"/>
      <c r="O897" s="1130"/>
      <c r="P897" s="1130"/>
      <c r="Q897" s="1130"/>
      <c r="R897" s="1130"/>
      <c r="S897" s="1130"/>
      <c r="T897" s="1130"/>
      <c r="U897" s="1130"/>
      <c r="V897" s="1130"/>
      <c r="W897" s="1130"/>
      <c r="X897" s="1130"/>
      <c r="Y897" s="1130"/>
      <c r="Z897" s="1130"/>
    </row>
    <row r="898" spans="1:26" ht="15.75" customHeight="1">
      <c r="A898" s="1130"/>
      <c r="B898" s="1130"/>
      <c r="C898" s="1130"/>
      <c r="D898" s="1130"/>
      <c r="E898" s="1130"/>
      <c r="F898" s="1130"/>
      <c r="G898" s="1130"/>
      <c r="H898" s="1130"/>
      <c r="I898" s="1130"/>
      <c r="J898" s="1130"/>
      <c r="K898" s="1130"/>
      <c r="L898" s="1130"/>
      <c r="M898" s="1130"/>
      <c r="N898" s="1130"/>
      <c r="O898" s="1130"/>
      <c r="P898" s="1130"/>
      <c r="Q898" s="1130"/>
      <c r="R898" s="1130"/>
      <c r="S898" s="1130"/>
      <c r="T898" s="1130"/>
      <c r="U898" s="1130"/>
      <c r="V898" s="1130"/>
      <c r="W898" s="1130"/>
      <c r="X898" s="1130"/>
      <c r="Y898" s="1130"/>
      <c r="Z898" s="1130"/>
    </row>
    <row r="899" spans="1:26" ht="15.75" customHeight="1">
      <c r="A899" s="1130"/>
      <c r="B899" s="1130"/>
      <c r="C899" s="1130"/>
      <c r="D899" s="1130"/>
      <c r="E899" s="1130"/>
      <c r="F899" s="1130"/>
      <c r="G899" s="1130"/>
      <c r="H899" s="1130"/>
      <c r="I899" s="1130"/>
      <c r="J899" s="1130"/>
      <c r="K899" s="1130"/>
      <c r="L899" s="1130"/>
      <c r="M899" s="1130"/>
      <c r="N899" s="1130"/>
      <c r="O899" s="1130"/>
      <c r="P899" s="1130"/>
      <c r="Q899" s="1130"/>
      <c r="R899" s="1130"/>
      <c r="S899" s="1130"/>
      <c r="T899" s="1130"/>
      <c r="U899" s="1130"/>
      <c r="V899" s="1130"/>
      <c r="W899" s="1130"/>
      <c r="X899" s="1130"/>
      <c r="Y899" s="1130"/>
      <c r="Z899" s="1130"/>
    </row>
    <row r="900" spans="1:26" ht="15.75" customHeight="1">
      <c r="A900" s="1130"/>
      <c r="B900" s="1130"/>
      <c r="C900" s="1130"/>
      <c r="D900" s="1130"/>
      <c r="E900" s="1130"/>
      <c r="F900" s="1130"/>
      <c r="G900" s="1130"/>
      <c r="H900" s="1130"/>
      <c r="I900" s="1130"/>
      <c r="J900" s="1130"/>
      <c r="K900" s="1130"/>
      <c r="L900" s="1130"/>
      <c r="M900" s="1130"/>
      <c r="N900" s="1130"/>
      <c r="O900" s="1130"/>
      <c r="P900" s="1130"/>
      <c r="Q900" s="1130"/>
      <c r="R900" s="1130"/>
      <c r="S900" s="1130"/>
      <c r="T900" s="1130"/>
      <c r="U900" s="1130"/>
      <c r="V900" s="1130"/>
      <c r="W900" s="1130"/>
      <c r="X900" s="1130"/>
      <c r="Y900" s="1130"/>
      <c r="Z900" s="1130"/>
    </row>
    <row r="901" spans="1:26" ht="15.75" customHeight="1">
      <c r="A901" s="1130"/>
      <c r="B901" s="1130"/>
      <c r="C901" s="1130"/>
      <c r="D901" s="1130"/>
      <c r="E901" s="1130"/>
      <c r="F901" s="1130"/>
      <c r="G901" s="1130"/>
      <c r="H901" s="1130"/>
      <c r="I901" s="1130"/>
      <c r="J901" s="1130"/>
      <c r="K901" s="1130"/>
      <c r="L901" s="1130"/>
      <c r="M901" s="1130"/>
      <c r="N901" s="1130"/>
      <c r="O901" s="1130"/>
      <c r="P901" s="1130"/>
      <c r="Q901" s="1130"/>
      <c r="R901" s="1130"/>
      <c r="S901" s="1130"/>
      <c r="T901" s="1130"/>
      <c r="U901" s="1130"/>
      <c r="V901" s="1130"/>
      <c r="W901" s="1130"/>
      <c r="X901" s="1130"/>
      <c r="Y901" s="1130"/>
      <c r="Z901" s="1130"/>
    </row>
    <row r="902" spans="1:26" ht="15.75" customHeight="1">
      <c r="A902" s="1130"/>
      <c r="B902" s="1130"/>
      <c r="C902" s="1130"/>
      <c r="D902" s="1130"/>
      <c r="E902" s="1130"/>
      <c r="F902" s="1130"/>
      <c r="G902" s="1130"/>
      <c r="H902" s="1130"/>
      <c r="I902" s="1130"/>
      <c r="J902" s="1130"/>
      <c r="K902" s="1130"/>
      <c r="L902" s="1130"/>
      <c r="M902" s="1130"/>
      <c r="N902" s="1130"/>
      <c r="O902" s="1130"/>
      <c r="P902" s="1130"/>
      <c r="Q902" s="1130"/>
      <c r="R902" s="1130"/>
      <c r="S902" s="1130"/>
      <c r="T902" s="1130"/>
      <c r="U902" s="1130"/>
      <c r="V902" s="1130"/>
      <c r="W902" s="1130"/>
      <c r="X902" s="1130"/>
      <c r="Y902" s="1130"/>
      <c r="Z902" s="1130"/>
    </row>
    <row r="903" spans="1:26" ht="15.75" customHeight="1">
      <c r="A903" s="1130"/>
      <c r="B903" s="1130"/>
      <c r="C903" s="1130"/>
      <c r="D903" s="1130"/>
      <c r="E903" s="1130"/>
      <c r="F903" s="1130"/>
      <c r="G903" s="1130"/>
      <c r="H903" s="1130"/>
      <c r="I903" s="1130"/>
      <c r="J903" s="1130"/>
      <c r="K903" s="1130"/>
      <c r="L903" s="1130"/>
      <c r="M903" s="1130"/>
      <c r="N903" s="1130"/>
      <c r="O903" s="1130"/>
      <c r="P903" s="1130"/>
      <c r="Q903" s="1130"/>
      <c r="R903" s="1130"/>
      <c r="S903" s="1130"/>
      <c r="T903" s="1130"/>
      <c r="U903" s="1130"/>
      <c r="V903" s="1130"/>
      <c r="W903" s="1130"/>
      <c r="X903" s="1130"/>
      <c r="Y903" s="1130"/>
      <c r="Z903" s="1130"/>
    </row>
    <row r="904" spans="1:26" ht="15.75" customHeight="1">
      <c r="A904" s="1130"/>
      <c r="B904" s="1130"/>
      <c r="C904" s="1130"/>
      <c r="D904" s="1130"/>
      <c r="E904" s="1130"/>
      <c r="F904" s="1130"/>
      <c r="G904" s="1130"/>
      <c r="H904" s="1130"/>
      <c r="I904" s="1130"/>
      <c r="J904" s="1130"/>
      <c r="K904" s="1130"/>
      <c r="L904" s="1130"/>
      <c r="M904" s="1130"/>
      <c r="N904" s="1130"/>
      <c r="O904" s="1130"/>
      <c r="P904" s="1130"/>
      <c r="Q904" s="1130"/>
      <c r="R904" s="1130"/>
      <c r="S904" s="1130"/>
      <c r="T904" s="1130"/>
      <c r="U904" s="1130"/>
      <c r="V904" s="1130"/>
      <c r="W904" s="1130"/>
      <c r="X904" s="1130"/>
      <c r="Y904" s="1130"/>
      <c r="Z904" s="1130"/>
    </row>
    <row r="905" spans="1:26" ht="15.75" customHeight="1">
      <c r="A905" s="1130"/>
      <c r="B905" s="1130"/>
      <c r="C905" s="1130"/>
      <c r="D905" s="1130"/>
      <c r="E905" s="1130"/>
      <c r="F905" s="1130"/>
      <c r="G905" s="1130"/>
      <c r="H905" s="1130"/>
      <c r="I905" s="1130"/>
      <c r="J905" s="1130"/>
      <c r="K905" s="1130"/>
      <c r="L905" s="1130"/>
      <c r="M905" s="1130"/>
      <c r="N905" s="1130"/>
      <c r="O905" s="1130"/>
      <c r="P905" s="1130"/>
      <c r="Q905" s="1130"/>
      <c r="R905" s="1130"/>
      <c r="S905" s="1130"/>
      <c r="T905" s="1130"/>
      <c r="U905" s="1130"/>
      <c r="V905" s="1130"/>
      <c r="W905" s="1130"/>
      <c r="X905" s="1130"/>
      <c r="Y905" s="1130"/>
      <c r="Z905" s="1130"/>
    </row>
    <row r="906" spans="1:26" ht="15.75" customHeight="1">
      <c r="A906" s="1130"/>
      <c r="B906" s="1130"/>
      <c r="C906" s="1130"/>
      <c r="D906" s="1130"/>
      <c r="E906" s="1130"/>
      <c r="F906" s="1130"/>
      <c r="G906" s="1130"/>
      <c r="H906" s="1130"/>
      <c r="I906" s="1130"/>
      <c r="J906" s="1130"/>
      <c r="K906" s="1130"/>
      <c r="L906" s="1130"/>
      <c r="M906" s="1130"/>
      <c r="N906" s="1130"/>
      <c r="O906" s="1130"/>
      <c r="P906" s="1130"/>
      <c r="Q906" s="1130"/>
      <c r="R906" s="1130"/>
      <c r="S906" s="1130"/>
      <c r="T906" s="1130"/>
      <c r="U906" s="1130"/>
      <c r="V906" s="1130"/>
      <c r="W906" s="1130"/>
      <c r="X906" s="1130"/>
      <c r="Y906" s="1130"/>
      <c r="Z906" s="1130"/>
    </row>
    <row r="907" spans="1:26" ht="15.75" customHeight="1">
      <c r="A907" s="1130"/>
      <c r="B907" s="1130"/>
      <c r="C907" s="1130"/>
      <c r="D907" s="1130"/>
      <c r="E907" s="1130"/>
      <c r="F907" s="1130"/>
      <c r="G907" s="1130"/>
      <c r="H907" s="1130"/>
      <c r="I907" s="1130"/>
      <c r="J907" s="1130"/>
      <c r="K907" s="1130"/>
      <c r="L907" s="1130"/>
      <c r="M907" s="1130"/>
      <c r="N907" s="1130"/>
      <c r="O907" s="1130"/>
      <c r="P907" s="1130"/>
      <c r="Q907" s="1130"/>
      <c r="R907" s="1130"/>
      <c r="S907" s="1130"/>
      <c r="T907" s="1130"/>
      <c r="U907" s="1130"/>
      <c r="V907" s="1130"/>
      <c r="W907" s="1130"/>
      <c r="X907" s="1130"/>
      <c r="Y907" s="1130"/>
      <c r="Z907" s="1130"/>
    </row>
    <row r="908" spans="1:26" ht="15.75" customHeight="1">
      <c r="A908" s="1130"/>
      <c r="B908" s="1130"/>
      <c r="C908" s="1130"/>
      <c r="D908" s="1130"/>
      <c r="E908" s="1130"/>
      <c r="F908" s="1130"/>
      <c r="G908" s="1130"/>
      <c r="H908" s="1130"/>
      <c r="I908" s="1130"/>
      <c r="J908" s="1130"/>
      <c r="K908" s="1130"/>
      <c r="L908" s="1130"/>
      <c r="M908" s="1130"/>
      <c r="N908" s="1130"/>
      <c r="O908" s="1130"/>
      <c r="P908" s="1130"/>
      <c r="Q908" s="1130"/>
      <c r="R908" s="1130"/>
      <c r="S908" s="1130"/>
      <c r="T908" s="1130"/>
      <c r="U908" s="1130"/>
      <c r="V908" s="1130"/>
      <c r="W908" s="1130"/>
      <c r="X908" s="1130"/>
      <c r="Y908" s="1130"/>
      <c r="Z908" s="1130"/>
    </row>
    <row r="909" spans="1:26" ht="15.75" customHeight="1">
      <c r="A909" s="1130"/>
      <c r="B909" s="1130"/>
      <c r="C909" s="1130"/>
      <c r="D909" s="1130"/>
      <c r="E909" s="1130"/>
      <c r="F909" s="1130"/>
      <c r="G909" s="1130"/>
      <c r="H909" s="1130"/>
      <c r="I909" s="1130"/>
      <c r="J909" s="1130"/>
      <c r="K909" s="1130"/>
      <c r="L909" s="1130"/>
      <c r="M909" s="1130"/>
      <c r="N909" s="1130"/>
      <c r="O909" s="1130"/>
      <c r="P909" s="1130"/>
      <c r="Q909" s="1130"/>
      <c r="R909" s="1130"/>
      <c r="S909" s="1130"/>
      <c r="T909" s="1130"/>
      <c r="U909" s="1130"/>
      <c r="V909" s="1130"/>
      <c r="W909" s="1130"/>
      <c r="X909" s="1130"/>
      <c r="Y909" s="1130"/>
      <c r="Z909" s="1130"/>
    </row>
    <row r="910" spans="1:26" ht="15.75" customHeight="1">
      <c r="A910" s="1130"/>
      <c r="B910" s="1130"/>
      <c r="C910" s="1130"/>
      <c r="D910" s="1130"/>
      <c r="E910" s="1130"/>
      <c r="F910" s="1130"/>
      <c r="G910" s="1130"/>
      <c r="H910" s="1130"/>
      <c r="I910" s="1130"/>
      <c r="J910" s="1130"/>
      <c r="K910" s="1130"/>
      <c r="L910" s="1130"/>
      <c r="M910" s="1130"/>
      <c r="N910" s="1130"/>
      <c r="O910" s="1130"/>
      <c r="P910" s="1130"/>
      <c r="Q910" s="1130"/>
      <c r="R910" s="1130"/>
      <c r="S910" s="1130"/>
      <c r="T910" s="1130"/>
      <c r="U910" s="1130"/>
      <c r="V910" s="1130"/>
      <c r="W910" s="1130"/>
      <c r="X910" s="1130"/>
      <c r="Y910" s="1130"/>
      <c r="Z910" s="1130"/>
    </row>
    <row r="911" spans="1:26" ht="15.75" customHeight="1">
      <c r="A911" s="1130"/>
      <c r="B911" s="1130"/>
      <c r="C911" s="1130"/>
      <c r="D911" s="1130"/>
      <c r="E911" s="1130"/>
      <c r="F911" s="1130"/>
      <c r="G911" s="1130"/>
      <c r="H911" s="1130"/>
      <c r="I911" s="1130"/>
      <c r="J911" s="1130"/>
      <c r="K911" s="1130"/>
      <c r="L911" s="1130"/>
      <c r="M911" s="1130"/>
      <c r="N911" s="1130"/>
      <c r="O911" s="1130"/>
      <c r="P911" s="1130"/>
      <c r="Q911" s="1130"/>
      <c r="R911" s="1130"/>
      <c r="S911" s="1130"/>
      <c r="T911" s="1130"/>
      <c r="U911" s="1130"/>
      <c r="V911" s="1130"/>
      <c r="W911" s="1130"/>
      <c r="X911" s="1130"/>
      <c r="Y911" s="1130"/>
      <c r="Z911" s="1130"/>
    </row>
    <row r="912" spans="1:26" ht="15.75" customHeight="1">
      <c r="A912" s="1130"/>
      <c r="B912" s="1130"/>
      <c r="C912" s="1130"/>
      <c r="D912" s="1130"/>
      <c r="E912" s="1130"/>
      <c r="F912" s="1130"/>
      <c r="G912" s="1130"/>
      <c r="H912" s="1130"/>
      <c r="I912" s="1130"/>
      <c r="J912" s="1130"/>
      <c r="K912" s="1130"/>
      <c r="L912" s="1130"/>
      <c r="M912" s="1130"/>
      <c r="N912" s="1130"/>
      <c r="O912" s="1130"/>
      <c r="P912" s="1130"/>
      <c r="Q912" s="1130"/>
      <c r="R912" s="1130"/>
      <c r="S912" s="1130"/>
      <c r="T912" s="1130"/>
      <c r="U912" s="1130"/>
      <c r="V912" s="1130"/>
      <c r="W912" s="1130"/>
      <c r="X912" s="1130"/>
      <c r="Y912" s="1130"/>
      <c r="Z912" s="1130"/>
    </row>
    <row r="913" spans="1:26" ht="15.75" customHeight="1">
      <c r="A913" s="1130"/>
      <c r="B913" s="1130"/>
      <c r="C913" s="1130"/>
      <c r="D913" s="1130"/>
      <c r="E913" s="1130"/>
      <c r="F913" s="1130"/>
      <c r="G913" s="1130"/>
      <c r="H913" s="1130"/>
      <c r="I913" s="1130"/>
      <c r="J913" s="1130"/>
      <c r="K913" s="1130"/>
      <c r="L913" s="1130"/>
      <c r="M913" s="1130"/>
      <c r="N913" s="1130"/>
      <c r="O913" s="1130"/>
      <c r="P913" s="1130"/>
      <c r="Q913" s="1130"/>
      <c r="R913" s="1130"/>
      <c r="S913" s="1130"/>
      <c r="T913" s="1130"/>
      <c r="U913" s="1130"/>
      <c r="V913" s="1130"/>
      <c r="W913" s="1130"/>
      <c r="X913" s="1130"/>
      <c r="Y913" s="1130"/>
      <c r="Z913" s="1130"/>
    </row>
    <row r="914" spans="1:26" ht="15.75" customHeight="1">
      <c r="A914" s="1130"/>
      <c r="B914" s="1130"/>
      <c r="C914" s="1130"/>
      <c r="D914" s="1130"/>
      <c r="E914" s="1130"/>
      <c r="F914" s="1130"/>
      <c r="G914" s="1130"/>
      <c r="H914" s="1130"/>
      <c r="I914" s="1130"/>
      <c r="J914" s="1130"/>
      <c r="K914" s="1130"/>
      <c r="L914" s="1130"/>
      <c r="M914" s="1130"/>
      <c r="N914" s="1130"/>
      <c r="O914" s="1130"/>
      <c r="P914" s="1130"/>
      <c r="Q914" s="1130"/>
      <c r="R914" s="1130"/>
      <c r="S914" s="1130"/>
      <c r="T914" s="1130"/>
      <c r="U914" s="1130"/>
      <c r="V914" s="1130"/>
      <c r="W914" s="1130"/>
      <c r="X914" s="1130"/>
      <c r="Y914" s="1130"/>
      <c r="Z914" s="1130"/>
    </row>
    <row r="915" spans="1:26" ht="15.75" customHeight="1">
      <c r="A915" s="1130"/>
      <c r="B915" s="1130"/>
      <c r="C915" s="1130"/>
      <c r="D915" s="1130"/>
      <c r="E915" s="1130"/>
      <c r="F915" s="1130"/>
      <c r="G915" s="1130"/>
      <c r="H915" s="1130"/>
      <c r="I915" s="1130"/>
      <c r="J915" s="1130"/>
      <c r="K915" s="1130"/>
      <c r="L915" s="1130"/>
      <c r="M915" s="1130"/>
      <c r="N915" s="1130"/>
      <c r="O915" s="1130"/>
      <c r="P915" s="1130"/>
      <c r="Q915" s="1130"/>
      <c r="R915" s="1130"/>
      <c r="S915" s="1130"/>
      <c r="T915" s="1130"/>
      <c r="U915" s="1130"/>
      <c r="V915" s="1130"/>
      <c r="W915" s="1130"/>
      <c r="X915" s="1130"/>
      <c r="Y915" s="1130"/>
      <c r="Z915" s="1130"/>
    </row>
    <row r="916" spans="1:26" ht="15.75" customHeight="1">
      <c r="A916" s="1130"/>
      <c r="B916" s="1130"/>
      <c r="C916" s="1130"/>
      <c r="D916" s="1130"/>
      <c r="E916" s="1130"/>
      <c r="F916" s="1130"/>
      <c r="G916" s="1130"/>
      <c r="H916" s="1130"/>
      <c r="I916" s="1130"/>
      <c r="J916" s="1130"/>
      <c r="K916" s="1130"/>
      <c r="L916" s="1130"/>
      <c r="M916" s="1130"/>
      <c r="N916" s="1130"/>
      <c r="O916" s="1130"/>
      <c r="P916" s="1130"/>
      <c r="Q916" s="1130"/>
      <c r="R916" s="1130"/>
      <c r="S916" s="1130"/>
      <c r="T916" s="1130"/>
      <c r="U916" s="1130"/>
      <c r="V916" s="1130"/>
      <c r="W916" s="1130"/>
      <c r="X916" s="1130"/>
      <c r="Y916" s="1130"/>
      <c r="Z916" s="1130"/>
    </row>
    <row r="917" spans="1:26" ht="15.75" customHeight="1">
      <c r="A917" s="1130"/>
      <c r="B917" s="1130"/>
      <c r="C917" s="1130"/>
      <c r="D917" s="1130"/>
      <c r="E917" s="1130"/>
      <c r="F917" s="1130"/>
      <c r="G917" s="1130"/>
      <c r="H917" s="1130"/>
      <c r="I917" s="1130"/>
      <c r="J917" s="1130"/>
      <c r="K917" s="1130"/>
      <c r="L917" s="1130"/>
      <c r="M917" s="1130"/>
      <c r="N917" s="1130"/>
      <c r="O917" s="1130"/>
      <c r="P917" s="1130"/>
      <c r="Q917" s="1130"/>
      <c r="R917" s="1130"/>
      <c r="S917" s="1130"/>
      <c r="T917" s="1130"/>
      <c r="U917" s="1130"/>
      <c r="V917" s="1130"/>
      <c r="W917" s="1130"/>
      <c r="X917" s="1130"/>
      <c r="Y917" s="1130"/>
      <c r="Z917" s="1130"/>
    </row>
    <row r="918" spans="1:26" ht="15.75" customHeight="1">
      <c r="A918" s="1130"/>
      <c r="B918" s="1130"/>
      <c r="C918" s="1130"/>
      <c r="D918" s="1130"/>
      <c r="E918" s="1130"/>
      <c r="F918" s="1130"/>
      <c r="G918" s="1130"/>
      <c r="H918" s="1130"/>
      <c r="I918" s="1130"/>
      <c r="J918" s="1130"/>
      <c r="K918" s="1130"/>
      <c r="L918" s="1130"/>
      <c r="M918" s="1130"/>
      <c r="N918" s="1130"/>
      <c r="O918" s="1130"/>
      <c r="P918" s="1130"/>
      <c r="Q918" s="1130"/>
      <c r="R918" s="1130"/>
      <c r="S918" s="1130"/>
      <c r="T918" s="1130"/>
      <c r="U918" s="1130"/>
      <c r="V918" s="1130"/>
      <c r="W918" s="1130"/>
      <c r="X918" s="1130"/>
      <c r="Y918" s="1130"/>
      <c r="Z918" s="1130"/>
    </row>
    <row r="919" spans="1:26" ht="15.75" customHeight="1">
      <c r="A919" s="1130"/>
      <c r="B919" s="1130"/>
      <c r="C919" s="1130"/>
      <c r="D919" s="1130"/>
      <c r="E919" s="1130"/>
      <c r="F919" s="1130"/>
      <c r="G919" s="1130"/>
      <c r="H919" s="1130"/>
      <c r="I919" s="1130"/>
      <c r="J919" s="1130"/>
      <c r="K919" s="1130"/>
      <c r="L919" s="1130"/>
      <c r="M919" s="1130"/>
      <c r="N919" s="1130"/>
      <c r="O919" s="1130"/>
      <c r="P919" s="1130"/>
      <c r="Q919" s="1130"/>
      <c r="R919" s="1130"/>
      <c r="S919" s="1130"/>
      <c r="T919" s="1130"/>
      <c r="U919" s="1130"/>
      <c r="V919" s="1130"/>
      <c r="W919" s="1130"/>
      <c r="X919" s="1130"/>
      <c r="Y919" s="1130"/>
      <c r="Z919" s="1130"/>
    </row>
    <row r="920" spans="1:26" ht="15.75" customHeight="1">
      <c r="A920" s="1130"/>
      <c r="B920" s="1130"/>
      <c r="C920" s="1130"/>
      <c r="D920" s="1130"/>
      <c r="E920" s="1130"/>
      <c r="F920" s="1130"/>
      <c r="G920" s="1130"/>
      <c r="H920" s="1130"/>
      <c r="I920" s="1130"/>
      <c r="J920" s="1130"/>
      <c r="K920" s="1130"/>
      <c r="L920" s="1130"/>
      <c r="M920" s="1130"/>
      <c r="N920" s="1130"/>
      <c r="O920" s="1130"/>
      <c r="P920" s="1130"/>
      <c r="Q920" s="1130"/>
      <c r="R920" s="1130"/>
      <c r="S920" s="1130"/>
      <c r="T920" s="1130"/>
      <c r="U920" s="1130"/>
      <c r="V920" s="1130"/>
      <c r="W920" s="1130"/>
      <c r="X920" s="1130"/>
      <c r="Y920" s="1130"/>
      <c r="Z920" s="1130"/>
    </row>
    <row r="921" spans="1:26" ht="15.75" customHeight="1">
      <c r="A921" s="1130"/>
      <c r="B921" s="1130"/>
      <c r="C921" s="1130"/>
      <c r="D921" s="1130"/>
      <c r="E921" s="1130"/>
      <c r="F921" s="1130"/>
      <c r="G921" s="1130"/>
      <c r="H921" s="1130"/>
      <c r="I921" s="1130"/>
      <c r="J921" s="1130"/>
      <c r="K921" s="1130"/>
      <c r="L921" s="1130"/>
      <c r="M921" s="1130"/>
      <c r="N921" s="1130"/>
      <c r="O921" s="1130"/>
      <c r="P921" s="1130"/>
      <c r="Q921" s="1130"/>
      <c r="R921" s="1130"/>
      <c r="S921" s="1130"/>
      <c r="T921" s="1130"/>
      <c r="U921" s="1130"/>
      <c r="V921" s="1130"/>
      <c r="W921" s="1130"/>
      <c r="X921" s="1130"/>
      <c r="Y921" s="1130"/>
      <c r="Z921" s="1130"/>
    </row>
    <row r="922" spans="1:26" ht="15.75" customHeight="1">
      <c r="A922" s="1130"/>
      <c r="B922" s="1130"/>
      <c r="C922" s="1130"/>
      <c r="D922" s="1130"/>
      <c r="E922" s="1130"/>
      <c r="F922" s="1130"/>
      <c r="G922" s="1130"/>
      <c r="H922" s="1130"/>
      <c r="I922" s="1130"/>
      <c r="J922" s="1130"/>
      <c r="K922" s="1130"/>
      <c r="L922" s="1130"/>
      <c r="M922" s="1130"/>
      <c r="N922" s="1130"/>
      <c r="O922" s="1130"/>
      <c r="P922" s="1130"/>
      <c r="Q922" s="1130"/>
      <c r="R922" s="1130"/>
      <c r="S922" s="1130"/>
      <c r="T922" s="1130"/>
      <c r="U922" s="1130"/>
      <c r="V922" s="1130"/>
      <c r="W922" s="1130"/>
      <c r="X922" s="1130"/>
      <c r="Y922" s="1130"/>
      <c r="Z922" s="1130"/>
    </row>
    <row r="923" spans="1:26" ht="15.75" customHeight="1">
      <c r="A923" s="1130"/>
      <c r="B923" s="1130"/>
      <c r="C923" s="1130"/>
      <c r="D923" s="1130"/>
      <c r="E923" s="1130"/>
      <c r="F923" s="1130"/>
      <c r="G923" s="1130"/>
      <c r="H923" s="1130"/>
      <c r="I923" s="1130"/>
      <c r="J923" s="1130"/>
      <c r="K923" s="1130"/>
      <c r="L923" s="1130"/>
      <c r="M923" s="1130"/>
      <c r="N923" s="1130"/>
      <c r="O923" s="1130"/>
      <c r="P923" s="1130"/>
      <c r="Q923" s="1130"/>
      <c r="R923" s="1130"/>
      <c r="S923" s="1130"/>
      <c r="T923" s="1130"/>
      <c r="U923" s="1130"/>
      <c r="V923" s="1130"/>
      <c r="W923" s="1130"/>
      <c r="X923" s="1130"/>
      <c r="Y923" s="1130"/>
      <c r="Z923" s="1130"/>
    </row>
    <row r="924" spans="1:26" ht="15.75" customHeight="1">
      <c r="A924" s="1130"/>
      <c r="B924" s="1130"/>
      <c r="C924" s="1130"/>
      <c r="D924" s="1130"/>
      <c r="E924" s="1130"/>
      <c r="F924" s="1130"/>
      <c r="G924" s="1130"/>
      <c r="H924" s="1130"/>
      <c r="I924" s="1130"/>
      <c r="J924" s="1130"/>
      <c r="K924" s="1130"/>
      <c r="L924" s="1130"/>
      <c r="M924" s="1130"/>
      <c r="N924" s="1130"/>
      <c r="O924" s="1130"/>
      <c r="P924" s="1130"/>
      <c r="Q924" s="1130"/>
      <c r="R924" s="1130"/>
      <c r="S924" s="1130"/>
      <c r="T924" s="1130"/>
      <c r="U924" s="1130"/>
      <c r="V924" s="1130"/>
      <c r="W924" s="1130"/>
      <c r="X924" s="1130"/>
      <c r="Y924" s="1130"/>
      <c r="Z924" s="1130"/>
    </row>
    <row r="925" spans="1:26" ht="15.75" customHeight="1">
      <c r="A925" s="1130"/>
      <c r="B925" s="1130"/>
      <c r="C925" s="1130"/>
      <c r="D925" s="1130"/>
      <c r="E925" s="1130"/>
      <c r="F925" s="1130"/>
      <c r="G925" s="1130"/>
      <c r="H925" s="1130"/>
      <c r="I925" s="1130"/>
      <c r="J925" s="1130"/>
      <c r="K925" s="1130"/>
      <c r="L925" s="1130"/>
      <c r="M925" s="1130"/>
      <c r="N925" s="1130"/>
      <c r="O925" s="1130"/>
      <c r="P925" s="1130"/>
      <c r="Q925" s="1130"/>
      <c r="R925" s="1130"/>
      <c r="S925" s="1130"/>
      <c r="T925" s="1130"/>
      <c r="U925" s="1130"/>
      <c r="V925" s="1130"/>
      <c r="W925" s="1130"/>
      <c r="X925" s="1130"/>
      <c r="Y925" s="1130"/>
      <c r="Z925" s="1130"/>
    </row>
    <row r="926" spans="1:26" ht="15.75" customHeight="1">
      <c r="A926" s="1130"/>
      <c r="B926" s="1130"/>
      <c r="C926" s="1130"/>
      <c r="D926" s="1130"/>
      <c r="E926" s="1130"/>
      <c r="F926" s="1130"/>
      <c r="G926" s="1130"/>
      <c r="H926" s="1130"/>
      <c r="I926" s="1130"/>
      <c r="J926" s="1130"/>
      <c r="K926" s="1130"/>
      <c r="L926" s="1130"/>
      <c r="M926" s="1130"/>
      <c r="N926" s="1130"/>
      <c r="O926" s="1130"/>
      <c r="P926" s="1130"/>
      <c r="Q926" s="1130"/>
      <c r="R926" s="1130"/>
      <c r="S926" s="1130"/>
      <c r="T926" s="1130"/>
      <c r="U926" s="1130"/>
      <c r="V926" s="1130"/>
      <c r="W926" s="1130"/>
      <c r="X926" s="1130"/>
      <c r="Y926" s="1130"/>
      <c r="Z926" s="1130"/>
    </row>
    <row r="927" spans="1:26" ht="15.75" customHeight="1">
      <c r="A927" s="1130"/>
      <c r="B927" s="1130"/>
      <c r="C927" s="1130"/>
      <c r="D927" s="1130"/>
      <c r="E927" s="1130"/>
      <c r="F927" s="1130"/>
      <c r="G927" s="1130"/>
      <c r="H927" s="1130"/>
      <c r="I927" s="1130"/>
      <c r="J927" s="1130"/>
      <c r="K927" s="1130"/>
      <c r="L927" s="1130"/>
      <c r="M927" s="1130"/>
      <c r="N927" s="1130"/>
      <c r="O927" s="1130"/>
      <c r="P927" s="1130"/>
      <c r="Q927" s="1130"/>
      <c r="R927" s="1130"/>
      <c r="S927" s="1130"/>
      <c r="T927" s="1130"/>
      <c r="U927" s="1130"/>
      <c r="V927" s="1130"/>
      <c r="W927" s="1130"/>
      <c r="X927" s="1130"/>
      <c r="Y927" s="1130"/>
      <c r="Z927" s="1130"/>
    </row>
    <row r="928" spans="1:26" ht="15.75" customHeight="1">
      <c r="A928" s="1130"/>
      <c r="B928" s="1130"/>
      <c r="C928" s="1130"/>
      <c r="D928" s="1130"/>
      <c r="E928" s="1130"/>
      <c r="F928" s="1130"/>
      <c r="G928" s="1130"/>
      <c r="H928" s="1130"/>
      <c r="I928" s="1130"/>
      <c r="J928" s="1130"/>
      <c r="K928" s="1130"/>
      <c r="L928" s="1130"/>
      <c r="M928" s="1130"/>
      <c r="N928" s="1130"/>
      <c r="O928" s="1130"/>
      <c r="P928" s="1130"/>
      <c r="Q928" s="1130"/>
      <c r="R928" s="1130"/>
      <c r="S928" s="1130"/>
      <c r="T928" s="1130"/>
      <c r="U928" s="1130"/>
      <c r="V928" s="1130"/>
      <c r="W928" s="1130"/>
      <c r="X928" s="1130"/>
      <c r="Y928" s="1130"/>
      <c r="Z928" s="1130"/>
    </row>
    <row r="929" spans="1:26" ht="15.75" customHeight="1">
      <c r="A929" s="1130"/>
      <c r="B929" s="1130"/>
      <c r="C929" s="1130"/>
      <c r="D929" s="1130"/>
      <c r="E929" s="1130"/>
      <c r="F929" s="1130"/>
      <c r="G929" s="1130"/>
      <c r="H929" s="1130"/>
      <c r="I929" s="1130"/>
      <c r="J929" s="1130"/>
      <c r="K929" s="1130"/>
      <c r="L929" s="1130"/>
      <c r="M929" s="1130"/>
      <c r="N929" s="1130"/>
      <c r="O929" s="1130"/>
      <c r="P929" s="1130"/>
      <c r="Q929" s="1130"/>
      <c r="R929" s="1130"/>
      <c r="S929" s="1130"/>
      <c r="T929" s="1130"/>
      <c r="U929" s="1130"/>
      <c r="V929" s="1130"/>
      <c r="W929" s="1130"/>
      <c r="X929" s="1130"/>
      <c r="Y929" s="1130"/>
      <c r="Z929" s="1130"/>
    </row>
    <row r="930" spans="1:26" ht="15.75" customHeight="1">
      <c r="A930" s="1130"/>
      <c r="B930" s="1130"/>
      <c r="C930" s="1130"/>
      <c r="D930" s="1130"/>
      <c r="E930" s="1130"/>
      <c r="F930" s="1130"/>
      <c r="G930" s="1130"/>
      <c r="H930" s="1130"/>
      <c r="I930" s="1130"/>
      <c r="J930" s="1130"/>
      <c r="K930" s="1130"/>
      <c r="L930" s="1130"/>
      <c r="M930" s="1130"/>
      <c r="N930" s="1130"/>
      <c r="O930" s="1130"/>
      <c r="P930" s="1130"/>
      <c r="Q930" s="1130"/>
      <c r="R930" s="1130"/>
      <c r="S930" s="1130"/>
      <c r="T930" s="1130"/>
      <c r="U930" s="1130"/>
      <c r="V930" s="1130"/>
      <c r="W930" s="1130"/>
      <c r="X930" s="1130"/>
      <c r="Y930" s="1130"/>
      <c r="Z930" s="1130"/>
    </row>
    <row r="931" spans="1:26" ht="15.75" customHeight="1">
      <c r="A931" s="1130"/>
      <c r="B931" s="1130"/>
      <c r="C931" s="1130"/>
      <c r="D931" s="1130"/>
      <c r="E931" s="1130"/>
      <c r="F931" s="1130"/>
      <c r="G931" s="1130"/>
      <c r="H931" s="1130"/>
      <c r="I931" s="1130"/>
      <c r="J931" s="1130"/>
      <c r="K931" s="1130"/>
      <c r="L931" s="1130"/>
      <c r="M931" s="1130"/>
      <c r="N931" s="1130"/>
      <c r="O931" s="1130"/>
      <c r="P931" s="1130"/>
      <c r="Q931" s="1130"/>
      <c r="R931" s="1130"/>
      <c r="S931" s="1130"/>
      <c r="T931" s="1130"/>
      <c r="U931" s="1130"/>
      <c r="V931" s="1130"/>
      <c r="W931" s="1130"/>
      <c r="X931" s="1130"/>
      <c r="Y931" s="1130"/>
      <c r="Z931" s="1130"/>
    </row>
    <row r="932" spans="1:26" ht="15.75" customHeight="1">
      <c r="A932" s="1130"/>
      <c r="B932" s="1130"/>
      <c r="C932" s="1130"/>
      <c r="D932" s="1130"/>
      <c r="E932" s="1130"/>
      <c r="F932" s="1130"/>
      <c r="G932" s="1130"/>
      <c r="H932" s="1130"/>
      <c r="I932" s="1130"/>
      <c r="J932" s="1130"/>
      <c r="K932" s="1130"/>
      <c r="L932" s="1130"/>
      <c r="M932" s="1130"/>
      <c r="N932" s="1130"/>
      <c r="O932" s="1130"/>
      <c r="P932" s="1130"/>
      <c r="Q932" s="1130"/>
      <c r="R932" s="1130"/>
      <c r="S932" s="1130"/>
      <c r="T932" s="1130"/>
      <c r="U932" s="1130"/>
      <c r="V932" s="1130"/>
      <c r="W932" s="1130"/>
      <c r="X932" s="1130"/>
      <c r="Y932" s="1130"/>
      <c r="Z932" s="1130"/>
    </row>
    <row r="933" spans="1:26" ht="15.75" customHeight="1">
      <c r="A933" s="1130"/>
      <c r="B933" s="1130"/>
      <c r="C933" s="1130"/>
      <c r="D933" s="1130"/>
      <c r="E933" s="1130"/>
      <c r="F933" s="1130"/>
      <c r="G933" s="1130"/>
      <c r="H933" s="1130"/>
      <c r="I933" s="1130"/>
      <c r="J933" s="1130"/>
      <c r="K933" s="1130"/>
      <c r="L933" s="1130"/>
      <c r="M933" s="1130"/>
      <c r="N933" s="1130"/>
      <c r="O933" s="1130"/>
      <c r="P933" s="1130"/>
      <c r="Q933" s="1130"/>
      <c r="R933" s="1130"/>
      <c r="S933" s="1130"/>
      <c r="T933" s="1130"/>
      <c r="U933" s="1130"/>
      <c r="V933" s="1130"/>
      <c r="W933" s="1130"/>
      <c r="X933" s="1130"/>
      <c r="Y933" s="1130"/>
      <c r="Z933" s="1130"/>
    </row>
    <row r="934" spans="1:26" ht="15.75" customHeight="1">
      <c r="A934" s="1130"/>
      <c r="B934" s="1130"/>
      <c r="C934" s="1130"/>
      <c r="D934" s="1130"/>
      <c r="E934" s="1130"/>
      <c r="F934" s="1130"/>
      <c r="G934" s="1130"/>
      <c r="H934" s="1130"/>
      <c r="I934" s="1130"/>
      <c r="J934" s="1130"/>
      <c r="K934" s="1130"/>
      <c r="L934" s="1130"/>
      <c r="M934" s="1130"/>
      <c r="N934" s="1130"/>
      <c r="O934" s="1130"/>
      <c r="P934" s="1130"/>
      <c r="Q934" s="1130"/>
      <c r="R934" s="1130"/>
      <c r="S934" s="1130"/>
      <c r="T934" s="1130"/>
      <c r="U934" s="1130"/>
      <c r="V934" s="1130"/>
      <c r="W934" s="1130"/>
      <c r="X934" s="1130"/>
      <c r="Y934" s="1130"/>
      <c r="Z934" s="1130"/>
    </row>
    <row r="935" spans="1:26" ht="15.75" customHeight="1">
      <c r="A935" s="1130"/>
      <c r="B935" s="1130"/>
      <c r="C935" s="1130"/>
      <c r="D935" s="1130"/>
      <c r="E935" s="1130"/>
      <c r="F935" s="1130"/>
      <c r="G935" s="1130"/>
      <c r="H935" s="1130"/>
      <c r="I935" s="1130"/>
      <c r="J935" s="1130"/>
      <c r="K935" s="1130"/>
      <c r="L935" s="1130"/>
      <c r="M935" s="1130"/>
      <c r="N935" s="1130"/>
      <c r="O935" s="1130"/>
      <c r="P935" s="1130"/>
      <c r="Q935" s="1130"/>
      <c r="R935" s="1130"/>
      <c r="S935" s="1130"/>
      <c r="T935" s="1130"/>
      <c r="U935" s="1130"/>
      <c r="V935" s="1130"/>
      <c r="W935" s="1130"/>
      <c r="X935" s="1130"/>
      <c r="Y935" s="1130"/>
      <c r="Z935" s="1130"/>
    </row>
    <row r="936" spans="1:26" ht="15.75" customHeight="1">
      <c r="A936" s="1130"/>
      <c r="B936" s="1130"/>
      <c r="C936" s="1130"/>
      <c r="D936" s="1130"/>
      <c r="E936" s="1130"/>
      <c r="F936" s="1130"/>
      <c r="G936" s="1130"/>
      <c r="H936" s="1130"/>
      <c r="I936" s="1130"/>
      <c r="J936" s="1130"/>
      <c r="K936" s="1130"/>
      <c r="L936" s="1130"/>
      <c r="M936" s="1130"/>
      <c r="N936" s="1130"/>
      <c r="O936" s="1130"/>
      <c r="P936" s="1130"/>
      <c r="Q936" s="1130"/>
      <c r="R936" s="1130"/>
      <c r="S936" s="1130"/>
      <c r="T936" s="1130"/>
      <c r="U936" s="1130"/>
      <c r="V936" s="1130"/>
      <c r="W936" s="1130"/>
      <c r="X936" s="1130"/>
      <c r="Y936" s="1130"/>
      <c r="Z936" s="1130"/>
    </row>
    <row r="937" spans="1:26" ht="15.75" customHeight="1">
      <c r="A937" s="1130"/>
      <c r="B937" s="1130"/>
      <c r="C937" s="1130"/>
      <c r="D937" s="1130"/>
      <c r="E937" s="1130"/>
      <c r="F937" s="1130"/>
      <c r="G937" s="1130"/>
      <c r="H937" s="1130"/>
      <c r="I937" s="1130"/>
      <c r="J937" s="1130"/>
      <c r="K937" s="1130"/>
      <c r="L937" s="1130"/>
      <c r="M937" s="1130"/>
      <c r="N937" s="1130"/>
      <c r="O937" s="1130"/>
      <c r="P937" s="1130"/>
      <c r="Q937" s="1130"/>
      <c r="R937" s="1130"/>
      <c r="S937" s="1130"/>
      <c r="T937" s="1130"/>
      <c r="U937" s="1130"/>
      <c r="V937" s="1130"/>
      <c r="W937" s="1130"/>
      <c r="X937" s="1130"/>
      <c r="Y937" s="1130"/>
      <c r="Z937" s="1130"/>
    </row>
    <row r="938" spans="1:26" ht="15.75" customHeight="1">
      <c r="A938" s="1130"/>
      <c r="B938" s="1130"/>
      <c r="C938" s="1130"/>
      <c r="D938" s="1130"/>
      <c r="E938" s="1130"/>
      <c r="F938" s="1130"/>
      <c r="G938" s="1130"/>
      <c r="H938" s="1130"/>
      <c r="I938" s="1130"/>
      <c r="J938" s="1130"/>
      <c r="K938" s="1130"/>
      <c r="L938" s="1130"/>
      <c r="M938" s="1130"/>
      <c r="N938" s="1130"/>
      <c r="O938" s="1130"/>
      <c r="P938" s="1130"/>
      <c r="Q938" s="1130"/>
      <c r="R938" s="1130"/>
      <c r="S938" s="1130"/>
      <c r="T938" s="1130"/>
      <c r="U938" s="1130"/>
      <c r="V938" s="1130"/>
      <c r="W938" s="1130"/>
      <c r="X938" s="1130"/>
      <c r="Y938" s="1130"/>
      <c r="Z938" s="1130"/>
    </row>
    <row r="939" spans="1:26" ht="15.75" customHeight="1">
      <c r="A939" s="1130"/>
      <c r="B939" s="1130"/>
      <c r="C939" s="1130"/>
      <c r="D939" s="1130"/>
      <c r="E939" s="1130"/>
      <c r="F939" s="1130"/>
      <c r="G939" s="1130"/>
      <c r="H939" s="1130"/>
      <c r="I939" s="1130"/>
      <c r="J939" s="1130"/>
      <c r="K939" s="1130"/>
      <c r="L939" s="1130"/>
      <c r="M939" s="1130"/>
      <c r="N939" s="1130"/>
      <c r="O939" s="1130"/>
      <c r="P939" s="1130"/>
      <c r="Q939" s="1130"/>
      <c r="R939" s="1130"/>
      <c r="S939" s="1130"/>
      <c r="T939" s="1130"/>
      <c r="U939" s="1130"/>
      <c r="V939" s="1130"/>
      <c r="W939" s="1130"/>
      <c r="X939" s="1130"/>
      <c r="Y939" s="1130"/>
      <c r="Z939" s="1130"/>
    </row>
    <row r="940" spans="1:26" ht="15.75" customHeight="1">
      <c r="A940" s="1130"/>
      <c r="B940" s="1130"/>
      <c r="C940" s="1130"/>
      <c r="D940" s="1130"/>
      <c r="E940" s="1130"/>
      <c r="F940" s="1130"/>
      <c r="G940" s="1130"/>
      <c r="H940" s="1130"/>
      <c r="I940" s="1130"/>
      <c r="J940" s="1130"/>
      <c r="K940" s="1130"/>
      <c r="L940" s="1130"/>
      <c r="M940" s="1130"/>
      <c r="N940" s="1130"/>
      <c r="O940" s="1130"/>
      <c r="P940" s="1130"/>
      <c r="Q940" s="1130"/>
      <c r="R940" s="1130"/>
      <c r="S940" s="1130"/>
      <c r="T940" s="1130"/>
      <c r="U940" s="1130"/>
      <c r="V940" s="1130"/>
      <c r="W940" s="1130"/>
      <c r="X940" s="1130"/>
      <c r="Y940" s="1130"/>
      <c r="Z940" s="1130"/>
    </row>
    <row r="941" spans="1:26" ht="15.75" customHeight="1">
      <c r="A941" s="1130"/>
      <c r="B941" s="1130"/>
      <c r="C941" s="1130"/>
      <c r="D941" s="1130"/>
      <c r="E941" s="1130"/>
      <c r="F941" s="1130"/>
      <c r="G941" s="1130"/>
      <c r="H941" s="1130"/>
      <c r="I941" s="1130"/>
      <c r="J941" s="1130"/>
      <c r="K941" s="1130"/>
      <c r="L941" s="1130"/>
      <c r="M941" s="1130"/>
      <c r="N941" s="1130"/>
      <c r="O941" s="1130"/>
      <c r="P941" s="1130"/>
      <c r="Q941" s="1130"/>
      <c r="R941" s="1130"/>
      <c r="S941" s="1130"/>
      <c r="T941" s="1130"/>
      <c r="U941" s="1130"/>
      <c r="V941" s="1130"/>
      <c r="W941" s="1130"/>
      <c r="X941" s="1130"/>
      <c r="Y941" s="1130"/>
      <c r="Z941" s="1130"/>
    </row>
    <row r="942" spans="1:26" ht="15.75" customHeight="1">
      <c r="A942" s="1130"/>
      <c r="B942" s="1130"/>
      <c r="C942" s="1130"/>
      <c r="D942" s="1130"/>
      <c r="E942" s="1130"/>
      <c r="F942" s="1130"/>
      <c r="G942" s="1130"/>
      <c r="H942" s="1130"/>
      <c r="I942" s="1130"/>
      <c r="J942" s="1130"/>
      <c r="K942" s="1130"/>
      <c r="L942" s="1130"/>
      <c r="M942" s="1130"/>
      <c r="N942" s="1130"/>
      <c r="O942" s="1130"/>
      <c r="P942" s="1130"/>
      <c r="Q942" s="1130"/>
      <c r="R942" s="1130"/>
      <c r="S942" s="1130"/>
      <c r="T942" s="1130"/>
      <c r="U942" s="1130"/>
      <c r="V942" s="1130"/>
      <c r="W942" s="1130"/>
      <c r="X942" s="1130"/>
      <c r="Y942" s="1130"/>
      <c r="Z942" s="1130"/>
    </row>
    <row r="943" spans="1:26" ht="15.75" customHeight="1">
      <c r="A943" s="1130"/>
      <c r="B943" s="1130"/>
      <c r="C943" s="1130"/>
      <c r="D943" s="1130"/>
      <c r="E943" s="1130"/>
      <c r="F943" s="1130"/>
      <c r="G943" s="1130"/>
      <c r="H943" s="1130"/>
      <c r="I943" s="1130"/>
      <c r="J943" s="1130"/>
      <c r="K943" s="1130"/>
      <c r="L943" s="1130"/>
      <c r="M943" s="1130"/>
      <c r="N943" s="1130"/>
      <c r="O943" s="1130"/>
      <c r="P943" s="1130"/>
      <c r="Q943" s="1130"/>
      <c r="R943" s="1130"/>
      <c r="S943" s="1130"/>
      <c r="T943" s="1130"/>
      <c r="U943" s="1130"/>
      <c r="V943" s="1130"/>
      <c r="W943" s="1130"/>
      <c r="X943" s="1130"/>
      <c r="Y943" s="1130"/>
      <c r="Z943" s="1130"/>
    </row>
    <row r="944" spans="1:26" ht="15.75" customHeight="1">
      <c r="A944" s="1130"/>
      <c r="B944" s="1130"/>
      <c r="C944" s="1130"/>
      <c r="D944" s="1130"/>
      <c r="E944" s="1130"/>
      <c r="F944" s="1130"/>
      <c r="G944" s="1130"/>
      <c r="H944" s="1130"/>
      <c r="I944" s="1130"/>
      <c r="J944" s="1130"/>
      <c r="K944" s="1130"/>
      <c r="L944" s="1130"/>
      <c r="M944" s="1130"/>
      <c r="N944" s="1130"/>
      <c r="O944" s="1130"/>
      <c r="P944" s="1130"/>
      <c r="Q944" s="1130"/>
      <c r="R944" s="1130"/>
      <c r="S944" s="1130"/>
      <c r="T944" s="1130"/>
      <c r="U944" s="1130"/>
      <c r="V944" s="1130"/>
      <c r="W944" s="1130"/>
      <c r="X944" s="1130"/>
      <c r="Y944" s="1130"/>
      <c r="Z944" s="1130"/>
    </row>
    <row r="945" spans="1:26" ht="15.75" customHeight="1">
      <c r="A945" s="1130"/>
      <c r="B945" s="1130"/>
      <c r="C945" s="1130"/>
      <c r="D945" s="1130"/>
      <c r="E945" s="1130"/>
      <c r="F945" s="1130"/>
      <c r="G945" s="1130"/>
      <c r="H945" s="1130"/>
      <c r="I945" s="1130"/>
      <c r="J945" s="1130"/>
      <c r="K945" s="1130"/>
      <c r="L945" s="1130"/>
      <c r="M945" s="1130"/>
      <c r="N945" s="1130"/>
      <c r="O945" s="1130"/>
      <c r="P945" s="1130"/>
      <c r="Q945" s="1130"/>
      <c r="R945" s="1130"/>
      <c r="S945" s="1130"/>
      <c r="T945" s="1130"/>
      <c r="U945" s="1130"/>
      <c r="V945" s="1130"/>
      <c r="W945" s="1130"/>
      <c r="X945" s="1130"/>
      <c r="Y945" s="1130"/>
      <c r="Z945" s="1130"/>
    </row>
    <row r="946" spans="1:26" ht="15.75" customHeight="1">
      <c r="A946" s="1130"/>
      <c r="B946" s="1130"/>
      <c r="C946" s="1130"/>
      <c r="D946" s="1130"/>
      <c r="E946" s="1130"/>
      <c r="F946" s="1130"/>
      <c r="G946" s="1130"/>
      <c r="H946" s="1130"/>
      <c r="I946" s="1130"/>
      <c r="J946" s="1130"/>
      <c r="K946" s="1130"/>
      <c r="L946" s="1130"/>
      <c r="M946" s="1130"/>
      <c r="N946" s="1130"/>
      <c r="O946" s="1130"/>
      <c r="P946" s="1130"/>
      <c r="Q946" s="1130"/>
      <c r="R946" s="1130"/>
      <c r="S946" s="1130"/>
      <c r="T946" s="1130"/>
      <c r="U946" s="1130"/>
      <c r="V946" s="1130"/>
      <c r="W946" s="1130"/>
      <c r="X946" s="1130"/>
      <c r="Y946" s="1130"/>
      <c r="Z946" s="1130"/>
    </row>
    <row r="947" spans="1:26" ht="15.75" customHeight="1">
      <c r="A947" s="1130"/>
      <c r="B947" s="1130"/>
      <c r="C947" s="1130"/>
      <c r="D947" s="1130"/>
      <c r="E947" s="1130"/>
      <c r="F947" s="1130"/>
      <c r="G947" s="1130"/>
      <c r="H947" s="1130"/>
      <c r="I947" s="1130"/>
      <c r="J947" s="1130"/>
      <c r="K947" s="1130"/>
      <c r="L947" s="1130"/>
      <c r="M947" s="1130"/>
      <c r="N947" s="1130"/>
      <c r="O947" s="1130"/>
      <c r="P947" s="1130"/>
      <c r="Q947" s="1130"/>
      <c r="R947" s="1130"/>
      <c r="S947" s="1130"/>
      <c r="T947" s="1130"/>
      <c r="U947" s="1130"/>
      <c r="V947" s="1130"/>
      <c r="W947" s="1130"/>
      <c r="X947" s="1130"/>
      <c r="Y947" s="1130"/>
      <c r="Z947" s="1130"/>
    </row>
    <row r="948" spans="1:26" ht="15.75" customHeight="1">
      <c r="A948" s="1130"/>
      <c r="B948" s="1130"/>
      <c r="C948" s="1130"/>
      <c r="D948" s="1130"/>
      <c r="E948" s="1130"/>
      <c r="F948" s="1130"/>
      <c r="G948" s="1130"/>
      <c r="H948" s="1130"/>
      <c r="I948" s="1130"/>
      <c r="J948" s="1130"/>
      <c r="K948" s="1130"/>
      <c r="L948" s="1130"/>
      <c r="M948" s="1130"/>
      <c r="N948" s="1130"/>
      <c r="O948" s="1130"/>
      <c r="P948" s="1130"/>
      <c r="Q948" s="1130"/>
      <c r="R948" s="1130"/>
      <c r="S948" s="1130"/>
      <c r="T948" s="1130"/>
      <c r="U948" s="1130"/>
      <c r="V948" s="1130"/>
      <c r="W948" s="1130"/>
      <c r="X948" s="1130"/>
      <c r="Y948" s="1130"/>
      <c r="Z948" s="1130"/>
    </row>
    <row r="949" spans="1:26" ht="15.75" customHeight="1">
      <c r="A949" s="1130"/>
      <c r="B949" s="1130"/>
      <c r="C949" s="1130"/>
      <c r="D949" s="1130"/>
      <c r="E949" s="1130"/>
      <c r="F949" s="1130"/>
      <c r="G949" s="1130"/>
      <c r="H949" s="1130"/>
      <c r="I949" s="1130"/>
      <c r="J949" s="1130"/>
      <c r="K949" s="1130"/>
      <c r="L949" s="1130"/>
      <c r="M949" s="1130"/>
      <c r="N949" s="1130"/>
      <c r="O949" s="1130"/>
      <c r="P949" s="1130"/>
      <c r="Q949" s="1130"/>
      <c r="R949" s="1130"/>
      <c r="S949" s="1130"/>
      <c r="T949" s="1130"/>
      <c r="U949" s="1130"/>
      <c r="V949" s="1130"/>
      <c r="W949" s="1130"/>
      <c r="X949" s="1130"/>
      <c r="Y949" s="1130"/>
      <c r="Z949" s="1130"/>
    </row>
    <row r="950" spans="1:26" ht="15.75" customHeight="1">
      <c r="A950" s="1130"/>
      <c r="B950" s="1130"/>
      <c r="C950" s="1130"/>
      <c r="D950" s="1130"/>
      <c r="E950" s="1130"/>
      <c r="F950" s="1130"/>
      <c r="G950" s="1130"/>
      <c r="H950" s="1130"/>
      <c r="I950" s="1130"/>
      <c r="J950" s="1130"/>
      <c r="K950" s="1130"/>
      <c r="L950" s="1130"/>
      <c r="M950" s="1130"/>
      <c r="N950" s="1130"/>
      <c r="O950" s="1130"/>
      <c r="P950" s="1130"/>
      <c r="Q950" s="1130"/>
      <c r="R950" s="1130"/>
      <c r="S950" s="1130"/>
      <c r="T950" s="1130"/>
      <c r="U950" s="1130"/>
      <c r="V950" s="1130"/>
      <c r="W950" s="1130"/>
      <c r="X950" s="1130"/>
      <c r="Y950" s="1130"/>
      <c r="Z950" s="1130"/>
    </row>
    <row r="951" spans="1:26" ht="15.75" customHeight="1">
      <c r="A951" s="1130"/>
      <c r="B951" s="1130"/>
      <c r="C951" s="1130"/>
      <c r="D951" s="1130"/>
      <c r="E951" s="1130"/>
      <c r="F951" s="1130"/>
      <c r="G951" s="1130"/>
      <c r="H951" s="1130"/>
      <c r="I951" s="1130"/>
      <c r="J951" s="1130"/>
      <c r="K951" s="1130"/>
      <c r="L951" s="1130"/>
      <c r="M951" s="1130"/>
      <c r="N951" s="1130"/>
      <c r="O951" s="1130"/>
      <c r="P951" s="1130"/>
      <c r="Q951" s="1130"/>
      <c r="R951" s="1130"/>
      <c r="S951" s="1130"/>
      <c r="T951" s="1130"/>
      <c r="U951" s="1130"/>
      <c r="V951" s="1130"/>
      <c r="W951" s="1130"/>
      <c r="X951" s="1130"/>
      <c r="Y951" s="1130"/>
      <c r="Z951" s="1130"/>
    </row>
    <row r="952" spans="1:26" ht="15.75" customHeight="1">
      <c r="A952" s="1130"/>
      <c r="B952" s="1130"/>
      <c r="C952" s="1130"/>
      <c r="D952" s="1130"/>
      <c r="E952" s="1130"/>
      <c r="F952" s="1130"/>
      <c r="G952" s="1130"/>
      <c r="H952" s="1130"/>
      <c r="I952" s="1130"/>
      <c r="J952" s="1130"/>
      <c r="K952" s="1130"/>
      <c r="L952" s="1130"/>
      <c r="M952" s="1130"/>
      <c r="N952" s="1130"/>
      <c r="O952" s="1130"/>
      <c r="P952" s="1130"/>
      <c r="Q952" s="1130"/>
      <c r="R952" s="1130"/>
      <c r="S952" s="1130"/>
      <c r="T952" s="1130"/>
      <c r="U952" s="1130"/>
      <c r="V952" s="1130"/>
      <c r="W952" s="1130"/>
      <c r="X952" s="1130"/>
      <c r="Y952" s="1130"/>
      <c r="Z952" s="1130"/>
    </row>
    <row r="953" spans="1:26" ht="15.75" customHeight="1">
      <c r="A953" s="1130"/>
      <c r="B953" s="1130"/>
      <c r="C953" s="1130"/>
      <c r="D953" s="1130"/>
      <c r="E953" s="1130"/>
      <c r="F953" s="1130"/>
      <c r="G953" s="1130"/>
      <c r="H953" s="1130"/>
      <c r="I953" s="1130"/>
      <c r="J953" s="1130"/>
      <c r="K953" s="1130"/>
      <c r="L953" s="1130"/>
      <c r="M953" s="1130"/>
      <c r="N953" s="1130"/>
      <c r="O953" s="1130"/>
      <c r="P953" s="1130"/>
      <c r="Q953" s="1130"/>
      <c r="R953" s="1130"/>
      <c r="S953" s="1130"/>
      <c r="T953" s="1130"/>
      <c r="U953" s="1130"/>
      <c r="V953" s="1130"/>
      <c r="W953" s="1130"/>
      <c r="X953" s="1130"/>
      <c r="Y953" s="1130"/>
      <c r="Z953" s="1130"/>
    </row>
    <row r="954" spans="1:26" ht="15.75" customHeight="1">
      <c r="A954" s="1130"/>
      <c r="B954" s="1130"/>
      <c r="C954" s="1130"/>
      <c r="D954" s="1130"/>
      <c r="E954" s="1130"/>
      <c r="F954" s="1130"/>
      <c r="G954" s="1130"/>
      <c r="H954" s="1130"/>
      <c r="I954" s="1130"/>
      <c r="J954" s="1130"/>
      <c r="K954" s="1130"/>
      <c r="L954" s="1130"/>
      <c r="M954" s="1130"/>
      <c r="N954" s="1130"/>
      <c r="O954" s="1130"/>
      <c r="P954" s="1130"/>
      <c r="Q954" s="1130"/>
      <c r="R954" s="1130"/>
      <c r="S954" s="1130"/>
      <c r="T954" s="1130"/>
      <c r="U954" s="1130"/>
      <c r="V954" s="1130"/>
      <c r="W954" s="1130"/>
      <c r="X954" s="1130"/>
      <c r="Y954" s="1130"/>
      <c r="Z954" s="1130"/>
    </row>
    <row r="955" spans="1:26" ht="15.75" customHeight="1">
      <c r="A955" s="1130"/>
      <c r="B955" s="1130"/>
      <c r="C955" s="1130"/>
      <c r="D955" s="1130"/>
      <c r="E955" s="1130"/>
      <c r="F955" s="1130"/>
      <c r="G955" s="1130"/>
      <c r="H955" s="1130"/>
      <c r="I955" s="1130"/>
      <c r="J955" s="1130"/>
      <c r="K955" s="1130"/>
      <c r="L955" s="1130"/>
      <c r="M955" s="1130"/>
      <c r="N955" s="1130"/>
      <c r="O955" s="1130"/>
      <c r="P955" s="1130"/>
      <c r="Q955" s="1130"/>
      <c r="R955" s="1130"/>
      <c r="S955" s="1130"/>
      <c r="T955" s="1130"/>
      <c r="U955" s="1130"/>
      <c r="V955" s="1130"/>
      <c r="W955" s="1130"/>
      <c r="X955" s="1130"/>
      <c r="Y955" s="1130"/>
      <c r="Z955" s="1130"/>
    </row>
    <row r="956" spans="1:26" ht="15.75" customHeight="1">
      <c r="A956" s="1130"/>
      <c r="B956" s="1130"/>
      <c r="C956" s="1130"/>
      <c r="D956" s="1130"/>
      <c r="E956" s="1130"/>
      <c r="F956" s="1130"/>
      <c r="G956" s="1130"/>
      <c r="H956" s="1130"/>
      <c r="I956" s="1130"/>
      <c r="J956" s="1130"/>
      <c r="K956" s="1130"/>
      <c r="L956" s="1130"/>
      <c r="M956" s="1130"/>
      <c r="N956" s="1130"/>
      <c r="O956" s="1130"/>
      <c r="P956" s="1130"/>
      <c r="Q956" s="1130"/>
      <c r="R956" s="1130"/>
      <c r="S956" s="1130"/>
      <c r="T956" s="1130"/>
      <c r="U956" s="1130"/>
      <c r="V956" s="1130"/>
      <c r="W956" s="1130"/>
      <c r="X956" s="1130"/>
      <c r="Y956" s="1130"/>
      <c r="Z956" s="1130"/>
    </row>
    <row r="957" spans="1:26" ht="15.75" customHeight="1">
      <c r="A957" s="1130"/>
      <c r="B957" s="1130"/>
      <c r="C957" s="1130"/>
      <c r="D957" s="1130"/>
      <c r="E957" s="1130"/>
      <c r="F957" s="1130"/>
      <c r="G957" s="1130"/>
      <c r="H957" s="1130"/>
      <c r="I957" s="1130"/>
      <c r="J957" s="1130"/>
      <c r="K957" s="1130"/>
      <c r="L957" s="1130"/>
      <c r="M957" s="1130"/>
      <c r="N957" s="1130"/>
      <c r="O957" s="1130"/>
      <c r="P957" s="1130"/>
      <c r="Q957" s="1130"/>
      <c r="R957" s="1130"/>
      <c r="S957" s="1130"/>
      <c r="T957" s="1130"/>
      <c r="U957" s="1130"/>
      <c r="V957" s="1130"/>
      <c r="W957" s="1130"/>
      <c r="X957" s="1130"/>
      <c r="Y957" s="1130"/>
      <c r="Z957" s="1130"/>
    </row>
  </sheetData>
  <printOptions horizontalCentered="1"/>
  <pageMargins left="0.7" right="0.7" top="0.71" bottom="0.59" header="0.3" footer="0.16"/>
  <pageSetup paperSize="9" scale="84" fitToHeight="10" orientation="landscape"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2">
    <pageSetUpPr fitToPage="1"/>
  </sheetPr>
  <dimension ref="A1:N62"/>
  <sheetViews>
    <sheetView workbookViewId="0"/>
  </sheetViews>
  <sheetFormatPr defaultColWidth="9.109375" defaultRowHeight="16.8"/>
  <cols>
    <col min="1" max="1" width="12.5546875" style="1247" customWidth="1"/>
    <col min="2" max="2" width="27.5546875" style="1247" customWidth="1"/>
    <col min="3" max="4" width="9.109375" style="1247"/>
    <col min="5" max="5" width="9.88671875" style="1247" customWidth="1"/>
    <col min="6" max="6" width="10.109375" style="1247" customWidth="1"/>
    <col min="7" max="7" width="9.109375" style="1247"/>
    <col min="8" max="8" width="9.5546875" style="1247" bestFit="1" customWidth="1"/>
    <col min="9" max="9" width="12" style="1247" customWidth="1"/>
    <col min="10" max="10" width="13" style="1247" customWidth="1"/>
    <col min="11" max="11" width="19.109375" style="1247" customWidth="1"/>
    <col min="12" max="13" width="9.109375" style="1247"/>
    <col min="14" max="14" width="22.88671875" style="1247" customWidth="1"/>
    <col min="15" max="16384" width="9.109375" style="1247"/>
  </cols>
  <sheetData>
    <row r="1" spans="1:14" s="520" customFormat="1" ht="19.2">
      <c r="A1" s="522"/>
      <c r="C1" s="523"/>
      <c r="D1" s="537"/>
      <c r="E1" s="1223"/>
      <c r="F1" s="1223"/>
      <c r="G1" s="523"/>
    </row>
    <row r="2" spans="1:14" s="520" customFormat="1" ht="19.2">
      <c r="A2" s="522"/>
      <c r="C2" s="523"/>
      <c r="D2" s="537"/>
      <c r="E2" s="1223"/>
      <c r="F2" s="1223"/>
      <c r="G2" s="523"/>
    </row>
    <row r="3" spans="1:14" s="520" customFormat="1" ht="19.2">
      <c r="A3" s="226" t="s">
        <v>0</v>
      </c>
      <c r="B3" s="1248" t="s">
        <v>1564</v>
      </c>
      <c r="C3" s="523"/>
      <c r="D3" s="537"/>
      <c r="E3" s="1223"/>
      <c r="F3" s="1223"/>
      <c r="G3" s="523"/>
    </row>
    <row r="4" spans="1:14" s="520" customFormat="1" ht="19.2">
      <c r="A4" s="119" t="s">
        <v>1</v>
      </c>
      <c r="B4" s="1248">
        <v>930100</v>
      </c>
      <c r="C4" s="523"/>
      <c r="D4" s="537"/>
      <c r="E4" s="1223"/>
      <c r="F4" s="1223"/>
      <c r="G4" s="523"/>
    </row>
    <row r="5" spans="1:14" s="520" customFormat="1" ht="19.2">
      <c r="A5" s="119" t="s">
        <v>2</v>
      </c>
      <c r="B5" s="1247" t="s">
        <v>331</v>
      </c>
      <c r="C5" s="523"/>
      <c r="D5" s="537"/>
      <c r="E5" s="1223"/>
      <c r="G5" s="1276" t="s">
        <v>1561</v>
      </c>
      <c r="H5" s="523"/>
      <c r="I5" s="523" t="s">
        <v>1566</v>
      </c>
    </row>
    <row r="6" spans="1:14" s="520" customFormat="1" ht="19.2">
      <c r="A6" s="119" t="s">
        <v>3</v>
      </c>
      <c r="B6" s="1247" t="s">
        <v>1567</v>
      </c>
      <c r="C6" s="523"/>
      <c r="D6" s="537"/>
      <c r="E6" s="1223"/>
      <c r="G6" s="1276" t="s">
        <v>171</v>
      </c>
      <c r="H6" s="523"/>
      <c r="I6" s="523" t="s">
        <v>1563</v>
      </c>
    </row>
    <row r="7" spans="1:14" s="520" customFormat="1" ht="19.2">
      <c r="A7" s="119" t="s">
        <v>4</v>
      </c>
      <c r="B7" s="1247"/>
      <c r="C7" s="523"/>
      <c r="D7" s="537"/>
      <c r="E7" s="1223"/>
      <c r="G7" s="1276" t="s">
        <v>106</v>
      </c>
      <c r="H7" s="1277"/>
      <c r="I7" s="1277">
        <f ca="1">TODAY()</f>
        <v>44942</v>
      </c>
    </row>
    <row r="9" spans="1:14">
      <c r="A9" s="1250" t="s">
        <v>332</v>
      </c>
      <c r="B9" s="1250" t="s">
        <v>8</v>
      </c>
      <c r="C9" s="1250" t="s">
        <v>9</v>
      </c>
      <c r="D9" s="1250" t="s">
        <v>333</v>
      </c>
      <c r="E9" s="1250" t="s">
        <v>11</v>
      </c>
      <c r="F9" s="1250" t="s">
        <v>12</v>
      </c>
      <c r="G9" s="1250" t="s">
        <v>13</v>
      </c>
      <c r="H9" s="1250" t="s">
        <v>15</v>
      </c>
      <c r="I9" s="1250" t="s">
        <v>14</v>
      </c>
      <c r="J9" s="1250" t="s">
        <v>16</v>
      </c>
      <c r="K9" s="1249" t="s">
        <v>1531</v>
      </c>
      <c r="N9" s="1250" t="s">
        <v>17</v>
      </c>
    </row>
    <row r="10" spans="1:14">
      <c r="A10" s="1250">
        <v>1</v>
      </c>
      <c r="B10" s="1251" t="s">
        <v>18</v>
      </c>
      <c r="C10" s="1250" t="s">
        <v>85</v>
      </c>
      <c r="D10" s="1250"/>
      <c r="E10" s="1250"/>
      <c r="F10" s="1250"/>
      <c r="G10" s="1250"/>
      <c r="H10" s="1250">
        <v>1800</v>
      </c>
      <c r="I10" s="1250"/>
      <c r="J10" s="1252">
        <f>H10</f>
        <v>1800</v>
      </c>
      <c r="N10" s="1250"/>
    </row>
    <row r="11" spans="1:14">
      <c r="A11" s="1250"/>
      <c r="B11" s="1250"/>
      <c r="C11" s="1250"/>
      <c r="D11" s="1250"/>
      <c r="E11" s="1250"/>
      <c r="F11" s="1250"/>
      <c r="G11" s="1250"/>
      <c r="H11" s="1250"/>
      <c r="I11" s="1253" t="s">
        <v>439</v>
      </c>
      <c r="J11" s="1254">
        <f>SUM(J6:J10)</f>
        <v>1800</v>
      </c>
      <c r="K11" s="1247">
        <v>40.5</v>
      </c>
      <c r="L11" s="1255">
        <f>K11*J11</f>
        <v>72900</v>
      </c>
      <c r="N11" s="1250"/>
    </row>
    <row r="12" spans="1:14">
      <c r="A12" s="1256">
        <v>2</v>
      </c>
      <c r="B12" s="1257" t="s">
        <v>766</v>
      </c>
      <c r="C12" s="1258" t="s">
        <v>306</v>
      </c>
      <c r="D12" s="1258"/>
      <c r="E12" s="1258"/>
      <c r="F12" s="1258"/>
      <c r="G12" s="1258"/>
      <c r="H12" s="1258"/>
      <c r="I12" s="1258"/>
      <c r="J12" s="1258"/>
      <c r="N12" s="1258"/>
    </row>
    <row r="13" spans="1:14">
      <c r="A13" s="1259"/>
      <c r="B13" s="404" t="s">
        <v>1532</v>
      </c>
      <c r="C13" s="45"/>
      <c r="D13" s="45">
        <v>1</v>
      </c>
      <c r="E13" s="22">
        <v>30</v>
      </c>
      <c r="F13" s="22"/>
      <c r="G13" s="22"/>
      <c r="H13" s="22">
        <v>0.77500000000000002</v>
      </c>
      <c r="I13" s="22"/>
      <c r="J13" s="1260">
        <f>D13*E13*H13</f>
        <v>23.25</v>
      </c>
      <c r="N13" s="1258"/>
    </row>
    <row r="14" spans="1:14">
      <c r="A14" s="1259"/>
      <c r="B14" s="404" t="s">
        <v>1533</v>
      </c>
      <c r="C14" s="45"/>
      <c r="D14" s="45">
        <v>1</v>
      </c>
      <c r="E14" s="22">
        <v>67.42</v>
      </c>
      <c r="F14" s="22"/>
      <c r="G14" s="22"/>
      <c r="H14" s="22">
        <v>8.94</v>
      </c>
      <c r="I14" s="1261"/>
      <c r="J14" s="1260">
        <f>D14*E14*H14</f>
        <v>602.73479999999995</v>
      </c>
      <c r="N14" s="1258" t="s">
        <v>1534</v>
      </c>
    </row>
    <row r="15" spans="1:14">
      <c r="A15" s="1259"/>
      <c r="B15" s="404" t="s">
        <v>1535</v>
      </c>
      <c r="C15" s="1258"/>
      <c r="D15" s="1262">
        <v>1</v>
      </c>
      <c r="E15" s="1258">
        <v>77.16</v>
      </c>
      <c r="F15" s="1258"/>
      <c r="G15" s="1258"/>
      <c r="H15" s="1258">
        <f>(6.17+8.94)/2</f>
        <v>7.5549999999999997</v>
      </c>
      <c r="I15" s="1263"/>
      <c r="J15" s="1260">
        <f>D15*E15*H15</f>
        <v>582.9437999999999</v>
      </c>
      <c r="N15" s="1258" t="s">
        <v>1536</v>
      </c>
    </row>
    <row r="16" spans="1:14">
      <c r="A16" s="1259"/>
      <c r="B16" s="404" t="s">
        <v>1537</v>
      </c>
      <c r="C16" s="1258"/>
      <c r="D16" s="1262">
        <v>1</v>
      </c>
      <c r="E16" s="1258">
        <v>22.55</v>
      </c>
      <c r="F16" s="1258"/>
      <c r="G16" s="1258"/>
      <c r="H16" s="1258">
        <v>1.05</v>
      </c>
      <c r="I16" s="1257"/>
      <c r="J16" s="1260">
        <f>D16*E16*H16</f>
        <v>23.677500000000002</v>
      </c>
      <c r="N16" s="1258"/>
    </row>
    <row r="17" spans="1:14">
      <c r="A17" s="1259"/>
      <c r="B17" s="404" t="s">
        <v>1538</v>
      </c>
      <c r="C17" s="1258"/>
      <c r="D17" s="1262">
        <v>1</v>
      </c>
      <c r="E17" s="1258">
        <v>25.01</v>
      </c>
      <c r="F17" s="1258"/>
      <c r="G17" s="1258"/>
      <c r="H17" s="1258">
        <v>0.43</v>
      </c>
      <c r="I17" s="1257"/>
      <c r="J17" s="1260">
        <f>D17*E17*H17</f>
        <v>10.754300000000001</v>
      </c>
      <c r="N17" s="1258"/>
    </row>
    <row r="18" spans="1:14">
      <c r="A18" s="1259"/>
      <c r="B18" s="404"/>
      <c r="C18" s="1258"/>
      <c r="D18" s="1262"/>
      <c r="E18" s="1258"/>
      <c r="F18" s="1258"/>
      <c r="G18" s="1258"/>
      <c r="H18" s="1258"/>
      <c r="I18" s="1253" t="s">
        <v>439</v>
      </c>
      <c r="J18" s="1254">
        <f>SUM(J13:J17)</f>
        <v>1243.3603999999998</v>
      </c>
      <c r="K18" s="1247">
        <v>320</v>
      </c>
      <c r="L18" s="1255">
        <f>J18*K18</f>
        <v>397875.32799999992</v>
      </c>
      <c r="N18" s="1258"/>
    </row>
    <row r="19" spans="1:14">
      <c r="A19" s="1259"/>
      <c r="B19" s="404"/>
      <c r="C19" s="1258"/>
      <c r="D19" s="1262"/>
      <c r="E19" s="1258"/>
      <c r="F19" s="1258"/>
      <c r="G19" s="1258"/>
      <c r="H19" s="1258"/>
      <c r="I19" s="1257"/>
      <c r="J19" s="1260"/>
      <c r="N19" s="1258"/>
    </row>
    <row r="20" spans="1:14">
      <c r="A20" s="1256">
        <v>3</v>
      </c>
      <c r="B20" s="1257" t="s">
        <v>422</v>
      </c>
      <c r="C20" s="1258" t="s">
        <v>306</v>
      </c>
      <c r="D20" s="1258"/>
      <c r="E20" s="1258"/>
      <c r="F20" s="1258"/>
      <c r="G20" s="1258"/>
      <c r="H20" s="1258"/>
      <c r="I20" s="1257"/>
      <c r="J20" s="1264"/>
      <c r="N20" s="1258"/>
    </row>
    <row r="21" spans="1:14">
      <c r="A21" s="1259"/>
      <c r="B21" s="404" t="s">
        <v>1532</v>
      </c>
      <c r="C21" s="45"/>
      <c r="D21" s="45">
        <v>1</v>
      </c>
      <c r="E21" s="22">
        <f>E13</f>
        <v>30</v>
      </c>
      <c r="F21" s="22"/>
      <c r="G21" s="22"/>
      <c r="H21" s="22">
        <v>7.6890000000000001</v>
      </c>
      <c r="I21" s="22"/>
      <c r="J21" s="1260">
        <f>D21*E21*H21</f>
        <v>230.67000000000002</v>
      </c>
      <c r="N21" s="1258" t="s">
        <v>1539</v>
      </c>
    </row>
    <row r="22" spans="1:14">
      <c r="A22" s="1259"/>
      <c r="B22" s="404" t="s">
        <v>1533</v>
      </c>
      <c r="C22" s="45"/>
      <c r="D22" s="45">
        <v>1</v>
      </c>
      <c r="E22" s="22">
        <f>E14</f>
        <v>67.42</v>
      </c>
      <c r="F22" s="22"/>
      <c r="G22" s="22"/>
      <c r="H22" s="22">
        <v>1.4430000000000001</v>
      </c>
      <c r="I22" s="22"/>
      <c r="J22" s="1260">
        <f t="shared" ref="J22:J24" si="0">D22*E22*H22</f>
        <v>97.287060000000011</v>
      </c>
      <c r="N22" s="1258"/>
    </row>
    <row r="23" spans="1:14">
      <c r="A23" s="1259"/>
      <c r="B23" s="404" t="s">
        <v>1535</v>
      </c>
      <c r="C23" s="45"/>
      <c r="D23" s="45">
        <v>1</v>
      </c>
      <c r="E23" s="22">
        <f>E15</f>
        <v>77.16</v>
      </c>
      <c r="F23" s="22"/>
      <c r="G23" s="22"/>
      <c r="H23" s="22">
        <v>0.879</v>
      </c>
      <c r="I23" s="22"/>
      <c r="J23" s="1260">
        <f t="shared" si="0"/>
        <v>67.823639999999997</v>
      </c>
      <c r="N23" s="1258"/>
    </row>
    <row r="24" spans="1:14">
      <c r="A24" s="1259"/>
      <c r="B24" s="404" t="s">
        <v>2768</v>
      </c>
      <c r="C24" s="45"/>
      <c r="D24" s="45">
        <v>1</v>
      </c>
      <c r="E24" s="22">
        <f>E45</f>
        <v>28.51</v>
      </c>
      <c r="F24" s="22"/>
      <c r="G24" s="22"/>
      <c r="H24" s="22">
        <v>1.05</v>
      </c>
      <c r="I24" s="22"/>
      <c r="J24" s="1260">
        <f t="shared" si="0"/>
        <v>29.935500000000005</v>
      </c>
      <c r="N24" s="1258"/>
    </row>
    <row r="25" spans="1:14">
      <c r="A25" s="1259"/>
      <c r="B25" s="404" t="s">
        <v>1537</v>
      </c>
      <c r="C25" s="45"/>
      <c r="D25" s="45">
        <v>1</v>
      </c>
      <c r="E25" s="1258">
        <f>E16</f>
        <v>22.55</v>
      </c>
      <c r="F25" s="22"/>
      <c r="G25" s="22"/>
      <c r="H25" s="22">
        <v>10.58</v>
      </c>
      <c r="I25" s="22"/>
      <c r="J25" s="1260">
        <f>D25*E25*H25</f>
        <v>238.57900000000001</v>
      </c>
      <c r="N25" s="1258"/>
    </row>
    <row r="26" spans="1:14">
      <c r="A26" s="1259"/>
      <c r="B26" s="404" t="s">
        <v>1538</v>
      </c>
      <c r="C26" s="45"/>
      <c r="D26" s="45">
        <v>1</v>
      </c>
      <c r="E26" s="1258">
        <f>E17</f>
        <v>25.01</v>
      </c>
      <c r="F26" s="22"/>
      <c r="G26" s="22"/>
      <c r="H26" s="22">
        <v>11.91</v>
      </c>
      <c r="I26" s="22"/>
      <c r="J26" s="1260">
        <f>D26*E26*H26</f>
        <v>297.8691</v>
      </c>
      <c r="N26" s="1258"/>
    </row>
    <row r="27" spans="1:14">
      <c r="A27" s="1259"/>
      <c r="B27" s="404"/>
      <c r="C27" s="45"/>
      <c r="D27" s="1262"/>
      <c r="E27" s="1258"/>
      <c r="F27" s="22"/>
      <c r="G27" s="22"/>
      <c r="H27" s="22"/>
      <c r="I27" s="1253" t="s">
        <v>439</v>
      </c>
      <c r="J27" s="1254">
        <f>SUM(J21:J26)</f>
        <v>962.16430000000003</v>
      </c>
      <c r="K27" s="1247">
        <v>210</v>
      </c>
      <c r="L27" s="1255">
        <f>J27*K27</f>
        <v>202054.503</v>
      </c>
      <c r="N27" s="1258"/>
    </row>
    <row r="28" spans="1:14">
      <c r="A28" s="1259"/>
      <c r="B28" s="404"/>
      <c r="C28" s="45"/>
      <c r="D28" s="1262"/>
      <c r="E28" s="1258"/>
      <c r="F28" s="22"/>
      <c r="G28" s="22"/>
      <c r="H28" s="22"/>
      <c r="I28" s="22"/>
      <c r="J28" s="1260"/>
      <c r="N28" s="1258"/>
    </row>
    <row r="29" spans="1:14">
      <c r="A29" s="1256">
        <v>4</v>
      </c>
      <c r="B29" s="1257" t="s">
        <v>1540</v>
      </c>
      <c r="C29" s="45"/>
      <c r="D29" s="45"/>
      <c r="E29" s="22"/>
      <c r="F29" s="22"/>
      <c r="G29" s="22"/>
      <c r="H29" s="22"/>
      <c r="I29" s="1265"/>
      <c r="J29" s="1260"/>
      <c r="N29" s="1257"/>
    </row>
    <row r="30" spans="1:14">
      <c r="A30" s="1259"/>
      <c r="B30" s="404" t="s">
        <v>1532</v>
      </c>
      <c r="C30" s="45"/>
      <c r="D30" s="45">
        <v>1</v>
      </c>
      <c r="E30" s="22">
        <f>E21</f>
        <v>30</v>
      </c>
      <c r="F30" s="22"/>
      <c r="G30" s="22"/>
      <c r="H30" s="22">
        <v>2.5030000000000001</v>
      </c>
      <c r="I30" s="1271"/>
      <c r="J30" s="1271">
        <f>D30*E30*H30</f>
        <v>75.09</v>
      </c>
      <c r="N30" s="1258"/>
    </row>
    <row r="31" spans="1:14">
      <c r="A31" s="1259"/>
      <c r="B31" s="404" t="s">
        <v>1537</v>
      </c>
      <c r="C31" s="45"/>
      <c r="D31" s="45">
        <v>1</v>
      </c>
      <c r="E31" s="1258">
        <f>E25</f>
        <v>22.55</v>
      </c>
      <c r="F31" s="22"/>
      <c r="G31" s="22"/>
      <c r="H31" s="22">
        <v>2.5030000000000001</v>
      </c>
      <c r="I31" s="22"/>
      <c r="J31" s="1271">
        <f t="shared" ref="J31:J32" si="1">D31*E31*H31</f>
        <v>56.442650000000008</v>
      </c>
      <c r="N31" s="1258"/>
    </row>
    <row r="32" spans="1:14">
      <c r="A32" s="1259"/>
      <c r="B32" s="404" t="s">
        <v>1538</v>
      </c>
      <c r="C32" s="45"/>
      <c r="D32" s="45">
        <v>1</v>
      </c>
      <c r="E32" s="1258">
        <f>E26</f>
        <v>25.01</v>
      </c>
      <c r="F32" s="22"/>
      <c r="G32" s="22"/>
      <c r="H32" s="22">
        <v>2.5030000000000001</v>
      </c>
      <c r="I32" s="22"/>
      <c r="J32" s="1271">
        <f t="shared" si="1"/>
        <v>62.600030000000004</v>
      </c>
      <c r="N32" s="1258"/>
    </row>
    <row r="33" spans="1:14">
      <c r="A33" s="1259"/>
      <c r="B33" s="416"/>
      <c r="C33" s="45"/>
      <c r="D33" s="45"/>
      <c r="E33" s="22"/>
      <c r="F33" s="22"/>
      <c r="G33" s="22"/>
      <c r="H33" s="22"/>
      <c r="I33" s="1253" t="s">
        <v>439</v>
      </c>
      <c r="J33" s="1254">
        <f>SUM(J30:J32)</f>
        <v>194.13268000000002</v>
      </c>
      <c r="K33" s="1247">
        <v>300</v>
      </c>
      <c r="L33" s="1255">
        <f>J33*K33</f>
        <v>58239.804000000004</v>
      </c>
      <c r="N33" s="1258"/>
    </row>
    <row r="34" spans="1:14">
      <c r="A34" s="1259"/>
      <c r="B34" s="1258"/>
      <c r="C34" s="1258"/>
      <c r="D34" s="1258"/>
      <c r="E34" s="1258"/>
      <c r="F34" s="1258"/>
      <c r="G34" s="1258"/>
      <c r="H34" s="1258"/>
      <c r="I34" s="1257"/>
      <c r="J34" s="1264"/>
      <c r="N34" s="1257"/>
    </row>
    <row r="35" spans="1:14">
      <c r="A35" s="1259"/>
      <c r="B35" s="1258"/>
      <c r="C35" s="1258"/>
      <c r="D35" s="1258"/>
      <c r="E35" s="1258"/>
      <c r="F35" s="1258"/>
      <c r="G35" s="1258"/>
      <c r="H35" s="1258"/>
      <c r="I35" s="1257"/>
      <c r="J35" s="1264"/>
      <c r="N35" s="1258"/>
    </row>
    <row r="36" spans="1:14">
      <c r="A36" s="1256">
        <v>4</v>
      </c>
      <c r="B36" s="1257" t="s">
        <v>314</v>
      </c>
      <c r="C36" s="1258" t="s">
        <v>306</v>
      </c>
      <c r="D36" s="1258"/>
      <c r="E36" s="1258"/>
      <c r="F36" s="1258"/>
      <c r="G36" s="1258"/>
      <c r="H36" s="1258"/>
      <c r="I36" s="1258"/>
      <c r="J36" s="1257"/>
      <c r="N36" s="1258"/>
    </row>
    <row r="37" spans="1:14">
      <c r="A37" s="1256"/>
      <c r="B37" s="404" t="s">
        <v>1533</v>
      </c>
      <c r="C37" s="45"/>
      <c r="D37" s="45">
        <v>1</v>
      </c>
      <c r="E37" s="22">
        <f>E43</f>
        <v>67.42</v>
      </c>
      <c r="F37" s="22">
        <v>2.63</v>
      </c>
      <c r="G37" s="22">
        <v>7.4999999999999997E-2</v>
      </c>
      <c r="H37" s="22"/>
      <c r="I37" s="22"/>
      <c r="J37" s="1266">
        <f>G37*F37*E37*D37</f>
        <v>13.298594999999999</v>
      </c>
      <c r="N37" s="1258"/>
    </row>
    <row r="38" spans="1:14">
      <c r="A38" s="1256"/>
      <c r="B38" s="404" t="s">
        <v>1535</v>
      </c>
      <c r="C38" s="1258"/>
      <c r="D38" s="1262">
        <v>1</v>
      </c>
      <c r="E38" s="1258">
        <f>E44</f>
        <v>77.16</v>
      </c>
      <c r="F38" s="22">
        <v>2.5</v>
      </c>
      <c r="G38" s="22">
        <v>7.4999999999999997E-2</v>
      </c>
      <c r="H38" s="22"/>
      <c r="I38" s="22"/>
      <c r="J38" s="1266">
        <f t="shared" ref="J38:J39" si="2">G38*F38*E38*D38</f>
        <v>14.467499999999999</v>
      </c>
      <c r="N38" s="1258"/>
    </row>
    <row r="39" spans="1:14">
      <c r="A39" s="1256"/>
      <c r="B39" s="404" t="s">
        <v>1541</v>
      </c>
      <c r="C39" s="45"/>
      <c r="D39" s="45">
        <v>1</v>
      </c>
      <c r="E39" s="22">
        <f>E45</f>
        <v>28.51</v>
      </c>
      <c r="F39" s="22">
        <v>2.5</v>
      </c>
      <c r="G39" s="22">
        <v>7.4999999999999997E-2</v>
      </c>
      <c r="H39" s="22"/>
      <c r="I39" s="22"/>
      <c r="J39" s="1266">
        <f t="shared" si="2"/>
        <v>5.3456250000000001</v>
      </c>
      <c r="N39" s="1258"/>
    </row>
    <row r="40" spans="1:14">
      <c r="A40" s="1256"/>
      <c r="B40" s="404"/>
      <c r="C40" s="45"/>
      <c r="D40" s="45"/>
      <c r="E40" s="22"/>
      <c r="F40" s="22"/>
      <c r="G40" s="22"/>
      <c r="H40" s="22"/>
      <c r="I40" s="1267" t="s">
        <v>439</v>
      </c>
      <c r="J40" s="1254">
        <f>SUM(J37:J39)</f>
        <v>33.111719999999998</v>
      </c>
      <c r="K40" s="1247">
        <v>13500</v>
      </c>
      <c r="L40" s="1255">
        <f>J40*K40</f>
        <v>447008.22</v>
      </c>
      <c r="N40" s="1258"/>
    </row>
    <row r="41" spans="1:14">
      <c r="A41" s="1256"/>
      <c r="B41" s="404"/>
      <c r="C41" s="45"/>
      <c r="D41" s="45"/>
      <c r="E41" s="22"/>
      <c r="F41" s="22"/>
      <c r="G41" s="22"/>
      <c r="H41" s="22"/>
      <c r="I41" s="1271"/>
      <c r="J41" s="1271"/>
      <c r="N41" s="1258"/>
    </row>
    <row r="42" spans="1:14">
      <c r="A42" s="1256">
        <v>5</v>
      </c>
      <c r="B42" s="1257" t="s">
        <v>1543</v>
      </c>
      <c r="C42" s="1258" t="s">
        <v>306</v>
      </c>
      <c r="D42" s="1258"/>
      <c r="E42" s="1258"/>
      <c r="F42" s="1258"/>
      <c r="G42" s="1258"/>
      <c r="H42" s="1258"/>
      <c r="I42" s="1258"/>
      <c r="J42" s="1257"/>
      <c r="N42" s="1258"/>
    </row>
    <row r="43" spans="1:14">
      <c r="A43" s="1256"/>
      <c r="B43" s="404" t="s">
        <v>1533</v>
      </c>
      <c r="C43" s="45"/>
      <c r="D43" s="45">
        <v>1</v>
      </c>
      <c r="E43" s="22">
        <v>67.42</v>
      </c>
      <c r="F43" s="1258"/>
      <c r="G43" s="1258"/>
      <c r="H43" s="1258">
        <v>7.3739999999999997</v>
      </c>
      <c r="I43" s="1258"/>
      <c r="J43" s="1258">
        <f>D43*E43*H43</f>
        <v>497.15508</v>
      </c>
      <c r="N43" s="1258"/>
    </row>
    <row r="44" spans="1:14">
      <c r="A44" s="1256"/>
      <c r="B44" s="404" t="s">
        <v>1535</v>
      </c>
      <c r="C44" s="1258"/>
      <c r="D44" s="1262">
        <v>1</v>
      </c>
      <c r="E44" s="1258">
        <v>77.16</v>
      </c>
      <c r="F44" s="1258"/>
      <c r="G44" s="1258"/>
      <c r="H44" s="1258">
        <v>7.3739999999999997</v>
      </c>
      <c r="I44" s="1258"/>
      <c r="J44" s="1258">
        <f t="shared" ref="J44:J45" si="3">D44*E44*H44</f>
        <v>568.9778399999999</v>
      </c>
      <c r="N44" s="1258"/>
    </row>
    <row r="45" spans="1:14">
      <c r="A45" s="1256"/>
      <c r="B45" s="404" t="s">
        <v>1541</v>
      </c>
      <c r="C45" s="45"/>
      <c r="D45" s="45">
        <v>1</v>
      </c>
      <c r="E45" s="22">
        <v>28.51</v>
      </c>
      <c r="F45" s="1258"/>
      <c r="G45" s="1258"/>
      <c r="H45" s="1258">
        <v>7.3739999999999997</v>
      </c>
      <c r="I45" s="1258"/>
      <c r="J45" s="1258">
        <f t="shared" si="3"/>
        <v>210.23274000000001</v>
      </c>
      <c r="N45" s="1258"/>
    </row>
    <row r="46" spans="1:14">
      <c r="A46" s="1256"/>
      <c r="B46" s="404"/>
      <c r="C46" s="45"/>
      <c r="D46" s="45"/>
      <c r="E46" s="22"/>
      <c r="F46" s="22"/>
      <c r="G46" s="22"/>
      <c r="H46" s="22"/>
      <c r="I46" s="1267" t="s">
        <v>439</v>
      </c>
      <c r="J46" s="1254">
        <f>SUM(J43:J45)</f>
        <v>1276.3656599999999</v>
      </c>
      <c r="K46" s="1247">
        <v>9500</v>
      </c>
      <c r="L46" s="1255">
        <f>J46*K46</f>
        <v>12125473.77</v>
      </c>
      <c r="N46" s="1258"/>
    </row>
    <row r="47" spans="1:14">
      <c r="A47" s="1256"/>
      <c r="B47" s="1258"/>
      <c r="C47" s="1258"/>
      <c r="D47" s="1258"/>
      <c r="E47" s="1258"/>
      <c r="F47" s="1258"/>
      <c r="G47" s="1258"/>
      <c r="H47" s="1258"/>
      <c r="I47" s="1271"/>
      <c r="J47" s="1271"/>
      <c r="N47" s="1258"/>
    </row>
    <row r="48" spans="1:14">
      <c r="A48" s="1256">
        <v>6</v>
      </c>
      <c r="B48" s="1257" t="s">
        <v>1038</v>
      </c>
      <c r="C48" s="1258" t="s">
        <v>85</v>
      </c>
      <c r="D48" s="1258"/>
      <c r="E48" s="1258"/>
      <c r="F48" s="1258"/>
      <c r="G48" s="1258"/>
      <c r="H48" s="1258"/>
      <c r="I48" s="1258"/>
      <c r="J48" s="1258"/>
      <c r="N48" s="1258"/>
    </row>
    <row r="49" spans="1:14">
      <c r="A49" s="1256"/>
      <c r="B49" s="404" t="s">
        <v>1532</v>
      </c>
      <c r="C49" s="45"/>
      <c r="D49" s="45">
        <v>1</v>
      </c>
      <c r="E49" s="22">
        <v>50.25</v>
      </c>
      <c r="F49" s="22"/>
      <c r="G49" s="22"/>
      <c r="H49" s="22"/>
      <c r="I49" s="22">
        <v>6.5</v>
      </c>
      <c r="J49" s="1258">
        <f>D49*E49*I49</f>
        <v>326.625</v>
      </c>
      <c r="N49" s="1258"/>
    </row>
    <row r="50" spans="1:14">
      <c r="A50" s="1256"/>
      <c r="B50" s="404" t="s">
        <v>1537</v>
      </c>
      <c r="C50" s="45"/>
      <c r="D50" s="45">
        <v>1</v>
      </c>
      <c r="E50" s="1258">
        <v>44.16</v>
      </c>
      <c r="F50" s="22"/>
      <c r="G50" s="22"/>
      <c r="H50" s="22"/>
      <c r="I50" s="22">
        <v>6.5</v>
      </c>
      <c r="J50" s="1258">
        <f>D50*E50*I50</f>
        <v>287.03999999999996</v>
      </c>
      <c r="N50" s="1258"/>
    </row>
    <row r="51" spans="1:14">
      <c r="A51" s="1256"/>
      <c r="B51" s="404" t="s">
        <v>1538</v>
      </c>
      <c r="C51" s="45"/>
      <c r="D51" s="45">
        <v>1</v>
      </c>
      <c r="E51" s="1258">
        <v>22.04</v>
      </c>
      <c r="F51" s="22"/>
      <c r="G51" s="22"/>
      <c r="H51" s="22"/>
      <c r="I51" s="22">
        <v>6.5</v>
      </c>
      <c r="J51" s="1258">
        <f>D51*E51*I51</f>
        <v>143.26</v>
      </c>
      <c r="N51" s="1258"/>
    </row>
    <row r="52" spans="1:14">
      <c r="A52" s="1256"/>
      <c r="B52" s="416"/>
      <c r="C52" s="45"/>
      <c r="D52" s="45"/>
      <c r="E52" s="22"/>
      <c r="F52" s="22"/>
      <c r="G52" s="22"/>
      <c r="H52" s="22"/>
      <c r="I52" s="1253" t="s">
        <v>439</v>
      </c>
      <c r="J52" s="1254">
        <f>SUM(J49:J51)</f>
        <v>756.92499999999995</v>
      </c>
      <c r="K52" s="1247">
        <v>750</v>
      </c>
      <c r="L52" s="1255">
        <f>J52*K52</f>
        <v>567693.75</v>
      </c>
      <c r="N52" s="1258"/>
    </row>
    <row r="53" spans="1:14">
      <c r="A53" s="1256"/>
      <c r="B53" s="416"/>
      <c r="C53" s="45"/>
      <c r="D53" s="45"/>
      <c r="E53" s="22"/>
      <c r="F53" s="22"/>
      <c r="G53" s="22"/>
      <c r="H53" s="22"/>
      <c r="N53" s="1258"/>
    </row>
    <row r="54" spans="1:14">
      <c r="A54" s="1614">
        <v>7</v>
      </c>
      <c r="B54" s="1615" t="s">
        <v>524</v>
      </c>
      <c r="C54" s="1616" t="s">
        <v>306</v>
      </c>
      <c r="D54" s="1616"/>
      <c r="E54" s="1617"/>
      <c r="F54" s="1617"/>
      <c r="G54" s="1617"/>
      <c r="H54" s="1617"/>
      <c r="I54" s="1617"/>
      <c r="J54" s="1618"/>
      <c r="N54" s="1258"/>
    </row>
    <row r="55" spans="1:14">
      <c r="A55" s="1619"/>
      <c r="B55" s="1620" t="s">
        <v>1532</v>
      </c>
      <c r="C55" s="1616"/>
      <c r="D55" s="1616">
        <v>1</v>
      </c>
      <c r="E55" s="1617">
        <v>50.25</v>
      </c>
      <c r="F55" s="1617">
        <v>20.74</v>
      </c>
      <c r="G55" s="1617">
        <v>0.3</v>
      </c>
      <c r="H55" s="1617"/>
      <c r="I55" s="1617"/>
      <c r="J55" s="1618">
        <f>D55*E55*F55*G55</f>
        <v>312.65549999999996</v>
      </c>
      <c r="N55" s="1258" t="s">
        <v>1544</v>
      </c>
    </row>
    <row r="56" spans="1:14">
      <c r="A56" s="1619"/>
      <c r="B56" s="1620" t="s">
        <v>1533</v>
      </c>
      <c r="C56" s="1616"/>
      <c r="D56" s="1616">
        <v>1</v>
      </c>
      <c r="E56" s="1617">
        <v>34.5</v>
      </c>
      <c r="F56" s="1617">
        <v>17.03</v>
      </c>
      <c r="G56" s="1617">
        <v>0.3</v>
      </c>
      <c r="H56" s="1617"/>
      <c r="I56" s="1617"/>
      <c r="J56" s="1618">
        <f t="shared" ref="J56:J59" si="4">D56*E56*F56*G56</f>
        <v>176.26050000000001</v>
      </c>
      <c r="N56" s="1258"/>
    </row>
    <row r="57" spans="1:14">
      <c r="A57" s="1619"/>
      <c r="B57" s="1620" t="s">
        <v>1535</v>
      </c>
      <c r="C57" s="1616"/>
      <c r="D57" s="1616">
        <v>1</v>
      </c>
      <c r="E57" s="1621">
        <v>94.22</v>
      </c>
      <c r="F57" s="1617">
        <v>25.6</v>
      </c>
      <c r="G57" s="1617">
        <v>0.3</v>
      </c>
      <c r="H57" s="1617"/>
      <c r="I57" s="1617"/>
      <c r="J57" s="1618">
        <f t="shared" si="4"/>
        <v>723.6096</v>
      </c>
      <c r="N57" s="1258"/>
    </row>
    <row r="58" spans="1:14">
      <c r="A58" s="1619"/>
      <c r="B58" s="1620" t="s">
        <v>1537</v>
      </c>
      <c r="C58" s="1616"/>
      <c r="D58" s="1616">
        <v>1</v>
      </c>
      <c r="E58" s="1621">
        <v>44.16</v>
      </c>
      <c r="F58" s="1617">
        <v>17.43</v>
      </c>
      <c r="G58" s="1617">
        <v>0.3</v>
      </c>
      <c r="H58" s="1617"/>
      <c r="I58" s="1617"/>
      <c r="J58" s="1618">
        <f t="shared" si="4"/>
        <v>230.91263999999995</v>
      </c>
      <c r="N58" s="1258"/>
    </row>
    <row r="59" spans="1:14">
      <c r="A59" s="1619"/>
      <c r="B59" s="1620" t="s">
        <v>1538</v>
      </c>
      <c r="C59" s="1616"/>
      <c r="D59" s="1616">
        <v>1</v>
      </c>
      <c r="E59" s="1621">
        <v>22.04</v>
      </c>
      <c r="F59" s="1621">
        <v>15.88</v>
      </c>
      <c r="G59" s="1617">
        <v>0.3</v>
      </c>
      <c r="H59" s="1621"/>
      <c r="I59" s="1622"/>
      <c r="J59" s="1618">
        <f t="shared" si="4"/>
        <v>104.99856</v>
      </c>
      <c r="N59" s="1258"/>
    </row>
    <row r="60" spans="1:14">
      <c r="A60" s="1256"/>
      <c r="B60" s="404"/>
      <c r="C60" s="1258"/>
      <c r="D60" s="45"/>
      <c r="E60" s="22"/>
      <c r="F60" s="1258"/>
      <c r="G60" s="1258"/>
      <c r="H60" s="1258"/>
      <c r="I60" s="1267" t="s">
        <v>439</v>
      </c>
      <c r="J60" s="1254">
        <f>SUM(J55:J59)</f>
        <v>1548.4367999999999</v>
      </c>
      <c r="K60" s="1247">
        <v>3979</v>
      </c>
      <c r="L60" s="1255">
        <f>J60*K60</f>
        <v>6161230.0271999994</v>
      </c>
      <c r="N60" s="1258"/>
    </row>
    <row r="62" spans="1:14">
      <c r="K62" s="1268" t="s">
        <v>1545</v>
      </c>
      <c r="L62" s="1269">
        <f>SUM(L11:L51)</f>
        <v>13303551.625</v>
      </c>
    </row>
  </sheetData>
  <printOptions horizontalCentered="1"/>
  <pageMargins left="0.7" right="0.7" top="0.71" bottom="0.59" header="0.3" footer="0.16"/>
  <pageSetup paperSize="9" scale="73" fitToHeight="10" orientation="portrait" r:id="rId1"/>
  <rowBreaks count="1" manualBreakCount="1">
    <brk id="47" max="9" man="1"/>
  </rowBreaks>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rgb="FF7030A0"/>
  </sheetPr>
  <dimension ref="A1:P82"/>
  <sheetViews>
    <sheetView workbookViewId="0"/>
  </sheetViews>
  <sheetFormatPr defaultColWidth="9.109375" defaultRowHeight="16.8"/>
  <cols>
    <col min="1" max="1" width="13.44140625" style="4" customWidth="1"/>
    <col min="2" max="2" width="43.88671875" style="4" customWidth="1"/>
    <col min="3" max="3" width="6.88671875" style="19" customWidth="1"/>
    <col min="4" max="4" width="6" style="19" customWidth="1"/>
    <col min="5" max="5" width="10.33203125" style="20" customWidth="1"/>
    <col min="6" max="6" width="12.109375" style="20" customWidth="1"/>
    <col min="7" max="7" width="10.33203125" style="20" customWidth="1"/>
    <col min="8" max="8" width="13.88671875" style="20" customWidth="1"/>
    <col min="9" max="9" width="17.33203125" style="20" bestFit="1" customWidth="1"/>
    <col min="10" max="10" width="17.6640625" style="427" bestFit="1" customWidth="1"/>
    <col min="11" max="11" width="16.33203125" style="4" customWidth="1"/>
    <col min="12" max="12" width="14" style="388" bestFit="1" customWidth="1"/>
    <col min="13" max="13" width="19.88671875" style="388" bestFit="1" customWidth="1"/>
    <col min="14" max="14" width="9.109375" style="4" customWidth="1"/>
    <col min="15" max="15" width="22.33203125" style="4" bestFit="1" customWidth="1"/>
    <col min="16" max="16" width="12" style="4" bestFit="1" customWidth="1"/>
    <col min="17" max="18" width="9.109375" style="4" customWidth="1"/>
    <col min="19" max="19" width="21.88671875" style="4" customWidth="1"/>
    <col min="20" max="21" width="9.109375" style="4" customWidth="1"/>
    <col min="22" max="22" width="20.109375" style="4" customWidth="1"/>
    <col min="23" max="23" width="19.44140625" style="4" customWidth="1"/>
    <col min="24" max="28" width="9.109375" style="4" customWidth="1"/>
    <col min="29" max="16384" width="9.109375" style="4"/>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F5" s="1276"/>
      <c r="G5" s="523"/>
      <c r="J5" s="1276" t="s">
        <v>1561</v>
      </c>
      <c r="K5" s="523" t="s">
        <v>1562</v>
      </c>
    </row>
    <row r="6" spans="1:13" s="520" customFormat="1" ht="19.2">
      <c r="A6" s="119" t="s">
        <v>3</v>
      </c>
      <c r="B6" s="1247" t="s">
        <v>1570</v>
      </c>
      <c r="C6" s="523"/>
      <c r="D6" s="537"/>
      <c r="E6" s="1223"/>
      <c r="F6" s="1276"/>
      <c r="G6" s="523"/>
      <c r="J6" s="1276" t="s">
        <v>171</v>
      </c>
      <c r="K6" s="523" t="s">
        <v>1563</v>
      </c>
    </row>
    <row r="7" spans="1:13" s="520" customFormat="1" ht="19.2">
      <c r="A7" s="119" t="s">
        <v>4</v>
      </c>
      <c r="B7" s="1247"/>
      <c r="C7" s="523"/>
      <c r="D7" s="537"/>
      <c r="E7" s="1223"/>
      <c r="F7" s="1276"/>
      <c r="G7" s="1277"/>
      <c r="J7" s="1276" t="s">
        <v>106</v>
      </c>
      <c r="K7" s="1277">
        <f ca="1">TODAY()</f>
        <v>44942</v>
      </c>
    </row>
    <row r="8" spans="1:13">
      <c r="B8" s="55"/>
    </row>
    <row r="10" spans="1:13" s="109" customFormat="1" ht="15" customHeight="1">
      <c r="A10" s="428" t="s">
        <v>7</v>
      </c>
      <c r="B10" s="428" t="s">
        <v>8</v>
      </c>
      <c r="C10" s="428" t="s">
        <v>9</v>
      </c>
      <c r="D10" s="428" t="s">
        <v>10</v>
      </c>
      <c r="E10" s="430" t="s">
        <v>11</v>
      </c>
      <c r="F10" s="430" t="s">
        <v>12</v>
      </c>
      <c r="G10" s="430" t="s">
        <v>13</v>
      </c>
      <c r="H10" s="430" t="s">
        <v>14</v>
      </c>
      <c r="I10" s="430" t="s">
        <v>15</v>
      </c>
      <c r="J10" s="431" t="s">
        <v>16</v>
      </c>
      <c r="K10" s="428" t="s">
        <v>17</v>
      </c>
      <c r="L10" s="429" t="s">
        <v>1233</v>
      </c>
      <c r="M10" s="429" t="s">
        <v>1234</v>
      </c>
    </row>
    <row r="11" spans="1:13" s="109" customFormat="1" ht="18">
      <c r="A11" s="417">
        <v>1</v>
      </c>
      <c r="B11" s="443" t="s">
        <v>179</v>
      </c>
      <c r="C11" s="417" t="s">
        <v>19</v>
      </c>
      <c r="D11" s="417"/>
      <c r="E11" s="418"/>
      <c r="F11" s="418"/>
      <c r="G11" s="418"/>
      <c r="H11" s="418"/>
      <c r="I11" s="418"/>
      <c r="J11" s="435"/>
      <c r="K11" s="436"/>
      <c r="L11" s="821"/>
      <c r="M11" s="821"/>
    </row>
    <row r="12" spans="1:13" s="109" customFormat="1" ht="18">
      <c r="A12" s="409"/>
      <c r="B12" s="26" t="s">
        <v>1195</v>
      </c>
      <c r="C12" s="409"/>
      <c r="D12" s="409">
        <v>1</v>
      </c>
      <c r="E12" s="411"/>
      <c r="F12" s="411"/>
      <c r="G12" s="411"/>
      <c r="H12" s="411"/>
      <c r="I12" s="411">
        <v>600</v>
      </c>
      <c r="J12" s="442">
        <f>I12*1.1</f>
        <v>660</v>
      </c>
      <c r="K12" s="799" t="s">
        <v>750</v>
      </c>
      <c r="L12" s="822"/>
      <c r="M12" s="822"/>
    </row>
    <row r="13" spans="1:13" s="109" customFormat="1" ht="18">
      <c r="A13" s="409"/>
      <c r="B13" s="26" t="s">
        <v>1193</v>
      </c>
      <c r="C13" s="409"/>
      <c r="D13" s="409">
        <v>1</v>
      </c>
      <c r="E13" s="411"/>
      <c r="F13" s="411"/>
      <c r="G13" s="411"/>
      <c r="H13" s="411"/>
      <c r="I13" s="411">
        <v>250</v>
      </c>
      <c r="J13" s="442">
        <f>I13*1.1</f>
        <v>275</v>
      </c>
      <c r="K13" s="799" t="s">
        <v>750</v>
      </c>
      <c r="L13" s="822"/>
      <c r="M13" s="822"/>
    </row>
    <row r="14" spans="1:13" s="109" customFormat="1" ht="18">
      <c r="A14" s="409"/>
      <c r="B14" s="26"/>
      <c r="C14" s="409"/>
      <c r="D14" s="409"/>
      <c r="E14" s="411"/>
      <c r="F14" s="411"/>
      <c r="G14" s="411"/>
      <c r="H14" s="411"/>
      <c r="I14" s="445" t="s">
        <v>20</v>
      </c>
      <c r="J14" s="446">
        <f>SUM(J12:J13)</f>
        <v>935</v>
      </c>
      <c r="K14" s="799"/>
      <c r="L14" s="822">
        <v>40.5</v>
      </c>
      <c r="M14" s="822">
        <f>L14*J14</f>
        <v>37867.5</v>
      </c>
    </row>
    <row r="15" spans="1:13" s="109" customFormat="1" ht="18">
      <c r="A15" s="5">
        <v>2</v>
      </c>
      <c r="B15" s="6" t="s">
        <v>97</v>
      </c>
      <c r="C15" s="7"/>
      <c r="D15" s="7"/>
      <c r="E15" s="8"/>
      <c r="F15" s="8"/>
      <c r="G15" s="8"/>
      <c r="H15" s="8"/>
      <c r="I15" s="8"/>
      <c r="J15" s="423"/>
      <c r="K15" s="6"/>
      <c r="L15" s="778"/>
      <c r="M15" s="821"/>
    </row>
    <row r="16" spans="1:13" s="109" customFormat="1" ht="18">
      <c r="A16" s="10"/>
      <c r="B16" s="14" t="s">
        <v>791</v>
      </c>
      <c r="C16" s="12"/>
      <c r="D16" s="12"/>
      <c r="E16" s="401"/>
      <c r="F16" s="13"/>
      <c r="G16" s="13"/>
      <c r="H16" s="13"/>
      <c r="I16" s="13"/>
      <c r="J16" s="444"/>
      <c r="K16" s="14"/>
      <c r="L16" s="393"/>
      <c r="M16" s="822"/>
    </row>
    <row r="17" spans="1:13" s="109" customFormat="1" ht="18">
      <c r="A17" s="440"/>
      <c r="B17" s="408" t="s">
        <v>792</v>
      </c>
      <c r="C17" s="409"/>
      <c r="D17" s="409"/>
      <c r="E17" s="410">
        <f>73.5+55.5</f>
        <v>129</v>
      </c>
      <c r="F17" s="411"/>
      <c r="G17" s="411"/>
      <c r="H17" s="411"/>
      <c r="I17" s="411">
        <v>55.25</v>
      </c>
      <c r="J17" s="444">
        <f>I17*E17</f>
        <v>7127.25</v>
      </c>
      <c r="K17" s="363"/>
      <c r="L17" s="365"/>
      <c r="M17" s="822"/>
    </row>
    <row r="18" spans="1:13" s="109" customFormat="1" ht="18">
      <c r="A18" s="440"/>
      <c r="B18" s="408"/>
      <c r="C18" s="409"/>
      <c r="D18" s="409"/>
      <c r="E18" s="419"/>
      <c r="F18" s="411"/>
      <c r="G18" s="411"/>
      <c r="H18" s="411"/>
      <c r="I18" s="445" t="s">
        <v>20</v>
      </c>
      <c r="J18" s="446">
        <f>SUM(J17:J17)</f>
        <v>7127.25</v>
      </c>
      <c r="K18" s="363"/>
      <c r="L18" s="365"/>
      <c r="M18" s="822"/>
    </row>
    <row r="19" spans="1:13" s="109" customFormat="1" ht="18">
      <c r="A19" s="440"/>
      <c r="B19" s="408"/>
      <c r="C19" s="409"/>
      <c r="D19" s="409"/>
      <c r="E19" s="419"/>
      <c r="F19" s="411"/>
      <c r="G19" s="411"/>
      <c r="H19" s="411"/>
      <c r="J19" s="449">
        <f>80%*J18</f>
        <v>5701.8</v>
      </c>
      <c r="K19" s="17" t="s">
        <v>1500</v>
      </c>
      <c r="L19" s="393">
        <v>320</v>
      </c>
      <c r="M19" s="822">
        <f t="shared" ref="M19:M20" si="0">L19*J19</f>
        <v>1824576</v>
      </c>
    </row>
    <row r="20" spans="1:13" s="109" customFormat="1" ht="18">
      <c r="A20" s="440"/>
      <c r="B20" s="408"/>
      <c r="C20" s="409"/>
      <c r="D20" s="409"/>
      <c r="E20" s="419"/>
      <c r="F20" s="411"/>
      <c r="G20" s="411"/>
      <c r="H20" s="411"/>
      <c r="J20" s="449">
        <f>20%*J18</f>
        <v>1425.45</v>
      </c>
      <c r="K20" s="17" t="s">
        <v>1501</v>
      </c>
      <c r="L20" s="393">
        <v>1350</v>
      </c>
      <c r="M20" s="822">
        <f t="shared" si="0"/>
        <v>1924357.5</v>
      </c>
    </row>
    <row r="21" spans="1:13" s="109" customFormat="1" ht="18">
      <c r="A21" s="432">
        <f>A11+1</f>
        <v>2</v>
      </c>
      <c r="B21" s="433" t="s">
        <v>22</v>
      </c>
      <c r="C21" s="417" t="s">
        <v>21</v>
      </c>
      <c r="D21" s="417"/>
      <c r="E21" s="417"/>
      <c r="F21" s="418"/>
      <c r="G21" s="418"/>
      <c r="H21" s="418"/>
      <c r="I21" s="418"/>
      <c r="J21" s="438"/>
      <c r="K21" s="439"/>
      <c r="L21" s="434"/>
      <c r="M21" s="434"/>
    </row>
    <row r="22" spans="1:13" s="109" customFormat="1" ht="18">
      <c r="A22" s="440"/>
      <c r="B22" s="363" t="s">
        <v>544</v>
      </c>
      <c r="C22" s="409"/>
      <c r="D22" s="409">
        <v>1</v>
      </c>
      <c r="E22" s="447"/>
      <c r="F22" s="411"/>
      <c r="G22" s="411"/>
      <c r="H22" s="411"/>
      <c r="I22" s="411"/>
      <c r="J22" s="422"/>
      <c r="K22" s="448"/>
      <c r="L22" s="365"/>
      <c r="M22" s="365"/>
    </row>
    <row r="23" spans="1:13" s="109" customFormat="1" ht="18">
      <c r="A23" s="440"/>
      <c r="B23" s="408" t="s">
        <v>792</v>
      </c>
      <c r="C23" s="409"/>
      <c r="D23" s="409">
        <v>1</v>
      </c>
      <c r="E23" s="412">
        <f>E17</f>
        <v>129</v>
      </c>
      <c r="F23" s="411"/>
      <c r="G23" s="411"/>
      <c r="H23" s="411"/>
      <c r="I23" s="414">
        <v>56.29</v>
      </c>
      <c r="J23" s="422">
        <f>I23*E23</f>
        <v>7261.41</v>
      </c>
      <c r="K23" s="363"/>
      <c r="L23" s="365"/>
      <c r="M23" s="365"/>
    </row>
    <row r="24" spans="1:13" s="109" customFormat="1" ht="18">
      <c r="A24" s="440"/>
      <c r="B24" s="408"/>
      <c r="C24" s="409"/>
      <c r="D24" s="409"/>
      <c r="E24" s="411"/>
      <c r="F24" s="411"/>
      <c r="G24" s="411"/>
      <c r="H24" s="411"/>
      <c r="I24" s="449" t="s">
        <v>20</v>
      </c>
      <c r="J24" s="449">
        <f>SUM(J22:J23)</f>
        <v>7261.41</v>
      </c>
      <c r="K24" s="17" t="s">
        <v>968</v>
      </c>
      <c r="L24" s="393">
        <v>210</v>
      </c>
      <c r="M24" s="393">
        <f>L24*J24</f>
        <v>1524896.0999999999</v>
      </c>
    </row>
    <row r="25" spans="1:13" s="109" customFormat="1" ht="18">
      <c r="A25" s="432">
        <f>A21+1</f>
        <v>3</v>
      </c>
      <c r="B25" s="433" t="s">
        <v>41</v>
      </c>
      <c r="C25" s="417" t="s">
        <v>19</v>
      </c>
      <c r="D25" s="417"/>
      <c r="E25" s="418"/>
      <c r="F25" s="418"/>
      <c r="G25" s="418"/>
      <c r="H25" s="418"/>
      <c r="I25" s="418"/>
      <c r="J25" s="438"/>
      <c r="K25" s="439"/>
      <c r="L25" s="434"/>
      <c r="M25" s="434"/>
    </row>
    <row r="26" spans="1:13" s="109" customFormat="1" ht="18">
      <c r="A26" s="440"/>
      <c r="B26" s="363" t="s">
        <v>794</v>
      </c>
      <c r="C26" s="409"/>
      <c r="D26" s="409"/>
      <c r="E26" s="411"/>
      <c r="F26" s="411"/>
      <c r="G26" s="411"/>
      <c r="H26" s="411"/>
      <c r="I26" s="411"/>
      <c r="J26" s="437"/>
      <c r="K26" s="448"/>
      <c r="L26" s="365"/>
      <c r="M26" s="365"/>
    </row>
    <row r="27" spans="1:13" s="109" customFormat="1" ht="18">
      <c r="A27" s="440"/>
      <c r="B27" s="363" t="s">
        <v>792</v>
      </c>
      <c r="C27" s="409"/>
      <c r="D27" s="409">
        <v>1</v>
      </c>
      <c r="E27" s="411">
        <f>E23</f>
        <v>129</v>
      </c>
      <c r="F27" s="411"/>
      <c r="G27" s="411">
        <f>2*10.8</f>
        <v>21.6</v>
      </c>
      <c r="H27" s="411"/>
      <c r="I27" s="411">
        <f>G27*E27</f>
        <v>2786.4</v>
      </c>
      <c r="J27" s="442">
        <f>I27*1.1</f>
        <v>3065.0400000000004</v>
      </c>
      <c r="K27" s="448"/>
      <c r="L27" s="365"/>
      <c r="M27" s="365"/>
    </row>
    <row r="28" spans="1:13" s="109" customFormat="1" ht="17.25" customHeight="1">
      <c r="A28" s="440"/>
      <c r="B28" s="363"/>
      <c r="C28" s="409"/>
      <c r="D28" s="409"/>
      <c r="E28" s="411"/>
      <c r="F28" s="411"/>
      <c r="G28" s="411"/>
      <c r="H28" s="411"/>
      <c r="I28" s="450" t="s">
        <v>20</v>
      </c>
      <c r="J28" s="446">
        <f>SUM(J27:J27)</f>
        <v>3065.0400000000004</v>
      </c>
      <c r="K28" s="448"/>
      <c r="L28" s="365">
        <v>1285</v>
      </c>
      <c r="M28" s="365">
        <f>L28*J28</f>
        <v>3938576.4000000004</v>
      </c>
    </row>
    <row r="29" spans="1:13" s="109" customFormat="1" ht="18">
      <c r="A29" s="5">
        <f>A25+1</f>
        <v>4</v>
      </c>
      <c r="B29" s="6" t="s">
        <v>756</v>
      </c>
      <c r="C29" s="7" t="s">
        <v>21</v>
      </c>
      <c r="D29" s="7"/>
      <c r="E29" s="8"/>
      <c r="F29" s="8"/>
      <c r="G29" s="8"/>
      <c r="H29" s="8"/>
      <c r="I29" s="8"/>
      <c r="J29" s="385"/>
      <c r="K29" s="9"/>
      <c r="L29" s="778"/>
      <c r="M29" s="778"/>
    </row>
    <row r="30" spans="1:13" s="109" customFormat="1" ht="18">
      <c r="A30" s="10"/>
      <c r="B30" s="408" t="s">
        <v>792</v>
      </c>
      <c r="C30" s="12"/>
      <c r="D30" s="45">
        <v>1</v>
      </c>
      <c r="E30" s="22">
        <f>E27</f>
        <v>129</v>
      </c>
      <c r="F30" s="22">
        <v>6</v>
      </c>
      <c r="G30" s="22">
        <v>7.4999999999999997E-2</v>
      </c>
      <c r="H30" s="22"/>
      <c r="I30" s="22"/>
      <c r="J30" s="451">
        <f>G30*F30*E30*D30</f>
        <v>58.05</v>
      </c>
      <c r="K30" s="16"/>
      <c r="L30" s="393"/>
      <c r="M30" s="393"/>
    </row>
    <row r="31" spans="1:13" s="109" customFormat="1" ht="17.25" customHeight="1">
      <c r="A31" s="10"/>
      <c r="B31" s="14"/>
      <c r="C31" s="12"/>
      <c r="D31" s="45"/>
      <c r="E31" s="22"/>
      <c r="F31" s="22"/>
      <c r="G31" s="22"/>
      <c r="H31" s="22"/>
      <c r="I31" s="452" t="s">
        <v>20</v>
      </c>
      <c r="J31" s="453">
        <f>SUM(J30:J30)</f>
        <v>58.05</v>
      </c>
      <c r="K31" s="16"/>
      <c r="L31" s="393">
        <v>13500</v>
      </c>
      <c r="M31" s="393">
        <f>L31*J31</f>
        <v>783675</v>
      </c>
    </row>
    <row r="32" spans="1:13" s="109" customFormat="1" ht="18">
      <c r="A32" s="5">
        <v>5</v>
      </c>
      <c r="B32" s="454" t="s">
        <v>29</v>
      </c>
      <c r="C32" s="7" t="s">
        <v>21</v>
      </c>
      <c r="D32" s="7"/>
      <c r="E32" s="8"/>
      <c r="F32" s="8"/>
      <c r="G32" s="8"/>
      <c r="H32" s="8"/>
      <c r="I32" s="8"/>
      <c r="J32" s="385"/>
      <c r="K32" s="9"/>
      <c r="L32" s="778"/>
      <c r="M32" s="778"/>
    </row>
    <row r="33" spans="1:16" s="109" customFormat="1" ht="18">
      <c r="A33" s="10"/>
      <c r="B33" s="14" t="s">
        <v>792</v>
      </c>
      <c r="C33" s="12"/>
      <c r="D33" s="12">
        <v>1</v>
      </c>
      <c r="E33" s="13">
        <f>E30</f>
        <v>129</v>
      </c>
      <c r="F33" s="13"/>
      <c r="G33" s="13"/>
      <c r="H33" s="13"/>
      <c r="I33" s="13">
        <v>11.25</v>
      </c>
      <c r="J33" s="355">
        <f>I33*E33*D33</f>
        <v>1451.25</v>
      </c>
      <c r="K33" s="16"/>
      <c r="L33" s="393"/>
      <c r="M33" s="393"/>
    </row>
    <row r="34" spans="1:16" s="109" customFormat="1" ht="18">
      <c r="A34" s="10"/>
      <c r="B34" s="14"/>
      <c r="C34" s="12"/>
      <c r="D34" s="12"/>
      <c r="E34" s="13"/>
      <c r="F34" s="13"/>
      <c r="G34" s="13"/>
      <c r="H34" s="13"/>
      <c r="I34" s="455" t="s">
        <v>20</v>
      </c>
      <c r="J34" s="453">
        <f>SUM(J33:J33)</f>
        <v>1451.25</v>
      </c>
      <c r="K34" s="16"/>
      <c r="L34" s="393">
        <v>17500</v>
      </c>
      <c r="M34" s="393">
        <f>L34*J34</f>
        <v>25396875</v>
      </c>
    </row>
    <row r="35" spans="1:16" s="109" customFormat="1" ht="18">
      <c r="A35" s="5">
        <f>A32+1</f>
        <v>6</v>
      </c>
      <c r="B35" s="6" t="s">
        <v>24</v>
      </c>
      <c r="C35" s="7" t="s">
        <v>25</v>
      </c>
      <c r="D35" s="7"/>
      <c r="E35" s="8"/>
      <c r="F35" s="8"/>
      <c r="G35" s="8"/>
      <c r="H35" s="8"/>
      <c r="I35" s="8"/>
      <c r="J35" s="423"/>
      <c r="K35" s="387"/>
      <c r="L35" s="823"/>
      <c r="M35" s="823"/>
    </row>
    <row r="36" spans="1:16" s="109" customFormat="1" ht="18">
      <c r="A36" s="10"/>
      <c r="B36" s="11" t="s">
        <v>26</v>
      </c>
      <c r="C36" s="12"/>
      <c r="D36" s="12"/>
      <c r="E36" s="399" t="s">
        <v>1492</v>
      </c>
      <c r="F36" s="13"/>
      <c r="G36" s="13"/>
      <c r="H36" s="13"/>
      <c r="I36" s="16">
        <v>0.01</v>
      </c>
      <c r="J36" s="456">
        <f>I36*J34*7.85</f>
        <v>113.923125</v>
      </c>
      <c r="K36" s="14"/>
      <c r="L36" s="393"/>
      <c r="M36" s="393"/>
    </row>
    <row r="37" spans="1:16">
      <c r="A37" s="10"/>
      <c r="B37" s="11"/>
      <c r="C37" s="12"/>
      <c r="D37" s="12"/>
      <c r="E37" s="399"/>
      <c r="F37" s="13"/>
      <c r="G37" s="13"/>
      <c r="H37" s="13"/>
      <c r="I37" s="452" t="s">
        <v>20</v>
      </c>
      <c r="J37" s="453">
        <f>SUM(J36:J36)</f>
        <v>113.923125</v>
      </c>
      <c r="K37" s="14"/>
      <c r="L37" s="393">
        <v>130000</v>
      </c>
      <c r="M37" s="393">
        <f>L37*J37</f>
        <v>14810006.25</v>
      </c>
    </row>
    <row r="38" spans="1:16">
      <c r="A38" s="5">
        <v>8</v>
      </c>
      <c r="B38" s="415" t="s">
        <v>1194</v>
      </c>
      <c r="C38" s="7" t="s">
        <v>19</v>
      </c>
      <c r="D38" s="7"/>
      <c r="E38" s="457"/>
      <c r="F38" s="8"/>
      <c r="G38" s="8"/>
      <c r="H38" s="8"/>
      <c r="I38" s="778"/>
      <c r="J38" s="460"/>
      <c r="K38" s="6"/>
      <c r="L38" s="778"/>
      <c r="M38" s="778"/>
      <c r="P38" s="777"/>
    </row>
    <row r="39" spans="1:16">
      <c r="A39" s="10"/>
      <c r="B39" s="14" t="s">
        <v>792</v>
      </c>
      <c r="C39" s="12"/>
      <c r="D39" s="12">
        <v>1</v>
      </c>
      <c r="E39" s="13"/>
      <c r="F39" s="13"/>
      <c r="G39" s="13"/>
      <c r="H39" s="13"/>
      <c r="I39" s="13">
        <v>1250</v>
      </c>
      <c r="J39" s="13">
        <f>I39</f>
        <v>1250</v>
      </c>
      <c r="K39" s="14" t="s">
        <v>750</v>
      </c>
      <c r="L39" s="393"/>
      <c r="M39" s="393"/>
      <c r="P39" s="777"/>
    </row>
    <row r="40" spans="1:16">
      <c r="A40" s="10"/>
      <c r="B40" s="14" t="s">
        <v>793</v>
      </c>
      <c r="C40" s="12"/>
      <c r="D40" s="12">
        <v>1</v>
      </c>
      <c r="E40" s="13"/>
      <c r="F40" s="13"/>
      <c r="G40" s="13"/>
      <c r="H40" s="13"/>
      <c r="I40" s="13">
        <v>500</v>
      </c>
      <c r="J40" s="344">
        <f>I40</f>
        <v>500</v>
      </c>
      <c r="K40" s="14" t="s">
        <v>750</v>
      </c>
      <c r="L40" s="393"/>
      <c r="M40" s="393"/>
      <c r="P40" s="777"/>
    </row>
    <row r="41" spans="1:16">
      <c r="A41" s="10"/>
      <c r="B41" s="14"/>
      <c r="C41" s="12"/>
      <c r="D41" s="12"/>
      <c r="E41" s="13"/>
      <c r="F41" s="13"/>
      <c r="G41" s="13"/>
      <c r="H41" s="13"/>
      <c r="I41" s="458" t="s">
        <v>20</v>
      </c>
      <c r="J41" s="459">
        <f>SUM(J39:J40)</f>
        <v>1750</v>
      </c>
      <c r="K41" s="14"/>
      <c r="L41" s="393">
        <v>4956.5</v>
      </c>
      <c r="M41" s="393">
        <f>L41*J41</f>
        <v>8673875</v>
      </c>
      <c r="P41" s="777"/>
    </row>
    <row r="42" spans="1:16">
      <c r="A42" s="818"/>
      <c r="J42" s="819"/>
      <c r="L42" s="499" t="s">
        <v>20</v>
      </c>
      <c r="M42" s="499">
        <f>SUM(M11:M41)</f>
        <v>58914704.75</v>
      </c>
      <c r="P42" s="777"/>
    </row>
    <row r="43" spans="1:16">
      <c r="D43" s="381"/>
      <c r="J43" s="381"/>
      <c r="M43" s="388" t="s">
        <v>1237</v>
      </c>
    </row>
    <row r="44" spans="1:16">
      <c r="D44" s="381"/>
      <c r="J44" s="381"/>
    </row>
    <row r="45" spans="1:16">
      <c r="D45" s="381"/>
      <c r="J45" s="381"/>
    </row>
    <row r="46" spans="1:16">
      <c r="D46" s="381"/>
      <c r="J46" s="381"/>
    </row>
    <row r="47" spans="1:16" s="381" customFormat="1">
      <c r="A47" s="4"/>
      <c r="B47" s="4"/>
      <c r="C47" s="19"/>
      <c r="E47" s="20"/>
      <c r="F47" s="20"/>
      <c r="G47" s="20"/>
      <c r="H47" s="20"/>
      <c r="I47" s="20"/>
      <c r="K47" s="4"/>
      <c r="L47" s="388"/>
      <c r="M47" s="388"/>
      <c r="O47" s="4"/>
    </row>
    <row r="48" spans="1:16" s="381" customFormat="1">
      <c r="A48" s="4"/>
      <c r="B48" s="4"/>
      <c r="C48" s="19"/>
      <c r="E48" s="20"/>
      <c r="F48" s="20"/>
      <c r="G48" s="20"/>
      <c r="H48" s="20"/>
      <c r="I48" s="20"/>
      <c r="K48" s="4"/>
      <c r="L48" s="388"/>
      <c r="M48" s="388"/>
      <c r="O48" s="4"/>
    </row>
    <row r="49" spans="1:16" s="381" customFormat="1">
      <c r="A49" s="4"/>
      <c r="B49" s="4"/>
      <c r="C49" s="19"/>
      <c r="E49" s="20"/>
      <c r="F49" s="20"/>
      <c r="G49" s="20"/>
      <c r="H49" s="20"/>
      <c r="I49" s="20"/>
      <c r="K49" s="4"/>
      <c r="L49" s="388"/>
      <c r="M49" s="388"/>
      <c r="O49" s="4"/>
    </row>
    <row r="50" spans="1:16" s="381" customFormat="1">
      <c r="A50" s="4"/>
      <c r="B50" s="4"/>
      <c r="C50" s="19"/>
      <c r="E50" s="20"/>
      <c r="F50" s="20"/>
      <c r="G50" s="20"/>
      <c r="H50" s="20"/>
      <c r="I50" s="20"/>
      <c r="K50" s="4"/>
      <c r="L50" s="388"/>
      <c r="M50" s="388"/>
      <c r="O50" s="4"/>
    </row>
    <row r="51" spans="1:16" s="381" customFormat="1">
      <c r="A51" s="4"/>
      <c r="B51" s="4"/>
      <c r="C51" s="19"/>
      <c r="E51" s="20"/>
      <c r="F51" s="20"/>
      <c r="G51" s="20"/>
      <c r="H51" s="20"/>
      <c r="I51" s="20"/>
      <c r="K51" s="4"/>
      <c r="L51" s="388"/>
      <c r="M51" s="388"/>
      <c r="N51" s="381" t="e">
        <f ca="1">[47]!SpellNumber(5)</f>
        <v>#NAME?</v>
      </c>
      <c r="O51" s="4"/>
    </row>
    <row r="52" spans="1:16">
      <c r="I52" s="4"/>
      <c r="J52" s="4"/>
    </row>
    <row r="55" spans="1:16">
      <c r="P55" s="4">
        <f>84.5/15</f>
        <v>5.6333333333333337</v>
      </c>
    </row>
    <row r="82" spans="15:15">
      <c r="O82" s="54">
        <f>5.5*0.5*84.5</f>
        <v>232.375</v>
      </c>
    </row>
  </sheetData>
  <printOptions horizontalCentered="1"/>
  <pageMargins left="0.7" right="0.7" top="0.71" bottom="0.59" header="0.3" footer="0.16"/>
  <pageSetup paperSize="9" scale="74" fitToHeight="10" orientation="landscape"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rgb="FF7030A0"/>
  </sheetPr>
  <dimension ref="A1:S98"/>
  <sheetViews>
    <sheetView workbookViewId="0"/>
  </sheetViews>
  <sheetFormatPr defaultColWidth="8.88671875" defaultRowHeight="13.2"/>
  <cols>
    <col min="1" max="1" width="12.109375" style="381" customWidth="1"/>
    <col min="2" max="2" width="35.88671875" style="381" customWidth="1"/>
    <col min="3" max="3" width="7.5546875" style="381" customWidth="1"/>
    <col min="4" max="4" width="7" style="381" customWidth="1"/>
    <col min="5" max="5" width="10.88671875" style="381" customWidth="1"/>
    <col min="6" max="6" width="12" style="381" customWidth="1"/>
    <col min="7" max="7" width="8.6640625" style="381" customWidth="1"/>
    <col min="8" max="8" width="14.33203125" style="381" customWidth="1"/>
    <col min="9" max="9" width="9.109375" style="381" customWidth="1"/>
    <col min="10" max="10" width="17.88671875" style="381" customWidth="1"/>
    <col min="11" max="11" width="18.44140625" style="381" customWidth="1"/>
    <col min="12" max="12" width="11.109375" style="798" customWidth="1"/>
    <col min="13" max="13" width="12.6640625" style="798" bestFit="1" customWidth="1"/>
    <col min="14" max="17" width="8.88671875" style="381"/>
    <col min="18" max="18" width="13.88671875" style="381" customWidth="1"/>
    <col min="19" max="19" width="18" style="381" customWidth="1"/>
    <col min="20" max="16384" width="8.88671875" style="381"/>
  </cols>
  <sheetData>
    <row r="1" spans="1:19" s="1282" customFormat="1" ht="19.2">
      <c r="A1" s="1281"/>
      <c r="C1" s="1283"/>
      <c r="D1" s="1284"/>
      <c r="E1" s="1285"/>
      <c r="F1" s="1285"/>
      <c r="G1" s="1283"/>
    </row>
    <row r="2" spans="1:19" s="1282" customFormat="1" ht="19.2">
      <c r="A2" s="1281"/>
      <c r="C2" s="1283"/>
      <c r="D2" s="1284"/>
      <c r="E2" s="1285"/>
      <c r="F2" s="1285"/>
      <c r="G2" s="1283"/>
    </row>
    <row r="3" spans="1:19" s="1282" customFormat="1" ht="19.2">
      <c r="A3" s="226" t="s">
        <v>0</v>
      </c>
      <c r="B3" s="1248" t="s">
        <v>2389</v>
      </c>
      <c r="C3" s="1283"/>
      <c r="D3" s="1284"/>
      <c r="E3" s="1285"/>
      <c r="F3" s="1285"/>
      <c r="G3" s="1283"/>
    </row>
    <row r="4" spans="1:19" s="1282" customFormat="1" ht="19.2">
      <c r="A4" s="119" t="s">
        <v>1</v>
      </c>
      <c r="B4" s="1248">
        <v>930100</v>
      </c>
      <c r="C4" s="1283"/>
      <c r="D4" s="1284"/>
      <c r="E4" s="1285"/>
      <c r="F4" s="1285"/>
      <c r="G4" s="1283"/>
    </row>
    <row r="5" spans="1:19" s="1282" customFormat="1" ht="19.2">
      <c r="A5" s="119" t="s">
        <v>2</v>
      </c>
      <c r="B5" s="1247" t="s">
        <v>331</v>
      </c>
      <c r="C5" s="1283"/>
      <c r="D5" s="1284"/>
      <c r="E5" s="1285"/>
      <c r="J5" s="1286" t="s">
        <v>1561</v>
      </c>
      <c r="K5" s="1283" t="s">
        <v>1562</v>
      </c>
    </row>
    <row r="6" spans="1:19" s="1282" customFormat="1" ht="19.2">
      <c r="A6" s="119" t="s">
        <v>3</v>
      </c>
      <c r="B6" s="1247" t="s">
        <v>1571</v>
      </c>
      <c r="C6" s="1283"/>
      <c r="D6" s="1284"/>
      <c r="E6" s="1285"/>
      <c r="J6" s="1286" t="s">
        <v>171</v>
      </c>
      <c r="K6" s="1283" t="s">
        <v>1563</v>
      </c>
    </row>
    <row r="7" spans="1:19" s="1282" customFormat="1" ht="19.2">
      <c r="A7" s="119" t="s">
        <v>4</v>
      </c>
      <c r="B7" s="1247"/>
      <c r="C7" s="1283"/>
      <c r="D7" s="1284"/>
      <c r="E7" s="1285"/>
      <c r="J7" s="1286" t="s">
        <v>106</v>
      </c>
      <c r="K7" s="1287">
        <f ca="1">TODAY()</f>
        <v>44942</v>
      </c>
    </row>
    <row r="8" spans="1:19" ht="16.8">
      <c r="A8" s="4"/>
      <c r="B8" s="55"/>
      <c r="C8" s="19"/>
      <c r="D8" s="19"/>
      <c r="E8" s="20"/>
      <c r="F8" s="20"/>
      <c r="G8" s="20"/>
      <c r="H8" s="20"/>
      <c r="I8" s="20"/>
      <c r="J8" s="20"/>
      <c r="K8" s="4"/>
      <c r="L8" s="388"/>
      <c r="M8" s="388"/>
      <c r="N8" s="4"/>
      <c r="O8" s="4"/>
      <c r="P8" s="4"/>
      <c r="Q8" s="4"/>
    </row>
    <row r="9" spans="1:19" ht="16.8">
      <c r="A9" s="4"/>
      <c r="B9" s="4"/>
      <c r="C9" s="19"/>
      <c r="D9" s="19"/>
      <c r="E9" s="20"/>
      <c r="F9" s="20"/>
      <c r="G9" s="20"/>
      <c r="H9" s="20"/>
      <c r="I9" s="20"/>
      <c r="J9" s="20"/>
      <c r="K9" s="4"/>
      <c r="L9" s="388"/>
      <c r="M9" s="388"/>
      <c r="N9" s="4"/>
      <c r="O9" s="4"/>
      <c r="P9" s="4"/>
      <c r="Q9" s="4"/>
    </row>
    <row r="10" spans="1:19" ht="16.8">
      <c r="A10" s="2" t="s">
        <v>7</v>
      </c>
      <c r="B10" s="2" t="s">
        <v>8</v>
      </c>
      <c r="C10" s="2" t="s">
        <v>9</v>
      </c>
      <c r="D10" s="2" t="s">
        <v>10</v>
      </c>
      <c r="E10" s="3" t="s">
        <v>11</v>
      </c>
      <c r="F10" s="3" t="s">
        <v>12</v>
      </c>
      <c r="G10" s="3" t="s">
        <v>13</v>
      </c>
      <c r="H10" s="3" t="s">
        <v>14</v>
      </c>
      <c r="I10" s="3" t="s">
        <v>15</v>
      </c>
      <c r="J10" s="3" t="s">
        <v>16</v>
      </c>
      <c r="K10" s="2" t="s">
        <v>17</v>
      </c>
      <c r="L10" s="824" t="s">
        <v>1233</v>
      </c>
      <c r="M10" s="824" t="s">
        <v>1234</v>
      </c>
      <c r="N10" s="4"/>
      <c r="O10" s="4"/>
      <c r="P10" s="4"/>
      <c r="Q10" s="4"/>
      <c r="R10" s="381" t="s">
        <v>34</v>
      </c>
      <c r="S10" s="381" t="s">
        <v>485</v>
      </c>
    </row>
    <row r="11" spans="1:19" ht="16.8">
      <c r="A11" s="5">
        <v>1</v>
      </c>
      <c r="B11" s="6" t="s">
        <v>18</v>
      </c>
      <c r="C11" s="7" t="s">
        <v>19</v>
      </c>
      <c r="D11" s="7"/>
      <c r="E11" s="8"/>
      <c r="F11" s="8"/>
      <c r="G11" s="8"/>
      <c r="H11" s="8"/>
      <c r="I11" s="8"/>
      <c r="J11" s="385"/>
      <c r="K11" s="9"/>
      <c r="L11" s="778"/>
      <c r="M11" s="778"/>
      <c r="N11" s="4"/>
      <c r="O11" s="4"/>
      <c r="P11" s="4"/>
      <c r="Q11" s="4"/>
    </row>
    <row r="12" spans="1:19" ht="16.8">
      <c r="A12" s="10"/>
      <c r="B12" s="11" t="s">
        <v>749</v>
      </c>
      <c r="C12" s="12"/>
      <c r="D12" s="12"/>
      <c r="E12" s="13"/>
      <c r="F12" s="13"/>
      <c r="G12" s="13"/>
      <c r="H12" s="13"/>
      <c r="I12" s="13"/>
      <c r="J12" s="13"/>
      <c r="K12" s="14"/>
      <c r="L12" s="393"/>
      <c r="M12" s="393"/>
      <c r="N12" s="4"/>
      <c r="O12" s="4"/>
      <c r="P12" s="4"/>
      <c r="Q12" s="4"/>
    </row>
    <row r="13" spans="1:19" ht="16.8">
      <c r="A13" s="10"/>
      <c r="B13" s="11" t="s">
        <v>764</v>
      </c>
      <c r="C13" s="12"/>
      <c r="D13" s="12">
        <v>1</v>
      </c>
      <c r="E13" s="22"/>
      <c r="F13" s="22"/>
      <c r="G13" s="13"/>
      <c r="H13" s="13"/>
      <c r="I13" s="766">
        <v>2196.6999999999998</v>
      </c>
      <c r="J13" s="798">
        <f>I13*1.1</f>
        <v>2416.37</v>
      </c>
      <c r="K13" s="12" t="s">
        <v>750</v>
      </c>
      <c r="L13" s="497"/>
      <c r="M13" s="497"/>
      <c r="N13" s="4"/>
      <c r="O13" s="4"/>
      <c r="P13" s="4"/>
      <c r="Q13" s="4"/>
    </row>
    <row r="14" spans="1:19" ht="16.8">
      <c r="A14" s="10"/>
      <c r="B14" s="11"/>
      <c r="C14" s="12"/>
      <c r="D14" s="12"/>
      <c r="E14" s="22"/>
      <c r="F14" s="22"/>
      <c r="G14" s="13"/>
      <c r="H14" s="13"/>
      <c r="I14" s="13"/>
      <c r="J14" s="13"/>
      <c r="K14" s="12"/>
      <c r="L14" s="497"/>
      <c r="M14" s="497"/>
      <c r="N14" s="4"/>
      <c r="O14" s="4"/>
      <c r="P14" s="4"/>
      <c r="Q14" s="4"/>
    </row>
    <row r="15" spans="1:19" ht="16.8">
      <c r="A15" s="10"/>
      <c r="B15" s="14"/>
      <c r="C15" s="12"/>
      <c r="D15" s="12"/>
      <c r="E15" s="13"/>
      <c r="F15" s="13"/>
      <c r="G15" s="13"/>
      <c r="H15" s="13"/>
      <c r="I15" s="536" t="s">
        <v>20</v>
      </c>
      <c r="J15" s="354">
        <f>SUM(J13:J14)</f>
        <v>2416.37</v>
      </c>
      <c r="K15" s="16"/>
      <c r="L15" s="393">
        <v>40.5</v>
      </c>
      <c r="M15" s="393">
        <f>L15*J15</f>
        <v>97862.985000000001</v>
      </c>
      <c r="N15" s="4"/>
      <c r="O15" s="4"/>
      <c r="P15" s="14" t="s">
        <v>751</v>
      </c>
      <c r="Q15" s="14" t="s">
        <v>752</v>
      </c>
      <c r="R15" s="381">
        <v>29.85</v>
      </c>
      <c r="S15" s="386">
        <f>J15*R15</f>
        <v>72128.644499999995</v>
      </c>
    </row>
    <row r="16" spans="1:19" ht="16.8">
      <c r="A16" s="5">
        <f>A11+1</f>
        <v>2</v>
      </c>
      <c r="B16" s="6" t="s">
        <v>97</v>
      </c>
      <c r="C16" s="7" t="s">
        <v>21</v>
      </c>
      <c r="D16" s="7"/>
      <c r="E16" s="8"/>
      <c r="F16" s="8"/>
      <c r="G16" s="8"/>
      <c r="H16" s="8"/>
      <c r="I16" s="8"/>
      <c r="J16" s="8"/>
      <c r="K16" s="387"/>
      <c r="L16" s="823"/>
      <c r="M16" s="778"/>
      <c r="N16" s="4" t="s">
        <v>753</v>
      </c>
      <c r="O16" s="4"/>
      <c r="P16" s="14"/>
      <c r="Q16" s="14"/>
    </row>
    <row r="17" spans="1:19" ht="16.8">
      <c r="A17" s="10"/>
      <c r="B17" s="11" t="s">
        <v>1192</v>
      </c>
      <c r="C17" s="12"/>
      <c r="D17" s="12">
        <v>1</v>
      </c>
      <c r="E17" s="393"/>
      <c r="F17" s="13">
        <v>25</v>
      </c>
      <c r="G17" s="13"/>
      <c r="H17" s="13"/>
      <c r="I17" s="1444">
        <v>200.07</v>
      </c>
      <c r="J17" s="798">
        <f>I17*F17*D17</f>
        <v>5001.75</v>
      </c>
      <c r="K17" s="10"/>
      <c r="L17" s="825"/>
      <c r="M17" s="393"/>
      <c r="N17" s="4" t="s">
        <v>754</v>
      </c>
      <c r="O17" s="4"/>
      <c r="P17" s="14" t="s">
        <v>752</v>
      </c>
      <c r="Q17" s="4" t="s">
        <v>755</v>
      </c>
    </row>
    <row r="18" spans="1:19" ht="16.8">
      <c r="A18" s="10"/>
      <c r="B18" s="14"/>
      <c r="C18" s="12"/>
      <c r="D18" s="12"/>
      <c r="E18" s="13"/>
      <c r="F18" s="13"/>
      <c r="G18" s="13"/>
      <c r="H18" s="13"/>
      <c r="I18" s="536" t="s">
        <v>20</v>
      </c>
      <c r="J18" s="354">
        <f>AVERAGE(J17:J17)</f>
        <v>5001.75</v>
      </c>
      <c r="K18" s="17"/>
      <c r="L18" s="393"/>
      <c r="M18" s="393"/>
      <c r="N18" s="4"/>
      <c r="O18" s="4"/>
      <c r="P18" s="4"/>
      <c r="Q18" s="4"/>
      <c r="R18" s="381">
        <v>377.19</v>
      </c>
      <c r="S18" s="386">
        <f>J18*R18</f>
        <v>1886610.0825</v>
      </c>
    </row>
    <row r="19" spans="1:19" ht="16.8">
      <c r="A19" s="10"/>
      <c r="B19" s="14"/>
      <c r="C19" s="12"/>
      <c r="D19" s="12"/>
      <c r="E19" s="13"/>
      <c r="F19" s="13"/>
      <c r="G19" s="13"/>
      <c r="H19" s="13"/>
      <c r="I19" s="15"/>
      <c r="J19" s="354">
        <f>80%*J18</f>
        <v>4001.4</v>
      </c>
      <c r="K19" s="17" t="s">
        <v>1500</v>
      </c>
      <c r="L19" s="393">
        <v>320</v>
      </c>
      <c r="M19" s="393">
        <f>L19*J19</f>
        <v>1280448</v>
      </c>
      <c r="N19" s="4"/>
      <c r="O19" s="4"/>
      <c r="P19" s="4"/>
      <c r="Q19" s="4"/>
      <c r="S19" s="386"/>
    </row>
    <row r="20" spans="1:19" ht="16.8">
      <c r="A20" s="10"/>
      <c r="B20" s="14"/>
      <c r="C20" s="12"/>
      <c r="D20" s="12"/>
      <c r="E20" s="13"/>
      <c r="F20" s="13"/>
      <c r="G20" s="13"/>
      <c r="H20" s="13"/>
      <c r="I20" s="15"/>
      <c r="J20" s="354">
        <f>20%*J18</f>
        <v>1000.35</v>
      </c>
      <c r="K20" s="17" t="s">
        <v>1501</v>
      </c>
      <c r="L20" s="393">
        <v>1350</v>
      </c>
      <c r="M20" s="393">
        <f>L20*J20</f>
        <v>1350472.5</v>
      </c>
      <c r="N20" s="4"/>
      <c r="O20" s="4"/>
      <c r="P20" s="4"/>
      <c r="Q20" s="4"/>
      <c r="S20" s="386"/>
    </row>
    <row r="21" spans="1:19" ht="16.8">
      <c r="A21" s="5">
        <v>3</v>
      </c>
      <c r="B21" s="6" t="s">
        <v>972</v>
      </c>
      <c r="C21" s="7"/>
      <c r="D21" s="7"/>
      <c r="E21" s="8"/>
      <c r="F21" s="8"/>
      <c r="G21" s="8"/>
      <c r="H21" s="8"/>
      <c r="I21" s="391"/>
      <c r="J21" s="385"/>
      <c r="K21" s="392"/>
      <c r="L21" s="778"/>
      <c r="M21" s="778"/>
      <c r="N21" s="4"/>
      <c r="O21" s="4"/>
      <c r="P21" s="4"/>
      <c r="Q21" s="4"/>
      <c r="S21" s="386"/>
    </row>
    <row r="22" spans="1:19" ht="16.8">
      <c r="A22" s="10"/>
      <c r="B22" s="14" t="s">
        <v>1192</v>
      </c>
      <c r="C22" s="12"/>
      <c r="D22" s="12">
        <v>1</v>
      </c>
      <c r="E22" s="13"/>
      <c r="F22" s="13">
        <f>F17</f>
        <v>25</v>
      </c>
      <c r="G22" s="13"/>
      <c r="H22" s="13"/>
      <c r="I22" s="1443">
        <v>166.31700000000001</v>
      </c>
      <c r="J22" s="344">
        <f>I22*F22*D22</f>
        <v>4157.9250000000002</v>
      </c>
      <c r="K22" s="17"/>
      <c r="L22" s="393"/>
      <c r="M22" s="393"/>
      <c r="N22" s="4"/>
      <c r="O22" s="4"/>
      <c r="P22" s="4"/>
      <c r="Q22" s="4"/>
      <c r="S22" s="386"/>
    </row>
    <row r="23" spans="1:19" ht="16.8">
      <c r="A23" s="10"/>
      <c r="B23" s="14"/>
      <c r="C23" s="12"/>
      <c r="D23" s="12"/>
      <c r="E23" s="13"/>
      <c r="F23" s="13"/>
      <c r="G23" s="13"/>
      <c r="H23" s="13"/>
      <c r="I23" s="536" t="s">
        <v>20</v>
      </c>
      <c r="J23" s="354">
        <f>SUM(J22:J22)</f>
        <v>4157.9250000000002</v>
      </c>
      <c r="K23" s="17" t="s">
        <v>973</v>
      </c>
      <c r="L23" s="393">
        <v>210</v>
      </c>
      <c r="M23" s="393">
        <f>L23*J23</f>
        <v>873164.25</v>
      </c>
      <c r="N23" s="4"/>
      <c r="O23" s="4"/>
      <c r="P23" s="4"/>
      <c r="Q23" s="4"/>
      <c r="S23" s="386"/>
    </row>
    <row r="24" spans="1:19" ht="16.8">
      <c r="A24" s="10"/>
      <c r="B24" s="14"/>
      <c r="C24" s="12"/>
      <c r="D24" s="12"/>
      <c r="E24" s="13"/>
      <c r="F24" s="13"/>
      <c r="G24" s="13"/>
      <c r="H24" s="13"/>
      <c r="I24" s="536"/>
      <c r="J24" s="355"/>
      <c r="K24" s="17"/>
      <c r="L24" s="393"/>
      <c r="M24" s="393"/>
      <c r="N24" s="4"/>
      <c r="O24" s="4"/>
      <c r="P24" s="4"/>
      <c r="Q24" s="4"/>
      <c r="S24" s="386"/>
    </row>
    <row r="25" spans="1:19" ht="16.8">
      <c r="A25" s="5">
        <v>4</v>
      </c>
      <c r="B25" s="390" t="s">
        <v>309</v>
      </c>
      <c r="C25" s="7"/>
      <c r="D25" s="7"/>
      <c r="E25" s="8"/>
      <c r="F25" s="8"/>
      <c r="G25" s="8"/>
      <c r="H25" s="8"/>
      <c r="I25" s="391"/>
      <c r="J25" s="385"/>
      <c r="K25" s="392"/>
      <c r="L25" s="778"/>
      <c r="M25" s="778"/>
      <c r="N25" s="4"/>
      <c r="O25" s="4"/>
      <c r="P25" s="4"/>
      <c r="Q25" s="4"/>
    </row>
    <row r="26" spans="1:19" ht="16.8">
      <c r="A26" s="10"/>
      <c r="B26" s="405" t="s">
        <v>2450</v>
      </c>
      <c r="C26" s="10"/>
      <c r="D26" s="10"/>
      <c r="E26" s="13"/>
      <c r="F26" s="10"/>
      <c r="G26" s="10"/>
      <c r="H26" s="13"/>
      <c r="I26" s="13"/>
      <c r="J26" s="13"/>
      <c r="K26" s="10"/>
      <c r="L26" s="825"/>
      <c r="M26" s="393"/>
      <c r="N26" s="4"/>
      <c r="O26" s="4"/>
      <c r="P26" s="4"/>
      <c r="Q26" s="4"/>
    </row>
    <row r="27" spans="1:19" ht="16.8">
      <c r="A27" s="10"/>
      <c r="B27" s="18" t="s">
        <v>1196</v>
      </c>
      <c r="C27" s="12"/>
      <c r="D27" s="12">
        <v>2</v>
      </c>
      <c r="E27" s="13"/>
      <c r="F27" s="13">
        <v>21.65</v>
      </c>
      <c r="G27" s="13">
        <v>3.81</v>
      </c>
      <c r="H27" s="13"/>
      <c r="I27" s="13">
        <f>G27*F27</f>
        <v>82.486499999999992</v>
      </c>
      <c r="J27" s="13">
        <f>I27*D27</f>
        <v>164.97299999999998</v>
      </c>
      <c r="K27" s="14"/>
      <c r="L27" s="393"/>
      <c r="M27" s="393"/>
      <c r="N27" s="4"/>
      <c r="O27" s="4"/>
      <c r="P27" s="4"/>
      <c r="Q27" s="4"/>
    </row>
    <row r="28" spans="1:19" ht="16.8">
      <c r="A28" s="10"/>
      <c r="B28" s="18" t="s">
        <v>1197</v>
      </c>
      <c r="C28" s="12"/>
      <c r="D28" s="12">
        <v>2</v>
      </c>
      <c r="E28" s="13"/>
      <c r="F28" s="13"/>
      <c r="G28" s="13"/>
      <c r="H28" s="13"/>
      <c r="I28" s="13">
        <v>3.48</v>
      </c>
      <c r="J28" s="13">
        <f>I28*D28</f>
        <v>6.96</v>
      </c>
      <c r="K28" s="14"/>
      <c r="L28" s="393"/>
      <c r="M28" s="393"/>
      <c r="N28" s="4"/>
      <c r="O28" s="4"/>
      <c r="P28" s="4"/>
      <c r="Q28" s="4"/>
    </row>
    <row r="29" spans="1:19" ht="16.8">
      <c r="A29" s="10"/>
      <c r="B29" s="405" t="s">
        <v>2449</v>
      </c>
      <c r="C29" s="12"/>
      <c r="D29" s="12"/>
      <c r="E29" s="13"/>
      <c r="F29" s="13"/>
      <c r="G29" s="13"/>
      <c r="H29" s="13"/>
      <c r="I29" s="13"/>
      <c r="J29" s="13"/>
      <c r="K29" s="14"/>
      <c r="L29" s="393"/>
      <c r="M29" s="393"/>
      <c r="N29" s="4"/>
      <c r="O29" s="4"/>
      <c r="P29" s="4"/>
      <c r="Q29" s="4"/>
    </row>
    <row r="30" spans="1:19" ht="16.8">
      <c r="A30" s="10"/>
      <c r="B30" s="137" t="s">
        <v>2572</v>
      </c>
      <c r="C30" s="12"/>
      <c r="D30" s="12">
        <v>2</v>
      </c>
      <c r="E30" s="13"/>
      <c r="F30" s="13">
        <v>20.526</v>
      </c>
      <c r="G30" s="13">
        <v>3.2</v>
      </c>
      <c r="H30" s="13"/>
      <c r="I30" s="13">
        <f>F30*G30</f>
        <v>65.683199999999999</v>
      </c>
      <c r="J30" s="13">
        <f>D30*I30</f>
        <v>131.3664</v>
      </c>
      <c r="K30" s="14"/>
      <c r="L30" s="393"/>
      <c r="M30" s="393"/>
      <c r="N30" s="4"/>
      <c r="O30" s="4"/>
      <c r="P30" s="4"/>
      <c r="Q30" s="4"/>
    </row>
    <row r="31" spans="1:19" ht="16.8">
      <c r="A31" s="10"/>
      <c r="B31" s="18" t="s">
        <v>2571</v>
      </c>
      <c r="C31" s="12"/>
      <c r="D31" s="12">
        <v>2</v>
      </c>
      <c r="E31" s="13"/>
      <c r="F31" s="13"/>
      <c r="G31" s="13"/>
      <c r="H31" s="13"/>
      <c r="I31" s="13">
        <v>3.11</v>
      </c>
      <c r="J31" s="13">
        <f>D31*I31</f>
        <v>6.22</v>
      </c>
      <c r="K31" s="14"/>
      <c r="L31" s="393"/>
      <c r="M31" s="393"/>
      <c r="N31" s="4"/>
      <c r="O31" s="4"/>
      <c r="P31" s="4"/>
      <c r="Q31" s="4"/>
    </row>
    <row r="32" spans="1:19" ht="16.8">
      <c r="A32" s="10"/>
      <c r="B32" s="405" t="s">
        <v>2448</v>
      </c>
      <c r="C32" s="12"/>
      <c r="D32" s="12"/>
      <c r="E32" s="13"/>
      <c r="F32" s="13"/>
      <c r="G32" s="13"/>
      <c r="H32" s="13"/>
      <c r="I32" s="13"/>
      <c r="J32" s="13"/>
      <c r="K32" s="14"/>
      <c r="L32" s="393"/>
      <c r="M32" s="393"/>
      <c r="N32" s="4"/>
      <c r="O32" s="4"/>
      <c r="P32" s="4"/>
      <c r="Q32" s="4"/>
    </row>
    <row r="33" spans="1:17" ht="16.8">
      <c r="A33" s="10"/>
      <c r="B33" s="137" t="s">
        <v>2572</v>
      </c>
      <c r="C33" s="12"/>
      <c r="D33" s="12">
        <v>2</v>
      </c>
      <c r="E33" s="13"/>
      <c r="F33" s="13">
        <v>19.95</v>
      </c>
      <c r="G33" s="13">
        <v>6</v>
      </c>
      <c r="H33" s="13"/>
      <c r="I33" s="13">
        <f>G33*F33</f>
        <v>119.69999999999999</v>
      </c>
      <c r="J33" s="13">
        <f>I33*D33</f>
        <v>239.39999999999998</v>
      </c>
      <c r="K33" s="14"/>
      <c r="L33" s="393"/>
      <c r="M33" s="393"/>
      <c r="N33" s="4"/>
      <c r="O33" s="4"/>
      <c r="P33" s="4"/>
      <c r="Q33" s="4"/>
    </row>
    <row r="34" spans="1:17" ht="16.8">
      <c r="A34" s="10"/>
      <c r="B34" s="18" t="s">
        <v>2571</v>
      </c>
      <c r="C34" s="12"/>
      <c r="D34" s="12">
        <v>2</v>
      </c>
      <c r="E34" s="13"/>
      <c r="F34" s="13"/>
      <c r="G34" s="13"/>
      <c r="H34" s="13"/>
      <c r="I34" s="13">
        <v>11.53</v>
      </c>
      <c r="J34" s="13">
        <f>I34*D34</f>
        <v>23.06</v>
      </c>
      <c r="K34" s="14"/>
      <c r="L34" s="393"/>
      <c r="M34" s="393"/>
      <c r="N34" s="4"/>
      <c r="O34" s="4"/>
      <c r="P34" s="4"/>
      <c r="Q34" s="4"/>
    </row>
    <row r="35" spans="1:17" ht="16.8">
      <c r="A35" s="10"/>
      <c r="B35" s="18" t="s">
        <v>2573</v>
      </c>
      <c r="C35" s="12"/>
      <c r="D35" s="12">
        <v>2</v>
      </c>
      <c r="E35" s="13">
        <v>0.9</v>
      </c>
      <c r="F35" s="13">
        <v>19.95</v>
      </c>
      <c r="G35" s="13"/>
      <c r="H35" s="13"/>
      <c r="I35" s="13">
        <f>F35*E35</f>
        <v>17.954999999999998</v>
      </c>
      <c r="J35" s="13">
        <f>I35*D35</f>
        <v>35.909999999999997</v>
      </c>
      <c r="K35" s="14"/>
      <c r="L35" s="393"/>
      <c r="M35" s="393"/>
      <c r="N35" s="4"/>
      <c r="O35" s="4"/>
      <c r="P35" s="4"/>
      <c r="Q35" s="4"/>
    </row>
    <row r="36" spans="1:17" ht="16.8">
      <c r="A36" s="10"/>
      <c r="B36" s="405" t="s">
        <v>2447</v>
      </c>
      <c r="C36" s="10"/>
      <c r="D36" s="10"/>
      <c r="E36" s="13"/>
      <c r="F36" s="10"/>
      <c r="G36" s="10"/>
      <c r="H36" s="13"/>
      <c r="I36" s="13"/>
      <c r="J36" s="13"/>
      <c r="K36" s="14"/>
      <c r="L36" s="393"/>
      <c r="M36" s="393"/>
      <c r="N36" s="4"/>
      <c r="O36" s="4"/>
      <c r="P36" s="4"/>
      <c r="Q36" s="4"/>
    </row>
    <row r="37" spans="1:17" ht="16.8">
      <c r="A37" s="10"/>
      <c r="B37" s="18" t="s">
        <v>1196</v>
      </c>
      <c r="C37" s="12"/>
      <c r="D37" s="12">
        <v>2</v>
      </c>
      <c r="E37" s="13"/>
      <c r="F37" s="13">
        <v>18.565000000000001</v>
      </c>
      <c r="G37" s="13">
        <v>4.7</v>
      </c>
      <c r="H37" s="13"/>
      <c r="I37" s="13">
        <f>G37*F37</f>
        <v>87.255500000000012</v>
      </c>
      <c r="J37" s="13">
        <f>I37*D37</f>
        <v>174.51100000000002</v>
      </c>
      <c r="K37" s="14"/>
      <c r="L37" s="393"/>
      <c r="M37" s="393"/>
      <c r="N37" s="4"/>
      <c r="O37" s="4"/>
      <c r="P37" s="4"/>
      <c r="Q37" s="4"/>
    </row>
    <row r="38" spans="1:17" ht="16.8">
      <c r="A38" s="10"/>
      <c r="B38" s="18" t="s">
        <v>1197</v>
      </c>
      <c r="C38" s="12"/>
      <c r="D38" s="12">
        <v>2</v>
      </c>
      <c r="E38" s="13"/>
      <c r="F38" s="13"/>
      <c r="G38" s="13"/>
      <c r="H38" s="13"/>
      <c r="I38" s="13">
        <v>6.9080000000000004</v>
      </c>
      <c r="J38" s="13">
        <f>I38*D38</f>
        <v>13.816000000000001</v>
      </c>
      <c r="K38" s="16"/>
      <c r="L38" s="393"/>
      <c r="M38" s="393"/>
      <c r="N38" s="4"/>
      <c r="O38" s="4"/>
      <c r="P38" s="4"/>
      <c r="Q38" s="4"/>
    </row>
    <row r="39" spans="1:17" ht="16.8">
      <c r="A39" s="10"/>
      <c r="B39" s="405" t="s">
        <v>2446</v>
      </c>
      <c r="C39" s="10"/>
      <c r="D39" s="10"/>
      <c r="E39" s="13"/>
      <c r="F39" s="10"/>
      <c r="G39" s="10"/>
      <c r="H39" s="13"/>
      <c r="I39" s="13"/>
      <c r="J39" s="13"/>
      <c r="K39" s="16"/>
      <c r="L39" s="393"/>
      <c r="M39" s="393"/>
      <c r="N39" s="4"/>
      <c r="O39" s="4"/>
      <c r="P39" s="4"/>
      <c r="Q39" s="4"/>
    </row>
    <row r="40" spans="1:17" ht="16.8">
      <c r="A40" s="10"/>
      <c r="B40" s="18" t="s">
        <v>1196</v>
      </c>
      <c r="C40" s="12"/>
      <c r="D40" s="12">
        <v>2</v>
      </c>
      <c r="E40" s="13"/>
      <c r="F40" s="13">
        <v>18.146000000000001</v>
      </c>
      <c r="G40" s="13">
        <v>5.5</v>
      </c>
      <c r="H40" s="13"/>
      <c r="I40" s="13">
        <f>G40*F40</f>
        <v>99.802999999999997</v>
      </c>
      <c r="J40" s="13">
        <f>I40*D40</f>
        <v>199.60599999999999</v>
      </c>
      <c r="K40" s="16"/>
      <c r="L40" s="393"/>
      <c r="M40" s="393"/>
      <c r="N40" s="4"/>
      <c r="O40" s="4"/>
      <c r="P40" s="4"/>
      <c r="Q40" s="4"/>
    </row>
    <row r="41" spans="1:17" ht="16.8">
      <c r="A41" s="10"/>
      <c r="B41" s="18" t="s">
        <v>1197</v>
      </c>
      <c r="C41" s="12"/>
      <c r="D41" s="12">
        <v>2</v>
      </c>
      <c r="E41" s="13"/>
      <c r="F41" s="13"/>
      <c r="G41" s="13"/>
      <c r="H41" s="13"/>
      <c r="I41" s="13">
        <v>7.7</v>
      </c>
      <c r="J41" s="13">
        <f>I41*D41</f>
        <v>15.4</v>
      </c>
      <c r="K41" s="16"/>
      <c r="L41" s="393"/>
      <c r="M41" s="393"/>
      <c r="N41" s="4"/>
      <c r="O41" s="4"/>
      <c r="P41" s="4"/>
      <c r="Q41" s="4"/>
    </row>
    <row r="42" spans="1:17" ht="16.8">
      <c r="A42" s="10"/>
      <c r="B42" s="405" t="s">
        <v>2445</v>
      </c>
      <c r="C42" s="10"/>
      <c r="D42" s="10"/>
      <c r="E42" s="13"/>
      <c r="F42" s="10"/>
      <c r="G42" s="10"/>
      <c r="H42" s="13"/>
      <c r="I42" s="13"/>
      <c r="J42" s="13"/>
      <c r="K42" s="16"/>
      <c r="L42" s="393"/>
      <c r="M42" s="393"/>
      <c r="N42" s="4"/>
      <c r="O42" s="4"/>
      <c r="P42" s="4"/>
      <c r="Q42" s="4"/>
    </row>
    <row r="43" spans="1:17" ht="16.8">
      <c r="A43" s="10"/>
      <c r="B43" s="18" t="s">
        <v>1196</v>
      </c>
      <c r="C43" s="12"/>
      <c r="D43" s="12">
        <v>2</v>
      </c>
      <c r="E43" s="13"/>
      <c r="F43" s="13">
        <v>25.716999999999999</v>
      </c>
      <c r="G43" s="13">
        <v>5</v>
      </c>
      <c r="H43" s="13"/>
      <c r="I43" s="13">
        <f>G43*F43</f>
        <v>128.58499999999998</v>
      </c>
      <c r="J43" s="13">
        <f>I43*D43</f>
        <v>257.16999999999996</v>
      </c>
      <c r="K43" s="16"/>
      <c r="L43" s="393"/>
      <c r="M43" s="393"/>
      <c r="N43" s="4"/>
      <c r="O43" s="4"/>
      <c r="P43" s="4"/>
      <c r="Q43" s="4"/>
    </row>
    <row r="44" spans="1:17" ht="16.8">
      <c r="A44" s="10"/>
      <c r="B44" s="18" t="s">
        <v>1197</v>
      </c>
      <c r="C44" s="12"/>
      <c r="D44" s="12">
        <v>2</v>
      </c>
      <c r="E44" s="13"/>
      <c r="F44" s="13"/>
      <c r="G44" s="13"/>
      <c r="H44" s="13"/>
      <c r="I44" s="13">
        <v>7.21</v>
      </c>
      <c r="J44" s="13">
        <f>I44*D44</f>
        <v>14.42</v>
      </c>
      <c r="K44" s="16"/>
      <c r="L44" s="393"/>
      <c r="M44" s="393"/>
      <c r="N44" s="4"/>
      <c r="O44" s="4"/>
      <c r="P44" s="4"/>
      <c r="Q44" s="4"/>
    </row>
    <row r="45" spans="1:17" ht="16.8">
      <c r="A45" s="10"/>
      <c r="B45" s="100"/>
      <c r="C45" s="12"/>
      <c r="D45" s="12"/>
      <c r="E45" s="13"/>
      <c r="F45" s="13"/>
      <c r="G45" s="13"/>
      <c r="H45" s="13"/>
      <c r="I45" s="15" t="s">
        <v>20</v>
      </c>
      <c r="J45" s="354">
        <f>SUM(J27:J44)</f>
        <v>1282.8124</v>
      </c>
      <c r="K45" s="16"/>
      <c r="L45" s="393">
        <v>1285</v>
      </c>
      <c r="M45" s="393">
        <f>L45*J45</f>
        <v>1648413.9340000001</v>
      </c>
      <c r="N45" s="4"/>
      <c r="O45" s="4"/>
      <c r="P45" s="4"/>
      <c r="Q45" s="4"/>
    </row>
    <row r="46" spans="1:17" ht="16.8">
      <c r="A46" s="10"/>
      <c r="B46" s="14"/>
      <c r="C46" s="12"/>
      <c r="D46" s="12"/>
      <c r="E46" s="13"/>
      <c r="F46" s="13"/>
      <c r="G46" s="13"/>
      <c r="H46" s="13"/>
      <c r="I46" s="15"/>
      <c r="J46" s="355"/>
      <c r="K46" s="16"/>
      <c r="L46" s="393"/>
      <c r="M46" s="393"/>
      <c r="N46" s="4"/>
      <c r="O46" s="4"/>
      <c r="P46" s="4"/>
      <c r="Q46" s="4"/>
    </row>
    <row r="47" spans="1:17" ht="16.8">
      <c r="A47" s="5">
        <v>5</v>
      </c>
      <c r="B47" s="6" t="s">
        <v>756</v>
      </c>
      <c r="C47" s="7" t="s">
        <v>19</v>
      </c>
      <c r="D47" s="7"/>
      <c r="E47" s="8"/>
      <c r="F47" s="8"/>
      <c r="G47" s="8"/>
      <c r="H47" s="8"/>
      <c r="I47" s="8"/>
      <c r="J47" s="385"/>
      <c r="K47" s="9"/>
      <c r="L47" s="778"/>
      <c r="M47" s="778"/>
      <c r="N47" s="4"/>
      <c r="O47" s="4"/>
      <c r="P47" s="4"/>
      <c r="Q47" s="4"/>
    </row>
    <row r="48" spans="1:17" ht="16.8">
      <c r="A48" s="10"/>
      <c r="B48" s="18" t="s">
        <v>2454</v>
      </c>
      <c r="C48" s="12"/>
      <c r="D48" s="12">
        <v>1</v>
      </c>
      <c r="E48" s="13"/>
      <c r="F48" s="13"/>
      <c r="G48" s="13">
        <v>7.4999999999999997E-2</v>
      </c>
      <c r="H48" s="13"/>
      <c r="I48" s="13">
        <f>(2.8*F56+2.8*F57+4.5*F58+3.2*F59+3.2*F60+3.2*F61)</f>
        <v>407.63740000000001</v>
      </c>
      <c r="J48" s="344">
        <f>I48*G48*D48</f>
        <v>30.572804999999999</v>
      </c>
      <c r="K48" s="394" t="s">
        <v>750</v>
      </c>
      <c r="L48" s="825"/>
      <c r="M48" s="393"/>
      <c r="N48" s="4"/>
      <c r="O48" s="4"/>
      <c r="P48" s="4"/>
      <c r="Q48" s="4"/>
    </row>
    <row r="49" spans="1:19" ht="16.8">
      <c r="A49" s="10"/>
      <c r="B49" s="14"/>
      <c r="C49" s="12"/>
      <c r="D49" s="12"/>
      <c r="E49" s="13"/>
      <c r="F49" s="13"/>
      <c r="G49" s="13"/>
      <c r="H49" s="13"/>
      <c r="I49" s="15" t="s">
        <v>20</v>
      </c>
      <c r="J49" s="354">
        <f>SUM(J48:J48)</f>
        <v>30.572804999999999</v>
      </c>
      <c r="K49" s="16"/>
      <c r="L49" s="393">
        <v>13500</v>
      </c>
      <c r="M49" s="393">
        <f>L49*J49</f>
        <v>412732.86749999999</v>
      </c>
      <c r="N49" s="4"/>
      <c r="O49" s="4" t="s">
        <v>757</v>
      </c>
      <c r="P49" s="4"/>
      <c r="Q49" s="4"/>
      <c r="R49" s="381">
        <v>14630.41</v>
      </c>
      <c r="S49" s="386">
        <f>J49*R49</f>
        <v>447292.67200004996</v>
      </c>
    </row>
    <row r="50" spans="1:19" ht="16.8">
      <c r="A50" s="5">
        <v>6</v>
      </c>
      <c r="B50" s="6" t="s">
        <v>524</v>
      </c>
      <c r="C50" s="7" t="s">
        <v>21</v>
      </c>
      <c r="D50" s="7"/>
      <c r="E50" s="8"/>
      <c r="F50" s="8"/>
      <c r="G50" s="8"/>
      <c r="H50" s="8"/>
      <c r="I50" s="8"/>
      <c r="J50" s="385"/>
      <c r="K50" s="9"/>
      <c r="L50" s="778"/>
      <c r="M50" s="778"/>
      <c r="N50" s="4"/>
      <c r="O50" s="4"/>
      <c r="P50" s="4"/>
      <c r="Q50" s="4"/>
    </row>
    <row r="51" spans="1:19" ht="16.8">
      <c r="A51" s="10"/>
      <c r="B51" s="11" t="s">
        <v>2453</v>
      </c>
      <c r="C51" s="12"/>
      <c r="D51" s="12">
        <v>1</v>
      </c>
      <c r="E51" s="13"/>
      <c r="F51" s="766">
        <v>20.5</v>
      </c>
      <c r="G51" s="13"/>
      <c r="H51" s="13"/>
      <c r="I51" s="766">
        <v>32.649000000000001</v>
      </c>
      <c r="J51" s="395">
        <f>I51*F51</f>
        <v>669.30449999999996</v>
      </c>
      <c r="K51" s="16"/>
      <c r="L51" s="393"/>
      <c r="M51" s="393"/>
      <c r="N51" s="4"/>
      <c r="O51" s="4"/>
      <c r="P51" s="4"/>
      <c r="Q51" s="4"/>
    </row>
    <row r="52" spans="1:19" ht="16.8">
      <c r="A52" s="10"/>
      <c r="B52" s="11" t="s">
        <v>2452</v>
      </c>
      <c r="C52" s="12"/>
      <c r="D52" s="12">
        <v>1</v>
      </c>
      <c r="E52" s="13"/>
      <c r="F52" s="766">
        <v>26</v>
      </c>
      <c r="G52" s="13"/>
      <c r="H52" s="13"/>
      <c r="I52" s="766">
        <v>15.859</v>
      </c>
      <c r="J52" s="395">
        <f>I52*F52</f>
        <v>412.334</v>
      </c>
      <c r="K52" s="16"/>
      <c r="L52" s="393"/>
      <c r="M52" s="393"/>
      <c r="N52" s="4"/>
      <c r="O52" s="4"/>
      <c r="P52" s="4"/>
      <c r="Q52" s="4"/>
    </row>
    <row r="53" spans="1:19" ht="16.8">
      <c r="A53" s="10"/>
      <c r="B53" s="11" t="s">
        <v>2451</v>
      </c>
      <c r="C53" s="12"/>
      <c r="D53" s="12">
        <v>1</v>
      </c>
      <c r="E53" s="13"/>
      <c r="F53" s="766">
        <v>21.5</v>
      </c>
      <c r="G53" s="13"/>
      <c r="H53" s="13"/>
      <c r="I53" s="766">
        <v>109.861</v>
      </c>
      <c r="J53" s="395">
        <f>I53*F53</f>
        <v>2362.0115000000001</v>
      </c>
      <c r="K53" s="16"/>
      <c r="L53" s="393"/>
      <c r="M53" s="393"/>
      <c r="N53" s="4"/>
      <c r="O53" s="4"/>
      <c r="P53" s="4"/>
      <c r="Q53" s="4"/>
    </row>
    <row r="54" spans="1:19" ht="16.8">
      <c r="A54" s="10"/>
      <c r="B54" s="14"/>
      <c r="C54" s="12"/>
      <c r="D54" s="12"/>
      <c r="E54" s="13"/>
      <c r="F54" s="13"/>
      <c r="G54" s="13"/>
      <c r="H54" s="13"/>
      <c r="I54" s="15" t="s">
        <v>20</v>
      </c>
      <c r="J54" s="354">
        <f>SUM(J51:J53)</f>
        <v>3443.65</v>
      </c>
      <c r="K54" s="14"/>
      <c r="L54" s="393">
        <v>4956.5</v>
      </c>
      <c r="M54" s="393">
        <f>L54*J54</f>
        <v>17068451.225000001</v>
      </c>
      <c r="N54" s="4"/>
      <c r="O54" s="4"/>
      <c r="P54" s="4"/>
      <c r="Q54" s="4"/>
      <c r="R54" s="381">
        <v>12994.39</v>
      </c>
      <c r="S54" s="386">
        <f>J54*R54</f>
        <v>44748131.123499997</v>
      </c>
    </row>
    <row r="55" spans="1:19" ht="16.8">
      <c r="A55" s="5">
        <f>A50+1</f>
        <v>7</v>
      </c>
      <c r="B55" s="6" t="s">
        <v>29</v>
      </c>
      <c r="C55" s="7" t="s">
        <v>21</v>
      </c>
      <c r="D55" s="7"/>
      <c r="E55" s="8"/>
      <c r="F55" s="8"/>
      <c r="G55" s="8"/>
      <c r="H55" s="8"/>
      <c r="I55" s="8"/>
      <c r="J55" s="385"/>
      <c r="K55" s="9"/>
      <c r="L55" s="778"/>
      <c r="M55" s="778"/>
      <c r="N55" s="4"/>
      <c r="O55" s="4"/>
      <c r="P55" s="4"/>
      <c r="Q55" s="4"/>
    </row>
    <row r="56" spans="1:19" ht="16.8">
      <c r="A56" s="10"/>
      <c r="B56" s="11" t="s">
        <v>2450</v>
      </c>
      <c r="C56" s="12"/>
      <c r="D56" s="12">
        <v>1</v>
      </c>
      <c r="E56" s="13"/>
      <c r="F56" s="766">
        <v>21.65</v>
      </c>
      <c r="G56" s="13"/>
      <c r="H56" s="13"/>
      <c r="I56" s="766">
        <v>3.48</v>
      </c>
      <c r="J56" s="396">
        <f t="shared" ref="J56:J61" si="0">F56*I56</f>
        <v>75.341999999999999</v>
      </c>
      <c r="K56" s="14"/>
      <c r="L56" s="393"/>
      <c r="M56" s="393"/>
      <c r="N56" s="4"/>
      <c r="O56" s="4"/>
      <c r="P56" s="4"/>
      <c r="Q56" s="4"/>
    </row>
    <row r="57" spans="1:19" ht="16.8">
      <c r="A57" s="10"/>
      <c r="B57" s="11" t="s">
        <v>2449</v>
      </c>
      <c r="C57" s="12"/>
      <c r="D57" s="12">
        <v>1</v>
      </c>
      <c r="E57" s="13"/>
      <c r="F57" s="766">
        <v>20.526</v>
      </c>
      <c r="G57" s="13"/>
      <c r="H57" s="13"/>
      <c r="I57" s="766">
        <v>3.11</v>
      </c>
      <c r="J57" s="396">
        <f t="shared" si="0"/>
        <v>63.835859999999997</v>
      </c>
      <c r="K57" s="14"/>
      <c r="L57" s="393"/>
      <c r="M57" s="393"/>
      <c r="N57" s="4"/>
      <c r="O57" s="4"/>
      <c r="P57" s="4"/>
      <c r="Q57" s="4"/>
    </row>
    <row r="58" spans="1:19" ht="16.8">
      <c r="A58" s="10"/>
      <c r="B58" s="11" t="s">
        <v>2448</v>
      </c>
      <c r="C58" s="12"/>
      <c r="D58" s="12">
        <v>1</v>
      </c>
      <c r="E58" s="13"/>
      <c r="F58" s="766">
        <v>19.95</v>
      </c>
      <c r="G58" s="13"/>
      <c r="H58" s="13"/>
      <c r="I58" s="766">
        <v>11.53</v>
      </c>
      <c r="J58" s="396">
        <f t="shared" si="0"/>
        <v>230.02349999999998</v>
      </c>
      <c r="K58" s="14"/>
      <c r="L58" s="393"/>
      <c r="M58" s="393"/>
      <c r="N58" s="4"/>
      <c r="O58" s="4"/>
      <c r="P58" s="4"/>
      <c r="Q58" s="4"/>
    </row>
    <row r="59" spans="1:19" ht="16.8">
      <c r="A59" s="10"/>
      <c r="B59" s="11" t="s">
        <v>2447</v>
      </c>
      <c r="C59" s="12"/>
      <c r="D59" s="12">
        <v>1</v>
      </c>
      <c r="E59" s="13"/>
      <c r="F59" s="766">
        <v>18.565000000000001</v>
      </c>
      <c r="G59" s="13"/>
      <c r="H59" s="13"/>
      <c r="I59" s="766">
        <v>6.9080000000000004</v>
      </c>
      <c r="J59" s="396">
        <f t="shared" si="0"/>
        <v>128.24702000000002</v>
      </c>
      <c r="K59" s="14"/>
      <c r="L59" s="393"/>
      <c r="M59" s="393"/>
      <c r="N59" s="4"/>
      <c r="O59" s="4"/>
      <c r="P59" s="4"/>
      <c r="Q59" s="4"/>
    </row>
    <row r="60" spans="1:19" ht="16.8">
      <c r="A60" s="10"/>
      <c r="B60" s="11" t="s">
        <v>2446</v>
      </c>
      <c r="C60" s="12"/>
      <c r="D60" s="12">
        <v>1</v>
      </c>
      <c r="E60" s="13"/>
      <c r="F60" s="766">
        <v>18.146000000000001</v>
      </c>
      <c r="G60" s="13"/>
      <c r="H60" s="13"/>
      <c r="I60" s="766">
        <v>7.7</v>
      </c>
      <c r="J60" s="396">
        <f t="shared" si="0"/>
        <v>139.7242</v>
      </c>
      <c r="K60" s="14"/>
      <c r="L60" s="393"/>
      <c r="M60" s="393"/>
      <c r="N60" s="4"/>
      <c r="O60" s="4"/>
      <c r="P60" s="4"/>
      <c r="Q60" s="4"/>
    </row>
    <row r="61" spans="1:19" ht="16.8">
      <c r="A61" s="10"/>
      <c r="B61" s="11" t="s">
        <v>2445</v>
      </c>
      <c r="C61" s="12"/>
      <c r="D61" s="12">
        <v>1</v>
      </c>
      <c r="E61" s="13"/>
      <c r="F61" s="766">
        <v>25.716999999999999</v>
      </c>
      <c r="G61" s="13"/>
      <c r="H61" s="13"/>
      <c r="I61" s="766">
        <v>7.2080000000000002</v>
      </c>
      <c r="J61" s="396">
        <f t="shared" si="0"/>
        <v>185.36813599999999</v>
      </c>
      <c r="K61" s="14"/>
      <c r="L61" s="393"/>
      <c r="M61" s="393"/>
      <c r="N61" s="4"/>
      <c r="O61" s="4"/>
      <c r="P61" s="4"/>
      <c r="Q61" s="4"/>
    </row>
    <row r="62" spans="1:19" ht="16.8">
      <c r="A62" s="10"/>
      <c r="B62" s="11" t="s">
        <v>2444</v>
      </c>
      <c r="C62" s="12"/>
      <c r="D62" s="12">
        <v>1</v>
      </c>
      <c r="E62" s="13">
        <v>1</v>
      </c>
      <c r="F62" s="766"/>
      <c r="G62" s="13"/>
      <c r="H62" s="13"/>
      <c r="I62" s="766"/>
      <c r="J62" s="396"/>
      <c r="K62" s="14"/>
      <c r="L62" s="393"/>
      <c r="M62" s="393"/>
      <c r="N62" s="4"/>
      <c r="O62" s="4"/>
      <c r="P62" s="4"/>
      <c r="Q62" s="4"/>
    </row>
    <row r="63" spans="1:19" ht="16.8">
      <c r="A63" s="10"/>
      <c r="C63" s="12"/>
      <c r="D63" s="12"/>
      <c r="E63" s="13"/>
      <c r="F63" s="13"/>
      <c r="G63" s="13"/>
      <c r="H63" s="13"/>
      <c r="I63" s="15" t="s">
        <v>20</v>
      </c>
      <c r="J63" s="397">
        <f>SUM(J56:J61)</f>
        <v>822.54071599999997</v>
      </c>
      <c r="K63" s="14"/>
      <c r="L63" s="393">
        <v>17500</v>
      </c>
      <c r="M63" s="393">
        <f>L63*J63</f>
        <v>14394462.529999999</v>
      </c>
      <c r="N63" s="4"/>
      <c r="O63" s="4"/>
      <c r="P63" s="4"/>
      <c r="Q63" s="4"/>
      <c r="R63" s="381">
        <v>18524.060000000001</v>
      </c>
      <c r="S63" s="381">
        <f>J63*R63</f>
        <v>15236793.57562696</v>
      </c>
    </row>
    <row r="64" spans="1:19" ht="16.8">
      <c r="A64" s="5">
        <f>A55+1</f>
        <v>8</v>
      </c>
      <c r="B64" s="1442" t="s">
        <v>2442</v>
      </c>
      <c r="C64" s="7" t="s">
        <v>21</v>
      </c>
      <c r="D64" s="7"/>
      <c r="E64" s="8"/>
      <c r="F64" s="8"/>
      <c r="G64" s="8"/>
      <c r="H64" s="8"/>
      <c r="I64" s="8"/>
      <c r="J64" s="385"/>
      <c r="K64" s="9"/>
      <c r="L64" s="778"/>
      <c r="M64" s="778"/>
      <c r="N64" s="398"/>
      <c r="O64" s="398"/>
      <c r="P64" s="4"/>
      <c r="Q64" s="4"/>
    </row>
    <row r="65" spans="1:19" ht="16.8">
      <c r="A65" s="10"/>
      <c r="B65" s="11" t="s">
        <v>2441</v>
      </c>
      <c r="C65" s="12"/>
      <c r="D65" s="12">
        <v>1</v>
      </c>
      <c r="E65" s="13">
        <v>12.47</v>
      </c>
      <c r="F65" s="13">
        <f>F69</f>
        <v>21.088000000000001</v>
      </c>
      <c r="G65" s="13">
        <v>0.5</v>
      </c>
      <c r="H65" s="13"/>
      <c r="I65" s="13">
        <f>F65*E65</f>
        <v>262.96736000000004</v>
      </c>
      <c r="J65" s="396">
        <f>I65*G65</f>
        <v>131.48368000000002</v>
      </c>
      <c r="K65" s="14"/>
      <c r="L65" s="393"/>
      <c r="M65" s="393"/>
      <c r="N65" s="4"/>
      <c r="O65" s="4"/>
      <c r="P65" s="4"/>
      <c r="Q65" s="4"/>
    </row>
    <row r="66" spans="1:19" ht="16.8">
      <c r="A66" s="10"/>
      <c r="B66" s="11" t="s">
        <v>2440</v>
      </c>
      <c r="C66" s="12"/>
      <c r="D66" s="12">
        <v>1</v>
      </c>
      <c r="E66" s="13">
        <v>11.73</v>
      </c>
      <c r="F66" s="13">
        <f>F70</f>
        <v>20.238</v>
      </c>
      <c r="G66" s="13">
        <v>0.5</v>
      </c>
      <c r="H66" s="13"/>
      <c r="I66" s="13">
        <f>F66*E66</f>
        <v>237.39174</v>
      </c>
      <c r="J66" s="396">
        <f>I66*G66</f>
        <v>118.69587</v>
      </c>
      <c r="K66" s="14"/>
      <c r="L66" s="393"/>
      <c r="M66" s="393"/>
      <c r="N66" s="4"/>
      <c r="O66" s="4"/>
      <c r="P66" s="4"/>
      <c r="Q66" s="4"/>
    </row>
    <row r="67" spans="1:19" ht="16.8">
      <c r="A67" s="10"/>
      <c r="B67" s="18"/>
      <c r="C67" s="12"/>
      <c r="D67" s="12"/>
      <c r="E67" s="13"/>
      <c r="F67" s="13"/>
      <c r="G67" s="13"/>
      <c r="H67" s="13"/>
      <c r="I67" s="15" t="s">
        <v>20</v>
      </c>
      <c r="J67" s="397">
        <f>SUM(J65:J66)</f>
        <v>250.17955000000001</v>
      </c>
      <c r="K67" s="14"/>
      <c r="L67" s="393">
        <v>15000</v>
      </c>
      <c r="M67" s="393">
        <f>L67*J67</f>
        <v>3752693.25</v>
      </c>
      <c r="N67" s="4"/>
      <c r="O67" s="4"/>
      <c r="P67" s="4"/>
      <c r="Q67" s="4"/>
      <c r="R67" s="381">
        <v>20967.580000000002</v>
      </c>
      <c r="S67" s="381">
        <f>J67*R67</f>
        <v>5245659.7289890004</v>
      </c>
    </row>
    <row r="68" spans="1:19" s="1439" customFormat="1" ht="16.8">
      <c r="A68" s="5">
        <f>A64+1</f>
        <v>9</v>
      </c>
      <c r="B68" s="6" t="s">
        <v>2443</v>
      </c>
      <c r="C68" s="7" t="s">
        <v>21</v>
      </c>
      <c r="D68" s="7"/>
      <c r="E68" s="8"/>
      <c r="F68" s="8"/>
      <c r="G68" s="8"/>
      <c r="H68" s="8"/>
      <c r="I68" s="391"/>
      <c r="J68" s="1441"/>
      <c r="K68" s="6"/>
      <c r="L68" s="778"/>
      <c r="M68" s="778"/>
      <c r="N68" s="1440"/>
      <c r="O68" s="1440"/>
      <c r="P68" s="1440"/>
      <c r="Q68" s="1440"/>
    </row>
    <row r="69" spans="1:19" s="1436" customFormat="1" ht="16.8">
      <c r="A69" s="1113"/>
      <c r="B69" s="1434" t="s">
        <v>2441</v>
      </c>
      <c r="C69" s="45"/>
      <c r="D69" s="45">
        <v>1</v>
      </c>
      <c r="E69" s="22">
        <v>12.8</v>
      </c>
      <c r="F69" s="22">
        <f>(F56+F57)/2</f>
        <v>21.088000000000001</v>
      </c>
      <c r="G69" s="22"/>
      <c r="H69" s="1438"/>
      <c r="I69" s="977">
        <f>E69*F69</f>
        <v>269.9264</v>
      </c>
      <c r="J69" s="1435">
        <f>I69</f>
        <v>269.9264</v>
      </c>
      <c r="K69" s="404"/>
      <c r="L69" s="1437"/>
      <c r="M69" s="1437"/>
      <c r="N69" s="21"/>
      <c r="O69" s="21"/>
      <c r="P69" s="21"/>
      <c r="Q69" s="21"/>
    </row>
    <row r="70" spans="1:19" s="1436" customFormat="1" ht="16.8">
      <c r="A70" s="1113"/>
      <c r="B70" s="1434" t="s">
        <v>2440</v>
      </c>
      <c r="C70" s="45"/>
      <c r="D70" s="45">
        <v>1</v>
      </c>
      <c r="E70" s="22">
        <v>12.1</v>
      </c>
      <c r="F70" s="22">
        <f>(F57+F58)/2</f>
        <v>20.238</v>
      </c>
      <c r="G70" s="22"/>
      <c r="H70" s="1438"/>
      <c r="I70" s="977">
        <f>E70*F70</f>
        <v>244.87979999999999</v>
      </c>
      <c r="J70" s="1435">
        <f t="shared" ref="J70:J73" si="1">I70</f>
        <v>244.87979999999999</v>
      </c>
      <c r="K70" s="404"/>
      <c r="L70" s="1437"/>
      <c r="M70" s="1437"/>
      <c r="N70" s="21"/>
      <c r="O70" s="21"/>
      <c r="P70" s="21"/>
      <c r="Q70" s="21"/>
    </row>
    <row r="71" spans="1:19" s="1436" customFormat="1" ht="16.8">
      <c r="A71" s="1113"/>
      <c r="B71" s="1434" t="s">
        <v>2439</v>
      </c>
      <c r="C71" s="45"/>
      <c r="D71" s="45">
        <v>1</v>
      </c>
      <c r="E71" s="22">
        <v>12.6</v>
      </c>
      <c r="F71" s="1438">
        <f>(F58+F59)/2</f>
        <v>19.2575</v>
      </c>
      <c r="G71" s="22"/>
      <c r="H71" s="1438"/>
      <c r="I71" s="977">
        <f>E71*F71</f>
        <v>242.64449999999999</v>
      </c>
      <c r="J71" s="1435">
        <f t="shared" si="1"/>
        <v>242.64449999999999</v>
      </c>
      <c r="K71" s="404"/>
      <c r="L71" s="1437"/>
      <c r="M71" s="1437"/>
      <c r="N71" s="21"/>
      <c r="O71" s="21"/>
      <c r="P71" s="21"/>
      <c r="Q71" s="21"/>
    </row>
    <row r="72" spans="1:19" s="1436" customFormat="1" ht="16.8">
      <c r="A72" s="1113"/>
      <c r="B72" s="1434" t="s">
        <v>2438</v>
      </c>
      <c r="C72" s="45"/>
      <c r="D72" s="45">
        <v>1</v>
      </c>
      <c r="E72" s="22">
        <v>18.5</v>
      </c>
      <c r="F72" s="1438">
        <f>(F59+F60)/2</f>
        <v>18.355499999999999</v>
      </c>
      <c r="G72" s="22"/>
      <c r="H72" s="1438"/>
      <c r="I72" s="977">
        <f>E72*F72</f>
        <v>339.57675</v>
      </c>
      <c r="J72" s="1435">
        <f t="shared" si="1"/>
        <v>339.57675</v>
      </c>
      <c r="K72" s="404"/>
      <c r="L72" s="1437"/>
      <c r="M72" s="1437"/>
      <c r="N72" s="21"/>
      <c r="O72" s="21"/>
      <c r="P72" s="21"/>
      <c r="Q72" s="21"/>
    </row>
    <row r="73" spans="1:19" ht="16.8">
      <c r="A73" s="10"/>
      <c r="B73" s="1434" t="s">
        <v>2437</v>
      </c>
      <c r="C73" s="12"/>
      <c r="D73" s="12">
        <v>1</v>
      </c>
      <c r="E73" s="13">
        <v>40</v>
      </c>
      <c r="F73" s="403">
        <f>(F60+F61)/2</f>
        <v>21.9315</v>
      </c>
      <c r="G73" s="22"/>
      <c r="H73" s="403"/>
      <c r="I73" s="977">
        <f>E73*F73</f>
        <v>877.26</v>
      </c>
      <c r="J73" s="1435">
        <f t="shared" si="1"/>
        <v>877.26</v>
      </c>
      <c r="K73" s="14"/>
      <c r="L73" s="393"/>
      <c r="M73" s="393"/>
      <c r="N73" s="4"/>
      <c r="O73" s="4"/>
      <c r="P73" s="4"/>
      <c r="Q73" s="4"/>
    </row>
    <row r="74" spans="1:19" ht="16.8">
      <c r="A74" s="10"/>
      <c r="B74" s="1434"/>
      <c r="C74" s="12"/>
      <c r="D74" s="12"/>
      <c r="E74" s="13"/>
      <c r="F74" s="13"/>
      <c r="G74" s="13"/>
      <c r="H74" s="13"/>
      <c r="I74" s="15" t="s">
        <v>20</v>
      </c>
      <c r="J74" s="1433">
        <f>SUM(J69:J73)</f>
        <v>1974.28745</v>
      </c>
      <c r="K74" s="14"/>
      <c r="L74" s="393"/>
      <c r="M74" s="393"/>
      <c r="N74" s="4"/>
      <c r="O74" s="4"/>
      <c r="P74" s="4"/>
      <c r="Q74" s="4"/>
    </row>
    <row r="75" spans="1:19" ht="16.8">
      <c r="A75" s="5">
        <f>A68+1</f>
        <v>10</v>
      </c>
      <c r="B75" s="6" t="s">
        <v>24</v>
      </c>
      <c r="C75" s="7" t="s">
        <v>25</v>
      </c>
      <c r="D75" s="7"/>
      <c r="E75" s="8"/>
      <c r="F75" s="8"/>
      <c r="G75" s="8"/>
      <c r="H75" s="8"/>
      <c r="I75" s="8"/>
      <c r="J75" s="8"/>
      <c r="K75" s="387"/>
      <c r="L75" s="823"/>
      <c r="M75" s="778"/>
      <c r="N75" s="4"/>
      <c r="O75" s="4"/>
      <c r="P75" s="4"/>
      <c r="Q75" s="4"/>
    </row>
    <row r="76" spans="1:19" ht="16.8">
      <c r="A76" s="10"/>
      <c r="B76" s="11" t="s">
        <v>758</v>
      </c>
      <c r="C76" s="12"/>
      <c r="D76" s="12"/>
      <c r="E76" s="399" t="s">
        <v>1492</v>
      </c>
      <c r="F76" s="13"/>
      <c r="G76" s="13"/>
      <c r="H76" s="13"/>
      <c r="I76" s="13"/>
      <c r="J76" s="13">
        <f>ROUND(0.75%*J63*7.85,2)</f>
        <v>48.43</v>
      </c>
      <c r="K76" s="400"/>
      <c r="L76" s="826"/>
      <c r="M76" s="393"/>
      <c r="N76" s="4"/>
      <c r="O76" s="4"/>
      <c r="P76" s="4"/>
      <c r="Q76" s="4"/>
    </row>
    <row r="77" spans="1:19" ht="16.8">
      <c r="A77" s="10"/>
      <c r="B77" s="4"/>
      <c r="C77" s="12"/>
      <c r="D77" s="12"/>
      <c r="E77" s="13"/>
      <c r="F77" s="13"/>
      <c r="G77" s="13"/>
      <c r="H77" s="13"/>
      <c r="I77" s="15" t="s">
        <v>20</v>
      </c>
      <c r="J77" s="354">
        <f>SUM(J76:J76)</f>
        <v>48.43</v>
      </c>
      <c r="K77" s="14"/>
      <c r="L77" s="393">
        <v>130000</v>
      </c>
      <c r="M77" s="393">
        <f>L77*J77</f>
        <v>6295900</v>
      </c>
      <c r="N77" s="4"/>
      <c r="O77" s="399" t="s">
        <v>759</v>
      </c>
      <c r="P77" s="4"/>
      <c r="Q77" s="4"/>
      <c r="R77" s="381">
        <v>128761.68</v>
      </c>
      <c r="S77" s="386">
        <f>J77*R77</f>
        <v>6235928.1623999998</v>
      </c>
    </row>
    <row r="78" spans="1:19" ht="16.8">
      <c r="A78" s="10"/>
      <c r="B78" s="14"/>
      <c r="C78" s="12"/>
      <c r="D78" s="12"/>
      <c r="E78" s="13"/>
      <c r="F78" s="13"/>
      <c r="G78" s="346"/>
      <c r="H78" s="13"/>
      <c r="I78" s="13"/>
      <c r="J78" s="13"/>
      <c r="K78" s="13"/>
      <c r="L78" s="393"/>
      <c r="M78" s="393"/>
      <c r="N78" s="4"/>
      <c r="O78" s="399" t="s">
        <v>760</v>
      </c>
      <c r="P78" s="4"/>
      <c r="Q78" s="4"/>
    </row>
    <row r="79" spans="1:19" ht="67.2">
      <c r="A79" s="352">
        <v>11</v>
      </c>
      <c r="B79" s="353" t="s">
        <v>740</v>
      </c>
      <c r="C79" s="353"/>
      <c r="D79" s="353"/>
      <c r="E79" s="353"/>
      <c r="F79" s="353"/>
      <c r="G79" s="353"/>
      <c r="H79" s="353"/>
      <c r="I79" s="353"/>
      <c r="J79" s="353"/>
      <c r="K79" s="353"/>
      <c r="L79" s="827"/>
      <c r="M79" s="827"/>
      <c r="N79" s="4"/>
      <c r="O79" s="4"/>
      <c r="S79" s="402">
        <f>SUM(S11:S78)</f>
        <v>73872543.98951602</v>
      </c>
    </row>
    <row r="80" spans="1:19" ht="16.8">
      <c r="A80" s="10">
        <f>A79+0.1</f>
        <v>11.1</v>
      </c>
      <c r="B80" s="14" t="s">
        <v>155</v>
      </c>
      <c r="C80" s="12" t="s">
        <v>27</v>
      </c>
      <c r="D80" s="12"/>
      <c r="E80" s="14"/>
      <c r="F80" s="14"/>
      <c r="G80" s="14"/>
      <c r="H80" s="14"/>
      <c r="I80" s="14"/>
      <c r="J80" s="14"/>
      <c r="K80" s="14"/>
      <c r="L80" s="393"/>
      <c r="M80" s="393"/>
      <c r="N80" s="4"/>
      <c r="O80" s="4"/>
    </row>
    <row r="81" spans="1:18" ht="16.8">
      <c r="A81" s="10"/>
      <c r="B81" s="14"/>
      <c r="C81" s="12"/>
      <c r="D81" s="12">
        <v>2</v>
      </c>
      <c r="E81" s="14">
        <v>46</v>
      </c>
      <c r="F81" s="14"/>
      <c r="G81" s="503"/>
      <c r="H81" s="14"/>
      <c r="I81" s="14"/>
      <c r="J81" s="14">
        <f>D81*E81</f>
        <v>92</v>
      </c>
      <c r="K81" s="14"/>
      <c r="L81" s="393"/>
      <c r="M81" s="393"/>
      <c r="N81" s="4"/>
      <c r="O81" s="4"/>
    </row>
    <row r="82" spans="1:18" ht="16.8">
      <c r="A82" s="10"/>
      <c r="B82" s="14"/>
      <c r="C82" s="12"/>
      <c r="D82" s="12"/>
      <c r="E82" s="13"/>
      <c r="F82" s="13"/>
      <c r="G82" s="346"/>
      <c r="H82" s="13"/>
      <c r="I82" s="13" t="s">
        <v>20</v>
      </c>
      <c r="J82" s="354">
        <f>SUM(J81:J81)</f>
        <v>92</v>
      </c>
      <c r="K82" s="13"/>
      <c r="L82" s="393">
        <v>1693</v>
      </c>
      <c r="M82" s="393">
        <f>L82*J82</f>
        <v>155756</v>
      </c>
      <c r="N82" s="4"/>
      <c r="O82" s="4"/>
    </row>
    <row r="83" spans="1:18" ht="16.8">
      <c r="A83" s="10"/>
      <c r="B83" s="14"/>
      <c r="C83" s="12"/>
      <c r="D83" s="12"/>
      <c r="E83" s="13"/>
      <c r="F83" s="13"/>
      <c r="G83" s="346"/>
      <c r="H83" s="13"/>
      <c r="I83" s="13"/>
      <c r="J83" s="355"/>
      <c r="K83" s="13"/>
      <c r="L83" s="393"/>
      <c r="M83" s="393"/>
      <c r="N83" s="4"/>
      <c r="O83" s="4"/>
    </row>
    <row r="84" spans="1:18" ht="16.8">
      <c r="A84" s="10">
        <f>A80+0.1</f>
        <v>11.2</v>
      </c>
      <c r="B84" s="14" t="s">
        <v>174</v>
      </c>
      <c r="C84" s="12" t="s">
        <v>27</v>
      </c>
      <c r="D84" s="12">
        <v>2</v>
      </c>
      <c r="E84" s="14">
        <f>E81</f>
        <v>46</v>
      </c>
      <c r="F84" s="14"/>
      <c r="G84" s="14"/>
      <c r="H84" s="14"/>
      <c r="I84" s="14"/>
      <c r="J84" s="14">
        <f>D84*E84</f>
        <v>92</v>
      </c>
      <c r="K84" s="14"/>
      <c r="L84" s="393"/>
      <c r="M84" s="393"/>
      <c r="N84" s="4"/>
      <c r="O84" s="4"/>
      <c r="P84" s="14" t="s">
        <v>762</v>
      </c>
      <c r="Q84" s="14"/>
      <c r="R84" s="403">
        <f>39.25*2.5+59.5</f>
        <v>157.625</v>
      </c>
    </row>
    <row r="85" spans="1:18" ht="16.8">
      <c r="A85" s="10"/>
      <c r="B85" s="14"/>
      <c r="C85" s="12"/>
      <c r="D85" s="12"/>
      <c r="E85" s="14"/>
      <c r="F85" s="14"/>
      <c r="G85" s="503"/>
      <c r="H85" s="14"/>
      <c r="I85" s="14"/>
      <c r="J85" s="14"/>
      <c r="K85" s="14"/>
      <c r="L85" s="393"/>
      <c r="M85" s="393"/>
      <c r="N85" s="4"/>
      <c r="O85" s="4"/>
      <c r="P85" s="14"/>
      <c r="Q85" s="14"/>
      <c r="R85" s="403"/>
    </row>
    <row r="86" spans="1:18" ht="16.8">
      <c r="A86" s="10"/>
      <c r="B86" s="14"/>
      <c r="C86" s="12"/>
      <c r="D86" s="12"/>
      <c r="E86" s="13"/>
      <c r="F86" s="13"/>
      <c r="G86" s="346"/>
      <c r="H86" s="13"/>
      <c r="I86" s="13" t="s">
        <v>20</v>
      </c>
      <c r="J86" s="354">
        <f>J84</f>
        <v>92</v>
      </c>
      <c r="K86" s="13"/>
      <c r="L86" s="393">
        <v>1245</v>
      </c>
      <c r="M86" s="393">
        <f>L86*J86</f>
        <v>114540</v>
      </c>
      <c r="N86" s="4"/>
      <c r="O86" s="4"/>
      <c r="P86" s="14" t="s">
        <v>763</v>
      </c>
      <c r="Q86" s="14"/>
      <c r="R86" s="403">
        <f>2*40</f>
        <v>80</v>
      </c>
    </row>
    <row r="87" spans="1:18" ht="16.8">
      <c r="A87" s="10"/>
      <c r="B87" s="14"/>
      <c r="C87" s="12"/>
      <c r="D87" s="12"/>
      <c r="E87" s="13"/>
      <c r="F87" s="13"/>
      <c r="G87" s="346"/>
      <c r="H87" s="13"/>
      <c r="I87" s="13"/>
      <c r="J87" s="355"/>
      <c r="K87" s="13"/>
      <c r="L87" s="393"/>
      <c r="M87" s="393"/>
      <c r="N87" s="4"/>
      <c r="O87" s="4"/>
      <c r="P87" s="4"/>
      <c r="Q87" s="4"/>
    </row>
    <row r="88" spans="1:18" ht="16.8">
      <c r="A88" s="10">
        <f>A84+0.1</f>
        <v>11.299999999999999</v>
      </c>
      <c r="B88" s="14" t="s">
        <v>741</v>
      </c>
      <c r="C88" s="12" t="s">
        <v>27</v>
      </c>
      <c r="D88" s="12">
        <v>2</v>
      </c>
      <c r="E88" s="14">
        <v>10</v>
      </c>
      <c r="F88" s="14"/>
      <c r="G88" s="14"/>
      <c r="H88" s="14"/>
      <c r="I88" s="14"/>
      <c r="J88" s="14">
        <f>D88*2*E88</f>
        <v>40</v>
      </c>
      <c r="K88" s="14"/>
      <c r="L88" s="393"/>
      <c r="M88" s="393"/>
      <c r="N88" s="4"/>
      <c r="O88" s="4"/>
      <c r="P88" s="4"/>
      <c r="Q88" s="4"/>
    </row>
    <row r="89" spans="1:18" ht="16.8">
      <c r="A89" s="10"/>
      <c r="B89" s="14"/>
      <c r="C89" s="12"/>
      <c r="D89" s="12"/>
      <c r="E89" s="14"/>
      <c r="F89" s="14"/>
      <c r="G89" s="503"/>
      <c r="H89" s="14"/>
      <c r="I89" s="14"/>
      <c r="J89" s="14"/>
      <c r="K89" s="14"/>
      <c r="L89" s="393"/>
      <c r="M89" s="393"/>
      <c r="N89" s="4"/>
      <c r="O89" s="4"/>
      <c r="P89" s="4"/>
      <c r="Q89" s="4"/>
    </row>
    <row r="90" spans="1:18" ht="16.8">
      <c r="A90" s="10"/>
      <c r="B90" s="14"/>
      <c r="C90" s="12"/>
      <c r="D90" s="12"/>
      <c r="E90" s="13"/>
      <c r="F90" s="13"/>
      <c r="G90" s="13"/>
      <c r="H90" s="13"/>
      <c r="I90" s="13" t="s">
        <v>20</v>
      </c>
      <c r="J90" s="354">
        <f>J88</f>
        <v>40</v>
      </c>
      <c r="K90" s="13"/>
      <c r="L90" s="393">
        <v>1208</v>
      </c>
      <c r="M90" s="393">
        <f>L90*J90</f>
        <v>48320</v>
      </c>
      <c r="N90" s="4"/>
      <c r="O90" s="4"/>
      <c r="P90" s="4"/>
      <c r="Q90" s="4"/>
    </row>
    <row r="91" spans="1:18" ht="16.8">
      <c r="A91" s="818"/>
      <c r="B91" s="4"/>
      <c r="C91" s="19"/>
      <c r="D91" s="19"/>
      <c r="E91" s="20"/>
      <c r="F91" s="20"/>
      <c r="G91" s="20"/>
      <c r="H91" s="20"/>
      <c r="I91" s="20"/>
      <c r="J91" s="829"/>
      <c r="K91" s="20"/>
      <c r="L91" s="830" t="s">
        <v>20</v>
      </c>
      <c r="M91" s="830">
        <f>SUM(M11:M90)</f>
        <v>47493217.541500002</v>
      </c>
      <c r="N91" s="4"/>
      <c r="O91" s="4"/>
      <c r="P91" s="4"/>
      <c r="Q91" s="4"/>
    </row>
    <row r="92" spans="1:18" ht="16.8">
      <c r="A92" s="818"/>
      <c r="B92" s="4"/>
      <c r="C92" s="19"/>
      <c r="D92" s="19"/>
      <c r="E92" s="20"/>
      <c r="F92" s="20"/>
      <c r="G92" s="20"/>
      <c r="H92" s="20"/>
      <c r="I92" s="20"/>
      <c r="J92" s="829"/>
      <c r="K92" s="20"/>
      <c r="L92" s="388"/>
      <c r="M92" s="388" t="s">
        <v>1238</v>
      </c>
      <c r="N92" s="4"/>
      <c r="O92" s="4"/>
      <c r="P92" s="4"/>
      <c r="Q92" s="4"/>
    </row>
    <row r="93" spans="1:18" ht="18">
      <c r="M93" s="828"/>
      <c r="N93" s="4"/>
      <c r="O93" s="4"/>
      <c r="P93" s="4"/>
      <c r="Q93" s="4"/>
    </row>
    <row r="96" spans="1:18" ht="18">
      <c r="G96" s="656">
        <v>1245</v>
      </c>
    </row>
    <row r="97" spans="7:7" ht="18">
      <c r="G97" s="656">
        <v>1208</v>
      </c>
    </row>
    <row r="98" spans="7:7" ht="18">
      <c r="G98" s="656">
        <v>1693</v>
      </c>
    </row>
  </sheetData>
  <printOptions horizontalCentered="1"/>
  <pageMargins left="0.7" right="0.7" top="0.71" bottom="0.59" header="0.3" footer="0.16"/>
  <pageSetup paperSize="9" scale="85" fitToHeight="10" orientation="landscape" r:id="rId1"/>
  <rowBreaks count="1" manualBreakCount="1">
    <brk id="77" max="10" man="1"/>
  </rowBreaks>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7">
    <tabColor rgb="FF7030A0"/>
  </sheetPr>
  <dimension ref="A1:M87"/>
  <sheetViews>
    <sheetView workbookViewId="0"/>
  </sheetViews>
  <sheetFormatPr defaultRowHeight="13.2"/>
  <cols>
    <col min="1" max="1" width="12.109375" customWidth="1"/>
    <col min="2" max="2" width="35.33203125" bestFit="1" customWidth="1"/>
    <col min="3" max="3" width="6.109375" bestFit="1" customWidth="1"/>
    <col min="4" max="4" width="5.44140625" bestFit="1" customWidth="1"/>
    <col min="5" max="5" width="9.33203125" customWidth="1"/>
    <col min="6" max="6" width="10.33203125" customWidth="1"/>
    <col min="7" max="7" width="9.44140625" customWidth="1"/>
    <col min="8" max="8" width="13.33203125" customWidth="1"/>
    <col min="9" max="9" width="10.6640625" customWidth="1"/>
    <col min="10" max="10" width="14" bestFit="1" customWidth="1"/>
    <col min="11" max="11" width="17.88671875" customWidth="1"/>
    <col min="12" max="12" width="11.44140625" style="820" bestFit="1" customWidth="1"/>
    <col min="13" max="13" width="14.88671875" style="820" bestFit="1" customWidth="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1572</v>
      </c>
      <c r="C6" s="523"/>
      <c r="D6" s="537"/>
      <c r="E6" s="1223"/>
      <c r="J6" s="1276" t="s">
        <v>171</v>
      </c>
      <c r="K6" s="523" t="s">
        <v>1563</v>
      </c>
    </row>
    <row r="7" spans="1:13" s="520" customFormat="1" ht="19.2">
      <c r="A7" s="119" t="s">
        <v>4</v>
      </c>
      <c r="B7" s="1247"/>
      <c r="C7" s="523"/>
      <c r="D7" s="537"/>
      <c r="E7" s="1223"/>
      <c r="J7" s="1276" t="s">
        <v>106</v>
      </c>
      <c r="K7" s="1277">
        <f ca="1">TODAY()</f>
        <v>44942</v>
      </c>
    </row>
    <row r="8" spans="1:13" ht="16.8">
      <c r="A8" s="4"/>
      <c r="B8" s="55"/>
    </row>
    <row r="10" spans="1:13" ht="16.8">
      <c r="A10" s="800" t="s">
        <v>7</v>
      </c>
      <c r="B10" s="800" t="s">
        <v>8</v>
      </c>
      <c r="C10" s="800" t="s">
        <v>9</v>
      </c>
      <c r="D10" s="800" t="s">
        <v>10</v>
      </c>
      <c r="E10" s="801" t="s">
        <v>11</v>
      </c>
      <c r="F10" s="801" t="s">
        <v>12</v>
      </c>
      <c r="G10" s="801" t="s">
        <v>13</v>
      </c>
      <c r="H10" s="801" t="s">
        <v>14</v>
      </c>
      <c r="I10" s="801" t="s">
        <v>15</v>
      </c>
      <c r="J10" s="801" t="s">
        <v>16</v>
      </c>
      <c r="K10" s="831" t="s">
        <v>17</v>
      </c>
      <c r="L10" s="841" t="s">
        <v>1230</v>
      </c>
      <c r="M10" s="841" t="s">
        <v>304</v>
      </c>
    </row>
    <row r="11" spans="1:13" s="706" customFormat="1" ht="16.8">
      <c r="A11" s="441">
        <v>1</v>
      </c>
      <c r="B11" s="390" t="s">
        <v>18</v>
      </c>
      <c r="C11" s="707" t="s">
        <v>19</v>
      </c>
      <c r="D11" s="707"/>
      <c r="E11" s="708"/>
      <c r="F11" s="708"/>
      <c r="G11" s="708"/>
      <c r="H11" s="708"/>
      <c r="I11" s="708"/>
      <c r="J11" s="385"/>
      <c r="K11" s="832"/>
      <c r="L11" s="500"/>
      <c r="M11" s="500"/>
    </row>
    <row r="12" spans="1:13" ht="16.8">
      <c r="A12" s="10"/>
      <c r="B12" s="11" t="s">
        <v>781</v>
      </c>
      <c r="C12" s="12"/>
      <c r="D12" s="12">
        <v>1</v>
      </c>
      <c r="E12" s="13"/>
      <c r="F12" s="13"/>
      <c r="G12" s="13"/>
      <c r="H12" s="13"/>
      <c r="I12" s="766">
        <v>679.66499999999996</v>
      </c>
      <c r="J12" s="13">
        <f>I12*1.1</f>
        <v>747.63150000000007</v>
      </c>
      <c r="K12" s="1430"/>
      <c r="L12" s="497"/>
      <c r="M12" s="497"/>
    </row>
    <row r="13" spans="1:13" ht="16.8">
      <c r="A13" s="10"/>
      <c r="B13" s="11" t="s">
        <v>1203</v>
      </c>
      <c r="C13" s="12"/>
      <c r="D13" s="12">
        <v>1</v>
      </c>
      <c r="E13" s="13"/>
      <c r="F13" s="13"/>
      <c r="G13" s="13"/>
      <c r="H13" s="13"/>
      <c r="I13" s="766">
        <v>208.02199999999999</v>
      </c>
      <c r="J13" s="13">
        <f>I13*1.1</f>
        <v>228.82420000000002</v>
      </c>
      <c r="K13" s="1430"/>
      <c r="L13" s="497"/>
      <c r="M13" s="497"/>
    </row>
    <row r="14" spans="1:13" ht="16.8">
      <c r="A14" s="10"/>
      <c r="B14" s="14"/>
      <c r="C14" s="12"/>
      <c r="D14" s="12"/>
      <c r="E14" s="13"/>
      <c r="F14" s="13"/>
      <c r="G14" s="13"/>
      <c r="H14" s="13"/>
      <c r="I14" s="536" t="s">
        <v>20</v>
      </c>
      <c r="J14" s="354">
        <f>SUM(J12:J13)</f>
        <v>976.45570000000009</v>
      </c>
      <c r="K14" s="833"/>
      <c r="L14" s="393">
        <v>40.5</v>
      </c>
      <c r="M14" s="393">
        <f>L14*J14</f>
        <v>39546.455850000006</v>
      </c>
    </row>
    <row r="15" spans="1:13" ht="16.8">
      <c r="A15" s="10"/>
      <c r="B15" s="14"/>
      <c r="C15" s="12"/>
      <c r="D15" s="12"/>
      <c r="E15" s="13"/>
      <c r="F15" s="13"/>
      <c r="G15" s="13"/>
      <c r="H15" s="13"/>
      <c r="I15" s="15"/>
      <c r="J15" s="355"/>
      <c r="K15" s="833"/>
      <c r="L15" s="393"/>
      <c r="M15" s="393"/>
    </row>
    <row r="16" spans="1:13" s="706" customFormat="1" ht="16.8">
      <c r="A16" s="707">
        <f>A11+1</f>
        <v>2</v>
      </c>
      <c r="B16" s="6" t="s">
        <v>97</v>
      </c>
      <c r="C16" s="441" t="s">
        <v>21</v>
      </c>
      <c r="D16" s="441"/>
      <c r="E16" s="441"/>
      <c r="F16" s="441"/>
      <c r="G16" s="441"/>
      <c r="H16" s="441"/>
      <c r="I16" s="441"/>
      <c r="J16" s="441"/>
      <c r="K16" s="834"/>
      <c r="L16" s="842"/>
      <c r="M16" s="842"/>
    </row>
    <row r="17" spans="1:13" ht="16.8">
      <c r="A17" s="10"/>
      <c r="B17" s="11" t="s">
        <v>2455</v>
      </c>
      <c r="C17" s="12"/>
      <c r="D17" s="12">
        <v>1</v>
      </c>
      <c r="E17" s="393"/>
      <c r="F17" s="13">
        <v>6.5</v>
      </c>
      <c r="G17" s="13"/>
      <c r="H17" s="13"/>
      <c r="I17" s="766">
        <v>57.9</v>
      </c>
      <c r="J17" s="13">
        <f>I17*F17*D17</f>
        <v>376.34999999999997</v>
      </c>
      <c r="K17" s="835"/>
      <c r="L17" s="826"/>
      <c r="M17" s="826"/>
    </row>
    <row r="18" spans="1:13" ht="16.8">
      <c r="A18" s="10"/>
      <c r="B18" s="11" t="s">
        <v>781</v>
      </c>
      <c r="C18" s="12"/>
      <c r="D18" s="12">
        <v>1</v>
      </c>
      <c r="E18" s="393"/>
      <c r="F18" s="13">
        <v>5.6</v>
      </c>
      <c r="G18" s="13"/>
      <c r="H18" s="13"/>
      <c r="I18" s="766">
        <v>650.24</v>
      </c>
      <c r="J18" s="13">
        <f>I18*F18*D18</f>
        <v>3641.3439999999996</v>
      </c>
      <c r="K18" s="835"/>
      <c r="L18" s="826"/>
      <c r="M18" s="826"/>
    </row>
    <row r="19" spans="1:13" ht="16.8">
      <c r="A19" s="10"/>
      <c r="B19" s="11" t="s">
        <v>784</v>
      </c>
      <c r="C19" s="12"/>
      <c r="D19" s="12">
        <v>1</v>
      </c>
      <c r="E19" s="393"/>
      <c r="F19" s="13">
        <v>2.6</v>
      </c>
      <c r="G19" s="13"/>
      <c r="H19" s="13"/>
      <c r="I19" s="766">
        <v>76.769000000000005</v>
      </c>
      <c r="J19" s="13">
        <f>I19*F19*D19</f>
        <v>199.59940000000003</v>
      </c>
      <c r="K19" s="498"/>
      <c r="L19" s="393"/>
      <c r="M19" s="393"/>
    </row>
    <row r="20" spans="1:13" ht="16.8">
      <c r="A20" s="10"/>
      <c r="B20" s="11" t="s">
        <v>1204</v>
      </c>
      <c r="C20" s="12"/>
      <c r="D20" s="12">
        <v>1</v>
      </c>
      <c r="E20" s="393"/>
      <c r="F20" s="13">
        <v>1.3</v>
      </c>
      <c r="G20" s="13"/>
      <c r="H20" s="13"/>
      <c r="I20" s="766">
        <v>99.83</v>
      </c>
      <c r="J20" s="13">
        <f>I20*F20</f>
        <v>129.779</v>
      </c>
      <c r="K20" s="498"/>
      <c r="L20" s="393"/>
      <c r="M20" s="393"/>
    </row>
    <row r="21" spans="1:13" ht="16.8">
      <c r="A21" s="10"/>
      <c r="B21" s="14"/>
      <c r="C21" s="12"/>
      <c r="D21" s="12"/>
      <c r="E21" s="13"/>
      <c r="F21" s="13"/>
      <c r="G21" s="13"/>
      <c r="H21" s="13"/>
      <c r="I21" s="536" t="s">
        <v>20</v>
      </c>
      <c r="J21" s="354">
        <f>SUM(J17:J20)</f>
        <v>4347.0723999999991</v>
      </c>
      <c r="K21" s="836"/>
      <c r="L21" s="393"/>
      <c r="M21" s="393"/>
    </row>
    <row r="22" spans="1:13" ht="16.8">
      <c r="A22" s="10"/>
      <c r="B22" s="14"/>
      <c r="C22" s="12"/>
      <c r="D22" s="12"/>
      <c r="E22" s="13"/>
      <c r="F22" s="13"/>
      <c r="G22" s="13"/>
      <c r="H22" s="13"/>
      <c r="I22" s="15"/>
      <c r="J22" s="354">
        <f>20%*J21</f>
        <v>869.41447999999991</v>
      </c>
      <c r="K22" s="836" t="s">
        <v>1501</v>
      </c>
      <c r="L22" s="393">
        <v>320</v>
      </c>
      <c r="M22" s="393">
        <f>L22*J22</f>
        <v>278212.63359999994</v>
      </c>
    </row>
    <row r="23" spans="1:13" ht="16.8">
      <c r="A23" s="10"/>
      <c r="B23" s="14"/>
      <c r="C23" s="12"/>
      <c r="D23" s="12"/>
      <c r="E23" s="13"/>
      <c r="F23" s="13"/>
      <c r="G23" s="13"/>
      <c r="H23" s="13"/>
      <c r="I23" s="15"/>
      <c r="J23" s="354">
        <f>80%*J21</f>
        <v>3477.6579199999996</v>
      </c>
      <c r="K23" s="836" t="s">
        <v>1500</v>
      </c>
      <c r="L23" s="393">
        <v>1350</v>
      </c>
      <c r="M23" s="393">
        <f>L23*J23</f>
        <v>4694838.1919999998</v>
      </c>
    </row>
    <row r="24" spans="1:13" s="706" customFormat="1" ht="16.8">
      <c r="A24" s="441">
        <v>3</v>
      </c>
      <c r="B24" s="390" t="s">
        <v>22</v>
      </c>
      <c r="C24" s="707" t="s">
        <v>21</v>
      </c>
      <c r="D24" s="707"/>
      <c r="E24" s="708"/>
      <c r="F24" s="708"/>
      <c r="G24" s="708"/>
      <c r="H24" s="708"/>
      <c r="I24" s="708"/>
      <c r="J24" s="385"/>
      <c r="K24" s="832"/>
      <c r="L24" s="500"/>
      <c r="M24" s="500"/>
    </row>
    <row r="25" spans="1:13" ht="16.8">
      <c r="A25" s="10"/>
      <c r="B25" s="11" t="s">
        <v>2455</v>
      </c>
      <c r="C25" s="12"/>
      <c r="D25" s="12">
        <v>1</v>
      </c>
      <c r="E25" s="13"/>
      <c r="F25" s="13">
        <v>6.5</v>
      </c>
      <c r="G25" s="13"/>
      <c r="H25" s="13"/>
      <c r="I25" s="1446">
        <v>12.717000000000001</v>
      </c>
      <c r="J25" s="344">
        <f>I25*F25*D25</f>
        <v>82.660499999999999</v>
      </c>
      <c r="K25" s="833"/>
      <c r="L25" s="393"/>
      <c r="M25" s="393"/>
    </row>
    <row r="26" spans="1:13" ht="16.8">
      <c r="A26" s="10"/>
      <c r="B26" s="11" t="s">
        <v>551</v>
      </c>
      <c r="C26" s="12"/>
      <c r="D26" s="12">
        <v>1</v>
      </c>
      <c r="E26" s="13"/>
      <c r="F26" s="13">
        <v>5.6</v>
      </c>
      <c r="G26" s="13"/>
      <c r="H26" s="13"/>
      <c r="I26" s="1446">
        <f>(11.013+17.668)</f>
        <v>28.680999999999997</v>
      </c>
      <c r="J26" s="344">
        <f>F26*I26</f>
        <v>160.61359999999996</v>
      </c>
      <c r="K26" s="833"/>
      <c r="L26" s="393"/>
      <c r="M26" s="393"/>
    </row>
    <row r="27" spans="1:13" ht="16.8">
      <c r="A27" s="10"/>
      <c r="B27" s="389" t="s">
        <v>784</v>
      </c>
      <c r="C27" s="12"/>
      <c r="D27" s="12">
        <v>1</v>
      </c>
      <c r="E27" s="393"/>
      <c r="F27" s="13">
        <v>2.6</v>
      </c>
      <c r="G27" s="13"/>
      <c r="H27" s="13"/>
      <c r="I27" s="1446">
        <f>24.367+6.423</f>
        <v>30.79</v>
      </c>
      <c r="J27" s="344">
        <f>I27*F27*D27</f>
        <v>80.054000000000002</v>
      </c>
      <c r="K27" s="498"/>
      <c r="L27" s="393"/>
      <c r="M27" s="393"/>
    </row>
    <row r="28" spans="1:13" ht="16.8">
      <c r="A28" s="10"/>
      <c r="B28" s="389" t="s">
        <v>1204</v>
      </c>
      <c r="C28" s="12"/>
      <c r="D28" s="12">
        <v>1</v>
      </c>
      <c r="E28" s="393"/>
      <c r="F28" s="13">
        <v>1.3</v>
      </c>
      <c r="G28" s="13"/>
      <c r="H28" s="13"/>
      <c r="I28" s="1446">
        <v>2.7450000000000001</v>
      </c>
      <c r="J28" s="344">
        <f>F28*I28</f>
        <v>3.5685000000000002</v>
      </c>
      <c r="K28" s="498"/>
      <c r="L28" s="393"/>
      <c r="M28" s="393"/>
    </row>
    <row r="29" spans="1:13" ht="16.8">
      <c r="A29" s="10"/>
      <c r="B29" s="14"/>
      <c r="C29" s="12"/>
      <c r="D29" s="12"/>
      <c r="E29" s="13"/>
      <c r="F29" s="13"/>
      <c r="G29" s="13"/>
      <c r="H29" s="13"/>
      <c r="I29" s="15" t="s">
        <v>20</v>
      </c>
      <c r="J29" s="355">
        <f>SUM(J25:J28)</f>
        <v>326.89659999999992</v>
      </c>
      <c r="K29" s="498" t="s">
        <v>973</v>
      </c>
      <c r="L29" s="393">
        <v>210</v>
      </c>
      <c r="M29" s="393">
        <f>L29*J29</f>
        <v>68648.285999999978</v>
      </c>
    </row>
    <row r="30" spans="1:13" s="706" customFormat="1" ht="16.8">
      <c r="A30" s="441">
        <v>4</v>
      </c>
      <c r="B30" s="390" t="s">
        <v>101</v>
      </c>
      <c r="C30" s="707" t="s">
        <v>19</v>
      </c>
      <c r="D30" s="707"/>
      <c r="E30" s="708"/>
      <c r="F30" s="708"/>
      <c r="G30" s="708"/>
      <c r="H30" s="708"/>
      <c r="I30" s="708"/>
      <c r="J30" s="385"/>
      <c r="K30" s="832"/>
      <c r="L30" s="500"/>
      <c r="M30" s="500"/>
    </row>
    <row r="31" spans="1:13" ht="16.8">
      <c r="A31" s="10"/>
      <c r="B31" s="803" t="s">
        <v>2455</v>
      </c>
      <c r="C31" s="12"/>
      <c r="D31" s="14"/>
      <c r="E31" s="14"/>
      <c r="F31" s="14"/>
      <c r="G31" s="14"/>
      <c r="H31" s="14"/>
      <c r="I31" s="14"/>
      <c r="J31" s="14"/>
      <c r="K31" s="14"/>
      <c r="L31" s="393"/>
      <c r="M31" s="393"/>
    </row>
    <row r="32" spans="1:13" ht="16.8">
      <c r="A32" s="10"/>
      <c r="B32" s="11" t="s">
        <v>2456</v>
      </c>
      <c r="C32" s="12"/>
      <c r="D32" s="12">
        <v>1</v>
      </c>
      <c r="E32" s="13"/>
      <c r="F32" s="13">
        <v>3.25</v>
      </c>
      <c r="G32" s="13">
        <v>4.5</v>
      </c>
      <c r="H32" s="13"/>
      <c r="I32" s="766">
        <f>G32*F32</f>
        <v>14.625</v>
      </c>
      <c r="J32" s="13">
        <f>I32*D32</f>
        <v>14.625</v>
      </c>
      <c r="K32" s="14"/>
      <c r="L32" s="393"/>
      <c r="M32" s="393"/>
    </row>
    <row r="33" spans="1:13" ht="16.8">
      <c r="A33" s="10"/>
      <c r="B33" s="11" t="s">
        <v>1205</v>
      </c>
      <c r="C33" s="12"/>
      <c r="D33" s="12">
        <v>2</v>
      </c>
      <c r="E33" s="13"/>
      <c r="F33" s="13"/>
      <c r="G33" s="13"/>
      <c r="H33" s="13"/>
      <c r="I33" s="766">
        <v>22.204999999999998</v>
      </c>
      <c r="J33" s="13">
        <f>I33*D33</f>
        <v>44.41</v>
      </c>
      <c r="K33" s="498"/>
      <c r="L33" s="393"/>
      <c r="M33" s="393"/>
    </row>
    <row r="34" spans="1:13" ht="16.8">
      <c r="A34" s="10"/>
      <c r="B34" s="802" t="s">
        <v>551</v>
      </c>
      <c r="C34" s="12"/>
      <c r="D34" s="12"/>
      <c r="E34" s="13"/>
      <c r="F34" s="13"/>
      <c r="G34" s="13"/>
      <c r="H34" s="13"/>
      <c r="I34" s="766"/>
      <c r="J34" s="13"/>
      <c r="K34" s="498"/>
      <c r="L34" s="393"/>
      <c r="M34" s="393"/>
    </row>
    <row r="35" spans="1:13" ht="16.8">
      <c r="A35" s="10"/>
      <c r="B35" s="11" t="s">
        <v>1200</v>
      </c>
      <c r="C35" s="12"/>
      <c r="D35" s="12">
        <v>1</v>
      </c>
      <c r="E35" s="13"/>
      <c r="F35" s="13">
        <v>7.76</v>
      </c>
      <c r="G35" s="13">
        <v>6.11</v>
      </c>
      <c r="H35" s="13"/>
      <c r="I35" s="766">
        <f>G35*F35</f>
        <v>47.413600000000002</v>
      </c>
      <c r="J35" s="13">
        <f>I35*D35</f>
        <v>47.413600000000002</v>
      </c>
      <c r="K35" s="498"/>
      <c r="L35" s="393"/>
      <c r="M35" s="393"/>
    </row>
    <row r="36" spans="1:13" ht="16.8">
      <c r="A36" s="10"/>
      <c r="B36" s="11" t="s">
        <v>1201</v>
      </c>
      <c r="C36" s="12"/>
      <c r="D36" s="12">
        <v>1</v>
      </c>
      <c r="E36" s="13"/>
      <c r="F36" s="13">
        <v>3.5</v>
      </c>
      <c r="G36" s="13">
        <v>4</v>
      </c>
      <c r="H36" s="13"/>
      <c r="I36" s="766">
        <f>G36*F36</f>
        <v>14</v>
      </c>
      <c r="J36" s="13">
        <f>I36*D36</f>
        <v>14</v>
      </c>
      <c r="K36" s="498"/>
      <c r="L36" s="393"/>
      <c r="M36" s="393"/>
    </row>
    <row r="37" spans="1:13" ht="16.8">
      <c r="A37" s="10"/>
      <c r="B37" s="11" t="s">
        <v>1205</v>
      </c>
      <c r="C37" s="12"/>
      <c r="D37" s="12">
        <v>2</v>
      </c>
      <c r="E37" s="13"/>
      <c r="F37" s="13"/>
      <c r="G37" s="13"/>
      <c r="H37" s="13"/>
      <c r="I37" s="766">
        <v>97.04</v>
      </c>
      <c r="J37" s="13">
        <f>D37*I37</f>
        <v>194.08</v>
      </c>
      <c r="K37" s="498"/>
      <c r="L37" s="393"/>
      <c r="M37" s="393"/>
    </row>
    <row r="38" spans="1:13" ht="16.8">
      <c r="A38" s="10"/>
      <c r="B38" s="11" t="s">
        <v>1206</v>
      </c>
      <c r="C38" s="12"/>
      <c r="D38" s="12">
        <v>2</v>
      </c>
      <c r="E38" s="13"/>
      <c r="F38" s="13"/>
      <c r="G38" s="13"/>
      <c r="H38" s="13"/>
      <c r="I38" s="766">
        <v>937.57299999999998</v>
      </c>
      <c r="J38" s="13">
        <f>I38*D38</f>
        <v>1875.146</v>
      </c>
      <c r="K38" s="498"/>
      <c r="L38" s="393"/>
      <c r="M38" s="393"/>
    </row>
    <row r="39" spans="1:13" ht="16.8">
      <c r="A39" s="10"/>
      <c r="B39" s="11" t="s">
        <v>783</v>
      </c>
      <c r="C39" s="12"/>
      <c r="D39" s="12">
        <v>2</v>
      </c>
      <c r="E39" s="13"/>
      <c r="F39" s="13"/>
      <c r="G39" s="13"/>
      <c r="H39" s="13"/>
      <c r="I39" s="766">
        <v>827.02700000000004</v>
      </c>
      <c r="J39" s="13">
        <f>I39*D39</f>
        <v>1654.0540000000001</v>
      </c>
      <c r="K39" s="498"/>
      <c r="L39" s="393"/>
      <c r="M39" s="393"/>
    </row>
    <row r="40" spans="1:13" ht="16.8">
      <c r="A40" s="10"/>
      <c r="B40" s="11" t="s">
        <v>739</v>
      </c>
      <c r="C40" s="12"/>
      <c r="D40" s="12">
        <v>2</v>
      </c>
      <c r="E40" s="13"/>
      <c r="F40" s="13">
        <f>(6.35+0.9)</f>
        <v>7.25</v>
      </c>
      <c r="G40" s="13">
        <v>8.9499999999999993</v>
      </c>
      <c r="H40" s="13"/>
      <c r="I40" s="766">
        <f>G40*F40</f>
        <v>64.887499999999989</v>
      </c>
      <c r="J40" s="13">
        <f>I40*D40</f>
        <v>129.77499999999998</v>
      </c>
      <c r="K40" s="498"/>
      <c r="L40" s="393"/>
      <c r="M40" s="393"/>
    </row>
    <row r="41" spans="1:13" ht="16.8">
      <c r="A41" s="10"/>
      <c r="B41" s="11" t="s">
        <v>1208</v>
      </c>
      <c r="C41" s="12"/>
      <c r="D41" s="12">
        <v>1</v>
      </c>
      <c r="E41" s="13">
        <v>3.3</v>
      </c>
      <c r="F41" s="13">
        <v>3.6</v>
      </c>
      <c r="G41" s="13"/>
      <c r="H41" s="13"/>
      <c r="I41" s="766">
        <f>F41*E41</f>
        <v>11.879999999999999</v>
      </c>
      <c r="J41" s="13">
        <f>I41*D41</f>
        <v>11.879999999999999</v>
      </c>
      <c r="K41" s="498"/>
      <c r="L41" s="393"/>
      <c r="M41" s="393"/>
    </row>
    <row r="42" spans="1:13" ht="16.8">
      <c r="A42" s="10"/>
      <c r="B42" s="803" t="s">
        <v>784</v>
      </c>
      <c r="C42" s="12"/>
      <c r="D42" s="12"/>
      <c r="E42" s="13"/>
      <c r="F42" s="13"/>
      <c r="G42" s="13"/>
      <c r="H42" s="13"/>
      <c r="I42" s="13"/>
      <c r="J42" s="13"/>
      <c r="K42" s="498"/>
      <c r="L42" s="393"/>
      <c r="M42" s="393"/>
    </row>
    <row r="43" spans="1:13" ht="16.8">
      <c r="A43" s="10"/>
      <c r="B43" s="11" t="s">
        <v>403</v>
      </c>
      <c r="C43" s="12"/>
      <c r="D43" s="12">
        <v>2</v>
      </c>
      <c r="E43" s="13"/>
      <c r="F43" s="13"/>
      <c r="G43" s="13"/>
      <c r="H43" s="13"/>
      <c r="I43" s="766">
        <v>248.57499999999999</v>
      </c>
      <c r="J43" s="13">
        <f>I43*D43</f>
        <v>497.15</v>
      </c>
      <c r="K43" s="498"/>
      <c r="L43" s="393"/>
      <c r="M43" s="393"/>
    </row>
    <row r="44" spans="1:13" ht="16.8">
      <c r="A44" s="10"/>
      <c r="B44" s="803" t="s">
        <v>1204</v>
      </c>
      <c r="C44" s="12"/>
      <c r="D44" s="12"/>
      <c r="E44" s="13"/>
      <c r="F44" s="13"/>
      <c r="G44" s="13"/>
      <c r="H44" s="13"/>
      <c r="I44" s="13"/>
      <c r="J44" s="13"/>
      <c r="K44" s="498"/>
      <c r="L44" s="393"/>
      <c r="M44" s="393"/>
    </row>
    <row r="45" spans="1:13" ht="16.8">
      <c r="A45" s="10"/>
      <c r="B45" s="11" t="s">
        <v>1207</v>
      </c>
      <c r="C45" s="12"/>
      <c r="D45" s="12">
        <v>1</v>
      </c>
      <c r="E45" s="13">
        <v>73.394999999999996</v>
      </c>
      <c r="F45" s="13"/>
      <c r="G45" s="13"/>
      <c r="H45" s="13">
        <f>(2.1+1.8+1)</f>
        <v>4.9000000000000004</v>
      </c>
      <c r="I45" s="766">
        <f>H45*E45</f>
        <v>359.63549999999998</v>
      </c>
      <c r="J45" s="13">
        <f>I45*D45</f>
        <v>359.63549999999998</v>
      </c>
      <c r="K45" s="498"/>
      <c r="L45" s="393"/>
      <c r="M45" s="393"/>
    </row>
    <row r="46" spans="1:13" ht="16.8">
      <c r="A46" s="10"/>
      <c r="B46" s="14"/>
      <c r="C46" s="12"/>
      <c r="D46" s="12"/>
      <c r="E46" s="13"/>
      <c r="F46" s="13"/>
      <c r="G46" s="13"/>
      <c r="H46" s="13"/>
      <c r="I46" s="15" t="s">
        <v>20</v>
      </c>
      <c r="J46" s="354">
        <f>SUM(J31:J45)</f>
        <v>4842.1691000000001</v>
      </c>
      <c r="K46" s="833"/>
      <c r="L46" s="393">
        <v>1285</v>
      </c>
      <c r="M46" s="393">
        <f>L46*J46</f>
        <v>6222187.2934999997</v>
      </c>
    </row>
    <row r="47" spans="1:13" s="706" customFormat="1" ht="16.8">
      <c r="A47" s="441">
        <v>5</v>
      </c>
      <c r="B47" s="390" t="s">
        <v>756</v>
      </c>
      <c r="C47" s="707" t="s">
        <v>21</v>
      </c>
      <c r="D47" s="707"/>
      <c r="E47" s="708"/>
      <c r="F47" s="708"/>
      <c r="G47" s="708"/>
      <c r="H47" s="708"/>
      <c r="I47" s="708"/>
      <c r="J47" s="385"/>
      <c r="K47" s="832"/>
      <c r="L47" s="500"/>
      <c r="M47" s="500"/>
    </row>
    <row r="48" spans="1:13" ht="16.8">
      <c r="A48" s="10"/>
      <c r="B48" s="11" t="s">
        <v>551</v>
      </c>
      <c r="C48" s="12"/>
      <c r="D48" s="12">
        <v>1</v>
      </c>
      <c r="E48" s="13"/>
      <c r="F48" s="13"/>
      <c r="G48" s="13">
        <v>7.4999999999999997E-2</v>
      </c>
      <c r="H48" s="13"/>
      <c r="I48" s="766">
        <f>109.047*F26</f>
        <v>610.66319999999996</v>
      </c>
      <c r="J48" s="344">
        <f>I48*G48</f>
        <v>45.799739999999993</v>
      </c>
      <c r="K48" s="833"/>
      <c r="L48" s="393"/>
      <c r="M48" s="393"/>
    </row>
    <row r="49" spans="1:13" ht="16.8">
      <c r="A49" s="10"/>
      <c r="B49" s="11" t="s">
        <v>784</v>
      </c>
      <c r="C49" s="12"/>
      <c r="D49" s="12">
        <v>1</v>
      </c>
      <c r="E49" s="13"/>
      <c r="F49" s="13"/>
      <c r="G49" s="13">
        <v>7.4999999999999997E-2</v>
      </c>
      <c r="H49" s="13"/>
      <c r="I49" s="766">
        <f>(42.3*F27)</f>
        <v>109.97999999999999</v>
      </c>
      <c r="J49" s="344">
        <f t="shared" ref="J49:J50" si="0">I49*G49</f>
        <v>8.2484999999999982</v>
      </c>
      <c r="K49" s="833"/>
      <c r="L49" s="393"/>
      <c r="M49" s="393"/>
    </row>
    <row r="50" spans="1:13" ht="16.8">
      <c r="A50" s="10"/>
      <c r="B50" s="389" t="s">
        <v>2457</v>
      </c>
      <c r="C50" s="12"/>
      <c r="D50" s="12">
        <v>1</v>
      </c>
      <c r="E50" s="13"/>
      <c r="F50" s="13"/>
      <c r="G50" s="13">
        <v>7.4999999999999997E-2</v>
      </c>
      <c r="H50" s="13"/>
      <c r="I50" s="766">
        <f>(73.4*F28)</f>
        <v>95.420000000000016</v>
      </c>
      <c r="J50" s="344">
        <f t="shared" si="0"/>
        <v>7.1565000000000012</v>
      </c>
      <c r="K50" s="833"/>
      <c r="L50" s="393"/>
      <c r="M50" s="393"/>
    </row>
    <row r="51" spans="1:13" ht="16.8">
      <c r="A51" s="10"/>
      <c r="B51" s="14"/>
      <c r="C51" s="12"/>
      <c r="D51" s="12"/>
      <c r="E51" s="13"/>
      <c r="F51" s="13"/>
      <c r="G51" s="13"/>
      <c r="H51" s="13"/>
      <c r="I51" s="15" t="s">
        <v>20</v>
      </c>
      <c r="J51" s="354">
        <f>SUM(J48:J50)</f>
        <v>61.204739999999994</v>
      </c>
      <c r="K51" s="833"/>
      <c r="L51" s="393">
        <v>13500</v>
      </c>
      <c r="M51" s="393">
        <f>L51*J51</f>
        <v>826263.98999999987</v>
      </c>
    </row>
    <row r="52" spans="1:13" s="706" customFormat="1" ht="16.8">
      <c r="A52" s="441">
        <v>6</v>
      </c>
      <c r="B52" s="390" t="s">
        <v>29</v>
      </c>
      <c r="C52" s="707" t="s">
        <v>21</v>
      </c>
      <c r="D52" s="707"/>
      <c r="E52" s="708"/>
      <c r="F52" s="708"/>
      <c r="G52" s="708"/>
      <c r="H52" s="708"/>
      <c r="I52" s="708"/>
      <c r="J52" s="385"/>
      <c r="K52" s="832"/>
      <c r="L52" s="500"/>
      <c r="M52" s="500"/>
    </row>
    <row r="53" spans="1:13" ht="16.8">
      <c r="A53" s="10"/>
      <c r="B53" s="802" t="s">
        <v>2458</v>
      </c>
      <c r="C53" s="12"/>
      <c r="D53" s="12">
        <v>1</v>
      </c>
      <c r="E53" s="13"/>
      <c r="F53" s="13">
        <v>4.75</v>
      </c>
      <c r="G53" s="13"/>
      <c r="H53" s="13"/>
      <c r="I53" s="766">
        <v>22.305</v>
      </c>
      <c r="J53" s="13">
        <f>I53*F53*D53</f>
        <v>105.94875</v>
      </c>
      <c r="K53" s="498"/>
      <c r="L53" s="393"/>
      <c r="M53" s="393"/>
    </row>
    <row r="54" spans="1:13" ht="16.8">
      <c r="A54" s="10"/>
      <c r="B54" s="802" t="s">
        <v>551</v>
      </c>
      <c r="C54" s="12"/>
      <c r="D54" s="12"/>
      <c r="E54" s="13"/>
      <c r="F54" s="13"/>
      <c r="G54" s="13"/>
      <c r="H54" s="13"/>
      <c r="I54" s="13"/>
      <c r="J54" s="13"/>
      <c r="K54" s="498"/>
      <c r="L54" s="393"/>
      <c r="M54" s="393"/>
    </row>
    <row r="55" spans="1:13" ht="16.8">
      <c r="A55" s="10"/>
      <c r="B55" s="11" t="s">
        <v>1209</v>
      </c>
      <c r="C55" s="12"/>
      <c r="D55" s="12">
        <v>1</v>
      </c>
      <c r="E55" s="13"/>
      <c r="F55" s="766">
        <v>5.6</v>
      </c>
      <c r="G55" s="13"/>
      <c r="H55" s="13"/>
      <c r="I55" s="766">
        <v>97.04</v>
      </c>
      <c r="J55" s="13">
        <f>I55*F55*D55</f>
        <v>543.42399999999998</v>
      </c>
      <c r="K55" s="498"/>
      <c r="L55" s="393"/>
      <c r="M55" s="393"/>
    </row>
    <row r="56" spans="1:13" ht="16.8">
      <c r="A56" s="10"/>
      <c r="B56" s="11" t="s">
        <v>2459</v>
      </c>
      <c r="C56" s="12"/>
      <c r="D56" s="12"/>
      <c r="E56" s="13"/>
      <c r="F56" s="766">
        <v>5.6</v>
      </c>
      <c r="G56" s="13"/>
      <c r="H56" s="13"/>
      <c r="I56" s="766">
        <f>(176.175-68.341)</f>
        <v>107.83400000000002</v>
      </c>
      <c r="J56" s="13">
        <f>F56*I56</f>
        <v>603.87040000000002</v>
      </c>
      <c r="K56" s="498"/>
      <c r="L56" s="393"/>
      <c r="M56" s="393"/>
    </row>
    <row r="57" spans="1:13" ht="16.8">
      <c r="A57" s="10"/>
      <c r="B57" s="1447" t="s">
        <v>1210</v>
      </c>
      <c r="C57" s="12"/>
      <c r="D57" s="12">
        <v>1</v>
      </c>
      <c r="E57" s="13">
        <v>1</v>
      </c>
      <c r="F57" s="13"/>
      <c r="G57" s="13"/>
      <c r="H57" s="13"/>
      <c r="I57" s="766">
        <f>I38</f>
        <v>937.57299999999998</v>
      </c>
      <c r="J57" s="13">
        <f>I57*E57*D57</f>
        <v>937.57299999999998</v>
      </c>
      <c r="K57" s="498"/>
      <c r="L57" s="393"/>
      <c r="M57" s="393"/>
    </row>
    <row r="58" spans="1:13" ht="16.8">
      <c r="A58" s="10"/>
      <c r="B58" s="1447" t="s">
        <v>1211</v>
      </c>
      <c r="C58" s="12"/>
      <c r="D58" s="12">
        <v>1</v>
      </c>
      <c r="E58" s="13">
        <v>1</v>
      </c>
      <c r="F58" s="13"/>
      <c r="G58" s="13"/>
      <c r="H58" s="13"/>
      <c r="I58" s="766">
        <f>I39</f>
        <v>827.02700000000004</v>
      </c>
      <c r="J58" s="13">
        <f>I58*E58*D58</f>
        <v>827.02700000000004</v>
      </c>
      <c r="K58" s="498"/>
      <c r="L58" s="393"/>
      <c r="M58" s="393"/>
    </row>
    <row r="59" spans="1:13" ht="16.8">
      <c r="A59" s="10"/>
      <c r="B59" s="11" t="s">
        <v>1212</v>
      </c>
      <c r="C59" s="12"/>
      <c r="D59" s="12">
        <v>1</v>
      </c>
      <c r="E59" s="13"/>
      <c r="F59" s="13">
        <v>3.6</v>
      </c>
      <c r="G59" s="13"/>
      <c r="H59" s="13"/>
      <c r="I59" s="766">
        <v>3.7320000000000002</v>
      </c>
      <c r="J59" s="13">
        <f>I59*F59*D59</f>
        <v>13.435200000000002</v>
      </c>
      <c r="K59" s="498"/>
      <c r="L59" s="393"/>
      <c r="M59" s="393"/>
    </row>
    <row r="60" spans="1:13" ht="16.8">
      <c r="A60" s="10"/>
      <c r="B60" s="100" t="s">
        <v>784</v>
      </c>
      <c r="C60" s="12"/>
      <c r="D60" s="12"/>
      <c r="E60" s="13"/>
      <c r="F60" s="13"/>
      <c r="G60" s="13"/>
      <c r="H60" s="13"/>
      <c r="I60" s="381"/>
      <c r="J60" s="381"/>
      <c r="K60" s="498"/>
      <c r="L60" s="393"/>
      <c r="M60" s="393"/>
    </row>
    <row r="61" spans="1:13" ht="16.8">
      <c r="A61" s="10"/>
      <c r="B61" s="11" t="s">
        <v>1213</v>
      </c>
      <c r="C61" s="12"/>
      <c r="D61" s="12">
        <v>1</v>
      </c>
      <c r="E61" s="13">
        <v>43.7</v>
      </c>
      <c r="F61" s="13"/>
      <c r="G61" s="13"/>
      <c r="H61" s="13"/>
      <c r="I61" s="1446">
        <v>2.5</v>
      </c>
      <c r="J61" s="396">
        <f>I61*E61*D61</f>
        <v>109.25</v>
      </c>
      <c r="K61" s="498"/>
      <c r="L61" s="393"/>
      <c r="M61" s="393"/>
    </row>
    <row r="62" spans="1:13" ht="16.8">
      <c r="A62" s="10"/>
      <c r="B62" s="11" t="s">
        <v>581</v>
      </c>
      <c r="C62" s="12"/>
      <c r="D62" s="12">
        <v>1</v>
      </c>
      <c r="E62" s="13"/>
      <c r="F62" s="13">
        <v>1</v>
      </c>
      <c r="G62" s="13"/>
      <c r="H62" s="13"/>
      <c r="I62" s="1446">
        <f>I43</f>
        <v>248.57499999999999</v>
      </c>
      <c r="J62" s="13">
        <f>I62*F62</f>
        <v>248.57499999999999</v>
      </c>
      <c r="K62" s="498"/>
      <c r="L62" s="393"/>
      <c r="M62" s="393"/>
    </row>
    <row r="63" spans="1:13" ht="16.8">
      <c r="A63" s="10"/>
      <c r="B63" s="425" t="s">
        <v>851</v>
      </c>
      <c r="C63" s="12"/>
      <c r="D63" s="12">
        <v>1</v>
      </c>
      <c r="E63" s="13">
        <f>E45</f>
        <v>73.394999999999996</v>
      </c>
      <c r="F63" s="13"/>
      <c r="G63" s="13"/>
      <c r="H63" s="13"/>
      <c r="I63" s="1446">
        <v>0.9</v>
      </c>
      <c r="J63" s="14">
        <f>I63*E63*D63</f>
        <v>66.055499999999995</v>
      </c>
      <c r="K63" s="498"/>
      <c r="L63" s="393"/>
      <c r="M63" s="393"/>
    </row>
    <row r="64" spans="1:13" ht="16.8">
      <c r="A64" s="10"/>
      <c r="B64" s="197"/>
      <c r="C64" s="12"/>
      <c r="D64" s="12"/>
      <c r="E64" s="13"/>
      <c r="F64" s="13"/>
      <c r="G64" s="13"/>
      <c r="H64" s="13"/>
      <c r="I64" s="15" t="s">
        <v>20</v>
      </c>
      <c r="J64" s="354">
        <f>SUM(J53:J63)</f>
        <v>3455.1588499999998</v>
      </c>
      <c r="K64" s="498"/>
      <c r="L64" s="393">
        <v>17500</v>
      </c>
      <c r="M64" s="393">
        <f>L64*J64</f>
        <v>60465279.875</v>
      </c>
    </row>
    <row r="65" spans="1:13" s="706" customFormat="1" ht="16.8">
      <c r="A65" s="441">
        <v>7</v>
      </c>
      <c r="B65" s="390" t="s">
        <v>24</v>
      </c>
      <c r="C65" s="707" t="s">
        <v>25</v>
      </c>
      <c r="D65" s="707"/>
      <c r="E65" s="708"/>
      <c r="F65" s="708"/>
      <c r="G65" s="708"/>
      <c r="H65" s="708"/>
      <c r="I65" s="708"/>
      <c r="J65" s="708"/>
      <c r="K65" s="838"/>
      <c r="L65" s="843"/>
      <c r="M65" s="843"/>
    </row>
    <row r="66" spans="1:13" ht="16.8">
      <c r="A66" s="10"/>
      <c r="B66" s="11" t="s">
        <v>785</v>
      </c>
      <c r="C66" s="12"/>
      <c r="D66" s="12"/>
      <c r="E66" s="399" t="s">
        <v>1492</v>
      </c>
      <c r="F66" s="13"/>
      <c r="G66" s="13"/>
      <c r="H66" s="13"/>
      <c r="I66" s="16">
        <v>0.01</v>
      </c>
      <c r="J66" s="426">
        <f>I66*(J64)*(7850/1000)</f>
        <v>271.22996972499999</v>
      </c>
      <c r="K66" s="498"/>
      <c r="L66" s="393"/>
      <c r="M66" s="393"/>
    </row>
    <row r="67" spans="1:13" ht="16.8">
      <c r="A67" s="10"/>
      <c r="B67" s="14"/>
      <c r="C67" s="12"/>
      <c r="D67" s="12"/>
      <c r="E67" s="13"/>
      <c r="F67" s="13"/>
      <c r="G67" s="13"/>
      <c r="H67" s="13"/>
      <c r="I67" s="15" t="s">
        <v>20</v>
      </c>
      <c r="J67" s="354">
        <f>SUM(J66:J66)</f>
        <v>271.22996972499999</v>
      </c>
      <c r="K67" s="498"/>
      <c r="L67" s="393">
        <v>130000</v>
      </c>
      <c r="M67" s="393">
        <f>L67*J67</f>
        <v>35259896.06425</v>
      </c>
    </row>
    <row r="68" spans="1:13" s="706" customFormat="1" ht="16.8">
      <c r="A68" s="441">
        <v>8</v>
      </c>
      <c r="B68" s="390" t="s">
        <v>786</v>
      </c>
      <c r="C68" s="707" t="s">
        <v>19</v>
      </c>
      <c r="D68" s="707"/>
      <c r="E68" s="708"/>
      <c r="F68" s="708"/>
      <c r="G68" s="708"/>
      <c r="H68" s="708"/>
      <c r="I68" s="708"/>
      <c r="J68" s="708"/>
      <c r="K68" s="838"/>
      <c r="L68" s="843"/>
      <c r="M68" s="843"/>
    </row>
    <row r="69" spans="1:13" ht="16.8">
      <c r="A69" s="14"/>
      <c r="B69" s="11" t="s">
        <v>1214</v>
      </c>
      <c r="C69" s="12"/>
      <c r="D69" s="12">
        <v>1</v>
      </c>
      <c r="E69" s="13">
        <v>47.97</v>
      </c>
      <c r="F69" s="13">
        <v>2.5</v>
      </c>
      <c r="G69" s="13"/>
      <c r="H69" s="13"/>
      <c r="I69" s="766">
        <f>F69*E69</f>
        <v>119.925</v>
      </c>
      <c r="J69" s="13">
        <f>I69*D69</f>
        <v>119.925</v>
      </c>
      <c r="K69" s="498"/>
      <c r="L69" s="393"/>
      <c r="M69" s="393"/>
    </row>
    <row r="70" spans="1:13" ht="16.8">
      <c r="A70" s="14"/>
      <c r="B70" s="14"/>
      <c r="C70" s="12"/>
      <c r="D70" s="12"/>
      <c r="E70" s="13"/>
      <c r="F70" s="13"/>
      <c r="G70" s="13"/>
      <c r="H70" s="13"/>
      <c r="I70" s="15" t="s">
        <v>20</v>
      </c>
      <c r="J70" s="354">
        <f>SUM(J69:J69)</f>
        <v>119.925</v>
      </c>
      <c r="K70" s="498"/>
      <c r="L70" s="393">
        <v>15000</v>
      </c>
      <c r="M70" s="393">
        <f>L70*J70</f>
        <v>1798875</v>
      </c>
    </row>
    <row r="71" spans="1:13" ht="16.8">
      <c r="A71" s="441">
        <v>9</v>
      </c>
      <c r="B71" s="1448" t="s">
        <v>2460</v>
      </c>
      <c r="C71" s="707" t="s">
        <v>19</v>
      </c>
      <c r="D71" s="707"/>
      <c r="E71" s="708"/>
      <c r="F71" s="708"/>
      <c r="G71" s="708"/>
      <c r="H71" s="708"/>
      <c r="I71" s="708"/>
      <c r="J71" s="708"/>
      <c r="K71" s="838"/>
      <c r="L71" s="843"/>
      <c r="M71" s="843"/>
    </row>
    <row r="72" spans="1:13" s="301" customFormat="1" ht="16.8">
      <c r="A72" s="10"/>
      <c r="B72" s="14" t="s">
        <v>1215</v>
      </c>
      <c r="C72" s="12"/>
      <c r="D72" s="12">
        <v>1</v>
      </c>
      <c r="E72" s="13">
        <v>5</v>
      </c>
      <c r="F72" s="13"/>
      <c r="G72" s="13">
        <v>0.5</v>
      </c>
      <c r="H72" s="13"/>
      <c r="I72" s="13">
        <f>G72*E72</f>
        <v>2.5</v>
      </c>
      <c r="J72" s="766">
        <f>I72*D72</f>
        <v>2.5</v>
      </c>
      <c r="K72" s="835"/>
      <c r="L72" s="826"/>
      <c r="M72" s="826"/>
    </row>
    <row r="73" spans="1:13" ht="16.8">
      <c r="A73" s="14"/>
      <c r="B73" s="14"/>
      <c r="C73" s="12"/>
      <c r="D73" s="12"/>
      <c r="E73" s="13"/>
      <c r="F73" s="13"/>
      <c r="G73" s="13"/>
      <c r="H73" s="13"/>
      <c r="I73" s="15" t="s">
        <v>20</v>
      </c>
      <c r="J73" s="354">
        <f>SUM(J72:J72)</f>
        <v>2.5</v>
      </c>
      <c r="K73" s="498"/>
      <c r="L73" s="393"/>
      <c r="M73" s="393"/>
    </row>
    <row r="74" spans="1:13" ht="67.2">
      <c r="A74" s="352">
        <v>10</v>
      </c>
      <c r="B74" s="353" t="s">
        <v>740</v>
      </c>
      <c r="C74" s="353"/>
      <c r="D74" s="353"/>
      <c r="E74" s="353"/>
      <c r="F74" s="353"/>
      <c r="G74" s="353"/>
      <c r="H74" s="353"/>
      <c r="I74" s="353"/>
      <c r="J74" s="353"/>
      <c r="K74" s="839"/>
      <c r="L74" s="827"/>
      <c r="M74" s="827"/>
    </row>
    <row r="75" spans="1:13" ht="16.8">
      <c r="A75" s="10">
        <f>A74+0.1</f>
        <v>10.1</v>
      </c>
      <c r="B75" s="14" t="s">
        <v>155</v>
      </c>
      <c r="C75" s="12" t="s">
        <v>27</v>
      </c>
      <c r="D75" s="12"/>
      <c r="E75" s="14"/>
      <c r="F75" s="14"/>
      <c r="G75" s="14"/>
      <c r="H75" s="14"/>
      <c r="I75" s="14"/>
      <c r="J75" s="14"/>
      <c r="K75" s="498"/>
      <c r="L75" s="393"/>
      <c r="M75" s="393"/>
    </row>
    <row r="76" spans="1:13" ht="16.8">
      <c r="A76" s="10"/>
      <c r="B76" s="14"/>
      <c r="C76" s="12"/>
      <c r="D76" s="12">
        <v>2</v>
      </c>
      <c r="E76" s="14">
        <v>30</v>
      </c>
      <c r="F76" s="14"/>
      <c r="G76" s="503"/>
      <c r="H76" s="14"/>
      <c r="I76" s="14"/>
      <c r="J76" s="14">
        <f>D76*E76</f>
        <v>60</v>
      </c>
      <c r="K76" s="498"/>
      <c r="L76" s="393"/>
      <c r="M76" s="393"/>
    </row>
    <row r="77" spans="1:13" ht="16.8">
      <c r="A77" s="10"/>
      <c r="B77" s="14"/>
      <c r="C77" s="12"/>
      <c r="D77" s="12"/>
      <c r="E77" s="13"/>
      <c r="F77" s="13"/>
      <c r="G77" s="346"/>
      <c r="H77" s="13"/>
      <c r="I77" s="13" t="s">
        <v>20</v>
      </c>
      <c r="J77" s="354">
        <f>SUM(J76:J76)</f>
        <v>60</v>
      </c>
      <c r="K77" s="840"/>
      <c r="L77" s="393">
        <v>1693</v>
      </c>
      <c r="M77" s="393">
        <f>L77*J77</f>
        <v>101580</v>
      </c>
    </row>
    <row r="78" spans="1:13" ht="16.8">
      <c r="A78" s="10"/>
      <c r="B78" s="14"/>
      <c r="C78" s="12"/>
      <c r="D78" s="12"/>
      <c r="E78" s="13"/>
      <c r="F78" s="13"/>
      <c r="G78" s="346"/>
      <c r="H78" s="13"/>
      <c r="I78" s="13"/>
      <c r="J78" s="355"/>
      <c r="K78" s="840"/>
      <c r="L78" s="393"/>
      <c r="M78" s="393"/>
    </row>
    <row r="79" spans="1:13" ht="16.8">
      <c r="A79" s="10">
        <f>A75+0.1</f>
        <v>10.199999999999999</v>
      </c>
      <c r="B79" s="14" t="s">
        <v>174</v>
      </c>
      <c r="C79" s="12" t="s">
        <v>27</v>
      </c>
      <c r="D79" s="12">
        <v>2</v>
      </c>
      <c r="E79" s="14">
        <f>E76</f>
        <v>30</v>
      </c>
      <c r="F79" s="14"/>
      <c r="G79" s="14"/>
      <c r="H79" s="14"/>
      <c r="I79" s="14"/>
      <c r="J79" s="14">
        <f>D79*E79</f>
        <v>60</v>
      </c>
      <c r="K79" s="498"/>
      <c r="L79" s="393"/>
      <c r="M79" s="393"/>
    </row>
    <row r="80" spans="1:13" ht="16.8">
      <c r="A80" s="10"/>
      <c r="B80" s="14"/>
      <c r="C80" s="12"/>
      <c r="D80" s="12"/>
      <c r="E80" s="14"/>
      <c r="F80" s="14"/>
      <c r="G80" s="503"/>
      <c r="H80" s="14"/>
      <c r="I80" s="14"/>
      <c r="J80" s="14"/>
      <c r="K80" s="498"/>
      <c r="L80" s="393"/>
      <c r="M80" s="393"/>
    </row>
    <row r="81" spans="1:13" ht="16.8">
      <c r="A81" s="10"/>
      <c r="B81" s="14"/>
      <c r="C81" s="12"/>
      <c r="D81" s="12"/>
      <c r="E81" s="13"/>
      <c r="F81" s="13"/>
      <c r="G81" s="346"/>
      <c r="H81" s="13"/>
      <c r="I81" s="13" t="s">
        <v>20</v>
      </c>
      <c r="J81" s="354">
        <f>J79</f>
        <v>60</v>
      </c>
      <c r="K81" s="840"/>
      <c r="L81" s="393">
        <v>1245</v>
      </c>
      <c r="M81" s="393">
        <f>L81*J81</f>
        <v>74700</v>
      </c>
    </row>
    <row r="82" spans="1:13" ht="16.8">
      <c r="A82" s="10"/>
      <c r="B82" s="14"/>
      <c r="C82" s="12"/>
      <c r="D82" s="12"/>
      <c r="E82" s="13"/>
      <c r="F82" s="13"/>
      <c r="G82" s="346"/>
      <c r="H82" s="13"/>
      <c r="I82" s="13"/>
      <c r="J82" s="355"/>
      <c r="K82" s="840"/>
      <c r="L82" s="393"/>
      <c r="M82" s="393"/>
    </row>
    <row r="83" spans="1:13" ht="16.8">
      <c r="A83" s="10">
        <f>A79+0.1</f>
        <v>10.299999999999999</v>
      </c>
      <c r="B83" s="14" t="s">
        <v>741</v>
      </c>
      <c r="C83" s="12" t="s">
        <v>85</v>
      </c>
      <c r="D83" s="12">
        <v>2</v>
      </c>
      <c r="E83" s="14">
        <f>E79</f>
        <v>30</v>
      </c>
      <c r="F83" s="14"/>
      <c r="G83" s="14"/>
      <c r="H83" s="14"/>
      <c r="I83" s="14"/>
      <c r="J83" s="14">
        <f>D83*2*E83</f>
        <v>120</v>
      </c>
      <c r="K83" s="498"/>
      <c r="L83" s="393"/>
      <c r="M83" s="393"/>
    </row>
    <row r="84" spans="1:13" ht="16.8">
      <c r="A84" s="10"/>
      <c r="B84" s="14"/>
      <c r="C84" s="12"/>
      <c r="D84" s="12"/>
      <c r="E84" s="14"/>
      <c r="F84" s="14"/>
      <c r="G84" s="503"/>
      <c r="H84" s="14"/>
      <c r="I84" s="14"/>
      <c r="J84" s="14"/>
      <c r="K84" s="498"/>
      <c r="L84" s="393"/>
      <c r="M84" s="393"/>
    </row>
    <row r="85" spans="1:13" ht="16.8">
      <c r="A85" s="10"/>
      <c r="B85" s="14"/>
      <c r="C85" s="12"/>
      <c r="D85" s="12"/>
      <c r="E85" s="13"/>
      <c r="F85" s="13"/>
      <c r="G85" s="346"/>
      <c r="H85" s="13"/>
      <c r="I85" s="13" t="s">
        <v>20</v>
      </c>
      <c r="J85" s="354">
        <f>J83</f>
        <v>120</v>
      </c>
      <c r="K85" s="840"/>
      <c r="L85" s="393">
        <v>1208</v>
      </c>
      <c r="M85" s="844">
        <f>L85*J85</f>
        <v>144960</v>
      </c>
    </row>
    <row r="86" spans="1:13" ht="16.8">
      <c r="L86" s="499" t="s">
        <v>20</v>
      </c>
      <c r="M86" s="499">
        <f>SUM(M11:M84)</f>
        <v>109830027.7902</v>
      </c>
    </row>
    <row r="87" spans="1:13">
      <c r="M87" s="820" t="s">
        <v>1239</v>
      </c>
    </row>
  </sheetData>
  <printOptions horizontalCentered="1"/>
  <pageMargins left="0.7" right="0.7" top="0.71" bottom="0.59" header="0.3" footer="0.16"/>
  <pageSetup paperSize="9" scale="91" fitToHeight="10" orientation="landscape" r:id="rId1"/>
  <rowBreaks count="1" manualBreakCount="1">
    <brk id="64" max="10" man="1"/>
  </row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8">
    <tabColor rgb="FF7030A0"/>
  </sheetPr>
  <dimension ref="A1:M74"/>
  <sheetViews>
    <sheetView workbookViewId="0"/>
  </sheetViews>
  <sheetFormatPr defaultColWidth="9.109375" defaultRowHeight="16.8"/>
  <cols>
    <col min="1" max="1" width="12.33203125" style="236" customWidth="1"/>
    <col min="2" max="2" width="44.6640625" style="1" bestFit="1" customWidth="1"/>
    <col min="3" max="3" width="9.109375" style="1"/>
    <col min="4" max="4" width="8.44140625" style="1" customWidth="1"/>
    <col min="5" max="6" width="11.109375" style="1" customWidth="1"/>
    <col min="7" max="7" width="11.33203125" style="1" customWidth="1"/>
    <col min="8" max="8" width="10.5546875" style="1" customWidth="1"/>
    <col min="9" max="9" width="12.109375" style="1" customWidth="1"/>
    <col min="10" max="10" width="13.6640625" style="1" customWidth="1"/>
    <col min="11" max="11" width="25.5546875" style="1" customWidth="1"/>
    <col min="12" max="12" width="11.88671875" style="698" bestFit="1" customWidth="1"/>
    <col min="13" max="13" width="11.6640625" style="698" bestFit="1" customWidth="1"/>
    <col min="14" max="16384" width="9.109375" style="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1573</v>
      </c>
      <c r="C6" s="523"/>
      <c r="D6" s="537"/>
      <c r="E6" s="1223"/>
      <c r="J6" s="1276" t="s">
        <v>171</v>
      </c>
      <c r="K6" s="523" t="s">
        <v>1563</v>
      </c>
    </row>
    <row r="7" spans="1:13" s="520" customFormat="1" ht="19.2">
      <c r="A7" s="119" t="s">
        <v>4</v>
      </c>
      <c r="B7" s="1247"/>
      <c r="C7" s="523"/>
      <c r="D7" s="537"/>
      <c r="E7" s="1223"/>
      <c r="J7" s="1276" t="s">
        <v>106</v>
      </c>
      <c r="K7" s="1277">
        <f ca="1">TODAY()</f>
        <v>44942</v>
      </c>
    </row>
    <row r="8" spans="1:13">
      <c r="A8" s="119"/>
      <c r="B8" s="55"/>
    </row>
    <row r="10" spans="1:13">
      <c r="A10" s="804" t="s">
        <v>332</v>
      </c>
      <c r="B10" s="804" t="s">
        <v>8</v>
      </c>
      <c r="C10" s="804" t="s">
        <v>9</v>
      </c>
      <c r="D10" s="804" t="s">
        <v>333</v>
      </c>
      <c r="E10" s="804" t="s">
        <v>11</v>
      </c>
      <c r="F10" s="804" t="s">
        <v>12</v>
      </c>
      <c r="G10" s="804" t="s">
        <v>13</v>
      </c>
      <c r="H10" s="804" t="s">
        <v>15</v>
      </c>
      <c r="I10" s="804" t="s">
        <v>14</v>
      </c>
      <c r="J10" s="804" t="s">
        <v>16</v>
      </c>
      <c r="K10" s="845" t="s">
        <v>17</v>
      </c>
      <c r="L10" s="851" t="s">
        <v>1233</v>
      </c>
      <c r="M10" s="851" t="s">
        <v>1234</v>
      </c>
    </row>
    <row r="11" spans="1:13">
      <c r="A11" s="805">
        <v>1</v>
      </c>
      <c r="B11" s="806" t="s">
        <v>18</v>
      </c>
      <c r="C11" s="807" t="s">
        <v>85</v>
      </c>
      <c r="D11" s="805"/>
      <c r="E11" s="805"/>
      <c r="F11" s="805"/>
      <c r="G11" s="805"/>
      <c r="H11" s="805"/>
      <c r="I11" s="805"/>
      <c r="J11" s="805"/>
      <c r="K11" s="846"/>
      <c r="L11" s="852"/>
      <c r="M11" s="852"/>
    </row>
    <row r="12" spans="1:13">
      <c r="A12" s="356"/>
      <c r="B12" s="11" t="s">
        <v>2478</v>
      </c>
      <c r="C12" s="12"/>
      <c r="D12" s="12">
        <v>1</v>
      </c>
      <c r="E12" s="13"/>
      <c r="F12" s="13"/>
      <c r="G12" s="13"/>
      <c r="H12" s="766">
        <v>755.32</v>
      </c>
      <c r="I12" s="13"/>
      <c r="J12" s="13">
        <f>H12*1.1</f>
        <v>830.85200000000009</v>
      </c>
      <c r="K12" s="1430"/>
      <c r="L12" s="497"/>
      <c r="M12" s="497"/>
    </row>
    <row r="13" spans="1:13">
      <c r="A13" s="356"/>
      <c r="B13" s="356"/>
      <c r="C13" s="356"/>
      <c r="D13" s="356"/>
      <c r="E13" s="356"/>
      <c r="F13" s="356"/>
      <c r="G13" s="356"/>
      <c r="H13" s="356"/>
      <c r="I13" s="356" t="s">
        <v>439</v>
      </c>
      <c r="J13" s="357">
        <f>SUM(J12:J12)</f>
        <v>830.85200000000009</v>
      </c>
      <c r="K13" s="847"/>
      <c r="L13" s="856">
        <v>40.5</v>
      </c>
      <c r="M13" s="856">
        <f>L13*J13</f>
        <v>33649.506000000001</v>
      </c>
    </row>
    <row r="14" spans="1:13">
      <c r="A14" s="811">
        <v>2</v>
      </c>
      <c r="B14" s="812" t="s">
        <v>313</v>
      </c>
      <c r="C14" s="813" t="s">
        <v>306</v>
      </c>
      <c r="D14" s="812"/>
      <c r="E14" s="812"/>
      <c r="F14" s="812"/>
      <c r="G14" s="812"/>
      <c r="H14" s="812"/>
      <c r="I14" s="812"/>
      <c r="J14" s="812"/>
      <c r="K14" s="848"/>
      <c r="L14" s="602"/>
      <c r="M14" s="602"/>
    </row>
    <row r="15" spans="1:13">
      <c r="A15" s="235"/>
      <c r="B15" s="14" t="s">
        <v>2477</v>
      </c>
      <c r="C15" s="12"/>
      <c r="D15" s="12">
        <v>1</v>
      </c>
      <c r="E15" s="13"/>
      <c r="F15" s="13">
        <v>13</v>
      </c>
      <c r="G15" s="13"/>
      <c r="H15" s="766">
        <v>342.16800000000001</v>
      </c>
      <c r="I15" s="13"/>
      <c r="J15" s="13">
        <f>F15*H15</f>
        <v>4448.1840000000002</v>
      </c>
      <c r="K15" s="849"/>
      <c r="L15" s="267"/>
      <c r="M15" s="267"/>
    </row>
    <row r="16" spans="1:13" ht="14.25" customHeight="1">
      <c r="A16" s="235"/>
      <c r="B16" s="14" t="s">
        <v>2475</v>
      </c>
      <c r="C16" s="12"/>
      <c r="D16" s="12">
        <v>1</v>
      </c>
      <c r="E16" s="13"/>
      <c r="F16" s="13">
        <v>1.8</v>
      </c>
      <c r="G16" s="13"/>
      <c r="H16" s="766">
        <v>455.19900000000001</v>
      </c>
      <c r="I16" s="13"/>
      <c r="J16" s="13">
        <f>F16*H16</f>
        <v>819.35820000000001</v>
      </c>
      <c r="K16" s="849"/>
      <c r="L16" s="267"/>
      <c r="M16" s="267"/>
    </row>
    <row r="17" spans="1:13" ht="14.25" customHeight="1">
      <c r="A17" s="235"/>
      <c r="B17" s="14" t="s">
        <v>2474</v>
      </c>
      <c r="C17" s="12"/>
      <c r="D17" s="12">
        <v>1</v>
      </c>
      <c r="E17" s="13"/>
      <c r="F17" s="13">
        <v>1.6</v>
      </c>
      <c r="G17" s="13"/>
      <c r="H17" s="766">
        <v>326.44099999999997</v>
      </c>
      <c r="I17" s="346"/>
      <c r="J17" s="13">
        <f>F17*H17</f>
        <v>522.30560000000003</v>
      </c>
      <c r="K17" s="849"/>
      <c r="L17" s="267"/>
      <c r="M17" s="267"/>
    </row>
    <row r="18" spans="1:13">
      <c r="A18" s="235"/>
      <c r="B18" s="231"/>
      <c r="C18" s="232"/>
      <c r="D18" s="232"/>
      <c r="E18" s="232"/>
      <c r="F18" s="232"/>
      <c r="G18" s="232"/>
      <c r="H18" s="232"/>
      <c r="I18" s="356" t="s">
        <v>439</v>
      </c>
      <c r="J18" s="233">
        <f>SUM(J15:J16)</f>
        <v>5267.5421999999999</v>
      </c>
      <c r="K18" s="849"/>
      <c r="L18" s="267"/>
      <c r="M18" s="267"/>
    </row>
    <row r="19" spans="1:13">
      <c r="A19" s="235"/>
      <c r="B19" s="231"/>
      <c r="C19" s="1484"/>
      <c r="D19" s="232"/>
      <c r="E19" s="232"/>
      <c r="F19" s="232"/>
      <c r="G19" s="232"/>
      <c r="H19" s="232"/>
      <c r="I19" s="356"/>
      <c r="J19" s="233">
        <f>80%*J18</f>
        <v>4214.0337600000003</v>
      </c>
      <c r="K19" s="849" t="s">
        <v>2629</v>
      </c>
      <c r="L19" s="267"/>
      <c r="M19" s="267"/>
    </row>
    <row r="20" spans="1:13">
      <c r="A20" s="235"/>
      <c r="B20" s="231"/>
      <c r="C20" s="1484"/>
      <c r="D20" s="232"/>
      <c r="E20" s="232"/>
      <c r="F20" s="232"/>
      <c r="G20" s="232"/>
      <c r="H20" s="232"/>
      <c r="I20" s="356"/>
      <c r="J20" s="233">
        <f>20%*J18</f>
        <v>1053.5084400000001</v>
      </c>
      <c r="K20" s="849" t="s">
        <v>2630</v>
      </c>
      <c r="L20" s="267"/>
      <c r="M20" s="267"/>
    </row>
    <row r="21" spans="1:13">
      <c r="A21" s="596">
        <v>3</v>
      </c>
      <c r="B21" s="712" t="s">
        <v>422</v>
      </c>
      <c r="C21" s="813" t="s">
        <v>306</v>
      </c>
      <c r="D21" s="598"/>
      <c r="E21" s="598"/>
      <c r="F21" s="598"/>
      <c r="G21" s="598"/>
      <c r="H21" s="598"/>
      <c r="I21" s="598"/>
      <c r="J21" s="600"/>
      <c r="K21" s="848"/>
      <c r="L21" s="602"/>
      <c r="M21" s="602"/>
    </row>
    <row r="22" spans="1:13">
      <c r="A22" s="235"/>
      <c r="B22" s="14" t="s">
        <v>560</v>
      </c>
      <c r="C22" s="12"/>
      <c r="D22" s="12">
        <v>1</v>
      </c>
      <c r="E22" s="13"/>
      <c r="F22" s="13">
        <v>13</v>
      </c>
      <c r="G22" s="13"/>
      <c r="H22" s="766">
        <v>1.758</v>
      </c>
      <c r="I22" s="13"/>
      <c r="J22" s="13">
        <f>F22*H22</f>
        <v>22.853999999999999</v>
      </c>
      <c r="K22" s="849"/>
      <c r="L22" s="267"/>
      <c r="M22" s="267"/>
    </row>
    <row r="23" spans="1:13">
      <c r="A23" s="235"/>
      <c r="B23" s="14" t="s">
        <v>2476</v>
      </c>
      <c r="C23" s="12"/>
      <c r="D23" s="12">
        <v>1</v>
      </c>
      <c r="E23" s="13"/>
      <c r="F23" s="13">
        <v>1.8</v>
      </c>
      <c r="G23" s="13"/>
      <c r="H23" s="766">
        <v>14.336</v>
      </c>
      <c r="I23" s="13"/>
      <c r="J23" s="13">
        <f>H23*F23</f>
        <v>25.8048</v>
      </c>
      <c r="K23" s="849"/>
      <c r="L23" s="267"/>
      <c r="M23" s="267"/>
    </row>
    <row r="24" spans="1:13">
      <c r="A24" s="235"/>
      <c r="B24" s="231"/>
      <c r="C24" s="232"/>
      <c r="D24" s="232"/>
      <c r="E24" s="232"/>
      <c r="F24" s="232"/>
      <c r="G24" s="232"/>
      <c r="H24" s="232"/>
      <c r="I24" s="356" t="s">
        <v>439</v>
      </c>
      <c r="J24" s="233">
        <f>SUM(J22:J23)</f>
        <v>48.658799999999999</v>
      </c>
      <c r="K24" s="849" t="s">
        <v>91</v>
      </c>
      <c r="L24" s="267">
        <v>210</v>
      </c>
      <c r="M24" s="267">
        <f>L24*J24</f>
        <v>10218.348</v>
      </c>
    </row>
    <row r="25" spans="1:13">
      <c r="A25" s="596">
        <v>4</v>
      </c>
      <c r="B25" s="712" t="s">
        <v>314</v>
      </c>
      <c r="C25" s="813" t="s">
        <v>306</v>
      </c>
      <c r="D25" s="598"/>
      <c r="E25" s="598"/>
      <c r="F25" s="598"/>
      <c r="G25" s="598"/>
      <c r="H25" s="598"/>
      <c r="I25" s="598"/>
      <c r="J25" s="598"/>
      <c r="K25" s="848"/>
      <c r="L25" s="602"/>
      <c r="M25" s="602"/>
    </row>
    <row r="26" spans="1:13">
      <c r="A26" s="235"/>
      <c r="B26" s="14" t="s">
        <v>738</v>
      </c>
      <c r="C26" s="12"/>
      <c r="D26" s="12">
        <v>1</v>
      </c>
      <c r="E26" s="13">
        <v>15.757</v>
      </c>
      <c r="F26" s="13">
        <f>F15</f>
        <v>13</v>
      </c>
      <c r="G26" s="13">
        <v>7.4999999999999997E-2</v>
      </c>
      <c r="H26" s="766">
        <f>E26*F26</f>
        <v>204.84100000000001</v>
      </c>
      <c r="I26" s="13"/>
      <c r="J26" s="344">
        <f>H26*G26*D26</f>
        <v>15.363075</v>
      </c>
      <c r="K26" s="849"/>
      <c r="L26" s="267"/>
      <c r="M26" s="267"/>
    </row>
    <row r="27" spans="1:13">
      <c r="A27" s="235"/>
      <c r="B27" s="14" t="s">
        <v>2464</v>
      </c>
      <c r="C27" s="12"/>
      <c r="D27" s="12">
        <v>1</v>
      </c>
      <c r="E27" s="13"/>
      <c r="F27" s="13"/>
      <c r="G27" s="13">
        <v>7.4999999999999997E-2</v>
      </c>
      <c r="H27" s="766">
        <v>167.22</v>
      </c>
      <c r="I27" s="13"/>
      <c r="J27" s="344">
        <f>H27*G27</f>
        <v>12.541499999999999</v>
      </c>
      <c r="K27" s="849"/>
      <c r="L27" s="267"/>
      <c r="M27" s="267"/>
    </row>
    <row r="28" spans="1:13">
      <c r="A28" s="235"/>
      <c r="B28" s="14" t="s">
        <v>2475</v>
      </c>
      <c r="C28" s="12"/>
      <c r="D28" s="12">
        <v>1</v>
      </c>
      <c r="E28" s="13">
        <v>54.673000000000002</v>
      </c>
      <c r="F28" s="13">
        <f>F16</f>
        <v>1.8</v>
      </c>
      <c r="G28" s="13">
        <v>7.4999999999999997E-2</v>
      </c>
      <c r="H28" s="766">
        <f>E28*F28</f>
        <v>98.4114</v>
      </c>
      <c r="I28" s="13"/>
      <c r="J28" s="344">
        <f>H28*G28*D28</f>
        <v>7.3808549999999995</v>
      </c>
      <c r="K28" s="849"/>
      <c r="L28" s="267"/>
      <c r="M28" s="267"/>
    </row>
    <row r="29" spans="1:13">
      <c r="A29" s="235"/>
      <c r="B29" s="14" t="s">
        <v>2474</v>
      </c>
      <c r="C29" s="12"/>
      <c r="D29" s="12">
        <v>1</v>
      </c>
      <c r="E29" s="13">
        <v>22.449000000000002</v>
      </c>
      <c r="F29" s="13">
        <f>F17</f>
        <v>1.6</v>
      </c>
      <c r="G29" s="13">
        <v>7.4999999999999997E-2</v>
      </c>
      <c r="H29" s="766">
        <f>F29*E29</f>
        <v>35.918400000000005</v>
      </c>
      <c r="I29" s="346"/>
      <c r="J29" s="344">
        <f>H29*G29</f>
        <v>2.6938800000000005</v>
      </c>
      <c r="K29" s="849"/>
      <c r="L29" s="267"/>
      <c r="M29" s="267"/>
    </row>
    <row r="30" spans="1:13">
      <c r="A30" s="235"/>
      <c r="B30" s="231"/>
      <c r="C30" s="232"/>
      <c r="D30" s="232"/>
      <c r="E30" s="232"/>
      <c r="F30" s="232"/>
      <c r="G30" s="232"/>
      <c r="H30" s="232"/>
      <c r="I30" s="356" t="s">
        <v>439</v>
      </c>
      <c r="J30" s="233">
        <f>SUM(J26:J28)</f>
        <v>35.285429999999998</v>
      </c>
      <c r="K30" s="849"/>
      <c r="L30" s="267">
        <v>13500</v>
      </c>
      <c r="M30" s="267">
        <f>L30*J30</f>
        <v>476353.30499999999</v>
      </c>
    </row>
    <row r="31" spans="1:13">
      <c r="A31" s="596">
        <v>6</v>
      </c>
      <c r="B31" s="712" t="s">
        <v>315</v>
      </c>
      <c r="C31" s="813" t="s">
        <v>306</v>
      </c>
      <c r="D31" s="598"/>
      <c r="E31" s="598"/>
      <c r="F31" s="598"/>
      <c r="G31" s="598"/>
      <c r="H31" s="598"/>
      <c r="I31" s="598"/>
      <c r="J31" s="598"/>
      <c r="K31" s="848"/>
      <c r="L31" s="602"/>
      <c r="M31" s="602"/>
    </row>
    <row r="32" spans="1:13">
      <c r="A32" s="235"/>
      <c r="B32" s="345" t="s">
        <v>560</v>
      </c>
      <c r="C32" s="12"/>
      <c r="D32" s="12">
        <v>1</v>
      </c>
      <c r="E32" s="13"/>
      <c r="F32" s="13">
        <v>10.8</v>
      </c>
      <c r="G32" s="13"/>
      <c r="H32" s="766">
        <f>32.246</f>
        <v>32.246000000000002</v>
      </c>
      <c r="I32" s="13"/>
      <c r="J32" s="344">
        <f>F32*H32</f>
        <v>348.25680000000006</v>
      </c>
      <c r="K32" s="849"/>
      <c r="L32" s="267"/>
      <c r="M32" s="267"/>
    </row>
    <row r="33" spans="1:13">
      <c r="A33" s="235"/>
      <c r="B33" s="345" t="s">
        <v>2473</v>
      </c>
      <c r="C33" s="12"/>
      <c r="D33" s="12">
        <v>1</v>
      </c>
      <c r="E33" s="13">
        <v>14.36</v>
      </c>
      <c r="F33" s="13">
        <v>1.1000000000000001</v>
      </c>
      <c r="G33" s="13">
        <v>11.175000000000001</v>
      </c>
      <c r="H33" s="766">
        <f>E33*F33</f>
        <v>15.796000000000001</v>
      </c>
      <c r="I33" s="13"/>
      <c r="J33" s="344">
        <f>H33*G33</f>
        <v>176.52030000000002</v>
      </c>
      <c r="K33" s="849"/>
      <c r="L33" s="267"/>
      <c r="M33" s="267"/>
    </row>
    <row r="34" spans="1:13">
      <c r="A34" s="235"/>
      <c r="B34" s="345" t="s">
        <v>2464</v>
      </c>
      <c r="C34" s="12"/>
      <c r="D34" s="12">
        <v>1</v>
      </c>
      <c r="E34" s="13"/>
      <c r="F34" s="13"/>
      <c r="G34" s="13">
        <v>0.5</v>
      </c>
      <c r="H34" s="766">
        <f>H27</f>
        <v>167.22</v>
      </c>
      <c r="I34" s="13"/>
      <c r="J34" s="344">
        <f>1.1*G34*H34</f>
        <v>91.971000000000004</v>
      </c>
      <c r="K34" s="849"/>
      <c r="L34" s="267"/>
      <c r="M34" s="267"/>
    </row>
    <row r="35" spans="1:13">
      <c r="A35" s="235"/>
      <c r="B35" s="345" t="s">
        <v>2472</v>
      </c>
      <c r="C35" s="12"/>
      <c r="D35" s="12">
        <v>1</v>
      </c>
      <c r="E35" s="13">
        <v>10.8</v>
      </c>
      <c r="F35" s="13"/>
      <c r="G35" s="13"/>
      <c r="H35" s="766">
        <v>3.2909999999999999</v>
      </c>
      <c r="I35" s="13"/>
      <c r="J35" s="344">
        <f>E35*H35</f>
        <v>35.5428</v>
      </c>
      <c r="K35" s="849"/>
      <c r="L35" s="267"/>
      <c r="M35" s="267"/>
    </row>
    <row r="36" spans="1:13">
      <c r="A36" s="235"/>
      <c r="B36" s="345" t="s">
        <v>2471</v>
      </c>
      <c r="C36" s="12"/>
      <c r="D36" s="12">
        <v>1</v>
      </c>
      <c r="E36" s="13">
        <v>10.8</v>
      </c>
      <c r="F36" s="13"/>
      <c r="G36" s="13"/>
      <c r="H36" s="766">
        <v>3.0790000000000002</v>
      </c>
      <c r="I36" s="13"/>
      <c r="J36" s="344">
        <f>E36*H36</f>
        <v>33.253200000000007</v>
      </c>
      <c r="K36" s="849"/>
      <c r="L36" s="267"/>
      <c r="M36" s="267"/>
    </row>
    <row r="37" spans="1:13">
      <c r="A37" s="235"/>
      <c r="B37" s="345" t="s">
        <v>2470</v>
      </c>
      <c r="C37" s="12"/>
      <c r="D37" s="12">
        <v>1</v>
      </c>
      <c r="E37" s="13">
        <v>4.8</v>
      </c>
      <c r="F37" s="13"/>
      <c r="G37" s="13"/>
      <c r="H37" s="13">
        <v>5.3810000000000002</v>
      </c>
      <c r="I37" s="13"/>
      <c r="J37" s="344">
        <f>H37*E37</f>
        <v>25.828800000000001</v>
      </c>
      <c r="K37" s="849"/>
      <c r="L37" s="267"/>
      <c r="M37" s="267"/>
    </row>
    <row r="38" spans="1:13">
      <c r="A38" s="235"/>
      <c r="B38" s="345" t="s">
        <v>2469</v>
      </c>
      <c r="C38" s="12"/>
      <c r="D38" s="12"/>
      <c r="E38" s="13"/>
      <c r="F38" s="13"/>
      <c r="G38" s="13"/>
      <c r="H38" s="13"/>
      <c r="I38" s="346"/>
      <c r="J38" s="344"/>
      <c r="K38" s="849"/>
      <c r="L38" s="267"/>
      <c r="M38" s="267"/>
    </row>
    <row r="39" spans="1:13">
      <c r="A39" s="235"/>
      <c r="B39" s="345" t="s">
        <v>2468</v>
      </c>
      <c r="C39" s="12"/>
      <c r="D39" s="12">
        <v>1</v>
      </c>
      <c r="E39" s="13">
        <v>54.673000000000002</v>
      </c>
      <c r="F39" s="13"/>
      <c r="G39" s="13"/>
      <c r="H39" s="766">
        <v>2.61</v>
      </c>
      <c r="I39" s="346"/>
      <c r="J39" s="344">
        <f>H39*E39*D39</f>
        <v>142.69653</v>
      </c>
      <c r="K39" s="849"/>
      <c r="L39" s="267"/>
      <c r="M39" s="267"/>
    </row>
    <row r="40" spans="1:13">
      <c r="A40" s="235"/>
      <c r="B40" s="345" t="s">
        <v>2467</v>
      </c>
      <c r="C40" s="12"/>
      <c r="D40" s="12">
        <v>1</v>
      </c>
      <c r="E40" s="13">
        <v>24.45</v>
      </c>
      <c r="F40" s="13"/>
      <c r="G40" s="13"/>
      <c r="H40" s="766">
        <v>2.06</v>
      </c>
      <c r="I40" s="346"/>
      <c r="J40" s="344">
        <f>E40*H40</f>
        <v>50.366999999999997</v>
      </c>
      <c r="K40" s="849"/>
      <c r="L40" s="267"/>
      <c r="M40" s="267"/>
    </row>
    <row r="41" spans="1:13">
      <c r="A41" s="235"/>
      <c r="B41" s="231"/>
      <c r="C41" s="232"/>
      <c r="D41" s="232"/>
      <c r="E41" s="232"/>
      <c r="F41" s="232"/>
      <c r="G41" s="232"/>
      <c r="H41" s="232"/>
      <c r="I41" s="356" t="s">
        <v>439</v>
      </c>
      <c r="J41" s="233">
        <f>SUM(J32:J39)</f>
        <v>854.06943000000001</v>
      </c>
      <c r="K41" s="849"/>
      <c r="L41" s="267">
        <v>17500</v>
      </c>
      <c r="M41" s="267">
        <f>L41*J41</f>
        <v>14946215.025</v>
      </c>
    </row>
    <row r="42" spans="1:13">
      <c r="A42" s="596">
        <v>7</v>
      </c>
      <c r="B42" s="712" t="s">
        <v>2631</v>
      </c>
      <c r="C42" s="598"/>
      <c r="D42" s="598"/>
      <c r="E42" s="598"/>
      <c r="F42" s="598"/>
      <c r="G42" s="598"/>
      <c r="H42" s="598"/>
      <c r="I42" s="598"/>
      <c r="J42" s="600"/>
      <c r="K42" s="848"/>
      <c r="L42" s="602"/>
      <c r="M42" s="602"/>
    </row>
    <row r="43" spans="1:13">
      <c r="A43" s="235"/>
      <c r="B43" s="345" t="s">
        <v>738</v>
      </c>
      <c r="C43" s="12"/>
      <c r="D43" s="12">
        <v>1</v>
      </c>
      <c r="E43" s="13"/>
      <c r="F43" s="13">
        <v>10.8</v>
      </c>
      <c r="G43" s="13"/>
      <c r="H43" s="766">
        <v>10.824999999999999</v>
      </c>
      <c r="I43" s="13"/>
      <c r="J43" s="13">
        <f>H43*F43*D43</f>
        <v>116.91</v>
      </c>
      <c r="K43" s="849"/>
      <c r="L43" s="267"/>
      <c r="M43" s="267"/>
    </row>
    <row r="44" spans="1:13">
      <c r="A44" s="235"/>
      <c r="B44" s="231"/>
      <c r="C44" s="232"/>
      <c r="D44" s="232"/>
      <c r="E44" s="232"/>
      <c r="F44" s="232"/>
      <c r="G44" s="232"/>
      <c r="H44" s="232"/>
      <c r="I44" s="356" t="s">
        <v>439</v>
      </c>
      <c r="J44" s="233">
        <f>SUM(J43:J43)</f>
        <v>116.91</v>
      </c>
      <c r="K44" s="849"/>
      <c r="L44" s="267">
        <v>11500</v>
      </c>
      <c r="M44" s="267">
        <f>L44*J44</f>
        <v>1344465</v>
      </c>
    </row>
    <row r="45" spans="1:13">
      <c r="A45" s="596">
        <v>8</v>
      </c>
      <c r="B45" s="712" t="s">
        <v>309</v>
      </c>
      <c r="C45" s="598" t="s">
        <v>85</v>
      </c>
      <c r="D45" s="598"/>
      <c r="E45" s="598"/>
      <c r="F45" s="598"/>
      <c r="G45" s="598"/>
      <c r="H45" s="598"/>
      <c r="I45" s="598"/>
      <c r="J45" s="598"/>
      <c r="K45" s="848"/>
      <c r="L45" s="602"/>
      <c r="M45" s="602"/>
    </row>
    <row r="46" spans="1:13">
      <c r="A46" s="235"/>
      <c r="B46" s="231" t="s">
        <v>1216</v>
      </c>
      <c r="C46" s="232"/>
      <c r="D46" s="232"/>
      <c r="E46" s="232"/>
      <c r="F46" s="232"/>
      <c r="G46" s="232"/>
      <c r="H46" s="232"/>
      <c r="I46" s="232"/>
      <c r="J46" s="232"/>
      <c r="K46" s="849"/>
      <c r="L46" s="267"/>
      <c r="M46" s="267"/>
    </row>
    <row r="47" spans="1:13">
      <c r="A47" s="235"/>
      <c r="B47" s="358" t="s">
        <v>2466</v>
      </c>
      <c r="C47" s="347"/>
      <c r="D47" s="347">
        <v>2</v>
      </c>
      <c r="E47" s="348"/>
      <c r="F47" s="348"/>
      <c r="G47" s="348"/>
      <c r="H47" s="1456">
        <v>43.070999999999998</v>
      </c>
      <c r="I47" s="348"/>
      <c r="J47" s="351">
        <f>H47*D47</f>
        <v>86.141999999999996</v>
      </c>
      <c r="K47" s="849"/>
      <c r="L47" s="267"/>
      <c r="M47" s="267"/>
    </row>
    <row r="48" spans="1:13">
      <c r="A48" s="235"/>
      <c r="B48" s="358" t="s">
        <v>2465</v>
      </c>
      <c r="C48" s="347"/>
      <c r="D48" s="347">
        <v>1</v>
      </c>
      <c r="E48" s="348"/>
      <c r="F48" s="348">
        <v>10.8</v>
      </c>
      <c r="G48" s="348">
        <v>12.614000000000001</v>
      </c>
      <c r="H48" s="1456">
        <f>F48*G48</f>
        <v>136.23120000000003</v>
      </c>
      <c r="I48" s="348"/>
      <c r="J48" s="351">
        <f>H48*D48</f>
        <v>136.23120000000003</v>
      </c>
      <c r="K48" s="849"/>
      <c r="L48" s="267"/>
      <c r="M48" s="267"/>
    </row>
    <row r="49" spans="1:13">
      <c r="A49" s="235"/>
      <c r="B49" s="358" t="s">
        <v>1218</v>
      </c>
      <c r="C49" s="347"/>
      <c r="D49" s="347">
        <v>2</v>
      </c>
      <c r="E49" s="348"/>
      <c r="F49" s="348"/>
      <c r="G49" s="348"/>
      <c r="H49" s="348">
        <v>90.48</v>
      </c>
      <c r="I49" s="348"/>
      <c r="J49" s="348">
        <f>H49*D49</f>
        <v>180.96</v>
      </c>
      <c r="K49" s="849"/>
      <c r="L49" s="267"/>
      <c r="M49" s="267"/>
    </row>
    <row r="50" spans="1:13">
      <c r="A50" s="235"/>
      <c r="B50" s="358" t="s">
        <v>1219</v>
      </c>
      <c r="C50" s="347"/>
      <c r="D50" s="347">
        <v>1</v>
      </c>
      <c r="E50" s="348">
        <v>14.5</v>
      </c>
      <c r="F50" s="348">
        <v>10.8</v>
      </c>
      <c r="G50" s="348"/>
      <c r="H50" s="348">
        <f>F50*E50</f>
        <v>156.60000000000002</v>
      </c>
      <c r="I50" s="348"/>
      <c r="J50" s="348">
        <f>D50*E50*F50</f>
        <v>156.60000000000002</v>
      </c>
      <c r="K50" s="849"/>
      <c r="L50" s="267"/>
      <c r="M50" s="267"/>
    </row>
    <row r="51" spans="1:13">
      <c r="A51" s="235"/>
      <c r="B51" s="1455" t="s">
        <v>2464</v>
      </c>
      <c r="C51" s="347"/>
      <c r="D51" s="347">
        <v>1</v>
      </c>
      <c r="E51" s="348"/>
      <c r="F51" s="348"/>
      <c r="G51" s="348"/>
      <c r="H51" s="348"/>
      <c r="I51" s="348"/>
      <c r="J51" s="348"/>
      <c r="K51" s="849"/>
      <c r="L51" s="267"/>
      <c r="M51" s="267"/>
    </row>
    <row r="52" spans="1:13">
      <c r="A52" s="235"/>
      <c r="B52" s="349" t="s">
        <v>1220</v>
      </c>
      <c r="C52" s="347"/>
      <c r="D52" s="347">
        <v>2</v>
      </c>
      <c r="E52" s="348"/>
      <c r="F52" s="348"/>
      <c r="G52" s="348">
        <f>G37</f>
        <v>0</v>
      </c>
      <c r="H52" s="348"/>
      <c r="I52" s="348">
        <f>I37</f>
        <v>0</v>
      </c>
      <c r="J52" s="348">
        <f>I52*G52*D52</f>
        <v>0</v>
      </c>
      <c r="K52" s="849"/>
      <c r="L52" s="267"/>
      <c r="M52" s="267"/>
    </row>
    <row r="53" spans="1:13">
      <c r="A53" s="235"/>
      <c r="B53" s="349" t="s">
        <v>967</v>
      </c>
      <c r="C53" s="347"/>
      <c r="D53" s="347">
        <v>1</v>
      </c>
      <c r="E53" s="348">
        <f>E39</f>
        <v>54.673000000000002</v>
      </c>
      <c r="F53" s="1454"/>
      <c r="G53" s="348"/>
      <c r="H53" s="348"/>
      <c r="I53" s="348">
        <v>1.8</v>
      </c>
      <c r="J53" s="348">
        <f>I53*E53*D53</f>
        <v>98.4114</v>
      </c>
      <c r="K53" s="849"/>
      <c r="L53" s="267"/>
      <c r="M53" s="267"/>
    </row>
    <row r="54" spans="1:13">
      <c r="A54" s="235"/>
      <c r="B54" s="349"/>
      <c r="C54" s="347"/>
      <c r="D54" s="347"/>
      <c r="E54" s="348"/>
      <c r="F54" s="1454"/>
      <c r="G54" s="348"/>
      <c r="H54" s="348"/>
      <c r="I54" s="356" t="s">
        <v>439</v>
      </c>
      <c r="J54" s="233">
        <f>SUM(J47:J53)</f>
        <v>658.34460000000001</v>
      </c>
      <c r="K54" s="849"/>
      <c r="L54" s="267">
        <v>1285</v>
      </c>
      <c r="M54" s="267">
        <f>L54*J54</f>
        <v>845972.81099999999</v>
      </c>
    </row>
    <row r="55" spans="1:13">
      <c r="A55" s="596">
        <v>9</v>
      </c>
      <c r="B55" s="712" t="s">
        <v>24</v>
      </c>
      <c r="C55" s="598" t="s">
        <v>25</v>
      </c>
      <c r="D55" s="598"/>
      <c r="E55" s="598"/>
      <c r="F55" s="598"/>
      <c r="G55" s="598"/>
      <c r="H55" s="601"/>
      <c r="I55" s="601"/>
      <c r="J55" s="601"/>
      <c r="K55" s="848"/>
      <c r="L55" s="602"/>
      <c r="M55" s="602"/>
    </row>
    <row r="56" spans="1:13">
      <c r="A56" s="235"/>
      <c r="B56" s="44" t="s">
        <v>1221</v>
      </c>
      <c r="C56" s="232"/>
      <c r="D56" s="232"/>
      <c r="E56" s="232"/>
      <c r="F56" s="232"/>
      <c r="G56" s="232"/>
      <c r="H56" s="234" t="s">
        <v>1493</v>
      </c>
      <c r="I56" s="232"/>
      <c r="J56" s="233">
        <f>(1%*(J41)*7850)/1000</f>
        <v>67.044450255000001</v>
      </c>
      <c r="K56" s="849"/>
      <c r="L56" s="267"/>
      <c r="M56" s="267"/>
    </row>
    <row r="57" spans="1:13">
      <c r="A57" s="240"/>
      <c r="C57" s="44"/>
      <c r="D57" s="44"/>
      <c r="E57" s="44"/>
      <c r="F57" s="44"/>
      <c r="G57" s="44"/>
      <c r="H57" s="44"/>
      <c r="I57" s="239" t="s">
        <v>439</v>
      </c>
      <c r="J57" s="269">
        <f>SUM(J56)</f>
        <v>67.044450255000001</v>
      </c>
      <c r="K57" s="849"/>
      <c r="L57" s="267">
        <v>130000</v>
      </c>
      <c r="M57" s="267">
        <f>L57*J57</f>
        <v>8715778.5331500005</v>
      </c>
    </row>
    <row r="58" spans="1:13">
      <c r="A58" s="616">
        <v>10</v>
      </c>
      <c r="B58" s="390" t="s">
        <v>2463</v>
      </c>
      <c r="C58" s="810" t="s">
        <v>19</v>
      </c>
      <c r="D58" s="7"/>
      <c r="E58" s="8"/>
      <c r="F58" s="8"/>
      <c r="G58" s="8"/>
      <c r="H58" s="8"/>
      <c r="I58" s="8"/>
      <c r="J58" s="8"/>
      <c r="K58" s="848"/>
      <c r="L58" s="602"/>
      <c r="M58" s="602"/>
    </row>
    <row r="59" spans="1:13" s="1450" customFormat="1">
      <c r="A59" s="1453"/>
      <c r="B59" s="404" t="s">
        <v>560</v>
      </c>
      <c r="C59" s="49"/>
      <c r="D59" s="45">
        <v>1</v>
      </c>
      <c r="E59" s="22">
        <v>8.4049999999999994</v>
      </c>
      <c r="F59" s="22">
        <v>10.8</v>
      </c>
      <c r="G59" s="22"/>
      <c r="H59" s="766">
        <f>F59*E59</f>
        <v>90.774000000000001</v>
      </c>
      <c r="I59" s="22"/>
      <c r="J59" s="22">
        <f>H59</f>
        <v>90.774000000000001</v>
      </c>
      <c r="K59" s="1452"/>
      <c r="L59" s="1451"/>
      <c r="M59" s="1451"/>
    </row>
    <row r="60" spans="1:13">
      <c r="A60" s="240"/>
      <c r="B60" s="14" t="s">
        <v>2462</v>
      </c>
      <c r="C60" s="12"/>
      <c r="D60" s="12">
        <v>1</v>
      </c>
      <c r="E60" s="13">
        <v>54.673000000000002</v>
      </c>
      <c r="F60" s="13">
        <v>1.2</v>
      </c>
      <c r="G60" s="13"/>
      <c r="H60" s="766">
        <f>F60*E60</f>
        <v>65.607600000000005</v>
      </c>
      <c r="I60" s="13"/>
      <c r="J60" s="13">
        <f>H60*D60</f>
        <v>65.607600000000005</v>
      </c>
      <c r="K60" s="849"/>
      <c r="L60" s="267"/>
      <c r="M60" s="267"/>
    </row>
    <row r="61" spans="1:13">
      <c r="A61" s="240"/>
      <c r="B61" s="14" t="s">
        <v>2461</v>
      </c>
      <c r="C61" s="12"/>
      <c r="D61" s="12">
        <v>1</v>
      </c>
      <c r="E61" s="13">
        <v>24.45</v>
      </c>
      <c r="F61" s="13">
        <v>1</v>
      </c>
      <c r="G61" s="13"/>
      <c r="H61" s="1449">
        <f>E61*F61</f>
        <v>24.45</v>
      </c>
      <c r="I61" s="13"/>
      <c r="J61" s="13">
        <f>H61*D61</f>
        <v>24.45</v>
      </c>
      <c r="K61" s="849"/>
      <c r="L61" s="267"/>
      <c r="M61" s="267"/>
    </row>
    <row r="62" spans="1:13">
      <c r="A62" s="240"/>
      <c r="B62" s="14"/>
      <c r="C62" s="12"/>
      <c r="D62" s="12"/>
      <c r="E62" s="13"/>
      <c r="F62" s="13"/>
      <c r="G62" s="13"/>
      <c r="H62" s="44"/>
      <c r="I62" s="359" t="s">
        <v>20</v>
      </c>
      <c r="J62" s="359">
        <f>SUM(J59:KJ61)</f>
        <v>180.83159999999998</v>
      </c>
      <c r="K62" s="849"/>
      <c r="L62" s="267">
        <v>9236.98</v>
      </c>
      <c r="M62" s="267">
        <f>L62*J62</f>
        <v>1670337.8725679996</v>
      </c>
    </row>
    <row r="63" spans="1:13" ht="47.25" customHeight="1">
      <c r="A63" s="704">
        <v>11</v>
      </c>
      <c r="B63" s="705" t="s">
        <v>740</v>
      </c>
      <c r="C63" s="705"/>
      <c r="D63" s="705"/>
      <c r="E63" s="705"/>
      <c r="F63" s="705"/>
      <c r="G63" s="705"/>
      <c r="H63" s="705"/>
      <c r="I63" s="705"/>
      <c r="J63" s="705"/>
      <c r="K63" s="850"/>
      <c r="L63" s="853"/>
      <c r="M63" s="853"/>
    </row>
    <row r="64" spans="1:13">
      <c r="A64" s="10"/>
      <c r="B64" s="14" t="s">
        <v>155</v>
      </c>
      <c r="C64" s="12" t="s">
        <v>27</v>
      </c>
      <c r="D64" s="12">
        <v>4</v>
      </c>
      <c r="E64" s="14">
        <v>10</v>
      </c>
      <c r="F64" s="14"/>
      <c r="G64" s="14"/>
      <c r="H64" s="14"/>
      <c r="I64" s="14"/>
      <c r="J64" s="14">
        <f>D64*E64</f>
        <v>40</v>
      </c>
      <c r="K64" s="498"/>
      <c r="L64" s="393"/>
      <c r="M64" s="393"/>
    </row>
    <row r="65" spans="1:13">
      <c r="A65" s="10"/>
      <c r="B65" s="14"/>
      <c r="C65" s="12"/>
      <c r="D65" s="12"/>
      <c r="E65" s="13"/>
      <c r="F65" s="13"/>
      <c r="G65" s="346"/>
      <c r="H65" s="44"/>
      <c r="I65" s="359" t="s">
        <v>20</v>
      </c>
      <c r="J65" s="355">
        <f>J64</f>
        <v>40</v>
      </c>
      <c r="K65" s="840"/>
      <c r="L65" s="393">
        <v>1693</v>
      </c>
      <c r="M65" s="393">
        <f>L65*J65</f>
        <v>67720</v>
      </c>
    </row>
    <row r="66" spans="1:13">
      <c r="A66" s="10"/>
      <c r="B66" s="14"/>
      <c r="C66" s="12"/>
      <c r="D66" s="12"/>
      <c r="E66" s="13"/>
      <c r="F66" s="13"/>
      <c r="G66" s="346"/>
      <c r="H66" s="44"/>
      <c r="I66" s="13"/>
      <c r="J66" s="355"/>
      <c r="K66" s="840"/>
      <c r="L66" s="393"/>
      <c r="M66" s="393"/>
    </row>
    <row r="67" spans="1:13">
      <c r="A67" s="10"/>
      <c r="B67" s="14" t="s">
        <v>174</v>
      </c>
      <c r="C67" s="12" t="s">
        <v>27</v>
      </c>
      <c r="D67" s="12">
        <v>4</v>
      </c>
      <c r="E67" s="14">
        <v>10</v>
      </c>
      <c r="F67" s="14"/>
      <c r="G67" s="14"/>
      <c r="H67" s="44"/>
      <c r="I67" s="14"/>
      <c r="J67" s="14">
        <f>E67*D67</f>
        <v>40</v>
      </c>
      <c r="K67" s="498"/>
      <c r="L67" s="393"/>
      <c r="M67" s="393"/>
    </row>
    <row r="68" spans="1:13">
      <c r="A68" s="10"/>
      <c r="B68" s="14"/>
      <c r="C68" s="12"/>
      <c r="D68" s="12"/>
      <c r="E68" s="13"/>
      <c r="F68" s="13"/>
      <c r="G68" s="346"/>
      <c r="H68" s="44"/>
      <c r="I68" s="359" t="s">
        <v>20</v>
      </c>
      <c r="J68" s="355">
        <f>J67</f>
        <v>40</v>
      </c>
      <c r="K68" s="840"/>
      <c r="L68" s="393">
        <v>1245</v>
      </c>
      <c r="M68" s="393">
        <f>L68*J68</f>
        <v>49800</v>
      </c>
    </row>
    <row r="69" spans="1:13">
      <c r="A69" s="10"/>
      <c r="B69" s="14"/>
      <c r="C69" s="12"/>
      <c r="D69" s="12"/>
      <c r="E69" s="13"/>
      <c r="F69" s="13"/>
      <c r="G69" s="346"/>
      <c r="H69" s="44"/>
      <c r="I69" s="13"/>
      <c r="J69" s="355"/>
      <c r="K69" s="840"/>
      <c r="L69" s="393"/>
      <c r="M69" s="393"/>
    </row>
    <row r="70" spans="1:13">
      <c r="A70" s="10"/>
      <c r="B70" s="14" t="s">
        <v>741</v>
      </c>
      <c r="C70" s="12" t="s">
        <v>85</v>
      </c>
      <c r="D70" s="12">
        <v>4</v>
      </c>
      <c r="E70" s="14">
        <v>10</v>
      </c>
      <c r="F70" s="14"/>
      <c r="G70" s="14"/>
      <c r="H70" s="44"/>
      <c r="I70" s="14"/>
      <c r="J70" s="14">
        <f>2*E70*D70</f>
        <v>80</v>
      </c>
      <c r="K70" s="498"/>
      <c r="L70" s="393"/>
      <c r="M70" s="393"/>
    </row>
    <row r="71" spans="1:13">
      <c r="A71" s="10"/>
      <c r="B71" s="14"/>
      <c r="C71" s="12"/>
      <c r="D71" s="12"/>
      <c r="E71" s="13"/>
      <c r="F71" s="13"/>
      <c r="G71" s="346"/>
      <c r="H71" s="44"/>
      <c r="I71" s="359" t="s">
        <v>20</v>
      </c>
      <c r="J71" s="355">
        <f>J70</f>
        <v>80</v>
      </c>
      <c r="K71" s="840"/>
      <c r="L71" s="393">
        <v>1208</v>
      </c>
      <c r="M71" s="393">
        <f>L71*J71</f>
        <v>96640</v>
      </c>
    </row>
    <row r="72" spans="1:13">
      <c r="A72" s="14"/>
      <c r="B72" s="11"/>
      <c r="C72" s="12"/>
      <c r="D72" s="12"/>
      <c r="E72" s="13"/>
      <c r="F72" s="13"/>
      <c r="G72" s="13"/>
      <c r="H72" s="15"/>
      <c r="I72" s="13"/>
      <c r="J72" s="355"/>
      <c r="K72" s="498"/>
      <c r="L72" s="393"/>
      <c r="M72" s="393"/>
    </row>
    <row r="73" spans="1:13">
      <c r="L73" s="499" t="s">
        <v>20</v>
      </c>
      <c r="M73" s="269">
        <f>SUM(M11:M72)</f>
        <v>28257150.400718</v>
      </c>
    </row>
    <row r="74" spans="1:13">
      <c r="M74" s="698" t="s">
        <v>1240</v>
      </c>
    </row>
  </sheetData>
  <printOptions horizontalCentered="1"/>
  <pageMargins left="0.7" right="0.7" top="0.71" bottom="0.59" header="0.3" footer="0.16"/>
  <pageSetup paperSize="9" scale="78" fitToHeight="10" orientation="landscape" r:id="rId1"/>
  <rowBreaks count="1" manualBreakCount="1">
    <brk id="44" max="10" man="1"/>
  </row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9">
    <tabColor theme="9" tint="-0.499984740745262"/>
  </sheetPr>
  <dimension ref="A1:O128"/>
  <sheetViews>
    <sheetView workbookViewId="0"/>
  </sheetViews>
  <sheetFormatPr defaultColWidth="9.109375" defaultRowHeight="16.8"/>
  <cols>
    <col min="1" max="1" width="12.33203125" style="1" customWidth="1"/>
    <col min="2" max="2" width="39" style="1" bestFit="1" customWidth="1"/>
    <col min="3" max="3" width="9.109375" style="1"/>
    <col min="4" max="4" width="9.109375" style="1" customWidth="1"/>
    <col min="5" max="5" width="10.33203125" style="1" customWidth="1"/>
    <col min="6" max="6" width="10.44140625" style="1" customWidth="1"/>
    <col min="7" max="7" width="9.109375" style="1" customWidth="1"/>
    <col min="8" max="8" width="10.88671875" style="1" customWidth="1"/>
    <col min="9" max="9" width="12.33203125" style="1" customWidth="1"/>
    <col min="10" max="10" width="13" style="1" customWidth="1"/>
    <col min="11" max="11" width="16.6640625" style="1" customWidth="1"/>
    <col min="12" max="12" width="13.5546875" style="698" bestFit="1" customWidth="1"/>
    <col min="13" max="13" width="15.6640625" style="698" bestFit="1" customWidth="1"/>
    <col min="14" max="16384" width="9.109375" style="1"/>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1574</v>
      </c>
      <c r="C6" s="523"/>
      <c r="D6" s="537"/>
      <c r="E6" s="1223"/>
      <c r="J6" s="1276" t="s">
        <v>171</v>
      </c>
      <c r="K6" s="523" t="s">
        <v>1563</v>
      </c>
    </row>
    <row r="7" spans="1:13" s="520" customFormat="1" ht="19.2">
      <c r="A7" s="119" t="s">
        <v>4</v>
      </c>
      <c r="B7" s="1247"/>
      <c r="C7" s="523"/>
      <c r="D7" s="537"/>
      <c r="E7" s="1223"/>
      <c r="J7" s="1276" t="s">
        <v>106</v>
      </c>
      <c r="K7" s="1277">
        <f ca="1">TODAY()</f>
        <v>44942</v>
      </c>
    </row>
    <row r="8" spans="1:13">
      <c r="A8" s="119"/>
      <c r="B8" s="55"/>
    </row>
    <row r="10" spans="1:13">
      <c r="A10" s="857" t="s">
        <v>332</v>
      </c>
      <c r="B10" s="857" t="s">
        <v>8</v>
      </c>
      <c r="C10" s="857" t="s">
        <v>9</v>
      </c>
      <c r="D10" s="857" t="s">
        <v>333</v>
      </c>
      <c r="E10" s="857" t="s">
        <v>11</v>
      </c>
      <c r="F10" s="857" t="s">
        <v>12</v>
      </c>
      <c r="G10" s="857" t="s">
        <v>13</v>
      </c>
      <c r="H10" s="857" t="s">
        <v>15</v>
      </c>
      <c r="I10" s="857" t="s">
        <v>14</v>
      </c>
      <c r="J10" s="857" t="s">
        <v>16</v>
      </c>
      <c r="K10" s="858" t="s">
        <v>17</v>
      </c>
      <c r="L10" s="859" t="s">
        <v>1233</v>
      </c>
      <c r="M10" s="859" t="s">
        <v>1234</v>
      </c>
    </row>
    <row r="11" spans="1:13" s="601" customFormat="1">
      <c r="A11" s="710">
        <v>1</v>
      </c>
      <c r="B11" s="711" t="s">
        <v>18</v>
      </c>
      <c r="C11" s="598" t="s">
        <v>85</v>
      </c>
      <c r="D11" s="710"/>
      <c r="E11" s="710"/>
      <c r="F11" s="710"/>
      <c r="G11" s="710"/>
      <c r="H11" s="710"/>
      <c r="I11" s="710"/>
      <c r="J11" s="710"/>
      <c r="K11" s="846"/>
      <c r="L11" s="852"/>
      <c r="M11" s="852"/>
    </row>
    <row r="12" spans="1:13">
      <c r="A12" s="406"/>
      <c r="B12" s="407" t="s">
        <v>2537</v>
      </c>
      <c r="C12" s="406"/>
      <c r="D12" s="406">
        <v>1</v>
      </c>
      <c r="E12" s="406"/>
      <c r="F12" s="406"/>
      <c r="G12" s="406"/>
      <c r="H12" s="406">
        <v>2560</v>
      </c>
      <c r="I12" s="406"/>
      <c r="J12" s="406">
        <f>H12*D12*1.1</f>
        <v>2816</v>
      </c>
      <c r="K12" s="854" t="s">
        <v>750</v>
      </c>
      <c r="L12" s="856"/>
      <c r="M12" s="856"/>
    </row>
    <row r="13" spans="1:13">
      <c r="A13" s="406"/>
      <c r="B13" s="407" t="s">
        <v>2538</v>
      </c>
      <c r="C13" s="406"/>
      <c r="D13" s="406">
        <v>1</v>
      </c>
      <c r="E13" s="406"/>
      <c r="F13" s="406"/>
      <c r="G13" s="406"/>
      <c r="H13" s="406">
        <v>838</v>
      </c>
      <c r="I13" s="406"/>
      <c r="J13" s="406">
        <f t="shared" ref="J13:J14" si="0">H13*D13*1.1</f>
        <v>921.80000000000007</v>
      </c>
      <c r="K13" s="854"/>
      <c r="L13" s="856"/>
      <c r="M13" s="856"/>
    </row>
    <row r="14" spans="1:13">
      <c r="A14" s="406"/>
      <c r="B14" s="407" t="s">
        <v>794</v>
      </c>
      <c r="C14" s="406"/>
      <c r="D14" s="406">
        <v>1</v>
      </c>
      <c r="E14" s="406">
        <v>165</v>
      </c>
      <c r="F14" s="406">
        <v>8.5</v>
      </c>
      <c r="G14" s="406"/>
      <c r="H14" s="406">
        <f>F14*E14</f>
        <v>1402.5</v>
      </c>
      <c r="I14" s="406"/>
      <c r="J14" s="406">
        <f t="shared" si="0"/>
        <v>1542.7500000000002</v>
      </c>
      <c r="K14" s="854"/>
      <c r="L14" s="856"/>
      <c r="M14" s="856"/>
    </row>
    <row r="15" spans="1:13">
      <c r="A15" s="230"/>
      <c r="B15" s="230"/>
      <c r="C15" s="230"/>
      <c r="D15" s="230"/>
      <c r="E15" s="230"/>
      <c r="F15" s="230"/>
      <c r="G15" s="230"/>
      <c r="H15" s="230"/>
      <c r="I15" s="230" t="s">
        <v>439</v>
      </c>
      <c r="J15" s="230">
        <f>SUM(J12:J14)</f>
        <v>5280.55</v>
      </c>
      <c r="K15" s="847"/>
      <c r="L15" s="856">
        <v>40.5</v>
      </c>
      <c r="M15" s="855">
        <f>L15*J15</f>
        <v>213862.27499999999</v>
      </c>
    </row>
    <row r="16" spans="1:13" s="601" customFormat="1">
      <c r="A16" s="596">
        <v>2</v>
      </c>
      <c r="B16" s="712" t="s">
        <v>313</v>
      </c>
      <c r="C16" s="598" t="s">
        <v>306</v>
      </c>
      <c r="D16" s="598"/>
      <c r="E16" s="598"/>
      <c r="F16" s="598"/>
      <c r="G16" s="598"/>
      <c r="H16" s="598"/>
      <c r="I16" s="598"/>
      <c r="J16" s="600"/>
      <c r="K16" s="848"/>
      <c r="L16" s="602"/>
      <c r="M16" s="602"/>
    </row>
    <row r="17" spans="1:13" ht="18">
      <c r="A17" s="235"/>
      <c r="B17" s="408" t="s">
        <v>772</v>
      </c>
      <c r="C17" s="409"/>
      <c r="D17" s="409">
        <v>1</v>
      </c>
      <c r="E17" s="410">
        <v>21.28</v>
      </c>
      <c r="F17" s="411"/>
      <c r="G17" s="411"/>
      <c r="H17" s="411">
        <v>379.75</v>
      </c>
      <c r="I17" s="44"/>
      <c r="J17" s="241">
        <f>D17*E17*H17</f>
        <v>8081.0800000000008</v>
      </c>
      <c r="K17" s="849"/>
      <c r="L17" s="267"/>
      <c r="M17" s="267"/>
    </row>
    <row r="18" spans="1:13" ht="18">
      <c r="A18" s="235"/>
      <c r="B18" s="408" t="s">
        <v>773</v>
      </c>
      <c r="C18" s="409"/>
      <c r="D18" s="409">
        <v>1</v>
      </c>
      <c r="E18" s="421">
        <v>85</v>
      </c>
      <c r="F18" s="411"/>
      <c r="G18" s="411"/>
      <c r="H18" s="411">
        <v>325.39999999999998</v>
      </c>
      <c r="I18" s="44"/>
      <c r="J18" s="241">
        <f>D18*E18*H18</f>
        <v>27658.999999999996</v>
      </c>
      <c r="K18" s="849"/>
      <c r="L18" s="267"/>
      <c r="M18" s="267"/>
    </row>
    <row r="19" spans="1:13" ht="18">
      <c r="A19" s="235"/>
      <c r="B19" s="408" t="s">
        <v>2539</v>
      </c>
      <c r="C19" s="409"/>
      <c r="D19" s="409">
        <v>1</v>
      </c>
      <c r="E19" s="814">
        <v>21.05</v>
      </c>
      <c r="F19" s="411"/>
      <c r="G19" s="411"/>
      <c r="H19" s="411">
        <f>AVERAGE(243,179)</f>
        <v>211</v>
      </c>
      <c r="I19" s="44"/>
      <c r="J19" s="241">
        <f>D19*E19*H19</f>
        <v>4441.55</v>
      </c>
      <c r="K19" s="849"/>
      <c r="L19" s="267"/>
      <c r="M19" s="267"/>
    </row>
    <row r="20" spans="1:13" ht="18">
      <c r="A20" s="235"/>
      <c r="B20" s="408" t="s">
        <v>2540</v>
      </c>
      <c r="C20" s="409"/>
      <c r="D20" s="409">
        <v>1</v>
      </c>
      <c r="E20" s="814"/>
      <c r="F20" s="411">
        <v>6</v>
      </c>
      <c r="G20" s="411"/>
      <c r="H20" s="411">
        <v>40</v>
      </c>
      <c r="I20" s="44"/>
      <c r="J20" s="241">
        <f>H20*F20*D20*1.2</f>
        <v>288</v>
      </c>
      <c r="K20" s="849"/>
      <c r="L20" s="267"/>
      <c r="M20" s="267"/>
    </row>
    <row r="21" spans="1:13" s="4" customFormat="1">
      <c r="A21" s="10"/>
      <c r="B21" s="11" t="s">
        <v>791</v>
      </c>
      <c r="C21" s="12"/>
      <c r="D21" s="12">
        <v>1</v>
      </c>
      <c r="E21" s="862">
        <f>E14</f>
        <v>165</v>
      </c>
      <c r="F21" s="13"/>
      <c r="G21" s="13"/>
      <c r="H21" s="13">
        <f>AVERAGE(29,26,52,45,19)</f>
        <v>34.200000000000003</v>
      </c>
      <c r="I21" s="13"/>
      <c r="J21" s="863">
        <f>H21*E21</f>
        <v>5643.0000000000009</v>
      </c>
      <c r="K21" s="14"/>
      <c r="L21" s="393"/>
      <c r="M21" s="826"/>
    </row>
    <row r="22" spans="1:13">
      <c r="A22" s="235"/>
      <c r="B22" s="231"/>
      <c r="C22" s="232"/>
      <c r="D22" s="232"/>
      <c r="E22" s="232"/>
      <c r="F22" s="232"/>
      <c r="G22" s="232"/>
      <c r="H22" s="232"/>
      <c r="I22" s="231" t="s">
        <v>439</v>
      </c>
      <c r="J22" s="233">
        <f>SUM(J17:J21)</f>
        <v>46112.63</v>
      </c>
      <c r="K22" s="849"/>
      <c r="L22" s="267"/>
      <c r="M22" s="267"/>
    </row>
    <row r="23" spans="1:13">
      <c r="A23" s="235"/>
      <c r="B23" s="231"/>
      <c r="C23" s="232"/>
      <c r="D23" s="232"/>
      <c r="E23" s="232"/>
      <c r="F23" s="232"/>
      <c r="G23" s="232"/>
      <c r="H23" s="232"/>
      <c r="I23" s="231"/>
      <c r="J23" s="233">
        <f>50%*J22</f>
        <v>23056.314999999999</v>
      </c>
      <c r="K23" s="849" t="s">
        <v>1231</v>
      </c>
      <c r="L23" s="267">
        <v>320</v>
      </c>
      <c r="M23" s="267">
        <f>L23*J23</f>
        <v>7378020.7999999998</v>
      </c>
    </row>
    <row r="24" spans="1:13">
      <c r="A24" s="235"/>
      <c r="B24" s="231"/>
      <c r="C24" s="232"/>
      <c r="D24" s="232"/>
      <c r="E24" s="232"/>
      <c r="F24" s="232"/>
      <c r="G24" s="232"/>
      <c r="H24" s="232"/>
      <c r="I24" s="231"/>
      <c r="J24" s="233">
        <f>J22-J23</f>
        <v>23056.314999999999</v>
      </c>
      <c r="K24" s="849" t="s">
        <v>1232</v>
      </c>
      <c r="L24" s="267">
        <v>1350</v>
      </c>
      <c r="M24" s="267">
        <f>L24*J24</f>
        <v>31126025.25</v>
      </c>
    </row>
    <row r="25" spans="1:13">
      <c r="A25" s="235"/>
      <c r="B25" s="231"/>
      <c r="C25" s="232"/>
      <c r="D25" s="232"/>
      <c r="E25" s="232"/>
      <c r="F25" s="232"/>
      <c r="G25" s="232"/>
      <c r="H25" s="232"/>
      <c r="I25" s="231"/>
      <c r="J25" s="233"/>
      <c r="K25" s="849"/>
      <c r="L25" s="267"/>
      <c r="M25" s="267"/>
    </row>
    <row r="26" spans="1:13" s="601" customFormat="1">
      <c r="A26" s="596">
        <v>3</v>
      </c>
      <c r="B26" s="712" t="s">
        <v>422</v>
      </c>
      <c r="C26" s="598" t="s">
        <v>306</v>
      </c>
      <c r="D26" s="598"/>
      <c r="E26" s="598"/>
      <c r="F26" s="598"/>
      <c r="G26" s="598"/>
      <c r="H26" s="598"/>
      <c r="I26" s="712"/>
      <c r="J26" s="600"/>
      <c r="K26" s="848"/>
      <c r="L26" s="602"/>
      <c r="M26" s="602"/>
    </row>
    <row r="27" spans="1:13" ht="18">
      <c r="A27" s="235"/>
      <c r="B27" s="408" t="s">
        <v>772</v>
      </c>
      <c r="C27" s="409"/>
      <c r="D27" s="409">
        <v>1</v>
      </c>
      <c r="E27" s="410">
        <v>21.28</v>
      </c>
      <c r="F27" s="411"/>
      <c r="G27" s="411"/>
      <c r="H27" s="411">
        <v>45.2</v>
      </c>
      <c r="I27" s="44"/>
      <c r="J27" s="241">
        <f>D27*E27*H27</f>
        <v>961.85600000000011</v>
      </c>
      <c r="K27" s="849"/>
      <c r="L27" s="267"/>
      <c r="M27" s="267"/>
    </row>
    <row r="28" spans="1:13" ht="18">
      <c r="A28" s="235"/>
      <c r="B28" s="408" t="s">
        <v>773</v>
      </c>
      <c r="C28" s="409"/>
      <c r="D28" s="409">
        <v>1</v>
      </c>
      <c r="E28" s="421">
        <v>85</v>
      </c>
      <c r="F28" s="411"/>
      <c r="G28" s="411"/>
      <c r="H28" s="411">
        <v>75</v>
      </c>
      <c r="I28" s="44"/>
      <c r="J28" s="241">
        <f>D28*E28*H28</f>
        <v>6375</v>
      </c>
      <c r="K28" s="849"/>
      <c r="L28" s="267"/>
      <c r="M28" s="267"/>
    </row>
    <row r="29" spans="1:13" ht="18">
      <c r="A29" s="235"/>
      <c r="B29" s="408" t="s">
        <v>2539</v>
      </c>
      <c r="C29" s="409"/>
      <c r="D29" s="409">
        <v>1</v>
      </c>
      <c r="E29" s="814">
        <v>21.05</v>
      </c>
      <c r="F29" s="411"/>
      <c r="G29" s="411"/>
      <c r="H29" s="411">
        <f>AVERAGE(109,129)</f>
        <v>119</v>
      </c>
      <c r="I29" s="44"/>
      <c r="J29" s="241">
        <f>D29*E29*H29</f>
        <v>2504.9500000000003</v>
      </c>
      <c r="K29" s="849"/>
      <c r="L29" s="267"/>
      <c r="M29" s="267"/>
    </row>
    <row r="30" spans="1:13" ht="18">
      <c r="A30" s="235"/>
      <c r="B30" s="408" t="s">
        <v>2540</v>
      </c>
      <c r="C30" s="409"/>
      <c r="D30" s="409">
        <v>1</v>
      </c>
      <c r="E30" s="814"/>
      <c r="F30" s="411">
        <v>6</v>
      </c>
      <c r="G30" s="411"/>
      <c r="H30" s="411">
        <v>60</v>
      </c>
      <c r="I30" s="44"/>
      <c r="J30" s="241">
        <f>H30*F30*D30*1.2</f>
        <v>432</v>
      </c>
      <c r="K30" s="849"/>
      <c r="L30" s="267"/>
      <c r="M30" s="267"/>
    </row>
    <row r="31" spans="1:13" s="4" customFormat="1">
      <c r="A31" s="10"/>
      <c r="B31" s="11" t="s">
        <v>791</v>
      </c>
      <c r="C31" s="12"/>
      <c r="D31" s="12">
        <v>1</v>
      </c>
      <c r="E31" s="862">
        <f>E21</f>
        <v>165</v>
      </c>
      <c r="F31" s="13"/>
      <c r="G31" s="13"/>
      <c r="H31" s="13">
        <f>AVERAGE(20,45,43,38,55)</f>
        <v>40.200000000000003</v>
      </c>
      <c r="I31" s="13"/>
      <c r="J31" s="863">
        <f>H31*E31*D31</f>
        <v>6633.0000000000009</v>
      </c>
      <c r="K31" s="14"/>
      <c r="L31" s="393"/>
      <c r="M31" s="826"/>
    </row>
    <row r="32" spans="1:13" s="109" customFormat="1" ht="18">
      <c r="A32" s="440"/>
      <c r="B32" s="408"/>
      <c r="C32" s="409"/>
      <c r="D32" s="409"/>
      <c r="E32" s="412"/>
      <c r="F32" s="411"/>
      <c r="G32" s="411"/>
      <c r="H32" s="411"/>
      <c r="I32" s="414"/>
      <c r="J32" s="422"/>
      <c r="K32" s="363"/>
      <c r="L32" s="365"/>
      <c r="M32" s="365"/>
    </row>
    <row r="33" spans="1:14" ht="18">
      <c r="A33" s="235"/>
      <c r="B33" s="408"/>
      <c r="C33" s="409"/>
      <c r="D33" s="409"/>
      <c r="E33" s="413"/>
      <c r="F33" s="411"/>
      <c r="G33" s="411"/>
      <c r="H33" s="414"/>
      <c r="I33" s="231" t="s">
        <v>439</v>
      </c>
      <c r="J33" s="233">
        <f>SUM(J27:J32)</f>
        <v>16906.806</v>
      </c>
      <c r="K33" s="849" t="s">
        <v>973</v>
      </c>
      <c r="L33" s="267">
        <v>210</v>
      </c>
      <c r="M33" s="267">
        <f>L33*J33</f>
        <v>3550429.2600000002</v>
      </c>
    </row>
    <row r="34" spans="1:14" s="601" customFormat="1">
      <c r="A34" s="596">
        <v>4</v>
      </c>
      <c r="B34" s="712" t="s">
        <v>314</v>
      </c>
      <c r="C34" s="598" t="s">
        <v>306</v>
      </c>
      <c r="D34" s="598"/>
      <c r="E34" s="598"/>
      <c r="F34" s="598"/>
      <c r="G34" s="598"/>
      <c r="H34" s="598"/>
      <c r="I34" s="598"/>
      <c r="J34" s="712"/>
      <c r="K34" s="848"/>
      <c r="L34" s="602"/>
      <c r="M34" s="602"/>
    </row>
    <row r="35" spans="1:14" ht="18">
      <c r="A35" s="235"/>
      <c r="B35" s="408" t="s">
        <v>772</v>
      </c>
      <c r="C35" s="12"/>
      <c r="D35" s="45">
        <v>2</v>
      </c>
      <c r="E35" s="22"/>
      <c r="F35" s="22"/>
      <c r="G35" s="22">
        <v>7.4999999999999997E-2</v>
      </c>
      <c r="H35" s="44">
        <v>181</v>
      </c>
      <c r="I35" s="44"/>
      <c r="J35" s="232">
        <f>H35*G35*D35</f>
        <v>27.15</v>
      </c>
      <c r="K35" s="849" t="s">
        <v>750</v>
      </c>
      <c r="L35" s="267"/>
      <c r="M35" s="267"/>
    </row>
    <row r="36" spans="1:14" ht="18">
      <c r="A36" s="235"/>
      <c r="B36" s="408" t="s">
        <v>773</v>
      </c>
      <c r="C36" s="12"/>
      <c r="D36" s="45">
        <v>2</v>
      </c>
      <c r="E36" s="22"/>
      <c r="F36" s="22"/>
      <c r="G36" s="22">
        <v>7.4999999999999997E-2</v>
      </c>
      <c r="H36" s="22">
        <v>1063.1500000000001</v>
      </c>
      <c r="I36" s="44"/>
      <c r="J36" s="232">
        <f t="shared" ref="J36:J38" si="1">H36*G36*D36</f>
        <v>159.4725</v>
      </c>
      <c r="K36" s="849"/>
      <c r="L36" s="267"/>
      <c r="M36" s="267"/>
    </row>
    <row r="37" spans="1:14" ht="18">
      <c r="A37" s="235"/>
      <c r="B37" s="408" t="s">
        <v>2539</v>
      </c>
      <c r="C37" s="12"/>
      <c r="D37" s="45">
        <v>1</v>
      </c>
      <c r="E37" s="22"/>
      <c r="F37" s="22"/>
      <c r="G37" s="22">
        <v>7.4999999999999997E-2</v>
      </c>
      <c r="H37" s="22">
        <v>615</v>
      </c>
      <c r="I37" s="44"/>
      <c r="J37" s="232">
        <f t="shared" si="1"/>
        <v>46.125</v>
      </c>
      <c r="K37" s="849"/>
      <c r="L37" s="267"/>
      <c r="M37" s="267"/>
    </row>
    <row r="38" spans="1:14" ht="18">
      <c r="A38" s="235"/>
      <c r="B38" s="408" t="s">
        <v>2540</v>
      </c>
      <c r="C38" s="12"/>
      <c r="D38" s="45">
        <v>1</v>
      </c>
      <c r="E38" s="22"/>
      <c r="F38" s="22"/>
      <c r="G38" s="22">
        <v>7.4999999999999997E-2</v>
      </c>
      <c r="H38" s="22">
        <v>225</v>
      </c>
      <c r="I38" s="44"/>
      <c r="J38" s="232">
        <f t="shared" si="1"/>
        <v>16.875</v>
      </c>
      <c r="K38" s="849"/>
      <c r="L38" s="267"/>
      <c r="M38" s="267"/>
    </row>
    <row r="39" spans="1:14">
      <c r="A39" s="235"/>
      <c r="B39" s="11" t="s">
        <v>791</v>
      </c>
      <c r="C39" s="12"/>
      <c r="D39" s="45">
        <v>1</v>
      </c>
      <c r="E39" s="22">
        <f>E31</f>
        <v>165</v>
      </c>
      <c r="F39" s="22">
        <v>4</v>
      </c>
      <c r="G39" s="22">
        <v>7.4999999999999997E-2</v>
      </c>
      <c r="H39" s="22">
        <f>E39*F39</f>
        <v>660</v>
      </c>
      <c r="I39" s="44"/>
      <c r="J39" s="232">
        <f>H39*G39*D39</f>
        <v>49.5</v>
      </c>
      <c r="K39" s="849"/>
      <c r="L39" s="267"/>
      <c r="M39" s="267"/>
    </row>
    <row r="40" spans="1:14">
      <c r="A40" s="235"/>
      <c r="B40" s="232"/>
      <c r="C40" s="232"/>
      <c r="D40" s="232"/>
      <c r="E40" s="232"/>
      <c r="F40" s="232"/>
      <c r="G40" s="232"/>
      <c r="H40" s="232"/>
      <c r="I40" s="231" t="s">
        <v>439</v>
      </c>
      <c r="J40" s="233">
        <f>SUM(J35:J39)</f>
        <v>299.1225</v>
      </c>
      <c r="K40" s="849"/>
      <c r="L40" s="267">
        <v>13500</v>
      </c>
      <c r="M40" s="267">
        <f>L40*J40</f>
        <v>4038153.75</v>
      </c>
      <c r="N40" s="279"/>
    </row>
    <row r="41" spans="1:14" s="601" customFormat="1">
      <c r="A41" s="596">
        <v>5</v>
      </c>
      <c r="B41" s="712" t="s">
        <v>315</v>
      </c>
      <c r="C41" s="598" t="s">
        <v>306</v>
      </c>
      <c r="D41" s="598"/>
      <c r="E41" s="598"/>
      <c r="F41" s="598"/>
      <c r="G41" s="598"/>
      <c r="H41" s="598"/>
      <c r="I41" s="598"/>
      <c r="J41" s="598"/>
      <c r="K41" s="848"/>
      <c r="L41" s="602"/>
      <c r="M41" s="602"/>
    </row>
    <row r="42" spans="1:14">
      <c r="A42" s="235"/>
      <c r="B42" s="100" t="s">
        <v>406</v>
      </c>
      <c r="C42" s="12"/>
      <c r="D42" s="12"/>
      <c r="E42" s="13"/>
      <c r="F42" s="13"/>
      <c r="G42" s="13"/>
      <c r="H42" s="13"/>
      <c r="I42" s="13"/>
      <c r="J42" s="232"/>
      <c r="K42" s="849"/>
      <c r="L42" s="267"/>
      <c r="M42" s="267"/>
    </row>
    <row r="43" spans="1:14">
      <c r="A43" s="235"/>
      <c r="B43" s="11" t="s">
        <v>772</v>
      </c>
      <c r="C43" s="12"/>
      <c r="D43" s="45">
        <v>1</v>
      </c>
      <c r="E43" s="22">
        <f>E27</f>
        <v>21.28</v>
      </c>
      <c r="F43" s="13"/>
      <c r="G43" s="13"/>
      <c r="H43" s="22">
        <v>35.905999999999999</v>
      </c>
      <c r="I43" s="22"/>
      <c r="J43" s="232">
        <f>D43*E43*H43</f>
        <v>764.07968000000005</v>
      </c>
      <c r="K43" s="849"/>
      <c r="L43" s="267"/>
      <c r="M43" s="267"/>
    </row>
    <row r="44" spans="1:14">
      <c r="A44" s="235"/>
      <c r="B44" s="11" t="s">
        <v>773</v>
      </c>
      <c r="C44" s="12"/>
      <c r="D44" s="45">
        <v>1</v>
      </c>
      <c r="E44" s="22">
        <f>E28</f>
        <v>85</v>
      </c>
      <c r="F44" s="13"/>
      <c r="G44" s="13"/>
      <c r="H44" s="22">
        <v>48.387999999999998</v>
      </c>
      <c r="I44" s="22"/>
      <c r="J44" s="232">
        <f>D44*E44*H44</f>
        <v>4112.9799999999996</v>
      </c>
      <c r="K44" s="849"/>
      <c r="L44" s="267"/>
      <c r="M44" s="267"/>
    </row>
    <row r="45" spans="1:14">
      <c r="A45" s="235"/>
      <c r="B45" s="802" t="s">
        <v>2541</v>
      </c>
      <c r="C45" s="12"/>
      <c r="D45" s="45"/>
      <c r="E45" s="22"/>
      <c r="F45" s="13"/>
      <c r="G45" s="13"/>
      <c r="H45" s="22"/>
      <c r="I45" s="22"/>
      <c r="J45" s="232"/>
      <c r="K45" s="849"/>
      <c r="L45" s="267"/>
      <c r="M45" s="267"/>
    </row>
    <row r="46" spans="1:14">
      <c r="A46" s="235"/>
      <c r="B46" s="11" t="s">
        <v>2542</v>
      </c>
      <c r="C46" s="12"/>
      <c r="D46" s="45">
        <v>4</v>
      </c>
      <c r="E46" s="22"/>
      <c r="F46" s="13">
        <v>4</v>
      </c>
      <c r="G46" s="13"/>
      <c r="H46" s="22">
        <v>7.3</v>
      </c>
      <c r="I46" s="44"/>
      <c r="J46" s="232">
        <f>D46*F46*H46</f>
        <v>116.8</v>
      </c>
      <c r="K46" s="849"/>
      <c r="L46" s="267"/>
      <c r="M46" s="267"/>
    </row>
    <row r="47" spans="1:14">
      <c r="A47" s="235"/>
      <c r="B47" s="802" t="s">
        <v>2543</v>
      </c>
      <c r="C47" s="12"/>
      <c r="D47" s="45"/>
      <c r="E47" s="22"/>
      <c r="F47" s="13"/>
      <c r="G47" s="13"/>
      <c r="H47" s="22"/>
      <c r="I47" s="44"/>
      <c r="J47" s="232"/>
      <c r="K47" s="849"/>
      <c r="L47" s="267"/>
      <c r="M47" s="267"/>
    </row>
    <row r="48" spans="1:14">
      <c r="A48" s="235"/>
      <c r="B48" s="11" t="s">
        <v>2544</v>
      </c>
      <c r="C48" s="12"/>
      <c r="D48" s="45">
        <v>2</v>
      </c>
      <c r="E48" s="22"/>
      <c r="F48" s="13"/>
      <c r="G48" s="13">
        <v>12.36</v>
      </c>
      <c r="H48" s="44">
        <v>4.42</v>
      </c>
      <c r="I48" s="44"/>
      <c r="J48" s="232">
        <f>PRODUCT(D48:H48)</f>
        <v>109.2624</v>
      </c>
      <c r="K48" s="849"/>
      <c r="L48" s="267"/>
      <c r="M48" s="267"/>
    </row>
    <row r="49" spans="1:14">
      <c r="A49" s="235"/>
      <c r="B49" s="11" t="s">
        <v>388</v>
      </c>
      <c r="C49" s="12"/>
      <c r="D49" s="45">
        <v>2</v>
      </c>
      <c r="E49" s="22"/>
      <c r="F49" s="13"/>
      <c r="G49" s="13">
        <v>0.35</v>
      </c>
      <c r="H49" s="44">
        <v>6.67</v>
      </c>
      <c r="I49" s="44"/>
      <c r="J49" s="232">
        <f>PRODUCT(D49:H49)</f>
        <v>4.6689999999999996</v>
      </c>
      <c r="K49" s="849"/>
      <c r="L49" s="267"/>
      <c r="M49" s="267"/>
    </row>
    <row r="50" spans="1:14">
      <c r="A50" s="235"/>
      <c r="B50" s="802" t="s">
        <v>774</v>
      </c>
      <c r="C50" s="12"/>
      <c r="D50" s="12"/>
      <c r="E50" s="13"/>
      <c r="F50" s="13"/>
      <c r="G50" s="13"/>
      <c r="H50" s="13"/>
      <c r="I50" s="13"/>
      <c r="J50" s="232"/>
      <c r="K50" s="849"/>
      <c r="L50" s="267"/>
      <c r="M50" s="267"/>
    </row>
    <row r="51" spans="1:14" ht="18">
      <c r="A51" s="235"/>
      <c r="B51" s="408" t="s">
        <v>577</v>
      </c>
      <c r="C51" s="12"/>
      <c r="D51" s="45">
        <v>1</v>
      </c>
      <c r="E51" s="411"/>
      <c r="F51" s="13">
        <v>1.3</v>
      </c>
      <c r="G51" s="13">
        <v>9.9</v>
      </c>
      <c r="H51" s="22"/>
      <c r="I51" s="815">
        <v>58.46</v>
      </c>
      <c r="J51" s="232">
        <f>I51*G51*F51*D51</f>
        <v>752.38020000000006</v>
      </c>
      <c r="K51" s="849"/>
      <c r="L51" s="267"/>
      <c r="M51" s="267"/>
    </row>
    <row r="52" spans="1:14">
      <c r="A52" s="235"/>
      <c r="B52" s="11" t="s">
        <v>392</v>
      </c>
      <c r="C52" s="12"/>
      <c r="D52" s="45">
        <v>1</v>
      </c>
      <c r="E52" s="22"/>
      <c r="F52" s="13"/>
      <c r="G52" s="13">
        <v>1.5</v>
      </c>
      <c r="H52" s="13">
        <v>251</v>
      </c>
      <c r="I52" s="44"/>
      <c r="J52" s="232">
        <f>H52*G52*D52</f>
        <v>376.5</v>
      </c>
      <c r="K52" s="849"/>
      <c r="L52" s="267"/>
      <c r="M52" s="267"/>
    </row>
    <row r="53" spans="1:14">
      <c r="A53" s="235"/>
      <c r="B53" s="802" t="s">
        <v>416</v>
      </c>
      <c r="C53" s="12"/>
      <c r="D53" s="12"/>
      <c r="E53" s="13"/>
      <c r="F53" s="13"/>
      <c r="G53" s="13"/>
      <c r="H53" s="13"/>
      <c r="I53" s="13"/>
      <c r="J53" s="232"/>
      <c r="K53" s="849"/>
      <c r="L53" s="267"/>
      <c r="M53" s="267"/>
    </row>
    <row r="54" spans="1:14">
      <c r="A54" s="235"/>
      <c r="B54" s="11" t="s">
        <v>1187</v>
      </c>
      <c r="C54" s="12"/>
      <c r="D54" s="12">
        <v>1</v>
      </c>
      <c r="E54" s="13"/>
      <c r="F54" s="13"/>
      <c r="G54" s="13">
        <v>0.5</v>
      </c>
      <c r="H54" s="13">
        <v>6.11</v>
      </c>
      <c r="I54" s="1">
        <v>57.65</v>
      </c>
      <c r="J54" s="232">
        <f>PRODUCT(D54:I54)</f>
        <v>176.12075000000002</v>
      </c>
      <c r="K54" s="849"/>
      <c r="L54" s="267"/>
      <c r="M54" s="267"/>
    </row>
    <row r="55" spans="1:14">
      <c r="A55" s="235"/>
      <c r="B55" s="11" t="s">
        <v>1188</v>
      </c>
      <c r="C55" s="12"/>
      <c r="D55" s="12">
        <v>1</v>
      </c>
      <c r="E55" s="13"/>
      <c r="F55" s="13"/>
      <c r="G55" s="13">
        <v>0.8</v>
      </c>
      <c r="H55" s="13">
        <v>191</v>
      </c>
      <c r="I55" s="13"/>
      <c r="J55" s="232">
        <f>D55*G55*H55</f>
        <v>152.80000000000001</v>
      </c>
      <c r="K55" s="849"/>
      <c r="L55" s="267"/>
      <c r="M55" s="267"/>
    </row>
    <row r="56" spans="1:14">
      <c r="A56" s="235"/>
      <c r="B56" s="11" t="s">
        <v>1189</v>
      </c>
      <c r="C56" s="11"/>
      <c r="D56" s="12">
        <v>2</v>
      </c>
      <c r="E56" s="11"/>
      <c r="F56" s="13"/>
      <c r="G56" s="13">
        <v>0.5</v>
      </c>
      <c r="H56" s="13">
        <v>263</v>
      </c>
      <c r="I56" s="44"/>
      <c r="J56" s="232">
        <f>D56*G56*H56</f>
        <v>263</v>
      </c>
      <c r="K56" s="849"/>
      <c r="L56" s="267"/>
      <c r="M56" s="267"/>
    </row>
    <row r="57" spans="1:14">
      <c r="A57" s="235"/>
      <c r="B57" s="11" t="s">
        <v>1190</v>
      </c>
      <c r="C57" s="11"/>
      <c r="D57" s="12">
        <v>1</v>
      </c>
      <c r="E57" s="11"/>
      <c r="F57" s="13">
        <v>5</v>
      </c>
      <c r="G57" s="13"/>
      <c r="H57" s="13">
        <v>35.520000000000003</v>
      </c>
      <c r="I57" s="44"/>
      <c r="J57" s="232">
        <f>D57*F57*H57</f>
        <v>177.60000000000002</v>
      </c>
      <c r="K57" s="849"/>
      <c r="L57" s="267"/>
      <c r="M57" s="267"/>
    </row>
    <row r="58" spans="1:14" s="109" customFormat="1" ht="18">
      <c r="A58" s="10"/>
      <c r="B58" s="100" t="s">
        <v>794</v>
      </c>
      <c r="C58" s="12"/>
      <c r="D58" s="12">
        <v>1</v>
      </c>
      <c r="E58" s="13"/>
      <c r="F58" s="13"/>
      <c r="G58" s="13"/>
      <c r="H58" s="13"/>
      <c r="I58" s="13"/>
      <c r="J58" s="355"/>
      <c r="K58" s="16"/>
      <c r="L58" s="393"/>
      <c r="M58" s="393"/>
    </row>
    <row r="59" spans="1:14" s="109" customFormat="1" ht="18">
      <c r="A59" s="10"/>
      <c r="B59" s="14" t="s">
        <v>2545</v>
      </c>
      <c r="C59" s="12"/>
      <c r="D59" s="12">
        <v>1</v>
      </c>
      <c r="E59" s="13">
        <v>45</v>
      </c>
      <c r="F59" s="13"/>
      <c r="G59" s="13"/>
      <c r="H59" s="13">
        <v>4.6070000000000002</v>
      </c>
      <c r="I59" s="13"/>
      <c r="J59" s="344">
        <f>PRODUCT(D59:H59)</f>
        <v>207.315</v>
      </c>
      <c r="K59" s="833"/>
      <c r="L59" s="393"/>
      <c r="M59" s="393"/>
    </row>
    <row r="60" spans="1:14" s="109" customFormat="1" ht="18">
      <c r="A60" s="10"/>
      <c r="B60" s="14" t="s">
        <v>2546</v>
      </c>
      <c r="C60" s="12"/>
      <c r="D60" s="12">
        <v>1</v>
      </c>
      <c r="E60" s="13">
        <v>45</v>
      </c>
      <c r="F60" s="13"/>
      <c r="G60" s="13"/>
      <c r="H60" s="13">
        <v>5.63</v>
      </c>
      <c r="I60" s="13"/>
      <c r="J60" s="344">
        <f t="shared" ref="J60:J63" si="2">PRODUCT(D60:H60)</f>
        <v>253.35</v>
      </c>
      <c r="K60" s="833"/>
      <c r="L60" s="393"/>
      <c r="M60" s="393"/>
    </row>
    <row r="61" spans="1:14" s="109" customFormat="1" ht="18">
      <c r="A61" s="10"/>
      <c r="B61" s="14" t="s">
        <v>2547</v>
      </c>
      <c r="C61" s="12"/>
      <c r="D61" s="12">
        <v>1</v>
      </c>
      <c r="E61" s="13">
        <v>30</v>
      </c>
      <c r="F61" s="13"/>
      <c r="G61" s="13"/>
      <c r="H61" s="13">
        <v>6.194</v>
      </c>
      <c r="I61" s="13"/>
      <c r="J61" s="344">
        <f t="shared" si="2"/>
        <v>185.82</v>
      </c>
      <c r="K61" s="833"/>
      <c r="L61" s="393"/>
      <c r="M61" s="393"/>
    </row>
    <row r="62" spans="1:14" s="109" customFormat="1" ht="18">
      <c r="A62" s="10"/>
      <c r="B62" s="14" t="s">
        <v>2548</v>
      </c>
      <c r="C62" s="12"/>
      <c r="D62" s="12">
        <v>1</v>
      </c>
      <c r="E62" s="13">
        <v>15</v>
      </c>
      <c r="F62" s="13"/>
      <c r="G62" s="13"/>
      <c r="H62" s="13">
        <v>10.276999999999999</v>
      </c>
      <c r="I62" s="13"/>
      <c r="J62" s="344">
        <f t="shared" si="2"/>
        <v>154.155</v>
      </c>
      <c r="K62" s="833"/>
      <c r="L62" s="393"/>
      <c r="M62" s="393"/>
    </row>
    <row r="63" spans="1:14" s="109" customFormat="1" ht="18">
      <c r="A63" s="10"/>
      <c r="B63" s="14" t="s">
        <v>2549</v>
      </c>
      <c r="C63" s="12"/>
      <c r="D63" s="12">
        <v>1</v>
      </c>
      <c r="E63" s="13">
        <v>30</v>
      </c>
      <c r="F63" s="13"/>
      <c r="G63" s="13"/>
      <c r="H63" s="13">
        <v>6.4550000000000001</v>
      </c>
      <c r="I63" s="13"/>
      <c r="J63" s="344">
        <f t="shared" si="2"/>
        <v>193.65</v>
      </c>
      <c r="K63" s="833"/>
      <c r="L63" s="393"/>
      <c r="M63" s="393"/>
    </row>
    <row r="64" spans="1:14">
      <c r="A64" s="235"/>
      <c r="B64" s="232"/>
      <c r="C64" s="232"/>
      <c r="D64" s="232"/>
      <c r="E64" s="1489"/>
      <c r="F64" s="232"/>
      <c r="G64" s="232"/>
      <c r="H64" s="232"/>
      <c r="I64" s="231" t="s">
        <v>439</v>
      </c>
      <c r="J64" s="237">
        <f>SUM(J43:J63)</f>
        <v>8000.4820299999983</v>
      </c>
      <c r="K64" s="849"/>
      <c r="L64" s="267">
        <v>17500</v>
      </c>
      <c r="M64" s="267">
        <f>L64*J64</f>
        <v>140008435.52499998</v>
      </c>
      <c r="N64" s="227"/>
    </row>
    <row r="65" spans="1:13" s="1495" customFormat="1">
      <c r="A65" s="1490">
        <v>6</v>
      </c>
      <c r="B65" s="1491" t="s">
        <v>309</v>
      </c>
      <c r="C65" s="1492"/>
      <c r="D65" s="1492"/>
      <c r="E65" s="1492"/>
      <c r="F65" s="1492"/>
      <c r="G65" s="1492"/>
      <c r="H65" s="1492"/>
      <c r="I65" s="1492"/>
      <c r="J65" s="1492"/>
      <c r="K65" s="1493"/>
      <c r="L65" s="1494"/>
      <c r="M65" s="1494"/>
    </row>
    <row r="66" spans="1:13" ht="18">
      <c r="A66" s="235"/>
      <c r="B66" s="816" t="s">
        <v>772</v>
      </c>
      <c r="C66" s="409"/>
      <c r="D66" s="409"/>
      <c r="E66" s="411"/>
      <c r="F66" s="411"/>
      <c r="G66" s="411"/>
      <c r="H66" s="411"/>
      <c r="I66" s="411"/>
      <c r="J66" s="232"/>
      <c r="K66" s="849"/>
      <c r="L66" s="267"/>
      <c r="M66" s="267"/>
    </row>
    <row r="67" spans="1:13" ht="18">
      <c r="A67" s="235"/>
      <c r="B67" s="408" t="s">
        <v>1223</v>
      </c>
      <c r="C67" s="409"/>
      <c r="D67" s="419">
        <v>4</v>
      </c>
      <c r="E67" s="414">
        <f>E17</f>
        <v>21.28</v>
      </c>
      <c r="F67" s="414"/>
      <c r="G67" s="414">
        <v>8.68</v>
      </c>
      <c r="H67" s="414">
        <f>G67*E67</f>
        <v>184.71039999999999</v>
      </c>
      <c r="J67" s="422">
        <f>H67*D67</f>
        <v>738.84159999999997</v>
      </c>
      <c r="K67" s="849"/>
      <c r="L67" s="267"/>
      <c r="M67" s="267"/>
    </row>
    <row r="68" spans="1:13" ht="18">
      <c r="A68" s="235"/>
      <c r="B68" s="420" t="s">
        <v>1222</v>
      </c>
      <c r="C68" s="409"/>
      <c r="D68" s="419">
        <v>4</v>
      </c>
      <c r="E68" s="414">
        <f>E67</f>
        <v>21.28</v>
      </c>
      <c r="F68" s="414"/>
      <c r="G68" s="414">
        <v>6.98</v>
      </c>
      <c r="H68" s="414">
        <f>G68*E68</f>
        <v>148.53440000000001</v>
      </c>
      <c r="J68" s="422">
        <f>H68*D68</f>
        <v>594.13760000000002</v>
      </c>
      <c r="K68" s="849"/>
      <c r="L68" s="267"/>
      <c r="M68" s="267"/>
    </row>
    <row r="69" spans="1:13" ht="18">
      <c r="A69" s="235"/>
      <c r="B69" s="408" t="s">
        <v>776</v>
      </c>
      <c r="C69" s="409"/>
      <c r="D69" s="419">
        <v>2</v>
      </c>
      <c r="E69" s="414"/>
      <c r="F69" s="414"/>
      <c r="G69" s="414"/>
      <c r="H69" s="414">
        <v>35.905999999999999</v>
      </c>
      <c r="J69" s="422">
        <f>H69*D69</f>
        <v>71.811999999999998</v>
      </c>
      <c r="K69" s="849"/>
      <c r="L69" s="267"/>
      <c r="M69" s="267"/>
    </row>
    <row r="70" spans="1:13" ht="18">
      <c r="A70" s="235"/>
      <c r="B70" s="816" t="s">
        <v>775</v>
      </c>
      <c r="C70" s="409"/>
      <c r="D70" s="409"/>
      <c r="E70" s="411"/>
      <c r="F70" s="411"/>
      <c r="G70" s="411"/>
      <c r="H70" s="409"/>
      <c r="I70" s="411"/>
      <c r="J70" s="409"/>
      <c r="K70" s="849"/>
      <c r="L70" s="267"/>
      <c r="M70" s="267"/>
    </row>
    <row r="71" spans="1:13" ht="18">
      <c r="A71" s="235"/>
      <c r="B71" s="408" t="s">
        <v>1223</v>
      </c>
      <c r="C71" s="409"/>
      <c r="D71" s="419">
        <v>4</v>
      </c>
      <c r="E71" s="414">
        <f>E18</f>
        <v>85</v>
      </c>
      <c r="F71" s="414"/>
      <c r="G71" s="414">
        <v>7.23</v>
      </c>
      <c r="H71" s="414">
        <f>G71*E71</f>
        <v>614.55000000000007</v>
      </c>
      <c r="J71" s="409">
        <f t="shared" ref="J71:J73" si="3">H71*D71</f>
        <v>2458.2000000000003</v>
      </c>
      <c r="K71" s="849"/>
      <c r="L71" s="267"/>
      <c r="M71" s="267"/>
    </row>
    <row r="72" spans="1:13" ht="18">
      <c r="A72" s="235"/>
      <c r="B72" s="408" t="s">
        <v>783</v>
      </c>
      <c r="C72" s="409"/>
      <c r="D72" s="419">
        <v>2</v>
      </c>
      <c r="E72" s="414">
        <f>E71</f>
        <v>85</v>
      </c>
      <c r="F72" s="414"/>
      <c r="G72" s="414">
        <v>5.0599999999999996</v>
      </c>
      <c r="H72" s="414">
        <f>G72*E72</f>
        <v>430.09999999999997</v>
      </c>
      <c r="J72" s="409">
        <f t="shared" si="3"/>
        <v>860.19999999999993</v>
      </c>
      <c r="K72" s="849"/>
      <c r="L72" s="267"/>
      <c r="M72" s="267"/>
    </row>
    <row r="73" spans="1:13" ht="18">
      <c r="A73" s="235"/>
      <c r="B73" s="408" t="s">
        <v>776</v>
      </c>
      <c r="C73" s="409"/>
      <c r="D73" s="419">
        <v>2</v>
      </c>
      <c r="E73" s="414"/>
      <c r="F73" s="414"/>
      <c r="G73" s="414"/>
      <c r="H73" s="411">
        <v>48.387999999999998</v>
      </c>
      <c r="J73" s="409">
        <f t="shared" si="3"/>
        <v>96.775999999999996</v>
      </c>
      <c r="K73" s="849"/>
      <c r="L73" s="267"/>
      <c r="M73" s="267"/>
    </row>
    <row r="74" spans="1:13" ht="18">
      <c r="A74" s="235"/>
      <c r="B74" s="816" t="s">
        <v>2550</v>
      </c>
      <c r="C74" s="409"/>
      <c r="D74" s="409"/>
      <c r="E74" s="411"/>
      <c r="F74" s="411"/>
      <c r="G74" s="411"/>
      <c r="H74" s="411"/>
      <c r="I74" s="411"/>
      <c r="J74" s="409"/>
      <c r="K74" s="849"/>
      <c r="L74" s="267"/>
      <c r="M74" s="267"/>
    </row>
    <row r="75" spans="1:13" ht="18">
      <c r="A75" s="235"/>
      <c r="B75" s="408" t="s">
        <v>2551</v>
      </c>
      <c r="C75" s="409"/>
      <c r="D75" s="419">
        <v>8</v>
      </c>
      <c r="E75" s="414"/>
      <c r="F75" s="414">
        <v>4</v>
      </c>
      <c r="G75" s="414">
        <v>11</v>
      </c>
      <c r="H75" s="411">
        <f>G75*F75</f>
        <v>44</v>
      </c>
      <c r="J75" s="409">
        <f>H75*D75</f>
        <v>352</v>
      </c>
      <c r="K75" s="849"/>
      <c r="L75" s="267"/>
      <c r="M75" s="267"/>
    </row>
    <row r="76" spans="1:13" ht="18">
      <c r="A76" s="235"/>
      <c r="B76" s="816" t="s">
        <v>2543</v>
      </c>
      <c r="C76" s="409"/>
      <c r="D76" s="419"/>
      <c r="E76" s="414"/>
      <c r="F76" s="414"/>
      <c r="G76" s="414"/>
      <c r="H76" s="411"/>
      <c r="J76" s="409"/>
      <c r="K76" s="849"/>
      <c r="L76" s="267"/>
      <c r="M76" s="267"/>
    </row>
    <row r="77" spans="1:13" ht="18">
      <c r="A77" s="235"/>
      <c r="B77" s="408" t="s">
        <v>577</v>
      </c>
      <c r="C77" s="409"/>
      <c r="D77" s="419">
        <f>2*2</f>
        <v>4</v>
      </c>
      <c r="E77" s="414"/>
      <c r="F77" s="411"/>
      <c r="G77" s="414">
        <v>12.36</v>
      </c>
      <c r="H77" s="421"/>
      <c r="I77" s="1">
        <v>10.4</v>
      </c>
      <c r="J77" s="409">
        <f>I77*G77*D77</f>
        <v>514.17600000000004</v>
      </c>
      <c r="K77" s="849"/>
      <c r="L77" s="267"/>
      <c r="M77" s="267"/>
    </row>
    <row r="78" spans="1:13" ht="18">
      <c r="A78" s="235"/>
      <c r="B78" s="816" t="s">
        <v>774</v>
      </c>
      <c r="C78" s="409"/>
      <c r="D78" s="409"/>
      <c r="E78" s="411"/>
      <c r="F78" s="411"/>
      <c r="G78" s="411"/>
      <c r="H78" s="411"/>
      <c r="I78" s="421"/>
      <c r="J78" s="409"/>
      <c r="K78" s="849"/>
      <c r="L78" s="267"/>
      <c r="M78" s="267"/>
    </row>
    <row r="79" spans="1:13" ht="18">
      <c r="A79" s="235"/>
      <c r="B79" s="408" t="s">
        <v>577</v>
      </c>
      <c r="C79" s="409"/>
      <c r="D79" s="419">
        <v>2</v>
      </c>
      <c r="E79" s="411"/>
      <c r="F79" s="411"/>
      <c r="G79" s="411">
        <f>G51</f>
        <v>9.9</v>
      </c>
      <c r="H79" s="421"/>
      <c r="I79" s="817">
        <f>I51</f>
        <v>58.46</v>
      </c>
      <c r="J79" s="409">
        <f>I79*G79*D79</f>
        <v>1157.508</v>
      </c>
      <c r="K79" s="849"/>
      <c r="L79" s="267"/>
      <c r="M79" s="267"/>
    </row>
    <row r="80" spans="1:13" ht="18">
      <c r="A80" s="235"/>
      <c r="B80" s="816" t="s">
        <v>416</v>
      </c>
      <c r="C80" s="409"/>
      <c r="D80" s="409"/>
      <c r="E80" s="411"/>
      <c r="F80" s="411"/>
      <c r="G80" s="411"/>
      <c r="H80" s="411"/>
      <c r="I80" s="421"/>
      <c r="J80" s="409"/>
      <c r="K80" s="849"/>
      <c r="L80" s="267"/>
      <c r="M80" s="267"/>
    </row>
    <row r="81" spans="1:14">
      <c r="A81" s="235"/>
      <c r="B81" s="11" t="s">
        <v>1187</v>
      </c>
      <c r="C81" s="12"/>
      <c r="D81" s="12">
        <v>2</v>
      </c>
      <c r="E81" s="13"/>
      <c r="F81" s="13"/>
      <c r="G81" s="13"/>
      <c r="H81" s="13">
        <v>6.11</v>
      </c>
      <c r="I81" s="1">
        <v>57.65</v>
      </c>
      <c r="J81" s="232">
        <f>PRODUCT(D81:I81)</f>
        <v>704.48300000000006</v>
      </c>
      <c r="K81" s="849"/>
      <c r="L81" s="267"/>
      <c r="M81" s="267"/>
    </row>
    <row r="82" spans="1:14">
      <c r="A82" s="235"/>
      <c r="B82" s="11" t="s">
        <v>1189</v>
      </c>
      <c r="C82" s="11"/>
      <c r="D82" s="12">
        <v>2</v>
      </c>
      <c r="E82" s="11"/>
      <c r="F82" s="13"/>
      <c r="G82" s="13"/>
      <c r="H82" s="13">
        <v>263</v>
      </c>
      <c r="I82" s="44"/>
      <c r="J82" s="232">
        <f>D82*G82*H82</f>
        <v>0</v>
      </c>
      <c r="K82" s="849"/>
      <c r="L82" s="267"/>
      <c r="M82" s="267"/>
    </row>
    <row r="83" spans="1:14">
      <c r="A83" s="235"/>
      <c r="B83" s="11" t="s">
        <v>1190</v>
      </c>
      <c r="C83" s="11"/>
      <c r="D83" s="12">
        <v>2</v>
      </c>
      <c r="E83" s="11"/>
      <c r="F83" s="13"/>
      <c r="G83" s="13"/>
      <c r="H83" s="13">
        <v>64.2</v>
      </c>
      <c r="I83" s="44"/>
      <c r="J83" s="232">
        <f>H83*D83</f>
        <v>128.4</v>
      </c>
      <c r="K83" s="849"/>
      <c r="L83" s="267"/>
      <c r="M83" s="267"/>
    </row>
    <row r="84" spans="1:14" s="109" customFormat="1" ht="18">
      <c r="A84" s="440"/>
      <c r="B84" s="638" t="s">
        <v>794</v>
      </c>
      <c r="C84" s="409"/>
      <c r="D84" s="409"/>
      <c r="E84" s="411"/>
      <c r="F84" s="411"/>
      <c r="G84" s="411"/>
      <c r="H84" s="411"/>
      <c r="I84" s="411"/>
      <c r="J84" s="442"/>
      <c r="K84" s="448"/>
      <c r="L84" s="365"/>
      <c r="M84" s="365"/>
    </row>
    <row r="85" spans="1:14" s="109" customFormat="1" ht="18">
      <c r="A85" s="10"/>
      <c r="B85" s="14" t="s">
        <v>2545</v>
      </c>
      <c r="C85" s="12"/>
      <c r="D85" s="12">
        <v>2</v>
      </c>
      <c r="E85" s="13">
        <v>45</v>
      </c>
      <c r="F85" s="13"/>
      <c r="G85" s="13"/>
      <c r="H85" s="13">
        <v>4.5</v>
      </c>
      <c r="I85" s="13"/>
      <c r="J85" s="344">
        <f>PRODUCT(D85:H85)</f>
        <v>405</v>
      </c>
      <c r="K85" s="833"/>
      <c r="L85" s="393"/>
      <c r="M85" s="393"/>
    </row>
    <row r="86" spans="1:14" s="109" customFormat="1" ht="18">
      <c r="A86" s="10"/>
      <c r="B86" s="14" t="s">
        <v>2546</v>
      </c>
      <c r="C86" s="12"/>
      <c r="D86" s="12">
        <v>2</v>
      </c>
      <c r="E86" s="13">
        <v>45</v>
      </c>
      <c r="F86" s="13"/>
      <c r="G86" s="13"/>
      <c r="H86" s="13">
        <v>6</v>
      </c>
      <c r="I86" s="13"/>
      <c r="J86" s="344">
        <f t="shared" ref="J86:J89" si="4">PRODUCT(D86:H86)</f>
        <v>540</v>
      </c>
      <c r="K86" s="833"/>
      <c r="L86" s="393"/>
      <c r="M86" s="393"/>
    </row>
    <row r="87" spans="1:14" s="109" customFormat="1" ht="18">
      <c r="A87" s="10"/>
      <c r="B87" s="14" t="s">
        <v>2547</v>
      </c>
      <c r="C87" s="12"/>
      <c r="D87" s="12">
        <v>2</v>
      </c>
      <c r="E87" s="13">
        <v>30</v>
      </c>
      <c r="F87" s="13"/>
      <c r="G87" s="13"/>
      <c r="H87" s="13">
        <v>6.5</v>
      </c>
      <c r="I87" s="13"/>
      <c r="J87" s="344">
        <f t="shared" si="4"/>
        <v>390</v>
      </c>
      <c r="K87" s="833"/>
      <c r="L87" s="393"/>
      <c r="M87" s="393"/>
    </row>
    <row r="88" spans="1:14" s="109" customFormat="1" ht="18">
      <c r="A88" s="10"/>
      <c r="B88" s="14" t="s">
        <v>2548</v>
      </c>
      <c r="C88" s="12"/>
      <c r="D88" s="12">
        <v>2</v>
      </c>
      <c r="E88" s="13">
        <v>15</v>
      </c>
      <c r="F88" s="13"/>
      <c r="G88" s="13"/>
      <c r="H88" s="13">
        <v>8</v>
      </c>
      <c r="I88" s="13"/>
      <c r="J88" s="344">
        <f t="shared" si="4"/>
        <v>240</v>
      </c>
      <c r="K88" s="833"/>
      <c r="L88" s="393"/>
      <c r="M88" s="393"/>
    </row>
    <row r="89" spans="1:14" s="109" customFormat="1" ht="18">
      <c r="A89" s="10"/>
      <c r="B89" s="14" t="s">
        <v>2549</v>
      </c>
      <c r="C89" s="12"/>
      <c r="D89" s="12">
        <v>2</v>
      </c>
      <c r="E89" s="13">
        <v>30</v>
      </c>
      <c r="F89" s="13"/>
      <c r="G89" s="13"/>
      <c r="H89" s="13">
        <v>6.6</v>
      </c>
      <c r="I89" s="13"/>
      <c r="J89" s="344">
        <f t="shared" si="4"/>
        <v>396</v>
      </c>
      <c r="K89" s="833"/>
      <c r="L89" s="393"/>
      <c r="M89" s="393"/>
    </row>
    <row r="90" spans="1:14" s="109" customFormat="1" ht="18">
      <c r="A90" s="10"/>
      <c r="B90" s="14" t="s">
        <v>2552</v>
      </c>
      <c r="C90" s="12"/>
      <c r="D90" s="12">
        <v>2</v>
      </c>
      <c r="E90" s="13"/>
      <c r="F90" s="13"/>
      <c r="G90" s="13"/>
      <c r="H90" s="13">
        <f>SUM(H59:H63)</f>
        <v>33.162999999999997</v>
      </c>
      <c r="I90" s="13"/>
      <c r="J90" s="344">
        <f>PRODUCT(D90:H90)</f>
        <v>66.325999999999993</v>
      </c>
      <c r="K90" s="833"/>
      <c r="L90" s="393"/>
      <c r="M90" s="393"/>
    </row>
    <row r="91" spans="1:14" ht="18">
      <c r="A91" s="235"/>
      <c r="B91" s="408"/>
      <c r="C91" s="409"/>
      <c r="D91" s="419"/>
      <c r="E91" s="411"/>
      <c r="F91" s="411"/>
      <c r="G91" s="411"/>
      <c r="H91" s="421"/>
      <c r="I91" s="231" t="s">
        <v>439</v>
      </c>
      <c r="J91" s="237">
        <f>SUM(J66:J90)</f>
        <v>9713.8601999999992</v>
      </c>
      <c r="K91" s="849"/>
      <c r="L91" s="267">
        <v>1285</v>
      </c>
      <c r="M91" s="267">
        <f>L91*J91</f>
        <v>12482310.356999999</v>
      </c>
      <c r="N91" s="227"/>
    </row>
    <row r="92" spans="1:14">
      <c r="A92" s="235"/>
      <c r="B92" s="232"/>
      <c r="C92" s="232"/>
      <c r="D92" s="232"/>
      <c r="E92" s="232"/>
      <c r="F92" s="232"/>
      <c r="G92" s="232"/>
      <c r="H92" s="232"/>
      <c r="I92" s="232"/>
      <c r="J92" s="232"/>
      <c r="K92" s="849"/>
      <c r="L92" s="267"/>
      <c r="M92" s="267"/>
    </row>
    <row r="93" spans="1:14" s="601" customFormat="1">
      <c r="A93" s="596">
        <v>7</v>
      </c>
      <c r="B93" s="712" t="s">
        <v>24</v>
      </c>
      <c r="C93" s="598" t="s">
        <v>25</v>
      </c>
      <c r="D93" s="598"/>
      <c r="E93" s="598"/>
      <c r="F93" s="598"/>
      <c r="G93" s="598"/>
      <c r="H93" s="598"/>
      <c r="I93" s="598"/>
      <c r="J93" s="598"/>
      <c r="K93" s="848"/>
      <c r="L93" s="602"/>
      <c r="M93" s="602"/>
    </row>
    <row r="94" spans="1:14">
      <c r="A94" s="235"/>
      <c r="B94" s="232" t="s">
        <v>518</v>
      </c>
      <c r="C94" s="232"/>
      <c r="D94" s="232"/>
      <c r="E94" s="232"/>
      <c r="F94" s="232"/>
      <c r="G94" s="232"/>
      <c r="H94" s="234" t="s">
        <v>334</v>
      </c>
      <c r="I94" s="232"/>
      <c r="J94" s="241">
        <f>(1%*J64*7850)/1000</f>
        <v>628.03783935499996</v>
      </c>
      <c r="K94" s="849"/>
      <c r="L94" s="267"/>
      <c r="M94" s="267"/>
      <c r="N94" s="279"/>
    </row>
    <row r="95" spans="1:14">
      <c r="A95" s="235"/>
      <c r="B95" s="232"/>
      <c r="C95" s="232"/>
      <c r="D95" s="232"/>
      <c r="E95" s="232"/>
      <c r="F95" s="232"/>
      <c r="G95" s="232"/>
      <c r="H95" s="234"/>
      <c r="I95" s="231" t="s">
        <v>439</v>
      </c>
      <c r="J95" s="233">
        <f>SUM(J94:J94)</f>
        <v>628.03783935499996</v>
      </c>
      <c r="K95" s="849"/>
      <c r="L95" s="267">
        <v>130000</v>
      </c>
      <c r="M95" s="267">
        <f>L95*J95</f>
        <v>81644919.116149992</v>
      </c>
    </row>
    <row r="96" spans="1:14" s="601" customFormat="1">
      <c r="A96" s="596">
        <v>8</v>
      </c>
      <c r="B96" s="712" t="s">
        <v>1227</v>
      </c>
      <c r="C96" s="598" t="s">
        <v>21</v>
      </c>
      <c r="D96" s="598"/>
      <c r="E96" s="598"/>
      <c r="F96" s="598"/>
      <c r="G96" s="598"/>
      <c r="H96" s="598"/>
      <c r="I96" s="598"/>
      <c r="J96" s="598"/>
      <c r="K96" s="848"/>
      <c r="L96" s="602"/>
      <c r="M96" s="602"/>
    </row>
    <row r="97" spans="1:15">
      <c r="A97" s="235"/>
      <c r="B97" s="232" t="s">
        <v>2553</v>
      </c>
      <c r="C97" s="232"/>
      <c r="D97" s="232">
        <v>2</v>
      </c>
      <c r="E97" s="1489">
        <f>E17</f>
        <v>21.28</v>
      </c>
      <c r="F97" s="232">
        <v>5.82</v>
      </c>
      <c r="G97" s="232"/>
      <c r="H97" s="234"/>
      <c r="I97" s="231"/>
      <c r="J97" s="241">
        <f>PRODUCT(D97:H97)</f>
        <v>247.69920000000002</v>
      </c>
      <c r="K97" s="849"/>
      <c r="L97" s="267"/>
      <c r="M97" s="267"/>
    </row>
    <row r="98" spans="1:15">
      <c r="A98" s="235"/>
      <c r="B98" s="232" t="s">
        <v>2554</v>
      </c>
      <c r="C98" s="232"/>
      <c r="D98" s="232">
        <v>1</v>
      </c>
      <c r="E98" s="1489">
        <f>E18</f>
        <v>85</v>
      </c>
      <c r="F98" s="232">
        <v>6.7</v>
      </c>
      <c r="G98" s="232"/>
      <c r="H98" s="234"/>
      <c r="I98" s="231"/>
      <c r="J98" s="241">
        <f t="shared" ref="J98:J100" si="5">PRODUCT(D98:H98)</f>
        <v>569.5</v>
      </c>
      <c r="K98" s="849"/>
      <c r="L98" s="267"/>
      <c r="M98" s="267"/>
    </row>
    <row r="99" spans="1:15">
      <c r="A99" s="235"/>
      <c r="B99" s="232" t="s">
        <v>2555</v>
      </c>
      <c r="C99" s="232"/>
      <c r="D99" s="232">
        <v>1</v>
      </c>
      <c r="E99" s="1489">
        <f>E19</f>
        <v>21.05</v>
      </c>
      <c r="F99" s="232">
        <v>11.9</v>
      </c>
      <c r="G99" s="232"/>
      <c r="H99" s="234"/>
      <c r="I99" s="231"/>
      <c r="J99" s="241">
        <f t="shared" si="5"/>
        <v>250.495</v>
      </c>
      <c r="K99" s="849"/>
      <c r="L99" s="267"/>
      <c r="M99" s="267"/>
    </row>
    <row r="100" spans="1:15">
      <c r="A100" s="235"/>
      <c r="B100" s="232" t="s">
        <v>2556</v>
      </c>
      <c r="C100" s="232"/>
      <c r="D100" s="232">
        <v>1</v>
      </c>
      <c r="E100" s="1489">
        <f>E99</f>
        <v>21.05</v>
      </c>
      <c r="F100" s="232"/>
      <c r="G100" s="232"/>
      <c r="H100" s="234">
        <v>12</v>
      </c>
      <c r="I100" s="231"/>
      <c r="J100" s="241">
        <f t="shared" si="5"/>
        <v>252.60000000000002</v>
      </c>
      <c r="K100" s="849"/>
      <c r="L100" s="267"/>
      <c r="M100" s="267"/>
    </row>
    <row r="101" spans="1:15">
      <c r="A101" s="235"/>
      <c r="B101" s="232"/>
      <c r="C101" s="232"/>
      <c r="D101" s="232"/>
      <c r="E101" s="232"/>
      <c r="F101" s="232"/>
      <c r="G101" s="232"/>
      <c r="H101" s="234"/>
      <c r="I101" s="231" t="s">
        <v>439</v>
      </c>
      <c r="J101" s="267">
        <f>SUM(J97:J100)</f>
        <v>1320.2941999999998</v>
      </c>
      <c r="K101" s="849"/>
      <c r="L101" s="765">
        <v>600</v>
      </c>
      <c r="M101" s="267">
        <f>L101*J101</f>
        <v>792176.5199999999</v>
      </c>
    </row>
    <row r="102" spans="1:15" s="601" customFormat="1">
      <c r="A102" s="596">
        <v>9</v>
      </c>
      <c r="B102" s="712" t="s">
        <v>1224</v>
      </c>
      <c r="C102" s="598" t="s">
        <v>21</v>
      </c>
      <c r="D102" s="598"/>
      <c r="E102" s="598"/>
      <c r="F102" s="598"/>
      <c r="G102" s="598"/>
      <c r="H102" s="598"/>
      <c r="I102" s="598"/>
      <c r="J102" s="598"/>
      <c r="K102" s="848"/>
      <c r="L102" s="602"/>
      <c r="M102" s="602"/>
    </row>
    <row r="103" spans="1:15">
      <c r="A103" s="44"/>
      <c r="B103" s="44" t="s">
        <v>1225</v>
      </c>
      <c r="C103" s="44"/>
      <c r="D103" s="44">
        <v>1</v>
      </c>
      <c r="E103" s="289">
        <f>E43</f>
        <v>21.28</v>
      </c>
      <c r="F103" s="44"/>
      <c r="G103" s="44"/>
      <c r="H103" s="44">
        <v>14.186999999999999</v>
      </c>
      <c r="I103" s="44"/>
      <c r="J103" s="44">
        <f>H103*E103*D103</f>
        <v>301.89936</v>
      </c>
      <c r="K103" s="849"/>
      <c r="L103" s="267"/>
      <c r="M103" s="267"/>
      <c r="O103" s="227"/>
    </row>
    <row r="104" spans="1:15">
      <c r="A104" s="44"/>
      <c r="B104" s="44" t="s">
        <v>1226</v>
      </c>
      <c r="C104" s="44"/>
      <c r="D104" s="44">
        <v>1</v>
      </c>
      <c r="E104" s="44">
        <v>85</v>
      </c>
      <c r="F104" s="44"/>
      <c r="G104" s="44"/>
      <c r="H104" s="44">
        <v>67.108999999999995</v>
      </c>
      <c r="I104" s="44"/>
      <c r="J104" s="44">
        <f>H104*E104*D104</f>
        <v>5704.2649999999994</v>
      </c>
      <c r="K104" s="849"/>
      <c r="L104" s="267"/>
      <c r="M104" s="267"/>
      <c r="O104" s="227"/>
    </row>
    <row r="105" spans="1:15">
      <c r="A105" s="44"/>
      <c r="B105" s="44" t="s">
        <v>416</v>
      </c>
      <c r="C105" s="44"/>
      <c r="D105" s="44">
        <v>1</v>
      </c>
      <c r="E105" s="44">
        <v>6</v>
      </c>
      <c r="F105" s="44"/>
      <c r="G105" s="44"/>
      <c r="H105" s="44">
        <v>59.5</v>
      </c>
      <c r="I105" s="44"/>
      <c r="J105" s="44">
        <f>H105*E105*D105</f>
        <v>357</v>
      </c>
      <c r="K105" s="849"/>
      <c r="L105" s="267"/>
      <c r="M105" s="267"/>
      <c r="O105" s="227"/>
    </row>
    <row r="106" spans="1:15">
      <c r="A106" s="44"/>
      <c r="B106" s="44"/>
      <c r="C106" s="44"/>
      <c r="D106" s="44"/>
      <c r="E106" s="44"/>
      <c r="F106" s="44"/>
      <c r="G106" s="44"/>
      <c r="H106" s="44"/>
      <c r="I106" s="231" t="s">
        <v>439</v>
      </c>
      <c r="J106" s="44">
        <f>SUM(J103:J105)</f>
        <v>6363.1643599999998</v>
      </c>
      <c r="K106" s="849"/>
      <c r="L106" s="765">
        <v>500</v>
      </c>
      <c r="M106" s="267">
        <f>L106*J106</f>
        <v>3181582.1799999997</v>
      </c>
      <c r="O106" s="227"/>
    </row>
    <row r="107" spans="1:15" s="601" customFormat="1">
      <c r="A107" s="596">
        <v>10</v>
      </c>
      <c r="B107" s="712" t="s">
        <v>2557</v>
      </c>
      <c r="C107" s="598" t="s">
        <v>53</v>
      </c>
      <c r="D107" s="598"/>
      <c r="E107" s="598"/>
      <c r="F107" s="598"/>
      <c r="G107" s="598"/>
      <c r="H107" s="598"/>
      <c r="I107" s="598"/>
      <c r="J107" s="598"/>
      <c r="K107" s="848"/>
      <c r="L107" s="602"/>
      <c r="M107" s="602"/>
    </row>
    <row r="108" spans="1:15">
      <c r="A108" s="44"/>
      <c r="B108" s="44" t="s">
        <v>2558</v>
      </c>
      <c r="C108" s="44"/>
      <c r="D108" s="44">
        <f>CEILING(10/1.5,1)</f>
        <v>7</v>
      </c>
      <c r="E108" s="289">
        <f>0.5*E98</f>
        <v>42.5</v>
      </c>
      <c r="F108" s="44"/>
      <c r="G108" s="44"/>
      <c r="H108" s="44"/>
      <c r="I108" s="232"/>
      <c r="J108" s="44">
        <f>CEILING(((E108/1.5)*D108),1)</f>
        <v>199</v>
      </c>
      <c r="K108" s="849"/>
      <c r="L108" s="267"/>
      <c r="M108" s="267"/>
      <c r="O108" s="227"/>
    </row>
    <row r="109" spans="1:15">
      <c r="A109" s="44"/>
      <c r="B109" s="44"/>
      <c r="C109" s="44"/>
      <c r="D109" s="44"/>
      <c r="E109" s="44"/>
      <c r="F109" s="44"/>
      <c r="G109" s="44"/>
      <c r="H109" s="44"/>
      <c r="I109" s="231" t="s">
        <v>439</v>
      </c>
      <c r="J109" s="44">
        <f>SUM(J108)</f>
        <v>199</v>
      </c>
      <c r="K109" s="849"/>
      <c r="L109" s="267"/>
      <c r="M109" s="267"/>
      <c r="O109" s="227"/>
    </row>
    <row r="110" spans="1:15" s="601" customFormat="1">
      <c r="A110" s="596">
        <v>11</v>
      </c>
      <c r="B110" s="712" t="s">
        <v>1228</v>
      </c>
      <c r="C110" s="598" t="s">
        <v>46</v>
      </c>
      <c r="D110" s="598"/>
      <c r="E110" s="598"/>
      <c r="F110" s="598"/>
      <c r="G110" s="598"/>
      <c r="H110" s="598"/>
      <c r="I110" s="598"/>
      <c r="J110" s="598"/>
      <c r="K110" s="848"/>
      <c r="L110" s="602"/>
      <c r="M110" s="602"/>
    </row>
    <row r="111" spans="1:15">
      <c r="A111" s="44"/>
      <c r="B111" s="44" t="s">
        <v>2559</v>
      </c>
      <c r="C111" s="44"/>
      <c r="D111" s="44">
        <v>2</v>
      </c>
      <c r="E111" s="289">
        <f>SUM(E97:E99)</f>
        <v>127.33</v>
      </c>
      <c r="F111" s="44"/>
      <c r="G111" s="44"/>
      <c r="H111" s="44">
        <v>0.6341</v>
      </c>
      <c r="I111" s="232"/>
      <c r="J111" s="44">
        <f>PRODUCT(D111:H111)</f>
        <v>161.479906</v>
      </c>
      <c r="K111" s="849"/>
      <c r="L111" s="267"/>
      <c r="M111" s="267"/>
      <c r="O111" s="227"/>
    </row>
    <row r="112" spans="1:15">
      <c r="A112" s="44"/>
      <c r="B112" s="44"/>
      <c r="C112" s="44"/>
      <c r="D112" s="44"/>
      <c r="E112" s="44"/>
      <c r="F112" s="44"/>
      <c r="G112" s="44"/>
      <c r="H112" s="44"/>
      <c r="I112" s="231" t="s">
        <v>439</v>
      </c>
      <c r="J112" s="44">
        <f>SUM(J111)</f>
        <v>161.479906</v>
      </c>
      <c r="K112" s="849"/>
      <c r="L112" s="267"/>
      <c r="M112" s="267"/>
      <c r="O112" s="227"/>
    </row>
    <row r="113" spans="1:15" s="601" customFormat="1">
      <c r="A113" s="596">
        <v>12</v>
      </c>
      <c r="B113" s="712" t="s">
        <v>1229</v>
      </c>
      <c r="C113" s="598" t="s">
        <v>46</v>
      </c>
      <c r="D113" s="598"/>
      <c r="E113" s="598"/>
      <c r="F113" s="598"/>
      <c r="G113" s="598"/>
      <c r="H113" s="598"/>
      <c r="I113" s="598"/>
      <c r="J113" s="598"/>
      <c r="K113" s="848"/>
      <c r="L113" s="602"/>
      <c r="M113" s="602"/>
    </row>
    <row r="114" spans="1:15">
      <c r="A114" s="44"/>
      <c r="B114" s="44" t="s">
        <v>1235</v>
      </c>
      <c r="C114" s="44"/>
      <c r="D114" s="44">
        <v>1</v>
      </c>
      <c r="E114" s="289">
        <f>E111</f>
        <v>127.33</v>
      </c>
      <c r="F114" s="44"/>
      <c r="G114" s="44"/>
      <c r="H114" s="44"/>
      <c r="I114" s="231"/>
      <c r="J114" s="44">
        <f>E114*D114</f>
        <v>127.33</v>
      </c>
      <c r="K114" s="849"/>
      <c r="L114" s="267"/>
      <c r="M114" s="267"/>
      <c r="O114" s="227"/>
    </row>
    <row r="115" spans="1:15">
      <c r="A115" s="44"/>
      <c r="B115" s="44"/>
      <c r="C115" s="44"/>
      <c r="D115" s="44"/>
      <c r="E115" s="44"/>
      <c r="F115" s="44"/>
      <c r="G115" s="44"/>
      <c r="H115" s="44"/>
      <c r="I115" s="231" t="s">
        <v>439</v>
      </c>
      <c r="J115" s="44">
        <f>SUM(J114)</f>
        <v>127.33</v>
      </c>
      <c r="K115" s="849"/>
      <c r="L115" s="267"/>
      <c r="M115" s="267"/>
      <c r="O115" s="227"/>
    </row>
    <row r="116" spans="1:15" ht="67.2">
      <c r="A116" s="704">
        <v>13</v>
      </c>
      <c r="B116" s="705" t="s">
        <v>740</v>
      </c>
      <c r="C116" s="705"/>
      <c r="D116" s="705"/>
      <c r="E116" s="705"/>
      <c r="F116" s="705"/>
      <c r="G116" s="705"/>
      <c r="H116" s="705"/>
      <c r="I116" s="705"/>
      <c r="J116" s="705"/>
      <c r="K116" s="850"/>
      <c r="L116" s="853"/>
      <c r="M116" s="853"/>
    </row>
    <row r="117" spans="1:15" s="601" customFormat="1">
      <c r="A117" s="596">
        <f>A116+0.1</f>
        <v>13.1</v>
      </c>
      <c r="B117" s="6" t="s">
        <v>155</v>
      </c>
      <c r="C117" s="7" t="s">
        <v>27</v>
      </c>
      <c r="D117" s="7"/>
      <c r="E117" s="8"/>
      <c r="F117" s="8"/>
      <c r="G117" s="8"/>
      <c r="H117" s="8"/>
      <c r="I117" s="8"/>
      <c r="J117" s="423"/>
      <c r="K117" s="848"/>
      <c r="L117" s="602"/>
      <c r="M117" s="602"/>
      <c r="O117" s="601" t="s">
        <v>125</v>
      </c>
    </row>
    <row r="118" spans="1:15">
      <c r="A118" s="44"/>
      <c r="B118" s="316" t="s">
        <v>849</v>
      </c>
      <c r="C118" s="317"/>
      <c r="D118" s="317">
        <v>7</v>
      </c>
      <c r="E118" s="317">
        <v>50</v>
      </c>
      <c r="F118" s="317"/>
      <c r="G118" s="317"/>
      <c r="H118" s="13"/>
      <c r="I118" s="15"/>
      <c r="J118" s="317">
        <f>(ROUND(D118*E118,2))</f>
        <v>350</v>
      </c>
      <c r="K118" s="849"/>
      <c r="L118" s="267"/>
      <c r="M118" s="267"/>
    </row>
    <row r="119" spans="1:15">
      <c r="A119" s="44"/>
      <c r="B119" s="44"/>
      <c r="C119" s="44"/>
      <c r="D119" s="44"/>
      <c r="E119" s="44"/>
      <c r="F119" s="44"/>
      <c r="G119" s="44"/>
      <c r="H119" s="44"/>
      <c r="I119" s="239" t="s">
        <v>439</v>
      </c>
      <c r="J119" s="239">
        <f>SUM(J118:J118)</f>
        <v>350</v>
      </c>
      <c r="K119" s="849"/>
      <c r="L119" s="393">
        <v>1693</v>
      </c>
      <c r="M119" s="267">
        <f>L119*J119</f>
        <v>592550</v>
      </c>
    </row>
    <row r="120" spans="1:15">
      <c r="A120" s="44"/>
      <c r="B120" s="44"/>
      <c r="C120" s="44"/>
      <c r="D120" s="44"/>
      <c r="E120" s="44"/>
      <c r="F120" s="44"/>
      <c r="G120" s="44"/>
      <c r="H120" s="44"/>
      <c r="I120" s="44"/>
      <c r="J120" s="44"/>
      <c r="K120" s="849"/>
      <c r="L120" s="393"/>
      <c r="M120" s="267"/>
    </row>
    <row r="121" spans="1:15" s="601" customFormat="1">
      <c r="A121" s="596">
        <f>A116+0.2</f>
        <v>13.2</v>
      </c>
      <c r="B121" s="6" t="s">
        <v>777</v>
      </c>
      <c r="C121" s="599" t="s">
        <v>27</v>
      </c>
      <c r="D121" s="599"/>
      <c r="E121" s="599"/>
      <c r="F121" s="599"/>
      <c r="G121" s="599"/>
      <c r="H121" s="599"/>
      <c r="I121" s="599"/>
      <c r="J121" s="604"/>
      <c r="K121" s="848"/>
      <c r="L121" s="848"/>
      <c r="M121" s="602"/>
    </row>
    <row r="122" spans="1:15">
      <c r="A122" s="235"/>
      <c r="B122" s="316" t="s">
        <v>849</v>
      </c>
      <c r="C122" s="317"/>
      <c r="D122" s="317">
        <v>7</v>
      </c>
      <c r="E122" s="317">
        <v>50</v>
      </c>
      <c r="F122" s="317"/>
      <c r="G122" s="317"/>
      <c r="H122" s="13"/>
      <c r="I122" s="15"/>
      <c r="J122" s="317">
        <f>(ROUND(D122*E122,2))</f>
        <v>350</v>
      </c>
      <c r="K122" s="849"/>
      <c r="L122" s="393"/>
      <c r="M122" s="267"/>
    </row>
    <row r="123" spans="1:15">
      <c r="A123" s="235"/>
      <c r="B123" s="316"/>
      <c r="C123" s="317"/>
      <c r="D123" s="317"/>
      <c r="E123" s="317"/>
      <c r="F123" s="317"/>
      <c r="G123" s="317"/>
      <c r="H123" s="13"/>
      <c r="I123" s="536" t="s">
        <v>20</v>
      </c>
      <c r="J123" s="861">
        <f>SUM(J122:J122)</f>
        <v>350</v>
      </c>
      <c r="K123" s="849"/>
      <c r="L123" s="393">
        <v>1245</v>
      </c>
      <c r="M123" s="267">
        <f>L123*J123</f>
        <v>435750</v>
      </c>
    </row>
    <row r="124" spans="1:15" s="601" customFormat="1">
      <c r="A124" s="596">
        <f>A116+0.3</f>
        <v>13.3</v>
      </c>
      <c r="B124" s="339" t="s">
        <v>850</v>
      </c>
      <c r="C124" s="339" t="s">
        <v>27</v>
      </c>
      <c r="D124" s="713"/>
      <c r="E124" s="713"/>
      <c r="F124" s="713"/>
      <c r="G124" s="713"/>
      <c r="H124" s="8"/>
      <c r="I124" s="709"/>
      <c r="J124" s="714"/>
      <c r="K124" s="848"/>
      <c r="L124" s="848"/>
      <c r="M124" s="602"/>
    </row>
    <row r="125" spans="1:15">
      <c r="A125" s="235"/>
      <c r="B125" s="316" t="s">
        <v>849</v>
      </c>
      <c r="C125" s="317"/>
      <c r="D125" s="317">
        <v>7</v>
      </c>
      <c r="E125" s="317">
        <f>50*1</f>
        <v>50</v>
      </c>
      <c r="F125" s="317"/>
      <c r="G125" s="317"/>
      <c r="H125" s="13"/>
      <c r="I125" s="15"/>
      <c r="J125" s="317">
        <f>(ROUND(D125*E125*2,2))</f>
        <v>700</v>
      </c>
      <c r="K125" s="849"/>
      <c r="L125" s="393"/>
      <c r="M125" s="267"/>
    </row>
    <row r="126" spans="1:15">
      <c r="A126" s="44"/>
      <c r="B126" s="44"/>
      <c r="C126" s="44"/>
      <c r="D126" s="44"/>
      <c r="E126" s="44"/>
      <c r="F126" s="44"/>
      <c r="G126" s="44"/>
      <c r="H126" s="44"/>
      <c r="I126" s="239" t="s">
        <v>439</v>
      </c>
      <c r="J126" s="239">
        <f>SUM(J125:J125)</f>
        <v>700</v>
      </c>
      <c r="K126" s="849"/>
      <c r="L126" s="393">
        <v>1208</v>
      </c>
      <c r="M126" s="267">
        <f>L126*J126</f>
        <v>845600</v>
      </c>
    </row>
    <row r="127" spans="1:15">
      <c r="L127" s="269" t="s">
        <v>20</v>
      </c>
      <c r="M127" s="269">
        <f>SUM(M11:M126)</f>
        <v>286289815.03314996</v>
      </c>
    </row>
    <row r="128" spans="1:15">
      <c r="M128" s="698" t="s">
        <v>1241</v>
      </c>
    </row>
  </sheetData>
  <printOptions horizontalCentered="1"/>
  <pageMargins left="0.7" right="0.7" top="0.71" bottom="0.59" header="0.3" footer="0.16"/>
  <pageSetup paperSize="9" scale="86" fitToHeight="8" orientation="landscape" r:id="rId1"/>
  <rowBreaks count="3" manualBreakCount="3">
    <brk id="33" max="10" man="1"/>
    <brk id="64" max="10" man="1"/>
    <brk id="95" max="10" man="1"/>
  </rowBreaks>
  <drawing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3">
    <tabColor rgb="FF7030A0"/>
    <pageSetUpPr fitToPage="1"/>
  </sheetPr>
  <dimension ref="A1:J10"/>
  <sheetViews>
    <sheetView workbookViewId="0"/>
  </sheetViews>
  <sheetFormatPr defaultRowHeight="13.2"/>
  <cols>
    <col min="1" max="1" width="12.33203125" bestFit="1" customWidth="1"/>
    <col min="2" max="2" width="28.5546875" bestFit="1" customWidth="1"/>
    <col min="7" max="7" width="12" bestFit="1" customWidth="1"/>
    <col min="10" max="10" width="14" bestFit="1" customWidth="1"/>
  </cols>
  <sheetData>
    <row r="1" spans="1:10" s="520" customFormat="1" ht="19.2">
      <c r="A1" s="522"/>
      <c r="C1" s="523"/>
      <c r="D1" s="537"/>
      <c r="E1" s="1223"/>
      <c r="F1" s="1223"/>
      <c r="G1" s="523"/>
    </row>
    <row r="2" spans="1:10" s="520" customFormat="1" ht="19.2">
      <c r="A2" s="522"/>
      <c r="C2" s="523"/>
      <c r="D2" s="537"/>
      <c r="E2" s="1223"/>
      <c r="F2" s="1223"/>
      <c r="G2" s="523"/>
    </row>
    <row r="3" spans="1:10" s="520" customFormat="1" ht="19.2">
      <c r="A3" s="226" t="s">
        <v>0</v>
      </c>
      <c r="B3" s="1248" t="s">
        <v>2389</v>
      </c>
      <c r="C3" s="523"/>
      <c r="D3" s="537"/>
      <c r="E3" s="1223"/>
      <c r="F3" s="1223"/>
      <c r="G3" s="523"/>
    </row>
    <row r="4" spans="1:10" s="520" customFormat="1" ht="19.2">
      <c r="A4" s="119" t="s">
        <v>1</v>
      </c>
      <c r="B4" s="1248">
        <v>930100</v>
      </c>
      <c r="C4" s="523"/>
      <c r="D4" s="537"/>
      <c r="E4" s="1223"/>
      <c r="F4" s="1223"/>
      <c r="G4" s="523"/>
    </row>
    <row r="5" spans="1:10" s="520" customFormat="1" ht="19.2">
      <c r="A5" s="119" t="s">
        <v>2</v>
      </c>
      <c r="B5" s="1247" t="s">
        <v>331</v>
      </c>
      <c r="C5" s="523"/>
      <c r="D5" s="537"/>
      <c r="E5" s="1223"/>
      <c r="F5" s="1276" t="s">
        <v>1561</v>
      </c>
      <c r="G5" s="523" t="s">
        <v>1562</v>
      </c>
    </row>
    <row r="6" spans="1:10" s="520" customFormat="1" ht="19.2">
      <c r="A6" s="119" t="s">
        <v>3</v>
      </c>
      <c r="B6" s="1247" t="s">
        <v>1568</v>
      </c>
      <c r="C6" s="523"/>
      <c r="D6" s="537"/>
      <c r="E6" s="1223"/>
      <c r="F6" s="1276" t="s">
        <v>171</v>
      </c>
      <c r="G6" s="523" t="s">
        <v>1563</v>
      </c>
    </row>
    <row r="7" spans="1:10" s="520" customFormat="1" ht="19.2">
      <c r="A7" s="119" t="s">
        <v>4</v>
      </c>
      <c r="B7" s="1247"/>
      <c r="C7" s="523"/>
      <c r="D7" s="537"/>
      <c r="E7" s="1223"/>
      <c r="F7" s="1276" t="s">
        <v>106</v>
      </c>
      <c r="G7" s="1277">
        <f ca="1">TODAY()</f>
        <v>44942</v>
      </c>
    </row>
    <row r="9" spans="1:10">
      <c r="A9" s="317" t="s">
        <v>332</v>
      </c>
      <c r="B9" s="317" t="s">
        <v>487</v>
      </c>
      <c r="C9" s="317" t="s">
        <v>300</v>
      </c>
      <c r="D9" s="317" t="s">
        <v>1349</v>
      </c>
      <c r="E9" s="317" t="s">
        <v>1507</v>
      </c>
      <c r="F9" s="317" t="s">
        <v>490</v>
      </c>
      <c r="G9" s="317" t="s">
        <v>491</v>
      </c>
      <c r="H9" s="317" t="s">
        <v>1508</v>
      </c>
      <c r="I9" s="317" t="s">
        <v>34</v>
      </c>
      <c r="J9" s="317" t="s">
        <v>304</v>
      </c>
    </row>
    <row r="10" spans="1:10">
      <c r="A10" s="317">
        <v>1</v>
      </c>
      <c r="B10" s="317" t="s">
        <v>1509</v>
      </c>
      <c r="C10" s="317">
        <v>400</v>
      </c>
      <c r="D10" s="317">
        <v>2.2000000000000002</v>
      </c>
      <c r="E10" s="317">
        <f>10/1000</f>
        <v>0.01</v>
      </c>
      <c r="F10" s="317">
        <f>PI()*D10*E10</f>
        <v>6.9115038378975466E-2</v>
      </c>
      <c r="G10" s="317">
        <f>C10*F10</f>
        <v>27.646015351590187</v>
      </c>
      <c r="H10" s="317">
        <f>G10*7850</f>
        <v>217021.22050998296</v>
      </c>
      <c r="I10" s="317">
        <v>200</v>
      </c>
      <c r="J10" s="1278">
        <f>H10*I10</f>
        <v>43404244.101996593</v>
      </c>
    </row>
  </sheetData>
  <printOptions horizontalCentered="1"/>
  <pageMargins left="0.7" right="0.7" top="0.71" bottom="0.59" header="0.3" footer="0.16"/>
  <pageSetup paperSize="9" scale="90" fitToHeight="10"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0">
    <tabColor rgb="FF7030A0"/>
  </sheetPr>
  <dimension ref="A1:Z1009"/>
  <sheetViews>
    <sheetView workbookViewId="0"/>
  </sheetViews>
  <sheetFormatPr defaultColWidth="14.44140625" defaultRowHeight="15" customHeight="1"/>
  <cols>
    <col min="1" max="1" width="12.5546875" style="1131" customWidth="1"/>
    <col min="2" max="2" width="29.109375" style="1131" customWidth="1"/>
    <col min="3" max="3" width="7.44140625" style="1131" customWidth="1"/>
    <col min="4" max="4" width="9.109375" style="1131" customWidth="1"/>
    <col min="5" max="5" width="10.33203125" style="1131" customWidth="1"/>
    <col min="6" max="6" width="10.5546875" style="1131" customWidth="1"/>
    <col min="7" max="8" width="9.109375" style="1131" customWidth="1"/>
    <col min="9" max="9" width="12.88671875" style="1131" customWidth="1"/>
    <col min="10" max="10" width="12.6640625" style="1131" customWidth="1"/>
    <col min="11" max="11" width="22.109375" style="1131" bestFit="1" customWidth="1"/>
    <col min="12" max="12" width="10.6640625" style="1131" bestFit="1" customWidth="1"/>
    <col min="13" max="26" width="9.109375" style="1131" customWidth="1"/>
    <col min="27" max="16384" width="14.44140625" style="1131"/>
  </cols>
  <sheetData>
    <row r="1" spans="1:26" s="520" customFormat="1" ht="19.2">
      <c r="A1" s="522"/>
      <c r="C1" s="523"/>
      <c r="D1" s="537"/>
      <c r="E1" s="1223"/>
      <c r="F1" s="1223"/>
      <c r="G1" s="523"/>
    </row>
    <row r="2" spans="1:26" s="520" customFormat="1" ht="19.2">
      <c r="A2" s="522"/>
      <c r="C2" s="523"/>
      <c r="D2" s="537"/>
      <c r="E2" s="1223"/>
      <c r="F2" s="1223"/>
      <c r="G2" s="523"/>
    </row>
    <row r="3" spans="1:26" s="520" customFormat="1" ht="19.2">
      <c r="A3" s="226" t="s">
        <v>0</v>
      </c>
      <c r="B3" s="1248" t="s">
        <v>2389</v>
      </c>
      <c r="C3" s="523"/>
      <c r="D3" s="537"/>
      <c r="E3" s="1223"/>
      <c r="F3" s="1223"/>
      <c r="G3" s="523"/>
    </row>
    <row r="4" spans="1:26" s="520" customFormat="1" ht="19.2">
      <c r="A4" s="119" t="s">
        <v>1</v>
      </c>
      <c r="B4" s="1248">
        <v>930100</v>
      </c>
      <c r="C4" s="523"/>
      <c r="D4" s="537"/>
      <c r="E4" s="1223"/>
      <c r="F4" s="1223"/>
      <c r="G4" s="523"/>
    </row>
    <row r="5" spans="1:26" s="520" customFormat="1" ht="19.2">
      <c r="A5" s="119" t="s">
        <v>2</v>
      </c>
      <c r="B5" s="1247" t="s">
        <v>331</v>
      </c>
      <c r="C5" s="523"/>
      <c r="D5" s="537"/>
      <c r="E5" s="1223"/>
      <c r="J5" s="1276" t="s">
        <v>1561</v>
      </c>
      <c r="K5" s="523" t="s">
        <v>1566</v>
      </c>
    </row>
    <row r="6" spans="1:26" s="520" customFormat="1" ht="19.2">
      <c r="A6" s="119" t="s">
        <v>3</v>
      </c>
      <c r="B6" s="1247" t="s">
        <v>1575</v>
      </c>
      <c r="C6" s="523"/>
      <c r="D6" s="537"/>
      <c r="E6" s="1223"/>
      <c r="J6" s="1276" t="s">
        <v>171</v>
      </c>
      <c r="K6" s="523" t="s">
        <v>1563</v>
      </c>
    </row>
    <row r="7" spans="1:26" s="520" customFormat="1" ht="19.2">
      <c r="A7" s="119" t="s">
        <v>4</v>
      </c>
      <c r="B7" s="1247"/>
      <c r="C7" s="523"/>
      <c r="D7" s="537"/>
      <c r="E7" s="1223"/>
      <c r="J7" s="1276" t="s">
        <v>106</v>
      </c>
      <c r="K7" s="1277">
        <f ca="1">TODAY()</f>
        <v>44942</v>
      </c>
    </row>
    <row r="8" spans="1:26" ht="16.8">
      <c r="A8" s="119"/>
      <c r="B8" s="55"/>
      <c r="C8" s="1"/>
      <c r="D8" s="1"/>
      <c r="E8" s="1"/>
      <c r="F8" s="1"/>
      <c r="G8" s="1130"/>
      <c r="H8" s="1130"/>
      <c r="I8" s="1130"/>
      <c r="J8" s="1130"/>
      <c r="K8" s="1130"/>
      <c r="L8" s="1130"/>
      <c r="M8" s="1130"/>
      <c r="N8" s="1130"/>
      <c r="O8" s="1130"/>
      <c r="P8" s="1130"/>
      <c r="Q8" s="1130"/>
      <c r="R8" s="1130"/>
      <c r="S8" s="1130"/>
      <c r="T8" s="1130"/>
      <c r="U8" s="1130"/>
      <c r="V8" s="1130"/>
      <c r="W8" s="1130"/>
      <c r="X8" s="1130"/>
      <c r="Y8" s="1130"/>
      <c r="Z8" s="1130"/>
    </row>
    <row r="9" spans="1:26" ht="16.8">
      <c r="A9" s="119"/>
      <c r="B9" s="55"/>
      <c r="C9" s="1"/>
      <c r="D9" s="1"/>
      <c r="E9" s="1"/>
      <c r="F9" s="1"/>
      <c r="G9" s="1130"/>
      <c r="H9" s="1130"/>
      <c r="I9" s="1130"/>
      <c r="J9" s="1130"/>
      <c r="K9" s="1130"/>
      <c r="L9" s="1130"/>
      <c r="M9" s="1130"/>
      <c r="N9" s="1130"/>
      <c r="O9" s="1130"/>
      <c r="P9" s="1130"/>
      <c r="Q9" s="1130"/>
      <c r="R9" s="1130"/>
      <c r="S9" s="1130"/>
      <c r="T9" s="1130"/>
      <c r="U9" s="1130"/>
      <c r="V9" s="1130"/>
      <c r="W9" s="1130"/>
      <c r="X9" s="1130"/>
      <c r="Y9" s="1130"/>
      <c r="Z9" s="1130"/>
    </row>
    <row r="10" spans="1:26" ht="13.2">
      <c r="A10" s="1186" t="s">
        <v>332</v>
      </c>
      <c r="B10" s="1186" t="s">
        <v>8</v>
      </c>
      <c r="C10" s="1186" t="s">
        <v>9</v>
      </c>
      <c r="D10" s="1186" t="s">
        <v>333</v>
      </c>
      <c r="E10" s="1186" t="s">
        <v>11</v>
      </c>
      <c r="F10" s="1186" t="s">
        <v>12</v>
      </c>
      <c r="G10" s="1186" t="s">
        <v>13</v>
      </c>
      <c r="H10" s="1186" t="s">
        <v>15</v>
      </c>
      <c r="I10" s="1186" t="s">
        <v>14</v>
      </c>
      <c r="J10" s="1186" t="s">
        <v>16</v>
      </c>
      <c r="K10" s="1200" t="s">
        <v>17</v>
      </c>
      <c r="L10" s="1205" t="s">
        <v>1233</v>
      </c>
      <c r="M10" s="1205" t="s">
        <v>1234</v>
      </c>
      <c r="N10" s="1130"/>
      <c r="O10" s="1130"/>
      <c r="P10" s="1130"/>
      <c r="Q10" s="1130"/>
      <c r="R10" s="1130"/>
      <c r="S10" s="1130"/>
      <c r="T10" s="1130"/>
      <c r="U10" s="1130"/>
      <c r="V10" s="1130"/>
      <c r="W10" s="1130"/>
      <c r="X10" s="1130"/>
      <c r="Y10" s="1130"/>
      <c r="Z10" s="1130"/>
    </row>
    <row r="11" spans="1:26" ht="13.2">
      <c r="A11" s="1187">
        <v>1</v>
      </c>
      <c r="B11" s="1188" t="s">
        <v>18</v>
      </c>
      <c r="C11" s="1187" t="s">
        <v>85</v>
      </c>
      <c r="D11" s="1187"/>
      <c r="E11" s="1187"/>
      <c r="F11" s="1187"/>
      <c r="G11" s="1187"/>
      <c r="H11" s="1187">
        <v>5000</v>
      </c>
      <c r="I11" s="1187"/>
      <c r="J11" s="1187">
        <f>H11</f>
        <v>5000</v>
      </c>
      <c r="K11" s="1201"/>
      <c r="L11" s="1206"/>
      <c r="M11" s="1206"/>
      <c r="N11" s="1130"/>
      <c r="O11" s="1130"/>
      <c r="P11" s="1130"/>
      <c r="Q11" s="1130"/>
      <c r="R11" s="1130"/>
      <c r="S11" s="1130"/>
      <c r="T11" s="1130"/>
      <c r="U11" s="1130"/>
      <c r="V11" s="1130"/>
      <c r="W11" s="1130"/>
      <c r="X11" s="1130"/>
      <c r="Y11" s="1130"/>
      <c r="Z11" s="1130"/>
    </row>
    <row r="12" spans="1:26" ht="13.2">
      <c r="A12" s="1133"/>
      <c r="B12" s="1133"/>
      <c r="C12" s="1133"/>
      <c r="D12" s="1133"/>
      <c r="E12" s="1133"/>
      <c r="F12" s="1133"/>
      <c r="G12" s="1133"/>
      <c r="H12" s="1133"/>
      <c r="I12" s="1149" t="s">
        <v>439</v>
      </c>
      <c r="J12" s="1150">
        <f>SUM(J8:J11)</f>
        <v>5000</v>
      </c>
      <c r="K12" s="1202"/>
      <c r="L12" s="1206">
        <v>40.5</v>
      </c>
      <c r="M12" s="1206">
        <f>L12*J12</f>
        <v>202500</v>
      </c>
      <c r="N12" s="1130"/>
      <c r="O12" s="1130"/>
      <c r="P12" s="1130"/>
      <c r="Q12" s="1130"/>
      <c r="R12" s="1130"/>
      <c r="S12" s="1130"/>
      <c r="T12" s="1130"/>
      <c r="U12" s="1130"/>
      <c r="V12" s="1130"/>
      <c r="W12" s="1130"/>
      <c r="X12" s="1130"/>
      <c r="Y12" s="1130"/>
      <c r="Z12" s="1130"/>
    </row>
    <row r="13" spans="1:26" ht="13.2">
      <c r="A13" s="1187">
        <v>2</v>
      </c>
      <c r="B13" s="1189" t="s">
        <v>313</v>
      </c>
      <c r="C13" s="1190" t="s">
        <v>306</v>
      </c>
      <c r="D13" s="1190"/>
      <c r="E13" s="1190"/>
      <c r="F13" s="1190"/>
      <c r="G13" s="1190"/>
      <c r="H13" s="1190"/>
      <c r="I13" s="1190"/>
      <c r="J13" s="1190"/>
      <c r="K13" s="1203"/>
      <c r="L13" s="1206"/>
      <c r="M13" s="1206"/>
      <c r="N13" s="1130"/>
      <c r="O13" s="1130"/>
      <c r="P13" s="1130"/>
      <c r="Q13" s="1130"/>
      <c r="R13" s="1130"/>
      <c r="S13" s="1130"/>
      <c r="T13" s="1130"/>
      <c r="U13" s="1130"/>
      <c r="V13" s="1130"/>
      <c r="W13" s="1130"/>
      <c r="X13" s="1130"/>
      <c r="Y13" s="1130"/>
      <c r="Z13" s="1130"/>
    </row>
    <row r="14" spans="1:26" ht="18">
      <c r="A14" s="1466"/>
      <c r="B14" s="1474" t="s">
        <v>1453</v>
      </c>
      <c r="C14" s="1465"/>
      <c r="D14" s="1465">
        <v>1</v>
      </c>
      <c r="E14" s="1465">
        <f>20-12.37</f>
        <v>7.6300000000000008</v>
      </c>
      <c r="F14" s="1471"/>
      <c r="G14" s="1465"/>
      <c r="H14" s="1465">
        <v>105.07599999999999</v>
      </c>
      <c r="I14" s="1463"/>
      <c r="J14" s="1463">
        <f t="shared" ref="J14:J20" si="0">D14*E14*H14</f>
        <v>801.72987999999998</v>
      </c>
      <c r="K14" s="1462"/>
      <c r="L14" s="1461"/>
      <c r="M14" s="1461"/>
      <c r="N14" s="1130"/>
      <c r="O14" s="1130"/>
      <c r="P14" s="1130"/>
      <c r="Q14" s="1130"/>
      <c r="R14" s="1130"/>
      <c r="S14" s="1130"/>
      <c r="T14" s="1130"/>
      <c r="U14" s="1130"/>
      <c r="V14" s="1130"/>
      <c r="W14" s="1130"/>
      <c r="X14" s="1130"/>
      <c r="Y14" s="1130"/>
      <c r="Z14" s="1130"/>
    </row>
    <row r="15" spans="1:26" ht="18">
      <c r="A15" s="1466"/>
      <c r="B15" s="1474" t="s">
        <v>1454</v>
      </c>
      <c r="C15" s="1465"/>
      <c r="D15" s="1465">
        <v>1</v>
      </c>
      <c r="E15" s="1465">
        <v>20</v>
      </c>
      <c r="F15" s="1471"/>
      <c r="G15" s="1465"/>
      <c r="H15" s="1465">
        <f>(105.076+59.287)/2</f>
        <v>82.1815</v>
      </c>
      <c r="I15" s="1463"/>
      <c r="J15" s="1463">
        <f t="shared" si="0"/>
        <v>1643.63</v>
      </c>
      <c r="K15" s="1462"/>
      <c r="L15" s="1461"/>
      <c r="M15" s="1461"/>
      <c r="N15" s="1130"/>
      <c r="O15" s="1130"/>
      <c r="P15" s="1130"/>
      <c r="Q15" s="1130"/>
      <c r="R15" s="1130"/>
      <c r="S15" s="1130"/>
      <c r="T15" s="1130"/>
      <c r="U15" s="1130"/>
      <c r="V15" s="1130"/>
      <c r="W15" s="1130"/>
      <c r="X15" s="1130"/>
      <c r="Y15" s="1130"/>
      <c r="Z15" s="1130"/>
    </row>
    <row r="16" spans="1:26" ht="18">
      <c r="A16" s="1466"/>
      <c r="B16" s="1465" t="s">
        <v>2481</v>
      </c>
      <c r="C16" s="1473"/>
      <c r="D16" s="1465">
        <v>1</v>
      </c>
      <c r="E16" s="1470">
        <v>70</v>
      </c>
      <c r="F16" s="1471"/>
      <c r="G16" s="1473"/>
      <c r="H16" s="1470">
        <f>(59.287+28.293)/2</f>
        <v>43.79</v>
      </c>
      <c r="I16" s="1464"/>
      <c r="J16" s="1463">
        <f t="shared" si="0"/>
        <v>3065.2999999999997</v>
      </c>
      <c r="K16" s="1462"/>
      <c r="L16" s="1461"/>
      <c r="M16" s="1472"/>
      <c r="N16" s="1144"/>
      <c r="O16" s="1144"/>
      <c r="P16" s="1130"/>
      <c r="Q16" s="1130"/>
      <c r="R16" s="1130"/>
      <c r="S16" s="1130"/>
      <c r="T16" s="1130"/>
      <c r="U16" s="1130"/>
      <c r="V16" s="1130"/>
      <c r="W16" s="1130"/>
      <c r="X16" s="1130"/>
      <c r="Y16" s="1130"/>
      <c r="Z16" s="1130"/>
    </row>
    <row r="17" spans="1:26" ht="18">
      <c r="A17" s="1466"/>
      <c r="B17" s="1465" t="s">
        <v>2480</v>
      </c>
      <c r="C17" s="1465"/>
      <c r="D17" s="1465">
        <v>1</v>
      </c>
      <c r="E17" s="1465">
        <v>120</v>
      </c>
      <c r="F17" s="1471"/>
      <c r="G17" s="1465"/>
      <c r="H17" s="1470">
        <f>(28.293+23.315)/2</f>
        <v>25.804000000000002</v>
      </c>
      <c r="I17" s="1464"/>
      <c r="J17" s="1463">
        <f t="shared" si="0"/>
        <v>3096.4800000000005</v>
      </c>
      <c r="K17" s="1462"/>
      <c r="L17" s="1461"/>
      <c r="M17" s="1461"/>
      <c r="N17" s="1130"/>
      <c r="O17" s="1130"/>
      <c r="P17" s="1130"/>
      <c r="Q17" s="1130"/>
      <c r="R17" s="1130"/>
      <c r="S17" s="1130"/>
      <c r="T17" s="1130"/>
      <c r="U17" s="1130"/>
      <c r="V17" s="1130"/>
      <c r="W17" s="1130"/>
      <c r="X17" s="1130"/>
      <c r="Y17" s="1130"/>
      <c r="Z17" s="1130"/>
    </row>
    <row r="18" spans="1:26" ht="18">
      <c r="A18" s="1466"/>
      <c r="B18" s="1463" t="s">
        <v>2479</v>
      </c>
      <c r="C18" s="1465"/>
      <c r="D18" s="1465">
        <v>1</v>
      </c>
      <c r="E18" s="1469">
        <v>90</v>
      </c>
      <c r="F18" s="1468"/>
      <c r="G18" s="1467"/>
      <c r="H18" s="1465">
        <f>1.1*(23.315+207.211)/2</f>
        <v>126.78930000000001</v>
      </c>
      <c r="I18" s="1464"/>
      <c r="J18" s="1463">
        <f t="shared" si="0"/>
        <v>11411.037</v>
      </c>
      <c r="K18" s="1462"/>
      <c r="L18" s="1461"/>
      <c r="M18" s="1461"/>
      <c r="N18" s="1130"/>
      <c r="O18" s="1130"/>
      <c r="P18" s="1130"/>
      <c r="Q18" s="1130"/>
      <c r="R18" s="1130"/>
      <c r="S18" s="1130"/>
      <c r="T18" s="1130"/>
      <c r="U18" s="1130"/>
      <c r="V18" s="1130"/>
      <c r="W18" s="1130"/>
      <c r="X18" s="1130"/>
      <c r="Y18" s="1130"/>
      <c r="Z18" s="1130"/>
    </row>
    <row r="19" spans="1:26" ht="18">
      <c r="A19" s="1466"/>
      <c r="B19" s="1463" t="s">
        <v>2490</v>
      </c>
      <c r="C19" s="1463"/>
      <c r="D19" s="1465">
        <v>1</v>
      </c>
      <c r="E19" s="1463">
        <v>110</v>
      </c>
      <c r="F19" s="1463"/>
      <c r="G19" s="1463"/>
      <c r="H19" s="1464">
        <f>(207.211+239.871)/2</f>
        <v>223.541</v>
      </c>
      <c r="I19" s="1463"/>
      <c r="J19" s="1463">
        <f t="shared" si="0"/>
        <v>24589.51</v>
      </c>
      <c r="K19" s="1462"/>
      <c r="L19" s="1461"/>
      <c r="M19" s="1461"/>
      <c r="N19" s="1130"/>
      <c r="O19" s="1130"/>
      <c r="P19" s="1130"/>
      <c r="Q19" s="1130"/>
      <c r="R19" s="1130"/>
      <c r="S19" s="1130"/>
      <c r="T19" s="1130"/>
      <c r="U19" s="1130"/>
      <c r="V19" s="1130"/>
      <c r="W19" s="1130"/>
      <c r="X19" s="1130"/>
      <c r="Y19" s="1130"/>
      <c r="Z19" s="1130"/>
    </row>
    <row r="20" spans="1:26" ht="18">
      <c r="A20" s="1466"/>
      <c r="B20" s="1463" t="s">
        <v>2489</v>
      </c>
      <c r="C20" s="1463"/>
      <c r="D20" s="1465">
        <v>1</v>
      </c>
      <c r="E20" s="1463">
        <v>4.66</v>
      </c>
      <c r="F20" s="1463"/>
      <c r="G20" s="1463"/>
      <c r="H20" s="1464">
        <f>1.1*239.871</f>
        <v>263.85810000000004</v>
      </c>
      <c r="I20" s="1463"/>
      <c r="J20" s="1463">
        <f t="shared" si="0"/>
        <v>1229.5787460000001</v>
      </c>
      <c r="K20" s="1462"/>
      <c r="L20" s="1461"/>
      <c r="M20" s="1461"/>
      <c r="N20" s="1130"/>
      <c r="O20" s="1130"/>
      <c r="P20" s="1130"/>
      <c r="Q20" s="1130"/>
      <c r="R20" s="1130"/>
      <c r="S20" s="1130"/>
      <c r="T20" s="1130"/>
      <c r="U20" s="1130"/>
      <c r="V20" s="1130"/>
      <c r="W20" s="1130"/>
      <c r="X20" s="1130"/>
      <c r="Y20" s="1130"/>
      <c r="Z20" s="1130"/>
    </row>
    <row r="21" spans="1:26" ht="13.2">
      <c r="A21" s="1133"/>
      <c r="B21" s="1135"/>
      <c r="C21" s="1135"/>
      <c r="D21" s="1135"/>
      <c r="E21" s="1134"/>
      <c r="F21" s="1135"/>
      <c r="G21" s="1135"/>
      <c r="H21" s="1148"/>
      <c r="I21" s="1149" t="s">
        <v>439</v>
      </c>
      <c r="J21" s="1150">
        <f>SUM(J14:J19)</f>
        <v>44607.686879999994</v>
      </c>
      <c r="K21" s="1204"/>
      <c r="L21" s="1206"/>
      <c r="M21" s="1206"/>
      <c r="N21" s="1130"/>
      <c r="O21" s="1130"/>
      <c r="P21" s="1130"/>
      <c r="Q21" s="1130"/>
      <c r="R21" s="1130"/>
      <c r="S21" s="1130"/>
      <c r="T21" s="1130"/>
      <c r="U21" s="1130"/>
      <c r="V21" s="1130"/>
      <c r="W21" s="1130"/>
      <c r="X21" s="1130"/>
      <c r="Y21" s="1130"/>
      <c r="Z21" s="1130"/>
    </row>
    <row r="22" spans="1:26" ht="13.2">
      <c r="A22" s="1133"/>
      <c r="B22" s="1135"/>
      <c r="C22" s="1135"/>
      <c r="D22" s="1135"/>
      <c r="E22" s="1134"/>
      <c r="F22" s="1135"/>
      <c r="G22" s="1135"/>
      <c r="H22" s="1199" t="s">
        <v>1496</v>
      </c>
      <c r="I22" s="1134"/>
      <c r="J22" s="1151">
        <f>0.85*J21</f>
        <v>37916.533847999992</v>
      </c>
      <c r="K22" s="1204"/>
      <c r="L22" s="1206">
        <v>320</v>
      </c>
      <c r="M22" s="1206">
        <f>L22*J22</f>
        <v>12133290.831359997</v>
      </c>
      <c r="N22" s="1130"/>
      <c r="O22" s="1130"/>
      <c r="P22" s="1130"/>
      <c r="Q22" s="1130"/>
      <c r="R22" s="1130"/>
      <c r="S22" s="1130"/>
      <c r="T22" s="1130"/>
      <c r="U22" s="1130"/>
      <c r="V22" s="1130"/>
      <c r="W22" s="1130"/>
      <c r="X22" s="1130"/>
      <c r="Y22" s="1130"/>
      <c r="Z22" s="1130"/>
    </row>
    <row r="23" spans="1:26" ht="13.2">
      <c r="A23" s="1133"/>
      <c r="B23" s="1135"/>
      <c r="C23" s="1135"/>
      <c r="D23" s="1135"/>
      <c r="E23" s="1135"/>
      <c r="F23" s="1135"/>
      <c r="G23" s="1135"/>
      <c r="H23" s="1152" t="s">
        <v>1497</v>
      </c>
      <c r="I23" s="1134"/>
      <c r="J23" s="1151">
        <f>0.15*J21</f>
        <v>6691.1530319999993</v>
      </c>
      <c r="K23" s="1204"/>
      <c r="L23" s="1206">
        <v>1350</v>
      </c>
      <c r="M23" s="1206">
        <f>L23*J23</f>
        <v>9033056.5931999981</v>
      </c>
      <c r="N23" s="1130"/>
      <c r="O23" s="1130"/>
      <c r="P23" s="1130"/>
      <c r="Q23" s="1130"/>
      <c r="R23" s="1130"/>
      <c r="S23" s="1130"/>
      <c r="T23" s="1130"/>
      <c r="U23" s="1130"/>
      <c r="V23" s="1130"/>
      <c r="W23" s="1130"/>
      <c r="X23" s="1130"/>
      <c r="Y23" s="1130"/>
      <c r="Z23" s="1130"/>
    </row>
    <row r="24" spans="1:26" ht="17.399999999999999">
      <c r="A24" s="1187">
        <v>3</v>
      </c>
      <c r="B24" s="1189" t="s">
        <v>31</v>
      </c>
      <c r="C24" s="1190" t="s">
        <v>1422</v>
      </c>
      <c r="D24" s="1190"/>
      <c r="E24" s="1190"/>
      <c r="F24" s="1190"/>
      <c r="G24" s="1190"/>
      <c r="H24" s="1190"/>
      <c r="I24" s="1190"/>
      <c r="J24" s="1191"/>
      <c r="K24" s="1203"/>
      <c r="L24" s="1206"/>
      <c r="M24" s="1206"/>
      <c r="N24" s="1130"/>
      <c r="O24" s="1130"/>
      <c r="P24" s="1130"/>
      <c r="Q24" s="1130"/>
      <c r="R24" s="1130"/>
      <c r="S24" s="1130"/>
      <c r="T24" s="1130"/>
      <c r="U24" s="1130"/>
      <c r="V24" s="1130"/>
      <c r="W24" s="1130"/>
      <c r="X24" s="1130"/>
      <c r="Y24" s="1130"/>
      <c r="Z24" s="1130"/>
    </row>
    <row r="25" spans="1:26" ht="15.75" customHeight="1">
      <c r="A25" s="1133"/>
      <c r="B25" s="1136" t="s">
        <v>1453</v>
      </c>
      <c r="C25" s="1137"/>
      <c r="D25" s="1137">
        <v>1</v>
      </c>
      <c r="E25" s="1137">
        <f>20-12.37</f>
        <v>7.6300000000000008</v>
      </c>
      <c r="F25" s="1138"/>
      <c r="G25" s="1137"/>
      <c r="H25" s="1137">
        <v>44.344000000000001</v>
      </c>
      <c r="I25" s="1135"/>
      <c r="J25" s="1135">
        <f t="shared" ref="J25:J31" si="1">D25*E25*H25</f>
        <v>338.34472000000005</v>
      </c>
      <c r="K25" s="1204"/>
      <c r="L25" s="1206"/>
      <c r="M25" s="1206"/>
      <c r="N25" s="1130"/>
      <c r="O25" s="1130"/>
      <c r="P25" s="1130"/>
      <c r="Q25" s="1130"/>
      <c r="R25" s="1130"/>
      <c r="S25" s="1130"/>
      <c r="T25" s="1130"/>
      <c r="U25" s="1130"/>
      <c r="V25" s="1130"/>
      <c r="W25" s="1130"/>
      <c r="X25" s="1130"/>
      <c r="Y25" s="1130"/>
      <c r="Z25" s="1130"/>
    </row>
    <row r="26" spans="1:26" ht="15.75" customHeight="1">
      <c r="A26" s="1133"/>
      <c r="B26" s="1136" t="s">
        <v>1454</v>
      </c>
      <c r="C26" s="1137"/>
      <c r="D26" s="1137">
        <v>1</v>
      </c>
      <c r="E26" s="1137">
        <v>20</v>
      </c>
      <c r="F26" s="1142"/>
      <c r="G26" s="1140"/>
      <c r="H26" s="1137">
        <f>(44.344+16.408)/2</f>
        <v>30.376000000000001</v>
      </c>
      <c r="I26" s="1143"/>
      <c r="J26" s="1135">
        <f t="shared" si="1"/>
        <v>607.52</v>
      </c>
      <c r="K26" s="1204"/>
      <c r="L26" s="1206"/>
      <c r="M26" s="1206"/>
      <c r="N26" s="1130"/>
      <c r="O26" s="1130"/>
      <c r="P26" s="1130"/>
      <c r="Q26" s="1130"/>
      <c r="R26" s="1130"/>
      <c r="S26" s="1130"/>
      <c r="T26" s="1130"/>
      <c r="U26" s="1130"/>
      <c r="V26" s="1130"/>
      <c r="W26" s="1130"/>
      <c r="X26" s="1130"/>
      <c r="Y26" s="1130"/>
      <c r="Z26" s="1130"/>
    </row>
    <row r="27" spans="1:26" ht="15.75" customHeight="1">
      <c r="A27" s="1133"/>
      <c r="B27" s="1139" t="s">
        <v>2481</v>
      </c>
      <c r="C27" s="1140"/>
      <c r="D27" s="1137">
        <v>1</v>
      </c>
      <c r="E27" s="1141">
        <v>70</v>
      </c>
      <c r="F27" s="1142"/>
      <c r="G27" s="1139"/>
      <c r="H27" s="1137">
        <f>(16.408+10.454)/2</f>
        <v>13.431000000000001</v>
      </c>
      <c r="I27" s="1143"/>
      <c r="J27" s="1135">
        <f t="shared" si="1"/>
        <v>940.17000000000007</v>
      </c>
      <c r="K27" s="1204"/>
      <c r="L27" s="1206"/>
      <c r="M27" s="1206"/>
      <c r="N27" s="1130"/>
      <c r="O27" s="1130"/>
      <c r="P27" s="1130"/>
      <c r="Q27" s="1130"/>
      <c r="R27" s="1130"/>
      <c r="S27" s="1130"/>
      <c r="T27" s="1130"/>
      <c r="U27" s="1130"/>
      <c r="V27" s="1130"/>
      <c r="W27" s="1130"/>
      <c r="X27" s="1130"/>
      <c r="Y27" s="1130"/>
      <c r="Z27" s="1130"/>
    </row>
    <row r="28" spans="1:26" ht="15.75" customHeight="1">
      <c r="A28" s="1133"/>
      <c r="B28" s="1139" t="s">
        <v>2480</v>
      </c>
      <c r="C28" s="1139"/>
      <c r="D28" s="1137">
        <v>1</v>
      </c>
      <c r="E28" s="1139">
        <v>120</v>
      </c>
      <c r="F28" s="1146"/>
      <c r="G28" s="1147"/>
      <c r="H28" s="1137">
        <f>(10.454+11.748)/2</f>
        <v>11.100999999999999</v>
      </c>
      <c r="I28" s="1143"/>
      <c r="J28" s="1135">
        <f t="shared" si="1"/>
        <v>1332.12</v>
      </c>
      <c r="K28" s="1204"/>
      <c r="L28" s="1206"/>
      <c r="M28" s="1206"/>
      <c r="N28" s="1130"/>
      <c r="O28" s="1130"/>
      <c r="P28" s="1130"/>
      <c r="Q28" s="1130"/>
      <c r="R28" s="1130"/>
      <c r="S28" s="1130"/>
      <c r="T28" s="1130"/>
      <c r="U28" s="1130"/>
      <c r="V28" s="1130"/>
      <c r="W28" s="1130"/>
      <c r="X28" s="1130"/>
      <c r="Y28" s="1130"/>
      <c r="Z28" s="1130"/>
    </row>
    <row r="29" spans="1:26" ht="15.75" customHeight="1">
      <c r="A29" s="1133"/>
      <c r="B29" s="1457" t="s">
        <v>2479</v>
      </c>
      <c r="C29" s="1137"/>
      <c r="D29" s="1137">
        <v>1</v>
      </c>
      <c r="E29" s="1145">
        <v>90</v>
      </c>
      <c r="F29" s="1146"/>
      <c r="G29" s="1147"/>
      <c r="H29" s="1137">
        <f>(11.748+59.044)/2</f>
        <v>35.396000000000001</v>
      </c>
      <c r="I29" s="1143"/>
      <c r="J29" s="1135">
        <f t="shared" si="1"/>
        <v>3185.64</v>
      </c>
      <c r="K29" s="1204"/>
      <c r="L29" s="1206"/>
      <c r="M29" s="1206"/>
      <c r="N29" s="1130"/>
      <c r="O29" s="1130"/>
      <c r="P29" s="1130"/>
      <c r="Q29" s="1130"/>
      <c r="R29" s="1130"/>
      <c r="S29" s="1130"/>
      <c r="T29" s="1130"/>
      <c r="U29" s="1130"/>
      <c r="V29" s="1130"/>
      <c r="W29" s="1130"/>
      <c r="X29" s="1130"/>
      <c r="Y29" s="1130"/>
      <c r="Z29" s="1130"/>
    </row>
    <row r="30" spans="1:26" ht="15.75" customHeight="1">
      <c r="A30" s="1133"/>
      <c r="B30" s="1135" t="s">
        <v>2490</v>
      </c>
      <c r="C30" s="1135"/>
      <c r="D30" s="1137">
        <v>1</v>
      </c>
      <c r="E30" s="1135">
        <v>110</v>
      </c>
      <c r="F30" s="1146"/>
      <c r="G30" s="1147"/>
      <c r="H30" s="1137">
        <f>(59.044+67.286)/2</f>
        <v>63.164999999999999</v>
      </c>
      <c r="I30" s="1143"/>
      <c r="J30" s="1135">
        <f t="shared" si="1"/>
        <v>6948.15</v>
      </c>
      <c r="K30" s="1204"/>
      <c r="L30" s="1206"/>
      <c r="M30" s="1206"/>
      <c r="N30" s="1130"/>
      <c r="O30" s="1130"/>
      <c r="P30" s="1130"/>
      <c r="Q30" s="1130"/>
      <c r="R30" s="1130"/>
      <c r="S30" s="1130"/>
      <c r="T30" s="1130"/>
      <c r="U30" s="1130"/>
      <c r="V30" s="1130"/>
      <c r="W30" s="1130"/>
      <c r="X30" s="1130"/>
      <c r="Y30" s="1130"/>
      <c r="Z30" s="1130"/>
    </row>
    <row r="31" spans="1:26" ht="15.75" customHeight="1">
      <c r="A31" s="1133"/>
      <c r="B31" s="1135" t="s">
        <v>2489</v>
      </c>
      <c r="C31" s="1135"/>
      <c r="D31" s="1137">
        <v>1</v>
      </c>
      <c r="E31" s="1135">
        <v>4.66</v>
      </c>
      <c r="F31" s="1135"/>
      <c r="G31" s="1135"/>
      <c r="H31" s="1137">
        <f>1.1*67.286</f>
        <v>74.014600000000002</v>
      </c>
      <c r="I31" s="1135"/>
      <c r="J31" s="1135">
        <f t="shared" si="1"/>
        <v>344.90803600000004</v>
      </c>
      <c r="K31" s="1204"/>
      <c r="L31" s="1206"/>
      <c r="M31" s="1206"/>
      <c r="N31" s="1130"/>
      <c r="O31" s="1130"/>
      <c r="P31" s="1130"/>
      <c r="Q31" s="1130"/>
      <c r="R31" s="1130"/>
      <c r="S31" s="1130"/>
      <c r="T31" s="1130"/>
      <c r="U31" s="1130"/>
      <c r="V31" s="1130"/>
      <c r="W31" s="1130"/>
      <c r="X31" s="1130"/>
      <c r="Y31" s="1130"/>
      <c r="Z31" s="1130"/>
    </row>
    <row r="32" spans="1:26" ht="15.75" customHeight="1">
      <c r="A32" s="1133"/>
      <c r="B32" s="1135"/>
      <c r="C32" s="1135"/>
      <c r="D32" s="1135"/>
      <c r="E32" s="1135"/>
      <c r="F32" s="1135"/>
      <c r="G32" s="1135"/>
      <c r="H32" s="1135"/>
      <c r="I32" s="1149" t="s">
        <v>439</v>
      </c>
      <c r="J32" s="1150">
        <f>SUM(J25:J31)</f>
        <v>13696.852756</v>
      </c>
      <c r="K32" s="1204"/>
      <c r="L32" s="1206">
        <v>210</v>
      </c>
      <c r="M32" s="1206">
        <f>L32*J32</f>
        <v>2876339.0787599999</v>
      </c>
      <c r="N32" s="1130"/>
      <c r="O32" s="1130"/>
      <c r="P32" s="1130"/>
      <c r="Q32" s="1130"/>
      <c r="R32" s="1130"/>
      <c r="S32" s="1130"/>
      <c r="T32" s="1130"/>
      <c r="U32" s="1130"/>
      <c r="V32" s="1130"/>
      <c r="W32" s="1130"/>
      <c r="X32" s="1130"/>
      <c r="Y32" s="1130"/>
      <c r="Z32" s="1130"/>
    </row>
    <row r="33" spans="1:26" ht="15.75" customHeight="1">
      <c r="A33" s="1129"/>
      <c r="B33" s="1130"/>
      <c r="C33" s="1130"/>
      <c r="D33" s="1130"/>
      <c r="E33" s="1130"/>
      <c r="F33" s="1130"/>
      <c r="G33" s="1130"/>
      <c r="H33" s="1130"/>
      <c r="I33" s="1130"/>
      <c r="J33" s="1130"/>
      <c r="K33" s="1130"/>
      <c r="L33" s="1206"/>
      <c r="M33" s="1206"/>
      <c r="N33" s="1130"/>
      <c r="O33" s="1130"/>
      <c r="P33" s="1130"/>
      <c r="Q33" s="1130"/>
      <c r="R33" s="1130"/>
      <c r="S33" s="1130"/>
      <c r="T33" s="1130"/>
      <c r="U33" s="1130"/>
      <c r="V33" s="1130"/>
      <c r="W33" s="1130"/>
      <c r="X33" s="1130"/>
      <c r="Y33" s="1130"/>
      <c r="Z33" s="1130"/>
    </row>
    <row r="34" spans="1:26" ht="15.75" customHeight="1">
      <c r="A34" s="1187">
        <v>4</v>
      </c>
      <c r="B34" s="1189" t="s">
        <v>517</v>
      </c>
      <c r="C34" s="1190" t="s">
        <v>338</v>
      </c>
      <c r="D34" s="1190">
        <v>1</v>
      </c>
      <c r="E34" s="1192">
        <v>350</v>
      </c>
      <c r="F34" s="1193"/>
      <c r="G34" s="1193"/>
      <c r="H34" s="1193">
        <v>4</v>
      </c>
      <c r="I34" s="1190"/>
      <c r="J34" s="1194">
        <f>D34*H34*E34</f>
        <v>1400</v>
      </c>
      <c r="K34" s="1203"/>
      <c r="L34" s="1206"/>
      <c r="M34" s="1206"/>
      <c r="N34" s="1130"/>
      <c r="O34" s="1130"/>
      <c r="P34" s="1130"/>
      <c r="Q34" s="1130"/>
      <c r="R34" s="1130"/>
      <c r="S34" s="1130"/>
      <c r="T34" s="1130"/>
      <c r="U34" s="1130"/>
      <c r="V34" s="1130"/>
      <c r="W34" s="1130"/>
      <c r="X34" s="1130"/>
      <c r="Y34" s="1130"/>
      <c r="Z34" s="1130"/>
    </row>
    <row r="35" spans="1:26" ht="15.75" customHeight="1">
      <c r="A35" s="1133"/>
      <c r="B35" s="1135"/>
      <c r="C35" s="1135"/>
      <c r="D35" s="1135"/>
      <c r="E35" s="1135"/>
      <c r="F35" s="1135"/>
      <c r="G35" s="1135"/>
      <c r="H35" s="1135"/>
      <c r="I35" s="1149" t="s">
        <v>439</v>
      </c>
      <c r="J35" s="1149">
        <v>1400</v>
      </c>
      <c r="K35" s="1204"/>
      <c r="L35" s="1207">
        <v>1575</v>
      </c>
      <c r="M35" s="1206">
        <f>L35*J35</f>
        <v>2205000</v>
      </c>
      <c r="N35" s="1130"/>
      <c r="O35" s="1130"/>
      <c r="P35" s="1130"/>
      <c r="Q35" s="1130"/>
      <c r="R35" s="1130"/>
      <c r="S35" s="1130"/>
      <c r="T35" s="1130"/>
      <c r="U35" s="1130"/>
      <c r="V35" s="1130"/>
      <c r="W35" s="1130"/>
      <c r="X35" s="1130"/>
      <c r="Y35" s="1130"/>
      <c r="Z35" s="1130"/>
    </row>
    <row r="36" spans="1:26" ht="15.75" customHeight="1">
      <c r="A36" s="1133"/>
      <c r="B36" s="1135"/>
      <c r="C36" s="1135"/>
      <c r="D36" s="1135"/>
      <c r="E36" s="1135"/>
      <c r="F36" s="1135"/>
      <c r="G36" s="1135"/>
      <c r="H36" s="1135"/>
      <c r="I36" s="1135"/>
      <c r="J36" s="1135"/>
      <c r="K36" s="1204"/>
      <c r="L36" s="1206"/>
      <c r="M36" s="1206"/>
      <c r="N36" s="1130"/>
      <c r="O36" s="1130"/>
      <c r="P36" s="1130"/>
      <c r="Q36" s="1130"/>
      <c r="R36" s="1130"/>
      <c r="S36" s="1130"/>
      <c r="T36" s="1130"/>
      <c r="U36" s="1130"/>
      <c r="V36" s="1130"/>
      <c r="W36" s="1130"/>
      <c r="X36" s="1130"/>
      <c r="Y36" s="1130"/>
      <c r="Z36" s="1130"/>
    </row>
    <row r="37" spans="1:26" ht="15.75" customHeight="1">
      <c r="A37" s="1187">
        <v>5</v>
      </c>
      <c r="B37" s="1189" t="s">
        <v>314</v>
      </c>
      <c r="C37" s="1190" t="s">
        <v>338</v>
      </c>
      <c r="D37" s="1190"/>
      <c r="E37" s="1190"/>
      <c r="F37" s="1190"/>
      <c r="G37" s="1190"/>
      <c r="H37" s="1190"/>
      <c r="I37" s="1190"/>
      <c r="J37" s="1190"/>
      <c r="K37" s="1203"/>
      <c r="L37" s="1206"/>
      <c r="M37" s="1206"/>
      <c r="N37" s="1130"/>
      <c r="O37" s="1130"/>
      <c r="P37" s="1130"/>
      <c r="Q37" s="1130"/>
      <c r="R37" s="1130"/>
      <c r="S37" s="1130"/>
      <c r="T37" s="1130"/>
      <c r="U37" s="1130"/>
      <c r="V37" s="1130"/>
      <c r="W37" s="1130"/>
      <c r="X37" s="1130"/>
      <c r="Y37" s="1130"/>
      <c r="Z37" s="1130"/>
    </row>
    <row r="38" spans="1:26" s="1375" customFormat="1" ht="15.75" customHeight="1">
      <c r="A38" s="1460"/>
      <c r="B38" s="1459" t="s">
        <v>1424</v>
      </c>
      <c r="C38" s="1459"/>
      <c r="D38" s="1459">
        <v>1</v>
      </c>
      <c r="E38" s="1459">
        <v>153.35</v>
      </c>
      <c r="F38" s="1459">
        <v>3</v>
      </c>
      <c r="G38" s="1459"/>
      <c r="H38" s="1459"/>
      <c r="I38" s="1459"/>
      <c r="J38" s="1459">
        <f>E38*F38</f>
        <v>460.04999999999995</v>
      </c>
      <c r="K38" s="1458"/>
      <c r="L38" s="1372"/>
      <c r="M38" s="1372"/>
      <c r="N38" s="1374"/>
      <c r="O38" s="1374"/>
      <c r="P38" s="1374"/>
      <c r="Q38" s="1374"/>
      <c r="R38" s="1374"/>
      <c r="S38" s="1374"/>
      <c r="T38" s="1374"/>
      <c r="U38" s="1374"/>
      <c r="V38" s="1374"/>
      <c r="W38" s="1374"/>
      <c r="X38" s="1374"/>
      <c r="Y38" s="1374"/>
      <c r="Z38" s="1374"/>
    </row>
    <row r="39" spans="1:26" s="1375" customFormat="1" ht="15.75" customHeight="1">
      <c r="A39" s="1460"/>
      <c r="B39" s="1459" t="s">
        <v>2488</v>
      </c>
      <c r="C39" s="1459"/>
      <c r="D39" s="1459">
        <v>1</v>
      </c>
      <c r="E39" s="1459">
        <v>26.65</v>
      </c>
      <c r="F39" s="1459">
        <v>4</v>
      </c>
      <c r="G39" s="1459"/>
      <c r="H39" s="1459"/>
      <c r="I39" s="1459"/>
      <c r="J39" s="1459">
        <f>E39*F39</f>
        <v>106.6</v>
      </c>
      <c r="K39" s="1458"/>
      <c r="L39" s="1372"/>
      <c r="M39" s="1372"/>
      <c r="N39" s="1374"/>
      <c r="O39" s="1374"/>
      <c r="P39" s="1374"/>
      <c r="Q39" s="1374"/>
      <c r="R39" s="1374"/>
      <c r="S39" s="1374"/>
      <c r="T39" s="1374"/>
      <c r="U39" s="1374"/>
      <c r="V39" s="1374"/>
      <c r="W39" s="1374"/>
      <c r="X39" s="1374"/>
      <c r="Y39" s="1374"/>
      <c r="Z39" s="1374"/>
    </row>
    <row r="40" spans="1:26" ht="15.75" customHeight="1">
      <c r="A40" s="1133"/>
      <c r="B40" s="1134"/>
      <c r="C40" s="1135"/>
      <c r="D40" s="1135"/>
      <c r="E40" s="1135"/>
      <c r="F40" s="1135"/>
      <c r="G40" s="1135"/>
      <c r="H40" s="1135"/>
      <c r="I40" s="1149" t="s">
        <v>439</v>
      </c>
      <c r="J40" s="1149">
        <f>SUM(J38:J39)</f>
        <v>566.65</v>
      </c>
      <c r="K40" s="1204"/>
      <c r="L40" s="1206">
        <v>11500</v>
      </c>
      <c r="M40" s="1206">
        <f>L40*J40</f>
        <v>6516475</v>
      </c>
      <c r="N40" s="1130"/>
      <c r="O40" s="1130"/>
      <c r="P40" s="1130"/>
      <c r="Q40" s="1130"/>
      <c r="R40" s="1130"/>
      <c r="S40" s="1130"/>
      <c r="T40" s="1130"/>
      <c r="U40" s="1130"/>
      <c r="V40" s="1130"/>
      <c r="W40" s="1130"/>
      <c r="X40" s="1130"/>
      <c r="Y40" s="1130"/>
      <c r="Z40" s="1130"/>
    </row>
    <row r="41" spans="1:26" ht="15.75" customHeight="1">
      <c r="A41" s="1133"/>
      <c r="B41" s="1135"/>
      <c r="C41" s="1135"/>
      <c r="D41" s="1135"/>
      <c r="E41" s="1135"/>
      <c r="F41" s="1135"/>
      <c r="G41" s="1135"/>
      <c r="H41" s="1135"/>
      <c r="I41" s="1135"/>
      <c r="J41" s="1135"/>
      <c r="K41" s="1204"/>
      <c r="L41" s="1206"/>
      <c r="M41" s="1206"/>
      <c r="N41" s="1130"/>
      <c r="O41" s="1130"/>
      <c r="P41" s="1130"/>
      <c r="Q41" s="1130"/>
      <c r="R41" s="1130"/>
      <c r="S41" s="1130"/>
      <c r="T41" s="1130"/>
      <c r="U41" s="1130"/>
      <c r="V41" s="1130"/>
      <c r="W41" s="1130"/>
      <c r="X41" s="1130"/>
      <c r="Y41" s="1130"/>
      <c r="Z41" s="1130"/>
    </row>
    <row r="42" spans="1:26" ht="15.75" customHeight="1">
      <c r="A42" s="1187">
        <v>6</v>
      </c>
      <c r="B42" s="1189" t="s">
        <v>2487</v>
      </c>
      <c r="C42" s="1190" t="s">
        <v>338</v>
      </c>
      <c r="D42" s="1190"/>
      <c r="E42" s="1190"/>
      <c r="F42" s="1190"/>
      <c r="G42" s="1190"/>
      <c r="H42" s="1190"/>
      <c r="I42" s="1190"/>
      <c r="J42" s="1190"/>
      <c r="K42" s="1203"/>
      <c r="L42" s="1206"/>
      <c r="M42" s="1206"/>
      <c r="N42" s="1130"/>
      <c r="O42" s="1130"/>
      <c r="P42" s="1130"/>
      <c r="Q42" s="1130"/>
      <c r="R42" s="1130"/>
      <c r="S42" s="1130"/>
      <c r="T42" s="1130"/>
      <c r="U42" s="1130"/>
      <c r="V42" s="1130"/>
      <c r="W42" s="1130"/>
      <c r="X42" s="1130"/>
      <c r="Y42" s="1130"/>
      <c r="Z42" s="1130"/>
    </row>
    <row r="43" spans="1:26" ht="15.75" customHeight="1">
      <c r="A43" s="1133"/>
      <c r="B43" s="1152" t="s">
        <v>1423</v>
      </c>
      <c r="C43" s="1135"/>
      <c r="D43" s="1135">
        <v>4</v>
      </c>
      <c r="E43" s="1135">
        <f>(2*7.8+2*5.53)/4</f>
        <v>6.665</v>
      </c>
      <c r="F43" s="1135"/>
      <c r="G43" s="1135"/>
      <c r="H43" s="1135">
        <v>12.2</v>
      </c>
      <c r="I43" s="1135"/>
      <c r="J43" s="1135">
        <f>D43*E43*H43</f>
        <v>325.25200000000001</v>
      </c>
      <c r="K43" s="1204"/>
      <c r="L43" s="1206"/>
      <c r="M43" s="1206"/>
      <c r="N43" s="1130"/>
      <c r="O43" s="1130"/>
      <c r="P43" s="1130"/>
      <c r="Q43" s="1130"/>
      <c r="R43" s="1130"/>
      <c r="S43" s="1130"/>
      <c r="T43" s="1130"/>
      <c r="U43" s="1130"/>
      <c r="V43" s="1130"/>
      <c r="W43" s="1130"/>
      <c r="X43" s="1130"/>
      <c r="Y43" s="1130"/>
      <c r="Z43" s="1130"/>
    </row>
    <row r="44" spans="1:26" ht="15.75" customHeight="1">
      <c r="A44" s="1133"/>
      <c r="B44" s="1153" t="s">
        <v>1424</v>
      </c>
      <c r="C44" s="1135"/>
      <c r="D44" s="1135"/>
      <c r="E44" s="1135"/>
      <c r="F44" s="1135"/>
      <c r="G44" s="1135"/>
      <c r="H44" s="1135"/>
      <c r="I44" s="1135"/>
      <c r="J44" s="1135"/>
      <c r="K44" s="1204"/>
      <c r="L44" s="1206"/>
      <c r="M44" s="1206"/>
      <c r="N44" s="1130"/>
      <c r="O44" s="1130"/>
      <c r="P44" s="1130"/>
      <c r="Q44" s="1130"/>
      <c r="R44" s="1130"/>
      <c r="S44" s="1130"/>
      <c r="T44" s="1130"/>
      <c r="U44" s="1130"/>
      <c r="V44" s="1130"/>
      <c r="W44" s="1130"/>
      <c r="X44" s="1130"/>
      <c r="Y44" s="1130"/>
      <c r="Z44" s="1130"/>
    </row>
    <row r="45" spans="1:26" ht="15.75" customHeight="1">
      <c r="A45" s="1133"/>
      <c r="B45" s="1154" t="s">
        <v>1425</v>
      </c>
      <c r="C45" s="1135"/>
      <c r="D45" s="1135">
        <v>1</v>
      </c>
      <c r="E45" s="1135">
        <v>16.3</v>
      </c>
      <c r="F45" s="1135"/>
      <c r="G45" s="1135"/>
      <c r="H45" s="1135">
        <v>10.55</v>
      </c>
      <c r="I45" s="1135"/>
      <c r="J45" s="1135">
        <f>D45*E45*H45</f>
        <v>171.96500000000003</v>
      </c>
      <c r="K45" s="1204"/>
      <c r="L45" s="1206"/>
      <c r="M45" s="1206"/>
      <c r="N45" s="1130"/>
      <c r="O45" s="1130"/>
      <c r="P45" s="1130"/>
      <c r="Q45" s="1130"/>
      <c r="R45" s="1130"/>
      <c r="S45" s="1130"/>
      <c r="T45" s="1130"/>
      <c r="U45" s="1130"/>
      <c r="V45" s="1130"/>
      <c r="W45" s="1130"/>
      <c r="X45" s="1130"/>
      <c r="Y45" s="1130"/>
      <c r="Z45" s="1130"/>
    </row>
    <row r="46" spans="1:26" ht="15.75" customHeight="1">
      <c r="A46" s="1133"/>
      <c r="B46" s="1154" t="s">
        <v>1426</v>
      </c>
      <c r="C46" s="1135"/>
      <c r="D46" s="1135">
        <v>1</v>
      </c>
      <c r="E46" s="1135">
        <v>153.35</v>
      </c>
      <c r="F46" s="1135"/>
      <c r="G46" s="1135"/>
      <c r="H46" s="1135">
        <v>5.2</v>
      </c>
      <c r="I46" s="1135"/>
      <c r="J46" s="1135">
        <f>D46*E46*H46</f>
        <v>797.42</v>
      </c>
      <c r="K46" s="1204"/>
      <c r="L46" s="1206"/>
      <c r="M46" s="1206"/>
      <c r="N46" s="1130"/>
      <c r="O46" s="1130"/>
      <c r="P46" s="1130"/>
      <c r="Q46" s="1130"/>
      <c r="R46" s="1130"/>
      <c r="S46" s="1130"/>
      <c r="T46" s="1130"/>
      <c r="U46" s="1130"/>
      <c r="V46" s="1130"/>
      <c r="W46" s="1130"/>
      <c r="X46" s="1130"/>
      <c r="Y46" s="1130"/>
      <c r="Z46" s="1130"/>
    </row>
    <row r="47" spans="1:26" ht="15.75" customHeight="1">
      <c r="A47" s="1133"/>
      <c r="B47" s="1154"/>
      <c r="C47" s="1135"/>
      <c r="D47" s="1135"/>
      <c r="E47" s="1135"/>
      <c r="F47" s="1135"/>
      <c r="G47" s="1135"/>
      <c r="H47" s="1135"/>
      <c r="I47" s="1135"/>
      <c r="J47" s="1135"/>
      <c r="K47" s="1204"/>
      <c r="L47" s="1206"/>
      <c r="M47" s="1206"/>
      <c r="N47" s="1130"/>
      <c r="O47" s="1130"/>
      <c r="P47" s="1130"/>
      <c r="Q47" s="1130"/>
      <c r="R47" s="1130"/>
      <c r="S47" s="1130"/>
      <c r="T47" s="1130"/>
      <c r="U47" s="1130"/>
      <c r="V47" s="1130"/>
      <c r="W47" s="1130"/>
      <c r="X47" s="1130"/>
      <c r="Y47" s="1130"/>
      <c r="Z47" s="1130"/>
    </row>
    <row r="48" spans="1:26" ht="15.75" customHeight="1">
      <c r="A48" s="1133"/>
      <c r="B48" s="1135"/>
      <c r="C48" s="1135"/>
      <c r="D48" s="1135"/>
      <c r="E48" s="1135"/>
      <c r="F48" s="1135"/>
      <c r="G48" s="1135"/>
      <c r="H48" s="1135"/>
      <c r="I48" s="1149" t="s">
        <v>439</v>
      </c>
      <c r="J48" s="1149">
        <f>SUM(J43:J46)</f>
        <v>1294.6369999999999</v>
      </c>
      <c r="K48" s="1204"/>
      <c r="L48" s="1206">
        <v>17500</v>
      </c>
      <c r="M48" s="1206">
        <f>L48*J48</f>
        <v>22656147.5</v>
      </c>
      <c r="N48" s="1130"/>
      <c r="O48" s="1130"/>
      <c r="P48" s="1130"/>
      <c r="Q48" s="1130"/>
      <c r="R48" s="1130"/>
      <c r="S48" s="1130"/>
      <c r="T48" s="1130"/>
      <c r="U48" s="1130"/>
      <c r="V48" s="1130"/>
      <c r="W48" s="1130"/>
      <c r="X48" s="1130"/>
      <c r="Y48" s="1130"/>
      <c r="Z48" s="1130"/>
    </row>
    <row r="49" spans="1:26" ht="15.75" customHeight="1">
      <c r="A49" s="1133"/>
      <c r="B49" s="1135"/>
      <c r="C49" s="1135"/>
      <c r="D49" s="1135"/>
      <c r="E49" s="1135"/>
      <c r="F49" s="1135"/>
      <c r="G49" s="1135"/>
      <c r="H49" s="1135"/>
      <c r="I49" s="1135"/>
      <c r="J49" s="1135"/>
      <c r="K49" s="1204"/>
      <c r="L49" s="1206"/>
      <c r="M49" s="1206"/>
      <c r="N49" s="1130"/>
      <c r="O49" s="1130"/>
      <c r="P49" s="1130"/>
      <c r="Q49" s="1130"/>
      <c r="R49" s="1130"/>
      <c r="S49" s="1130"/>
      <c r="T49" s="1130"/>
      <c r="U49" s="1130"/>
      <c r="V49" s="1130"/>
      <c r="W49" s="1130"/>
      <c r="X49" s="1130"/>
      <c r="Y49" s="1130"/>
      <c r="Z49" s="1130"/>
    </row>
    <row r="50" spans="1:26" ht="15.75" customHeight="1">
      <c r="A50" s="1187">
        <v>7</v>
      </c>
      <c r="B50" s="1497" t="s">
        <v>1427</v>
      </c>
      <c r="C50" s="1190" t="s">
        <v>306</v>
      </c>
      <c r="D50" s="1190">
        <v>3</v>
      </c>
      <c r="E50" s="1190"/>
      <c r="F50" s="1190"/>
      <c r="G50" s="1190">
        <v>4.5</v>
      </c>
      <c r="H50" s="1190">
        <v>2.67</v>
      </c>
      <c r="I50" s="1190"/>
      <c r="J50" s="1190">
        <f>D50*G50*H50</f>
        <v>36.045000000000002</v>
      </c>
      <c r="K50" s="1203"/>
      <c r="L50" s="1206"/>
      <c r="M50" s="1206"/>
      <c r="N50" s="1130"/>
      <c r="O50" s="1130"/>
      <c r="P50" s="1130"/>
      <c r="Q50" s="1130"/>
      <c r="R50" s="1130"/>
      <c r="S50" s="1130"/>
      <c r="T50" s="1130"/>
      <c r="U50" s="1130"/>
      <c r="V50" s="1130"/>
      <c r="W50" s="1130"/>
      <c r="X50" s="1130"/>
      <c r="Y50" s="1130"/>
      <c r="Z50" s="1130"/>
    </row>
    <row r="51" spans="1:26" ht="15.75" customHeight="1">
      <c r="A51" s="1133"/>
      <c r="B51" s="1135"/>
      <c r="C51" s="1135"/>
      <c r="D51" s="1135"/>
      <c r="E51" s="1135"/>
      <c r="F51" s="1135"/>
      <c r="G51" s="1135"/>
      <c r="H51" s="1135"/>
      <c r="I51" s="1149" t="s">
        <v>439</v>
      </c>
      <c r="J51" s="1149">
        <f>J50</f>
        <v>36.045000000000002</v>
      </c>
      <c r="K51" s="1204"/>
      <c r="L51" s="1206">
        <v>9500</v>
      </c>
      <c r="M51" s="1206">
        <f>L51*J51</f>
        <v>342427.5</v>
      </c>
      <c r="N51" s="1130"/>
      <c r="O51" s="1130"/>
      <c r="P51" s="1130"/>
      <c r="Q51" s="1130"/>
      <c r="R51" s="1130"/>
      <c r="S51" s="1130"/>
      <c r="T51" s="1130"/>
      <c r="U51" s="1130"/>
      <c r="V51" s="1130"/>
      <c r="W51" s="1130"/>
      <c r="X51" s="1130"/>
      <c r="Y51" s="1130"/>
      <c r="Z51" s="1130"/>
    </row>
    <row r="52" spans="1:26" ht="15.75" customHeight="1">
      <c r="A52" s="1133"/>
      <c r="B52" s="1135"/>
      <c r="C52" s="1135"/>
      <c r="D52" s="1135"/>
      <c r="E52" s="1135"/>
      <c r="F52" s="1135"/>
      <c r="G52" s="1135"/>
      <c r="H52" s="1135"/>
      <c r="I52" s="1135"/>
      <c r="J52" s="1135"/>
      <c r="K52" s="1204"/>
      <c r="L52" s="1206"/>
      <c r="M52" s="1206"/>
      <c r="N52" s="1130"/>
      <c r="O52" s="1130"/>
      <c r="P52" s="1130"/>
      <c r="Q52" s="1130"/>
      <c r="R52" s="1130"/>
      <c r="S52" s="1130"/>
      <c r="T52" s="1130"/>
      <c r="U52" s="1130"/>
      <c r="V52" s="1130"/>
      <c r="W52" s="1130"/>
      <c r="X52" s="1130"/>
      <c r="Y52" s="1130"/>
      <c r="Z52" s="1130"/>
    </row>
    <row r="53" spans="1:26" ht="15.75" customHeight="1">
      <c r="A53" s="1187">
        <v>8</v>
      </c>
      <c r="B53" s="1189" t="s">
        <v>309</v>
      </c>
      <c r="C53" s="1190" t="s">
        <v>85</v>
      </c>
      <c r="D53" s="1190"/>
      <c r="E53" s="1190"/>
      <c r="F53" s="1190"/>
      <c r="G53" s="1190"/>
      <c r="H53" s="1190"/>
      <c r="I53" s="1190"/>
      <c r="J53" s="1190"/>
      <c r="K53" s="1203"/>
      <c r="L53" s="1206"/>
      <c r="M53" s="1206"/>
      <c r="N53" s="1130"/>
      <c r="O53" s="1130"/>
      <c r="P53" s="1130"/>
      <c r="Q53" s="1130"/>
      <c r="R53" s="1130"/>
      <c r="S53" s="1130"/>
      <c r="T53" s="1130"/>
      <c r="U53" s="1130"/>
      <c r="V53" s="1130"/>
      <c r="W53" s="1130"/>
      <c r="X53" s="1130"/>
      <c r="Y53" s="1130"/>
      <c r="Z53" s="1130"/>
    </row>
    <row r="54" spans="1:26" s="1375" customFormat="1" ht="15.75" customHeight="1">
      <c r="A54" s="1460"/>
      <c r="B54" s="1459" t="s">
        <v>2486</v>
      </c>
      <c r="C54" s="1459"/>
      <c r="D54" s="1459"/>
      <c r="E54" s="1459"/>
      <c r="F54" s="1459"/>
      <c r="G54" s="1459"/>
      <c r="H54" s="1459"/>
      <c r="I54" s="1459"/>
      <c r="J54" s="1459"/>
      <c r="K54" s="1458"/>
      <c r="L54" s="1372"/>
      <c r="M54" s="1372"/>
      <c r="N54" s="1374"/>
      <c r="O54" s="1374"/>
      <c r="P54" s="1374"/>
      <c r="Q54" s="1374"/>
      <c r="R54" s="1374"/>
      <c r="S54" s="1374"/>
      <c r="T54" s="1374"/>
      <c r="U54" s="1374"/>
      <c r="V54" s="1374"/>
      <c r="W54" s="1374"/>
      <c r="X54" s="1374"/>
      <c r="Y54" s="1374"/>
      <c r="Z54" s="1374"/>
    </row>
    <row r="55" spans="1:26" ht="15.75" customHeight="1">
      <c r="A55" s="1133"/>
      <c r="B55" s="1135" t="s">
        <v>2485</v>
      </c>
      <c r="C55" s="1135"/>
      <c r="D55" s="1135">
        <v>1</v>
      </c>
      <c r="E55" s="1135">
        <v>153.35</v>
      </c>
      <c r="F55" s="1135"/>
      <c r="G55" s="1135">
        <v>3</v>
      </c>
      <c r="H55" s="1135"/>
      <c r="I55" s="1135"/>
      <c r="J55" s="1135">
        <f>D55*E55*G55</f>
        <v>460.04999999999995</v>
      </c>
      <c r="K55" s="1204" t="s">
        <v>2484</v>
      </c>
      <c r="L55" s="1206"/>
      <c r="M55" s="1206"/>
      <c r="N55" s="1130"/>
      <c r="O55" s="1130"/>
      <c r="P55" s="1130"/>
      <c r="Q55" s="1130"/>
      <c r="R55" s="1130"/>
      <c r="S55" s="1130"/>
      <c r="T55" s="1130"/>
      <c r="U55" s="1130"/>
      <c r="V55" s="1130"/>
      <c r="W55" s="1130"/>
      <c r="X55" s="1130"/>
      <c r="Y55" s="1130"/>
      <c r="Z55" s="1130"/>
    </row>
    <row r="56" spans="1:26" ht="15.75" customHeight="1">
      <c r="A56" s="1133"/>
      <c r="B56" s="1135" t="s">
        <v>2483</v>
      </c>
      <c r="C56" s="1135"/>
      <c r="D56" s="1135">
        <v>2</v>
      </c>
      <c r="E56" s="1135">
        <v>26.65</v>
      </c>
      <c r="F56" s="1135"/>
      <c r="G56" s="1135">
        <v>4</v>
      </c>
      <c r="H56" s="1135"/>
      <c r="I56" s="1135"/>
      <c r="J56" s="1135">
        <f>D56*E56*G56</f>
        <v>213.2</v>
      </c>
      <c r="K56" s="1204"/>
      <c r="L56" s="1206"/>
      <c r="M56" s="1206"/>
      <c r="N56" s="1130"/>
      <c r="O56" s="1130"/>
      <c r="P56" s="1130"/>
      <c r="Q56" s="1130"/>
      <c r="R56" s="1130"/>
      <c r="S56" s="1130"/>
      <c r="T56" s="1130"/>
      <c r="U56" s="1130"/>
      <c r="V56" s="1130"/>
      <c r="W56" s="1130"/>
      <c r="X56" s="1130"/>
      <c r="Y56" s="1130"/>
      <c r="Z56" s="1130"/>
    </row>
    <row r="57" spans="1:26" ht="15.75" customHeight="1">
      <c r="A57" s="1133"/>
      <c r="B57" s="1135" t="s">
        <v>2482</v>
      </c>
      <c r="C57" s="1135"/>
      <c r="D57" s="1135">
        <v>8</v>
      </c>
      <c r="E57" s="1135"/>
      <c r="F57" s="1135"/>
      <c r="G57" s="1135">
        <v>12.2</v>
      </c>
      <c r="H57" s="1135"/>
      <c r="I57" s="1135"/>
      <c r="J57" s="1135">
        <f>G57*D57</f>
        <v>97.6</v>
      </c>
      <c r="K57" s="1204"/>
      <c r="L57" s="1206"/>
      <c r="M57" s="1206"/>
      <c r="N57" s="1130"/>
      <c r="O57" s="1130"/>
      <c r="P57" s="1130"/>
      <c r="Q57" s="1130"/>
      <c r="R57" s="1130"/>
      <c r="S57" s="1130"/>
      <c r="T57" s="1130"/>
      <c r="U57" s="1130"/>
      <c r="V57" s="1130"/>
      <c r="W57" s="1130"/>
      <c r="X57" s="1130"/>
      <c r="Y57" s="1130"/>
      <c r="Z57" s="1130"/>
    </row>
    <row r="58" spans="1:26" ht="15.75" customHeight="1">
      <c r="A58" s="1133"/>
      <c r="B58" s="1135"/>
      <c r="C58" s="1135"/>
      <c r="D58" s="1135"/>
      <c r="E58" s="1135"/>
      <c r="F58" s="1135"/>
      <c r="G58" s="1135"/>
      <c r="H58" s="1135"/>
      <c r="I58" s="1149" t="s">
        <v>439</v>
      </c>
      <c r="J58" s="1149">
        <f>SUM(J55:J57)</f>
        <v>770.85</v>
      </c>
      <c r="K58" s="1204"/>
      <c r="L58" s="1206">
        <v>1285</v>
      </c>
      <c r="M58" s="1206">
        <f>L58*J58</f>
        <v>990542.25</v>
      </c>
      <c r="N58" s="1130"/>
      <c r="O58" s="1130"/>
      <c r="P58" s="1130"/>
      <c r="Q58" s="1130"/>
      <c r="R58" s="1130"/>
      <c r="S58" s="1130"/>
      <c r="T58" s="1130"/>
      <c r="U58" s="1130"/>
      <c r="V58" s="1130"/>
      <c r="W58" s="1130"/>
      <c r="X58" s="1130"/>
      <c r="Y58" s="1130"/>
      <c r="Z58" s="1130"/>
    </row>
    <row r="59" spans="1:26" ht="15.75" customHeight="1">
      <c r="A59" s="1133"/>
      <c r="B59" s="1135"/>
      <c r="C59" s="1135"/>
      <c r="D59" s="1135"/>
      <c r="E59" s="1135"/>
      <c r="F59" s="1135"/>
      <c r="G59" s="1135"/>
      <c r="H59" s="1135"/>
      <c r="I59" s="1135"/>
      <c r="J59" s="1135"/>
      <c r="K59" s="1204"/>
      <c r="L59" s="1206"/>
      <c r="M59" s="1206"/>
      <c r="N59" s="1130"/>
      <c r="O59" s="1130"/>
      <c r="P59" s="1130"/>
      <c r="Q59" s="1130"/>
      <c r="R59" s="1130"/>
      <c r="S59" s="1130"/>
      <c r="T59" s="1130"/>
      <c r="U59" s="1130"/>
      <c r="V59" s="1130"/>
      <c r="W59" s="1130"/>
      <c r="X59" s="1130"/>
      <c r="Y59" s="1130"/>
      <c r="Z59" s="1130"/>
    </row>
    <row r="60" spans="1:26" ht="15.75" customHeight="1">
      <c r="A60" s="1187">
        <v>9</v>
      </c>
      <c r="B60" s="1189" t="s">
        <v>24</v>
      </c>
      <c r="C60" s="1190" t="s">
        <v>25</v>
      </c>
      <c r="D60" s="1190"/>
      <c r="E60" s="1190"/>
      <c r="F60" s="1190" t="s">
        <v>1493</v>
      </c>
      <c r="G60" s="1190"/>
      <c r="H60" s="1190"/>
      <c r="I60" s="1190"/>
      <c r="J60" s="1190">
        <f>(1%*J48*7850)/1000</f>
        <v>101.62900449999999</v>
      </c>
      <c r="K60" s="1203"/>
      <c r="L60" s="1206"/>
      <c r="M60" s="1206"/>
      <c r="N60" s="1130"/>
      <c r="O60" s="1130"/>
      <c r="P60" s="1130"/>
      <c r="Q60" s="1130"/>
      <c r="R60" s="1130"/>
      <c r="S60" s="1130"/>
      <c r="T60" s="1130"/>
      <c r="U60" s="1130"/>
      <c r="V60" s="1130"/>
      <c r="W60" s="1130"/>
      <c r="X60" s="1130"/>
      <c r="Y60" s="1130"/>
      <c r="Z60" s="1130"/>
    </row>
    <row r="61" spans="1:26" ht="15.75" customHeight="1">
      <c r="A61" s="1133"/>
      <c r="B61" s="1135"/>
      <c r="C61" s="1135"/>
      <c r="D61" s="1135"/>
      <c r="E61" s="1135"/>
      <c r="F61" s="1135"/>
      <c r="G61" s="1135"/>
      <c r="H61" s="1135"/>
      <c r="I61" s="1149" t="s">
        <v>439</v>
      </c>
      <c r="J61" s="1149">
        <f>J60</f>
        <v>101.62900449999999</v>
      </c>
      <c r="K61" s="1204"/>
      <c r="L61" s="1206">
        <v>130000</v>
      </c>
      <c r="M61" s="1206">
        <f>L61*J61</f>
        <v>13211770.584999999</v>
      </c>
      <c r="N61" s="1130"/>
      <c r="O61" s="1130"/>
      <c r="P61" s="1130"/>
      <c r="Q61" s="1130"/>
      <c r="R61" s="1130"/>
      <c r="S61" s="1130"/>
      <c r="T61" s="1130"/>
      <c r="U61" s="1130"/>
      <c r="V61" s="1130"/>
      <c r="W61" s="1130"/>
      <c r="X61" s="1130"/>
      <c r="Y61" s="1130"/>
      <c r="Z61" s="1130"/>
    </row>
    <row r="62" spans="1:26" ht="15.75" customHeight="1">
      <c r="A62" s="1133"/>
      <c r="B62" s="1135"/>
      <c r="C62" s="1135"/>
      <c r="D62" s="1135"/>
      <c r="E62" s="1135"/>
      <c r="F62" s="1135"/>
      <c r="G62" s="1135"/>
      <c r="H62" s="1135"/>
      <c r="I62" s="1130"/>
      <c r="J62" s="1130"/>
      <c r="K62" s="1204"/>
      <c r="L62" s="1206"/>
      <c r="M62" s="1206"/>
      <c r="N62" s="1130"/>
      <c r="O62" s="1130"/>
      <c r="P62" s="1130"/>
      <c r="Q62" s="1130"/>
      <c r="R62" s="1130"/>
      <c r="S62" s="1130"/>
      <c r="T62" s="1130"/>
      <c r="U62" s="1130"/>
      <c r="V62" s="1130"/>
      <c r="W62" s="1130"/>
      <c r="X62" s="1130"/>
      <c r="Y62" s="1130"/>
      <c r="Z62" s="1130"/>
    </row>
    <row r="63" spans="1:26" ht="15.75" customHeight="1">
      <c r="A63" s="1187">
        <v>10</v>
      </c>
      <c r="B63" s="1189" t="s">
        <v>1428</v>
      </c>
      <c r="C63" s="1190" t="s">
        <v>117</v>
      </c>
      <c r="D63" s="1190"/>
      <c r="E63" s="1190"/>
      <c r="F63" s="1190"/>
      <c r="G63" s="1190"/>
      <c r="H63" s="1190"/>
      <c r="I63" s="1190"/>
      <c r="J63" s="1190" t="s">
        <v>1429</v>
      </c>
      <c r="K63" s="1203"/>
      <c r="L63" s="1206"/>
      <c r="M63" s="1206"/>
      <c r="N63" s="1130"/>
      <c r="O63" s="1130"/>
      <c r="P63" s="1130"/>
      <c r="Q63" s="1130"/>
      <c r="R63" s="1130"/>
      <c r="S63" s="1130"/>
      <c r="T63" s="1130"/>
      <c r="U63" s="1130"/>
      <c r="V63" s="1130"/>
      <c r="W63" s="1130"/>
      <c r="X63" s="1130"/>
      <c r="Y63" s="1130"/>
      <c r="Z63" s="1130"/>
    </row>
    <row r="64" spans="1:26" ht="15.75" customHeight="1">
      <c r="A64" s="1133"/>
      <c r="B64" s="1136" t="s">
        <v>2481</v>
      </c>
      <c r="C64" s="1135"/>
      <c r="D64" s="1135">
        <v>1</v>
      </c>
      <c r="E64" s="1137">
        <v>70</v>
      </c>
      <c r="F64" s="1135"/>
      <c r="G64" s="1135"/>
      <c r="H64" s="1135"/>
      <c r="I64" s="1135"/>
      <c r="J64" s="1135">
        <f>D64*E64</f>
        <v>70</v>
      </c>
      <c r="K64" s="1204"/>
      <c r="L64" s="1206"/>
      <c r="M64" s="1206"/>
      <c r="N64" s="1130"/>
      <c r="O64" s="1130"/>
      <c r="P64" s="1130"/>
      <c r="Q64" s="1130"/>
      <c r="R64" s="1130"/>
      <c r="S64" s="1130"/>
      <c r="T64" s="1130"/>
      <c r="U64" s="1130"/>
      <c r="V64" s="1130"/>
      <c r="W64" s="1130"/>
      <c r="X64" s="1130"/>
      <c r="Y64" s="1130"/>
      <c r="Z64" s="1130"/>
    </row>
    <row r="65" spans="1:26" ht="15.75" customHeight="1">
      <c r="A65" s="1133"/>
      <c r="B65" s="1139" t="s">
        <v>2480</v>
      </c>
      <c r="C65" s="1135"/>
      <c r="D65" s="1135">
        <v>1</v>
      </c>
      <c r="E65" s="1141">
        <v>120</v>
      </c>
      <c r="F65" s="1135"/>
      <c r="G65" s="1135"/>
      <c r="H65" s="1135"/>
      <c r="I65" s="1135"/>
      <c r="J65" s="1135">
        <f>D65*E65</f>
        <v>120</v>
      </c>
      <c r="K65" s="1204"/>
      <c r="L65" s="1206"/>
      <c r="M65" s="1206"/>
      <c r="N65" s="1130"/>
      <c r="O65" s="1130"/>
      <c r="P65" s="1130"/>
      <c r="Q65" s="1130"/>
      <c r="R65" s="1130"/>
      <c r="S65" s="1130"/>
      <c r="T65" s="1130"/>
      <c r="U65" s="1130"/>
      <c r="V65" s="1130"/>
      <c r="W65" s="1130"/>
      <c r="X65" s="1130"/>
      <c r="Y65" s="1130"/>
      <c r="Z65" s="1130"/>
    </row>
    <row r="66" spans="1:26" ht="15.75" customHeight="1">
      <c r="A66" s="1133"/>
      <c r="B66" s="1139" t="s">
        <v>2479</v>
      </c>
      <c r="C66" s="1135"/>
      <c r="D66" s="1135">
        <v>1</v>
      </c>
      <c r="E66" s="1139">
        <v>90</v>
      </c>
      <c r="F66" s="1135"/>
      <c r="G66" s="1135"/>
      <c r="H66" s="1135"/>
      <c r="I66" s="1135"/>
      <c r="J66" s="1135">
        <f>D66*E66</f>
        <v>90</v>
      </c>
      <c r="K66" s="1204"/>
      <c r="L66" s="1206"/>
      <c r="M66" s="1206"/>
      <c r="N66" s="1130"/>
      <c r="O66" s="1130"/>
      <c r="P66" s="1130"/>
      <c r="Q66" s="1130"/>
      <c r="R66" s="1130"/>
      <c r="S66" s="1130"/>
      <c r="T66" s="1130"/>
      <c r="U66" s="1130"/>
      <c r="V66" s="1130"/>
      <c r="W66" s="1130"/>
      <c r="X66" s="1130"/>
      <c r="Y66" s="1130"/>
      <c r="Z66" s="1130"/>
    </row>
    <row r="67" spans="1:26" ht="15.75" customHeight="1">
      <c r="A67" s="1133"/>
      <c r="B67" s="1457"/>
      <c r="C67" s="1135"/>
      <c r="D67" s="1135"/>
      <c r="E67" s="1145"/>
      <c r="F67" s="1135"/>
      <c r="G67" s="1135"/>
      <c r="H67" s="1135"/>
      <c r="I67" s="1149" t="s">
        <v>439</v>
      </c>
      <c r="J67" s="1149">
        <f>SUM(J64:J66)</f>
        <v>280</v>
      </c>
      <c r="K67" s="1204"/>
      <c r="L67" s="1206">
        <v>5189.5</v>
      </c>
      <c r="M67" s="1206">
        <f>L67*J67</f>
        <v>1453060</v>
      </c>
      <c r="N67" s="1130"/>
      <c r="O67" s="1130"/>
      <c r="P67" s="1130"/>
      <c r="Q67" s="1130"/>
      <c r="R67" s="1130"/>
      <c r="S67" s="1130"/>
      <c r="T67" s="1130"/>
      <c r="U67" s="1130"/>
      <c r="V67" s="1130"/>
      <c r="W67" s="1130"/>
      <c r="X67" s="1130"/>
      <c r="Y67" s="1130"/>
      <c r="Z67" s="1130"/>
    </row>
    <row r="68" spans="1:26" ht="15.75" customHeight="1">
      <c r="A68" s="1133"/>
      <c r="B68" s="1135"/>
      <c r="C68" s="1135"/>
      <c r="D68" s="1135"/>
      <c r="E68" s="1135"/>
      <c r="F68" s="1135"/>
      <c r="G68" s="1135"/>
      <c r="H68" s="1135"/>
      <c r="I68" s="1135"/>
      <c r="J68" s="1135"/>
      <c r="K68" s="1204"/>
      <c r="L68" s="1206"/>
      <c r="M68" s="1206"/>
      <c r="N68" s="1130"/>
      <c r="O68" s="1130"/>
      <c r="P68" s="1130"/>
      <c r="Q68" s="1130"/>
      <c r="R68" s="1130"/>
      <c r="S68" s="1130"/>
      <c r="T68" s="1130"/>
      <c r="U68" s="1130"/>
      <c r="V68" s="1130"/>
      <c r="W68" s="1130"/>
      <c r="X68" s="1130"/>
      <c r="Y68" s="1130"/>
      <c r="Z68" s="1130"/>
    </row>
    <row r="69" spans="1:26" ht="15.75" customHeight="1">
      <c r="A69" s="1187">
        <v>11</v>
      </c>
      <c r="B69" s="1189" t="s">
        <v>1430</v>
      </c>
      <c r="C69" s="1190" t="s">
        <v>306</v>
      </c>
      <c r="D69" s="1190">
        <v>40</v>
      </c>
      <c r="E69" s="1190">
        <v>3</v>
      </c>
      <c r="F69" s="1190"/>
      <c r="G69" s="1190"/>
      <c r="H69" s="1190">
        <v>0.75</v>
      </c>
      <c r="I69" s="1190"/>
      <c r="J69" s="1190">
        <f>D69*E69*H69</f>
        <v>90</v>
      </c>
      <c r="K69" s="1203"/>
      <c r="L69" s="1206"/>
      <c r="M69" s="1206"/>
      <c r="N69" s="1130"/>
      <c r="O69" s="1130"/>
      <c r="P69" s="1130"/>
      <c r="Q69" s="1130"/>
      <c r="R69" s="1130"/>
      <c r="S69" s="1130"/>
      <c r="T69" s="1130"/>
      <c r="U69" s="1130"/>
      <c r="V69" s="1130"/>
      <c r="W69" s="1130"/>
      <c r="X69" s="1130"/>
      <c r="Y69" s="1130"/>
      <c r="Z69" s="1130"/>
    </row>
    <row r="70" spans="1:26" ht="15.75" customHeight="1">
      <c r="A70" s="1133"/>
      <c r="B70" s="1135"/>
      <c r="C70" s="1135"/>
      <c r="D70" s="1135"/>
      <c r="E70" s="1135"/>
      <c r="F70" s="1135"/>
      <c r="G70" s="1135"/>
      <c r="H70" s="1135"/>
      <c r="I70" s="1149" t="s">
        <v>1431</v>
      </c>
      <c r="J70" s="1149">
        <f>SUM(J69)</f>
        <v>90</v>
      </c>
      <c r="K70" s="1204"/>
      <c r="L70" s="1206"/>
      <c r="M70" s="1206"/>
      <c r="N70" s="1130"/>
      <c r="O70" s="1130"/>
      <c r="P70" s="1130"/>
      <c r="Q70" s="1130"/>
      <c r="R70" s="1130"/>
      <c r="S70" s="1130"/>
      <c r="T70" s="1130"/>
      <c r="U70" s="1130"/>
      <c r="V70" s="1130"/>
      <c r="W70" s="1130"/>
      <c r="X70" s="1130"/>
      <c r="Y70" s="1130"/>
      <c r="Z70" s="1130"/>
    </row>
    <row r="71" spans="1:26" ht="15.75" customHeight="1">
      <c r="A71" s="1133"/>
      <c r="B71" s="1135"/>
      <c r="C71" s="1135"/>
      <c r="D71" s="1135"/>
      <c r="E71" s="1135"/>
      <c r="F71" s="1135"/>
      <c r="G71" s="1135"/>
      <c r="H71" s="1135"/>
      <c r="I71" s="1135"/>
      <c r="J71" s="1135"/>
      <c r="K71" s="1204"/>
      <c r="L71" s="1206"/>
      <c r="M71" s="1206"/>
      <c r="N71" s="1130"/>
      <c r="O71" s="1130"/>
      <c r="P71" s="1130"/>
      <c r="Q71" s="1130"/>
      <c r="R71" s="1130"/>
      <c r="S71" s="1130"/>
      <c r="T71" s="1130"/>
      <c r="U71" s="1130"/>
      <c r="V71" s="1130"/>
      <c r="W71" s="1130"/>
      <c r="X71" s="1130"/>
      <c r="Y71" s="1130"/>
      <c r="Z71" s="1130"/>
    </row>
    <row r="72" spans="1:26" ht="26.4">
      <c r="A72" s="1187">
        <v>12</v>
      </c>
      <c r="B72" s="1195" t="s">
        <v>1432</v>
      </c>
      <c r="C72" s="1190" t="s">
        <v>306</v>
      </c>
      <c r="D72" s="1190">
        <v>2</v>
      </c>
      <c r="E72" s="1190">
        <v>1</v>
      </c>
      <c r="F72" s="1190">
        <v>4</v>
      </c>
      <c r="G72" s="1190">
        <v>14.209</v>
      </c>
      <c r="H72" s="1190"/>
      <c r="I72" s="1190"/>
      <c r="J72" s="1190">
        <f>D72*E72*F72*G72</f>
        <v>113.672</v>
      </c>
      <c r="K72" s="1203"/>
      <c r="L72" s="1206"/>
      <c r="M72" s="1206"/>
      <c r="N72" s="1130"/>
      <c r="O72" s="1130"/>
      <c r="P72" s="1130"/>
      <c r="Q72" s="1130"/>
      <c r="R72" s="1130"/>
      <c r="S72" s="1130"/>
      <c r="T72" s="1130"/>
      <c r="U72" s="1130"/>
      <c r="V72" s="1130"/>
      <c r="W72" s="1130"/>
      <c r="X72" s="1130"/>
      <c r="Y72" s="1130"/>
      <c r="Z72" s="1130"/>
    </row>
    <row r="73" spans="1:26" ht="15.75" customHeight="1">
      <c r="A73" s="1133"/>
      <c r="B73" s="1135"/>
      <c r="C73" s="1135"/>
      <c r="D73" s="1135"/>
      <c r="E73" s="1135"/>
      <c r="F73" s="1135"/>
      <c r="G73" s="1135"/>
      <c r="H73" s="1135"/>
      <c r="I73" s="1149" t="s">
        <v>1431</v>
      </c>
      <c r="J73" s="1149">
        <f>J72</f>
        <v>113.672</v>
      </c>
      <c r="K73" s="1204"/>
      <c r="L73" s="1206">
        <v>9500</v>
      </c>
      <c r="M73" s="1206">
        <f>L73*J73</f>
        <v>1079884</v>
      </c>
      <c r="N73" s="1130"/>
      <c r="O73" s="1130"/>
      <c r="P73" s="1130"/>
      <c r="Q73" s="1130"/>
      <c r="R73" s="1130"/>
      <c r="S73" s="1130"/>
      <c r="T73" s="1130"/>
      <c r="U73" s="1130"/>
      <c r="V73" s="1130"/>
      <c r="W73" s="1130"/>
      <c r="X73" s="1130"/>
      <c r="Y73" s="1130"/>
      <c r="Z73" s="1130"/>
    </row>
    <row r="74" spans="1:26" ht="15.75" customHeight="1">
      <c r="A74" s="1133">
        <v>13</v>
      </c>
      <c r="B74" s="1135" t="s">
        <v>3351</v>
      </c>
      <c r="C74" s="1135" t="s">
        <v>306</v>
      </c>
      <c r="D74" s="1135"/>
      <c r="E74" s="1135">
        <v>8</v>
      </c>
      <c r="F74" s="1135">
        <v>14.18</v>
      </c>
      <c r="G74" s="1135">
        <v>1.25</v>
      </c>
      <c r="H74" s="1135"/>
      <c r="I74" s="1149"/>
      <c r="J74" s="1149">
        <f>G74*F74*E74</f>
        <v>141.80000000000001</v>
      </c>
      <c r="K74" s="1204"/>
      <c r="L74" s="2161"/>
      <c r="M74" s="2161"/>
      <c r="N74" s="1130"/>
      <c r="O74" s="1130"/>
      <c r="P74" s="1130"/>
      <c r="Q74" s="1130"/>
      <c r="R74" s="1130"/>
      <c r="S74" s="1130"/>
      <c r="T74" s="1130"/>
      <c r="U74" s="1130"/>
      <c r="V74" s="1130"/>
      <c r="W74" s="1130"/>
      <c r="X74" s="1130"/>
      <c r="Y74" s="1130"/>
      <c r="Z74" s="1130"/>
    </row>
    <row r="75" spans="1:26" ht="15.75" customHeight="1">
      <c r="A75" s="1133"/>
      <c r="B75" s="1135"/>
      <c r="C75" s="1135"/>
      <c r="D75" s="1135"/>
      <c r="E75" s="1135"/>
      <c r="F75" s="1135"/>
      <c r="G75" s="1135"/>
      <c r="H75" s="1135"/>
      <c r="I75" s="1135"/>
      <c r="J75" s="1135"/>
      <c r="K75" s="1204"/>
      <c r="L75" s="1208" t="s">
        <v>20</v>
      </c>
      <c r="M75" s="1208">
        <f>SUM(M11:M73)</f>
        <v>72700493.338319987</v>
      </c>
      <c r="N75" s="1130"/>
      <c r="O75" s="1130"/>
      <c r="P75" s="1130"/>
      <c r="Q75" s="1130"/>
      <c r="R75" s="1130"/>
      <c r="S75" s="1130"/>
      <c r="T75" s="1130"/>
      <c r="U75" s="1130"/>
      <c r="V75" s="1130"/>
      <c r="W75" s="1130"/>
      <c r="X75" s="1130"/>
      <c r="Y75" s="1130"/>
      <c r="Z75" s="1130"/>
    </row>
    <row r="76" spans="1:26" ht="15.75" customHeight="1">
      <c r="A76" s="1129"/>
      <c r="B76" s="1130"/>
      <c r="C76" s="1130"/>
      <c r="D76" s="1130"/>
      <c r="E76" s="1130"/>
      <c r="F76" s="1130"/>
      <c r="G76" s="1130"/>
      <c r="H76" s="1130"/>
      <c r="I76" s="1130"/>
      <c r="J76" s="1130"/>
      <c r="K76" s="1130"/>
      <c r="L76" s="1130"/>
      <c r="M76" s="1130" t="s">
        <v>1481</v>
      </c>
      <c r="N76" s="1130"/>
      <c r="O76" s="1130"/>
      <c r="P76" s="1130"/>
      <c r="Q76" s="1130"/>
      <c r="R76" s="1130"/>
      <c r="S76" s="1130"/>
      <c r="T76" s="1130"/>
      <c r="U76" s="1130"/>
      <c r="V76" s="1130"/>
      <c r="W76" s="1130"/>
      <c r="X76" s="1130"/>
      <c r="Y76" s="1130"/>
      <c r="Z76" s="1130"/>
    </row>
    <row r="77" spans="1:26" ht="15.75" customHeight="1">
      <c r="A77" s="1129"/>
      <c r="B77" s="1130"/>
      <c r="C77" s="1130"/>
      <c r="D77" s="1130"/>
      <c r="E77" s="1130"/>
      <c r="F77" s="1130"/>
      <c r="G77" s="1130"/>
      <c r="H77" s="1130"/>
      <c r="I77" s="1130"/>
      <c r="J77" s="1130"/>
      <c r="K77" s="1130"/>
      <c r="L77" s="1130"/>
      <c r="M77" s="1130"/>
      <c r="N77" s="1130"/>
      <c r="O77" s="1130"/>
      <c r="P77" s="1130"/>
      <c r="Q77" s="1130"/>
      <c r="R77" s="1130"/>
      <c r="S77" s="1130"/>
      <c r="T77" s="1130"/>
      <c r="U77" s="1130"/>
      <c r="V77" s="1130"/>
      <c r="W77" s="1130"/>
      <c r="X77" s="1130"/>
      <c r="Y77" s="1130"/>
      <c r="Z77" s="1130"/>
    </row>
    <row r="78" spans="1:26" ht="15.75" customHeight="1">
      <c r="A78" s="1129"/>
      <c r="B78" s="1130"/>
      <c r="C78" s="1130"/>
      <c r="D78" s="1130"/>
      <c r="E78" s="1130"/>
      <c r="F78" s="1130"/>
      <c r="G78" s="1130"/>
      <c r="H78" s="1130"/>
      <c r="I78" s="1130"/>
      <c r="J78" s="1130"/>
      <c r="K78" s="1130"/>
      <c r="L78" s="1130"/>
      <c r="M78" s="1130"/>
      <c r="N78" s="1130"/>
      <c r="O78" s="1130"/>
      <c r="P78" s="1130"/>
      <c r="Q78" s="1130"/>
      <c r="R78" s="1130"/>
      <c r="S78" s="1130"/>
      <c r="T78" s="1130"/>
      <c r="U78" s="1130"/>
      <c r="V78" s="1130"/>
      <c r="W78" s="1130"/>
      <c r="X78" s="1130"/>
      <c r="Y78" s="1130"/>
      <c r="Z78" s="1130"/>
    </row>
    <row r="79" spans="1:26" ht="15.75" customHeight="1">
      <c r="A79" s="1129"/>
      <c r="B79" s="1130"/>
      <c r="C79" s="1130"/>
      <c r="D79" s="1130"/>
      <c r="E79" s="1130"/>
      <c r="F79" s="1130"/>
      <c r="G79" s="1130"/>
      <c r="H79" s="1130"/>
      <c r="I79" s="1130"/>
      <c r="J79" s="1130"/>
      <c r="K79" s="1130"/>
      <c r="L79" s="1130"/>
      <c r="M79" s="1130"/>
      <c r="N79" s="1130"/>
      <c r="O79" s="1130"/>
      <c r="P79" s="1130"/>
      <c r="Q79" s="1130"/>
      <c r="R79" s="1130"/>
      <c r="S79" s="1130"/>
      <c r="T79" s="1130"/>
      <c r="U79" s="1130"/>
      <c r="V79" s="1130"/>
      <c r="W79" s="1130"/>
      <c r="X79" s="1130"/>
      <c r="Y79" s="1130"/>
      <c r="Z79" s="1130"/>
    </row>
    <row r="80" spans="1:26" ht="15.75" customHeight="1">
      <c r="A80" s="1129"/>
      <c r="B80" s="1130"/>
      <c r="C80" s="1130"/>
      <c r="D80" s="1130"/>
      <c r="E80" s="1130"/>
      <c r="F80" s="1130"/>
      <c r="G80" s="1130"/>
      <c r="H80" s="1130"/>
      <c r="I80" s="1130"/>
      <c r="J80" s="1130"/>
      <c r="K80" s="1130"/>
      <c r="L80" s="1130"/>
      <c r="M80" s="1130"/>
      <c r="N80" s="1130"/>
      <c r="O80" s="1130"/>
      <c r="P80" s="1130"/>
      <c r="Q80" s="1130"/>
      <c r="R80" s="1130"/>
      <c r="S80" s="1130"/>
      <c r="T80" s="1130"/>
      <c r="U80" s="1130"/>
      <c r="V80" s="1130"/>
      <c r="W80" s="1130"/>
      <c r="X80" s="1130"/>
      <c r="Y80" s="1130"/>
      <c r="Z80" s="1130"/>
    </row>
    <row r="81" spans="1:26" ht="15.75" customHeight="1">
      <c r="A81" s="1129"/>
      <c r="B81" s="1130"/>
      <c r="C81" s="1130"/>
      <c r="D81" s="1130"/>
      <c r="E81" s="1130"/>
      <c r="F81" s="1130"/>
      <c r="G81" s="1130"/>
      <c r="H81" s="1130"/>
      <c r="I81" s="1130"/>
      <c r="J81" s="1130"/>
      <c r="K81" s="1130"/>
      <c r="L81" s="1130"/>
      <c r="M81" s="1130"/>
      <c r="N81" s="1130"/>
      <c r="O81" s="1130"/>
      <c r="P81" s="1130"/>
      <c r="Q81" s="1130"/>
      <c r="R81" s="1130"/>
      <c r="S81" s="1130"/>
      <c r="T81" s="1130"/>
      <c r="U81" s="1130"/>
      <c r="V81" s="1130"/>
      <c r="W81" s="1130"/>
      <c r="X81" s="1130"/>
      <c r="Y81" s="1130"/>
      <c r="Z81" s="1130"/>
    </row>
    <row r="82" spans="1:26" ht="15.75" customHeight="1">
      <c r="A82" s="1129"/>
      <c r="B82" s="1130"/>
      <c r="C82" s="1130"/>
      <c r="D82" s="1130"/>
      <c r="E82" s="1130"/>
      <c r="F82" s="1130"/>
      <c r="G82" s="1130"/>
      <c r="H82" s="1130"/>
      <c r="I82" s="1130"/>
      <c r="J82" s="1130"/>
      <c r="K82" s="1130"/>
      <c r="L82" s="1130"/>
      <c r="M82" s="1130"/>
      <c r="N82" s="1130"/>
      <c r="O82" s="1130"/>
      <c r="P82" s="1130"/>
      <c r="Q82" s="1130"/>
      <c r="R82" s="1130"/>
      <c r="S82" s="1130"/>
      <c r="T82" s="1130"/>
      <c r="U82" s="1130"/>
      <c r="V82" s="1130"/>
      <c r="W82" s="1130"/>
      <c r="X82" s="1130"/>
      <c r="Y82" s="1130"/>
      <c r="Z82" s="1130"/>
    </row>
    <row r="83" spans="1:26" ht="15.75" customHeight="1">
      <c r="A83" s="1129"/>
      <c r="B83" s="1130"/>
      <c r="C83" s="1130"/>
      <c r="D83" s="1130"/>
      <c r="E83" s="1130"/>
      <c r="F83" s="1130"/>
      <c r="G83" s="1130"/>
      <c r="H83" s="1130"/>
      <c r="I83" s="1130"/>
      <c r="J83" s="1130"/>
      <c r="K83" s="1130"/>
      <c r="L83" s="1130"/>
      <c r="M83" s="1130"/>
      <c r="N83" s="1130"/>
      <c r="O83" s="1130"/>
      <c r="P83" s="1130"/>
      <c r="Q83" s="1130"/>
      <c r="R83" s="1130"/>
      <c r="S83" s="1130"/>
      <c r="T83" s="1130"/>
      <c r="U83" s="1130"/>
      <c r="V83" s="1130"/>
      <c r="W83" s="1130"/>
      <c r="X83" s="1130"/>
      <c r="Y83" s="1130"/>
      <c r="Z83" s="1130"/>
    </row>
    <row r="84" spans="1:26" ht="15.75" customHeight="1">
      <c r="A84" s="1129"/>
      <c r="B84" s="1130"/>
      <c r="C84" s="1130"/>
      <c r="D84" s="1130"/>
      <c r="E84" s="1130"/>
      <c r="F84" s="1130"/>
      <c r="G84" s="1130"/>
      <c r="H84" s="1130"/>
      <c r="I84" s="1130"/>
      <c r="J84" s="1130"/>
      <c r="K84" s="1130"/>
      <c r="L84" s="1130"/>
      <c r="M84" s="1130"/>
      <c r="N84" s="1130"/>
      <c r="O84" s="1130"/>
      <c r="P84" s="1130"/>
      <c r="Q84" s="1130"/>
      <c r="R84" s="1130"/>
      <c r="S84" s="1130"/>
      <c r="T84" s="1130"/>
      <c r="U84" s="1130"/>
      <c r="V84" s="1130"/>
      <c r="W84" s="1130"/>
      <c r="X84" s="1130"/>
      <c r="Y84" s="1130"/>
      <c r="Z84" s="1130"/>
    </row>
    <row r="85" spans="1:26" ht="15.75" customHeight="1">
      <c r="A85" s="1129"/>
      <c r="B85" s="1130"/>
      <c r="C85" s="1130"/>
      <c r="D85" s="1130"/>
      <c r="E85" s="1130"/>
      <c r="F85" s="1130"/>
      <c r="G85" s="1130"/>
      <c r="H85" s="1130"/>
      <c r="I85" s="1130"/>
      <c r="J85" s="1130"/>
      <c r="K85" s="1130"/>
      <c r="L85" s="1130"/>
      <c r="M85" s="1130"/>
      <c r="N85" s="1130"/>
      <c r="O85" s="1130"/>
      <c r="P85" s="1130"/>
      <c r="Q85" s="1130"/>
      <c r="R85" s="1130"/>
      <c r="S85" s="1130"/>
      <c r="T85" s="1130"/>
      <c r="U85" s="1130"/>
      <c r="V85" s="1130"/>
      <c r="W85" s="1130"/>
      <c r="X85" s="1130"/>
      <c r="Y85" s="1130"/>
      <c r="Z85" s="1130"/>
    </row>
    <row r="86" spans="1:26" ht="15.75" customHeight="1">
      <c r="A86" s="1129"/>
      <c r="B86" s="1130"/>
      <c r="C86" s="1130"/>
      <c r="D86" s="1130"/>
      <c r="E86" s="1130"/>
      <c r="F86" s="1130"/>
      <c r="G86" s="1130"/>
      <c r="H86" s="1130"/>
      <c r="I86" s="1130"/>
      <c r="J86" s="1130"/>
      <c r="K86" s="1130"/>
      <c r="L86" s="1130"/>
      <c r="M86" s="1130"/>
      <c r="N86" s="1130"/>
      <c r="O86" s="1130"/>
      <c r="P86" s="1130"/>
      <c r="Q86" s="1130"/>
      <c r="R86" s="1130"/>
      <c r="S86" s="1130"/>
      <c r="T86" s="1130"/>
      <c r="U86" s="1130"/>
      <c r="V86" s="1130"/>
      <c r="W86" s="1130"/>
      <c r="X86" s="1130"/>
      <c r="Y86" s="1130"/>
      <c r="Z86" s="1130"/>
    </row>
    <row r="87" spans="1:26" ht="15.75" customHeight="1">
      <c r="A87" s="1129"/>
      <c r="B87" s="1130"/>
      <c r="C87" s="1130"/>
      <c r="D87" s="1130"/>
      <c r="E87" s="1130"/>
      <c r="F87" s="1130"/>
      <c r="G87" s="1130"/>
      <c r="H87" s="1130"/>
      <c r="I87" s="1130"/>
      <c r="J87" s="1130"/>
      <c r="K87" s="1130"/>
      <c r="L87" s="1130"/>
      <c r="M87" s="1130"/>
      <c r="N87" s="1130"/>
      <c r="O87" s="1130"/>
      <c r="P87" s="1130"/>
      <c r="Q87" s="1130"/>
      <c r="R87" s="1130"/>
      <c r="S87" s="1130"/>
      <c r="T87" s="1130"/>
      <c r="U87" s="1130"/>
      <c r="V87" s="1130"/>
      <c r="W87" s="1130"/>
      <c r="X87" s="1130"/>
      <c r="Y87" s="1130"/>
      <c r="Z87" s="1130"/>
    </row>
    <row r="88" spans="1:26" ht="15.75" customHeight="1">
      <c r="A88" s="1129"/>
      <c r="B88" s="1130"/>
      <c r="C88" s="1130"/>
      <c r="D88" s="1130"/>
      <c r="E88" s="1130"/>
      <c r="F88" s="1130"/>
      <c r="G88" s="1130"/>
      <c r="H88" s="1130"/>
      <c r="I88" s="1130"/>
      <c r="J88" s="1130"/>
      <c r="K88" s="1130"/>
      <c r="L88" s="1130"/>
      <c r="M88" s="1130"/>
      <c r="N88" s="1130"/>
      <c r="O88" s="1130"/>
      <c r="P88" s="1130"/>
      <c r="Q88" s="1130"/>
      <c r="R88" s="1130"/>
      <c r="S88" s="1130"/>
      <c r="T88" s="1130"/>
      <c r="U88" s="1130"/>
      <c r="V88" s="1130"/>
      <c r="W88" s="1130"/>
      <c r="X88" s="1130"/>
      <c r="Y88" s="1130"/>
      <c r="Z88" s="1130"/>
    </row>
    <row r="89" spans="1:26" ht="15.75" customHeight="1">
      <c r="A89" s="1129"/>
      <c r="B89" s="1130"/>
      <c r="C89" s="1130"/>
      <c r="D89" s="1130"/>
      <c r="E89" s="1130"/>
      <c r="F89" s="1130"/>
      <c r="G89" s="1130"/>
      <c r="H89" s="1130"/>
      <c r="I89" s="1130"/>
      <c r="J89" s="1130"/>
      <c r="K89" s="1130"/>
      <c r="L89" s="1130"/>
      <c r="M89" s="1130"/>
      <c r="N89" s="1130"/>
      <c r="O89" s="1130"/>
      <c r="P89" s="1130"/>
      <c r="Q89" s="1130"/>
      <c r="R89" s="1130"/>
      <c r="S89" s="1130"/>
      <c r="T89" s="1130"/>
      <c r="U89" s="1130"/>
      <c r="V89" s="1130"/>
      <c r="W89" s="1130"/>
      <c r="X89" s="1130"/>
      <c r="Y89" s="1130"/>
      <c r="Z89" s="1130"/>
    </row>
    <row r="90" spans="1:26" ht="15.75" customHeight="1">
      <c r="A90" s="1129"/>
      <c r="B90" s="1130"/>
      <c r="C90" s="1130"/>
      <c r="D90" s="1130"/>
      <c r="E90" s="1130"/>
      <c r="F90" s="1130"/>
      <c r="G90" s="1130"/>
      <c r="H90" s="1130"/>
      <c r="I90" s="1130"/>
      <c r="J90" s="1130"/>
      <c r="K90" s="1130"/>
      <c r="L90" s="1130"/>
      <c r="M90" s="1130"/>
      <c r="N90" s="1130"/>
      <c r="O90" s="1130"/>
      <c r="P90" s="1130"/>
      <c r="Q90" s="1130"/>
      <c r="R90" s="1130"/>
      <c r="S90" s="1130"/>
      <c r="T90" s="1130"/>
      <c r="U90" s="1130"/>
      <c r="V90" s="1130"/>
      <c r="W90" s="1130"/>
      <c r="X90" s="1130"/>
      <c r="Y90" s="1130"/>
      <c r="Z90" s="1130"/>
    </row>
    <row r="91" spans="1:26" ht="15.75" customHeight="1">
      <c r="A91" s="1129"/>
      <c r="B91" s="1130"/>
      <c r="C91" s="1130"/>
      <c r="D91" s="1130"/>
      <c r="E91" s="1130"/>
      <c r="F91" s="1130"/>
      <c r="G91" s="1130"/>
      <c r="H91" s="1130"/>
      <c r="I91" s="1130"/>
      <c r="J91" s="1130"/>
      <c r="K91" s="1130"/>
      <c r="L91" s="1130"/>
      <c r="M91" s="1130"/>
      <c r="N91" s="1130"/>
      <c r="O91" s="1130"/>
      <c r="P91" s="1130"/>
      <c r="Q91" s="1130"/>
      <c r="R91" s="1130"/>
      <c r="S91" s="1130"/>
      <c r="T91" s="1130"/>
      <c r="U91" s="1130"/>
      <c r="V91" s="1130"/>
      <c r="W91" s="1130"/>
      <c r="X91" s="1130"/>
      <c r="Y91" s="1130"/>
      <c r="Z91" s="1130"/>
    </row>
    <row r="92" spans="1:26" ht="15.75" customHeight="1">
      <c r="A92" s="1129"/>
      <c r="B92" s="1130"/>
      <c r="C92" s="1130"/>
      <c r="D92" s="1130"/>
      <c r="E92" s="1130"/>
      <c r="F92" s="1130"/>
      <c r="G92" s="1130"/>
      <c r="H92" s="1130"/>
      <c r="I92" s="1130"/>
      <c r="J92" s="1130"/>
      <c r="K92" s="1130"/>
      <c r="L92" s="1130"/>
      <c r="M92" s="1130"/>
      <c r="N92" s="1130"/>
      <c r="O92" s="1130"/>
      <c r="P92" s="1130"/>
      <c r="Q92" s="1130"/>
      <c r="R92" s="1130"/>
      <c r="S92" s="1130"/>
      <c r="T92" s="1130"/>
      <c r="U92" s="1130"/>
      <c r="V92" s="1130"/>
      <c r="W92" s="1130"/>
      <c r="X92" s="1130"/>
      <c r="Y92" s="1130"/>
      <c r="Z92" s="1130"/>
    </row>
    <row r="93" spans="1:26" ht="15.75" customHeight="1">
      <c r="A93" s="1129"/>
      <c r="B93" s="1130"/>
      <c r="C93" s="1130"/>
      <c r="D93" s="1130"/>
      <c r="E93" s="1130"/>
      <c r="F93" s="1130"/>
      <c r="G93" s="1130"/>
      <c r="H93" s="1130"/>
      <c r="I93" s="1130"/>
      <c r="J93" s="1130"/>
      <c r="K93" s="1130"/>
      <c r="L93" s="1130"/>
      <c r="M93" s="1130"/>
      <c r="N93" s="1130"/>
      <c r="O93" s="1130"/>
      <c r="P93" s="1130"/>
      <c r="Q93" s="1130"/>
      <c r="R93" s="1130"/>
      <c r="S93" s="1130"/>
      <c r="T93" s="1130"/>
      <c r="U93" s="1130"/>
      <c r="V93" s="1130"/>
      <c r="W93" s="1130"/>
      <c r="X93" s="1130"/>
      <c r="Y93" s="1130"/>
      <c r="Z93" s="1130"/>
    </row>
    <row r="94" spans="1:26" ht="15.75" customHeight="1">
      <c r="A94" s="1129"/>
      <c r="B94" s="1130"/>
      <c r="C94" s="1130"/>
      <c r="D94" s="1130"/>
      <c r="E94" s="1130"/>
      <c r="F94" s="1130"/>
      <c r="G94" s="1130"/>
      <c r="H94" s="1130"/>
      <c r="I94" s="1130"/>
      <c r="J94" s="1130"/>
      <c r="K94" s="1130"/>
      <c r="L94" s="1130"/>
      <c r="M94" s="1130"/>
      <c r="N94" s="1130"/>
      <c r="O94" s="1130"/>
      <c r="P94" s="1130"/>
      <c r="Q94" s="1130"/>
      <c r="R94" s="1130"/>
      <c r="S94" s="1130"/>
      <c r="T94" s="1130"/>
      <c r="U94" s="1130"/>
      <c r="V94" s="1130"/>
      <c r="W94" s="1130"/>
      <c r="X94" s="1130"/>
      <c r="Y94" s="1130"/>
      <c r="Z94" s="1130"/>
    </row>
    <row r="95" spans="1:26" ht="15.75" customHeight="1">
      <c r="A95" s="1129"/>
      <c r="B95" s="1130"/>
      <c r="C95" s="1130"/>
      <c r="D95" s="1130"/>
      <c r="E95" s="1130"/>
      <c r="F95" s="1130"/>
      <c r="G95" s="1130"/>
      <c r="H95" s="1130"/>
      <c r="I95" s="1130"/>
      <c r="J95" s="1130"/>
      <c r="K95" s="1130"/>
      <c r="L95" s="1130"/>
      <c r="M95" s="1130"/>
      <c r="N95" s="1130"/>
      <c r="O95" s="1130"/>
      <c r="P95" s="1130"/>
      <c r="Q95" s="1130"/>
      <c r="R95" s="1130"/>
      <c r="S95" s="1130"/>
      <c r="T95" s="1130"/>
      <c r="U95" s="1130"/>
      <c r="V95" s="1130"/>
      <c r="W95" s="1130"/>
      <c r="X95" s="1130"/>
      <c r="Y95" s="1130"/>
      <c r="Z95" s="1130"/>
    </row>
    <row r="96" spans="1:26" ht="15.75" customHeight="1">
      <c r="A96" s="1129"/>
      <c r="B96" s="1130"/>
      <c r="C96" s="1130"/>
      <c r="D96" s="1130"/>
      <c r="E96" s="1130"/>
      <c r="F96" s="1130"/>
      <c r="G96" s="1130"/>
      <c r="H96" s="1130"/>
      <c r="I96" s="1130"/>
      <c r="J96" s="1130"/>
      <c r="K96" s="1130"/>
      <c r="L96" s="1130"/>
      <c r="M96" s="1130"/>
      <c r="N96" s="1130"/>
      <c r="O96" s="1130"/>
      <c r="P96" s="1130"/>
      <c r="Q96" s="1130"/>
      <c r="R96" s="1130"/>
      <c r="S96" s="1130"/>
      <c r="T96" s="1130"/>
      <c r="U96" s="1130"/>
      <c r="V96" s="1130"/>
      <c r="W96" s="1130"/>
      <c r="X96" s="1130"/>
      <c r="Y96" s="1130"/>
      <c r="Z96" s="1130"/>
    </row>
    <row r="97" spans="1:26" ht="15.75" customHeight="1">
      <c r="A97" s="1129"/>
      <c r="B97" s="1130"/>
      <c r="C97" s="1130"/>
      <c r="D97" s="1130"/>
      <c r="E97" s="1130"/>
      <c r="F97" s="1130"/>
      <c r="G97" s="1130"/>
      <c r="H97" s="1130"/>
      <c r="I97" s="1130"/>
      <c r="J97" s="1130"/>
      <c r="K97" s="1130"/>
      <c r="L97" s="1130"/>
      <c r="M97" s="1130"/>
      <c r="N97" s="1130"/>
      <c r="O97" s="1130"/>
      <c r="P97" s="1130"/>
      <c r="Q97" s="1130"/>
      <c r="R97" s="1130"/>
      <c r="S97" s="1130"/>
      <c r="T97" s="1130"/>
      <c r="U97" s="1130"/>
      <c r="V97" s="1130"/>
      <c r="W97" s="1130"/>
      <c r="X97" s="1130"/>
      <c r="Y97" s="1130"/>
      <c r="Z97" s="1130"/>
    </row>
    <row r="98" spans="1:26" ht="15.75" customHeight="1">
      <c r="A98" s="1129"/>
      <c r="B98" s="1130"/>
      <c r="C98" s="1130"/>
      <c r="D98" s="1130"/>
      <c r="E98" s="1130"/>
      <c r="F98" s="1130"/>
      <c r="G98" s="1130"/>
      <c r="H98" s="1130"/>
      <c r="I98" s="1130"/>
      <c r="J98" s="1130"/>
      <c r="K98" s="1130"/>
      <c r="L98" s="1130"/>
      <c r="M98" s="1130"/>
      <c r="N98" s="1130"/>
      <c r="O98" s="1130"/>
      <c r="P98" s="1130"/>
      <c r="Q98" s="1130"/>
      <c r="R98" s="1130"/>
      <c r="S98" s="1130"/>
      <c r="T98" s="1130"/>
      <c r="U98" s="1130"/>
      <c r="V98" s="1130"/>
      <c r="W98" s="1130"/>
      <c r="X98" s="1130"/>
      <c r="Y98" s="1130"/>
      <c r="Z98" s="1130"/>
    </row>
    <row r="99" spans="1:26" ht="15.75" customHeight="1">
      <c r="A99" s="1129"/>
      <c r="B99" s="1130"/>
      <c r="C99" s="1130"/>
      <c r="D99" s="1130"/>
      <c r="E99" s="1130"/>
      <c r="F99" s="1130"/>
      <c r="G99" s="1130"/>
      <c r="H99" s="1130"/>
      <c r="I99" s="1130"/>
      <c r="J99" s="1130"/>
      <c r="K99" s="1130"/>
      <c r="L99" s="1130"/>
      <c r="M99" s="1130"/>
      <c r="N99" s="1130"/>
      <c r="O99" s="1130"/>
      <c r="P99" s="1130"/>
      <c r="Q99" s="1130"/>
      <c r="R99" s="1130"/>
      <c r="S99" s="1130"/>
      <c r="T99" s="1130"/>
      <c r="U99" s="1130"/>
      <c r="V99" s="1130"/>
      <c r="W99" s="1130"/>
      <c r="X99" s="1130"/>
      <c r="Y99" s="1130"/>
      <c r="Z99" s="1130"/>
    </row>
    <row r="100" spans="1:26" ht="15.75" customHeight="1">
      <c r="A100" s="1129"/>
      <c r="B100" s="1130"/>
      <c r="C100" s="1130"/>
      <c r="D100" s="1130"/>
      <c r="E100" s="1130"/>
      <c r="F100" s="1130"/>
      <c r="G100" s="1130"/>
      <c r="H100" s="1130"/>
      <c r="I100" s="1130"/>
      <c r="J100" s="1130"/>
      <c r="K100" s="1130"/>
      <c r="L100" s="1130"/>
      <c r="M100" s="1130"/>
      <c r="N100" s="1130"/>
      <c r="O100" s="1130"/>
      <c r="P100" s="1130"/>
      <c r="Q100" s="1130"/>
      <c r="R100" s="1130"/>
      <c r="S100" s="1130"/>
      <c r="T100" s="1130"/>
      <c r="U100" s="1130"/>
      <c r="V100" s="1130"/>
      <c r="W100" s="1130"/>
      <c r="X100" s="1130"/>
      <c r="Y100" s="1130"/>
      <c r="Z100" s="1130"/>
    </row>
    <row r="101" spans="1:26" ht="15.75" customHeight="1">
      <c r="A101" s="1129"/>
      <c r="B101" s="1130"/>
      <c r="C101" s="1130"/>
      <c r="D101" s="1130"/>
      <c r="E101" s="1130"/>
      <c r="F101" s="1130"/>
      <c r="G101" s="1130"/>
      <c r="H101" s="1130"/>
      <c r="I101" s="1130"/>
      <c r="J101" s="1130"/>
      <c r="K101" s="1130"/>
      <c r="L101" s="1130"/>
      <c r="M101" s="1130"/>
      <c r="N101" s="1130"/>
      <c r="O101" s="1130"/>
      <c r="P101" s="1130"/>
      <c r="Q101" s="1130"/>
      <c r="R101" s="1130"/>
      <c r="S101" s="1130"/>
      <c r="T101" s="1130"/>
      <c r="U101" s="1130"/>
      <c r="V101" s="1130"/>
      <c r="W101" s="1130"/>
      <c r="X101" s="1130"/>
      <c r="Y101" s="1130"/>
      <c r="Z101" s="1130"/>
    </row>
    <row r="102" spans="1:26" ht="15.75" customHeight="1">
      <c r="A102" s="1129"/>
      <c r="B102" s="1130"/>
      <c r="C102" s="1130"/>
      <c r="D102" s="1130"/>
      <c r="E102" s="1130"/>
      <c r="F102" s="1130"/>
      <c r="G102" s="1130"/>
      <c r="H102" s="1130"/>
      <c r="I102" s="1130"/>
      <c r="J102" s="1130"/>
      <c r="K102" s="1130"/>
      <c r="L102" s="1130"/>
      <c r="M102" s="1130"/>
      <c r="N102" s="1130"/>
      <c r="O102" s="1130"/>
      <c r="P102" s="1130"/>
      <c r="Q102" s="1130"/>
      <c r="R102" s="1130"/>
      <c r="S102" s="1130"/>
      <c r="T102" s="1130"/>
      <c r="U102" s="1130"/>
      <c r="V102" s="1130"/>
      <c r="W102" s="1130"/>
      <c r="X102" s="1130"/>
      <c r="Y102" s="1130"/>
      <c r="Z102" s="1130"/>
    </row>
    <row r="103" spans="1:26" ht="15.75" customHeight="1">
      <c r="A103" s="1129"/>
      <c r="B103" s="1132"/>
      <c r="C103" s="1130"/>
      <c r="D103" s="1130"/>
      <c r="E103" s="1130"/>
      <c r="F103" s="1130"/>
      <c r="G103" s="1130"/>
      <c r="H103" s="1130"/>
      <c r="I103" s="1130"/>
      <c r="J103" s="1130"/>
      <c r="K103" s="1130"/>
      <c r="L103" s="1130"/>
      <c r="M103" s="1130"/>
      <c r="N103" s="1130"/>
      <c r="O103" s="1130"/>
      <c r="P103" s="1130"/>
      <c r="Q103" s="1130"/>
      <c r="R103" s="1130"/>
      <c r="S103" s="1130"/>
      <c r="T103" s="1130"/>
      <c r="U103" s="1130"/>
      <c r="V103" s="1130"/>
      <c r="W103" s="1130"/>
      <c r="X103" s="1130"/>
      <c r="Y103" s="1130"/>
      <c r="Z103" s="1130"/>
    </row>
    <row r="104" spans="1:26" ht="15.75" customHeight="1">
      <c r="A104" s="1129"/>
      <c r="B104" s="1130"/>
      <c r="C104" s="1130"/>
      <c r="D104" s="1130"/>
      <c r="E104" s="1130"/>
      <c r="F104" s="1130"/>
      <c r="G104" s="1130"/>
      <c r="H104" s="1130"/>
      <c r="I104" s="1130"/>
      <c r="J104" s="1130"/>
      <c r="K104" s="1130"/>
      <c r="L104" s="1130"/>
      <c r="M104" s="1130"/>
      <c r="N104" s="1130"/>
      <c r="O104" s="1130"/>
      <c r="P104" s="1130"/>
      <c r="Q104" s="1130"/>
      <c r="R104" s="1130"/>
      <c r="S104" s="1130"/>
      <c r="T104" s="1130"/>
      <c r="U104" s="1130"/>
      <c r="V104" s="1130"/>
      <c r="W104" s="1130"/>
      <c r="X104" s="1130"/>
      <c r="Y104" s="1130"/>
      <c r="Z104" s="1130"/>
    </row>
    <row r="105" spans="1:26" ht="15.75" customHeight="1">
      <c r="A105" s="1129"/>
      <c r="B105" s="1130"/>
      <c r="C105" s="1130"/>
      <c r="D105" s="1130"/>
      <c r="E105" s="1130"/>
      <c r="F105" s="1130"/>
      <c r="G105" s="1130"/>
      <c r="H105" s="1130"/>
      <c r="I105" s="1130"/>
      <c r="J105" s="1130"/>
      <c r="K105" s="1130"/>
      <c r="L105" s="1130"/>
      <c r="M105" s="1130"/>
      <c r="N105" s="1130"/>
      <c r="O105" s="1130"/>
      <c r="P105" s="1130"/>
      <c r="Q105" s="1130"/>
      <c r="R105" s="1130"/>
      <c r="S105" s="1130"/>
      <c r="T105" s="1130"/>
      <c r="U105" s="1130"/>
      <c r="V105" s="1130"/>
      <c r="W105" s="1130"/>
      <c r="X105" s="1130"/>
      <c r="Y105" s="1130"/>
      <c r="Z105" s="1130"/>
    </row>
    <row r="106" spans="1:26" ht="15.75" customHeight="1">
      <c r="A106" s="1129"/>
      <c r="B106" s="1130"/>
      <c r="C106" s="1130"/>
      <c r="D106" s="1130"/>
      <c r="E106" s="1130"/>
      <c r="F106" s="1130"/>
      <c r="G106" s="1130"/>
      <c r="H106" s="1130"/>
      <c r="I106" s="1130"/>
      <c r="J106" s="1130"/>
      <c r="K106" s="1130"/>
      <c r="L106" s="1130"/>
      <c r="M106" s="1130"/>
      <c r="N106" s="1130"/>
      <c r="O106" s="1130"/>
      <c r="P106" s="1130"/>
      <c r="Q106" s="1130"/>
      <c r="R106" s="1130"/>
      <c r="S106" s="1130"/>
      <c r="T106" s="1130"/>
      <c r="U106" s="1130"/>
      <c r="V106" s="1130"/>
      <c r="W106" s="1130"/>
      <c r="X106" s="1130"/>
      <c r="Y106" s="1130"/>
      <c r="Z106" s="1130"/>
    </row>
    <row r="107" spans="1:26" ht="15.75" customHeight="1">
      <c r="A107" s="1129"/>
      <c r="B107" s="1132"/>
      <c r="C107" s="1130"/>
      <c r="D107" s="1130"/>
      <c r="E107" s="1130"/>
      <c r="F107" s="1130"/>
      <c r="G107" s="1130"/>
      <c r="H107" s="1130"/>
      <c r="I107" s="1130"/>
      <c r="J107" s="1130"/>
      <c r="K107" s="1130"/>
      <c r="L107" s="1130"/>
      <c r="M107" s="1130"/>
      <c r="N107" s="1130"/>
      <c r="O107" s="1130"/>
      <c r="P107" s="1130"/>
      <c r="Q107" s="1130"/>
      <c r="R107" s="1130"/>
      <c r="S107" s="1130"/>
      <c r="T107" s="1130"/>
      <c r="U107" s="1130"/>
      <c r="V107" s="1130"/>
      <c r="W107" s="1130"/>
      <c r="X107" s="1130"/>
      <c r="Y107" s="1130"/>
      <c r="Z107" s="1130"/>
    </row>
    <row r="108" spans="1:26" ht="15.75" customHeight="1">
      <c r="A108" s="1129"/>
      <c r="B108" s="1130"/>
      <c r="C108" s="1130"/>
      <c r="D108" s="1130"/>
      <c r="E108" s="1155"/>
      <c r="F108" s="1155"/>
      <c r="G108" s="1155"/>
      <c r="H108" s="1130"/>
      <c r="I108" s="1130"/>
      <c r="J108" s="1130"/>
      <c r="K108" s="1130"/>
      <c r="L108" s="1130"/>
      <c r="M108" s="1130"/>
      <c r="N108" s="1130"/>
      <c r="O108" s="1130"/>
      <c r="P108" s="1130"/>
      <c r="Q108" s="1130"/>
      <c r="R108" s="1130"/>
      <c r="S108" s="1130"/>
      <c r="T108" s="1130"/>
      <c r="U108" s="1130"/>
      <c r="V108" s="1130"/>
      <c r="W108" s="1130"/>
      <c r="X108" s="1130"/>
      <c r="Y108" s="1130"/>
      <c r="Z108" s="1130"/>
    </row>
    <row r="109" spans="1:26" ht="15.75" customHeight="1">
      <c r="A109" s="1129"/>
      <c r="B109" s="1130"/>
      <c r="C109" s="1130"/>
      <c r="D109" s="1130"/>
      <c r="E109" s="1130"/>
      <c r="F109" s="1130"/>
      <c r="G109" s="1130"/>
      <c r="H109" s="1130"/>
      <c r="I109" s="1130"/>
      <c r="J109" s="1130"/>
      <c r="K109" s="1130"/>
      <c r="L109" s="1130"/>
      <c r="M109" s="1130"/>
      <c r="N109" s="1130"/>
      <c r="O109" s="1130"/>
      <c r="P109" s="1130"/>
      <c r="Q109" s="1130"/>
      <c r="R109" s="1130"/>
      <c r="S109" s="1130"/>
      <c r="T109" s="1130"/>
      <c r="U109" s="1130"/>
      <c r="V109" s="1130"/>
      <c r="W109" s="1130"/>
      <c r="X109" s="1130"/>
      <c r="Y109" s="1130"/>
      <c r="Z109" s="1130"/>
    </row>
    <row r="110" spans="1:26" ht="15.75" customHeight="1">
      <c r="A110" s="1129"/>
      <c r="B110" s="1130"/>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0"/>
      <c r="Z110" s="1130"/>
    </row>
    <row r="111" spans="1:26" ht="15.75" customHeight="1">
      <c r="A111" s="1129"/>
      <c r="B111" s="1130"/>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0"/>
      <c r="Z111" s="1130"/>
    </row>
    <row r="112" spans="1:26" ht="15.75" customHeight="1">
      <c r="A112" s="1129"/>
      <c r="B112" s="1130"/>
      <c r="C112" s="1130"/>
      <c r="D112" s="1130"/>
      <c r="E112" s="1130"/>
      <c r="F112" s="1130"/>
      <c r="G112" s="1130"/>
      <c r="H112" s="1130"/>
      <c r="I112" s="1130"/>
      <c r="J112" s="1130"/>
      <c r="K112" s="1130"/>
      <c r="L112" s="1130"/>
      <c r="M112" s="1130"/>
      <c r="N112" s="1130"/>
      <c r="O112" s="1130"/>
      <c r="P112" s="1130"/>
      <c r="Q112" s="1130"/>
      <c r="R112" s="1130"/>
      <c r="S112" s="1130"/>
      <c r="T112" s="1130"/>
      <c r="U112" s="1130"/>
      <c r="V112" s="1130"/>
      <c r="W112" s="1130"/>
      <c r="X112" s="1130"/>
      <c r="Y112" s="1130"/>
      <c r="Z112" s="1130"/>
    </row>
    <row r="113" spans="1:26" ht="15.75" customHeight="1">
      <c r="A113" s="1129"/>
      <c r="B113" s="1130"/>
      <c r="C113" s="1130"/>
      <c r="D113" s="1130"/>
      <c r="E113" s="1130"/>
      <c r="F113" s="1130"/>
      <c r="G113" s="1130"/>
      <c r="H113" s="1130"/>
      <c r="I113" s="1130"/>
      <c r="J113" s="1130"/>
      <c r="K113" s="1130"/>
      <c r="L113" s="1130"/>
      <c r="M113" s="1130"/>
      <c r="N113" s="1130"/>
      <c r="O113" s="1130"/>
      <c r="P113" s="1130"/>
      <c r="Q113" s="1130"/>
      <c r="R113" s="1130"/>
      <c r="S113" s="1130"/>
      <c r="T113" s="1130"/>
      <c r="U113" s="1130"/>
      <c r="V113" s="1130"/>
      <c r="W113" s="1130"/>
      <c r="X113" s="1130"/>
      <c r="Y113" s="1130"/>
      <c r="Z113" s="1130"/>
    </row>
    <row r="114" spans="1:26" ht="15.75" customHeight="1">
      <c r="A114" s="1129"/>
      <c r="B114" s="1130"/>
      <c r="C114" s="1130"/>
      <c r="D114" s="1130"/>
      <c r="E114" s="1130"/>
      <c r="F114" s="1130"/>
      <c r="G114" s="1130"/>
      <c r="H114" s="1130"/>
      <c r="I114" s="1130"/>
      <c r="J114" s="1130"/>
      <c r="K114" s="1130"/>
      <c r="L114" s="1130"/>
      <c r="M114" s="1130"/>
      <c r="N114" s="1130"/>
      <c r="O114" s="1130"/>
      <c r="P114" s="1130"/>
      <c r="Q114" s="1130"/>
      <c r="R114" s="1130"/>
      <c r="S114" s="1130"/>
      <c r="T114" s="1130"/>
      <c r="U114" s="1130"/>
      <c r="V114" s="1130"/>
      <c r="W114" s="1130"/>
      <c r="X114" s="1130"/>
      <c r="Y114" s="1130"/>
      <c r="Z114" s="1130"/>
    </row>
    <row r="115" spans="1:26" ht="15.75" customHeight="1">
      <c r="A115" s="1129"/>
      <c r="B115" s="1130"/>
      <c r="C115" s="1130"/>
      <c r="D115" s="1130"/>
      <c r="E115" s="1130"/>
      <c r="F115" s="1130"/>
      <c r="G115" s="1130"/>
      <c r="H115" s="1130"/>
      <c r="I115" s="1130"/>
      <c r="J115" s="1130"/>
      <c r="K115" s="1130"/>
      <c r="L115" s="1130"/>
      <c r="M115" s="1130"/>
      <c r="N115" s="1130"/>
      <c r="O115" s="1130"/>
      <c r="P115" s="1130"/>
      <c r="Q115" s="1130"/>
      <c r="R115" s="1130"/>
      <c r="S115" s="1130"/>
      <c r="T115" s="1130"/>
      <c r="U115" s="1130"/>
      <c r="V115" s="1130"/>
      <c r="W115" s="1130"/>
      <c r="X115" s="1130"/>
      <c r="Y115" s="1130"/>
      <c r="Z115" s="1130"/>
    </row>
    <row r="116" spans="1:26" ht="15.75" customHeight="1">
      <c r="A116" s="1129"/>
      <c r="B116" s="1130"/>
      <c r="C116" s="1130"/>
      <c r="D116" s="1130"/>
      <c r="E116" s="1130"/>
      <c r="F116" s="1130"/>
      <c r="G116" s="1130"/>
      <c r="H116" s="1130"/>
      <c r="I116" s="1130"/>
      <c r="J116" s="1130"/>
      <c r="K116" s="1130"/>
      <c r="L116" s="1130"/>
      <c r="M116" s="1130"/>
      <c r="N116" s="1130"/>
      <c r="O116" s="1130"/>
      <c r="P116" s="1130"/>
      <c r="Q116" s="1130"/>
      <c r="R116" s="1130"/>
      <c r="S116" s="1130"/>
      <c r="T116" s="1130"/>
      <c r="U116" s="1130"/>
      <c r="V116" s="1130"/>
      <c r="W116" s="1130"/>
      <c r="X116" s="1130"/>
      <c r="Y116" s="1130"/>
      <c r="Z116" s="1130"/>
    </row>
    <row r="117" spans="1:26" ht="15.75" customHeight="1">
      <c r="A117" s="1129"/>
      <c r="B117" s="1130"/>
      <c r="C117" s="1130"/>
      <c r="D117" s="1130"/>
      <c r="E117" s="1130"/>
      <c r="F117" s="1130"/>
      <c r="G117" s="1130"/>
      <c r="H117" s="1130"/>
      <c r="I117" s="1130"/>
      <c r="J117" s="1130"/>
      <c r="K117" s="1130"/>
      <c r="L117" s="1130"/>
      <c r="M117" s="1130"/>
      <c r="N117" s="1130"/>
      <c r="O117" s="1130"/>
      <c r="P117" s="1130"/>
      <c r="Q117" s="1130"/>
      <c r="R117" s="1130"/>
      <c r="S117" s="1130"/>
      <c r="T117" s="1130"/>
      <c r="U117" s="1130"/>
      <c r="V117" s="1130"/>
      <c r="W117" s="1130"/>
      <c r="X117" s="1130"/>
      <c r="Y117" s="1130"/>
      <c r="Z117" s="1130"/>
    </row>
    <row r="118" spans="1:26" ht="15.75" customHeight="1">
      <c r="A118" s="1129"/>
      <c r="B118" s="1130"/>
      <c r="C118" s="1130"/>
      <c r="D118" s="1130"/>
      <c r="E118" s="1130"/>
      <c r="F118" s="1130"/>
      <c r="G118" s="1130"/>
      <c r="H118" s="1130"/>
      <c r="I118" s="1130"/>
      <c r="J118" s="1130"/>
      <c r="K118" s="1130"/>
      <c r="L118" s="1130"/>
      <c r="M118" s="1130"/>
      <c r="N118" s="1130"/>
      <c r="O118" s="1130"/>
      <c r="P118" s="1130"/>
      <c r="Q118" s="1130"/>
      <c r="R118" s="1130"/>
      <c r="S118" s="1130"/>
      <c r="T118" s="1130"/>
      <c r="U118" s="1130"/>
      <c r="V118" s="1130"/>
      <c r="W118" s="1130"/>
      <c r="X118" s="1130"/>
      <c r="Y118" s="1130"/>
      <c r="Z118" s="1130"/>
    </row>
    <row r="119" spans="1:26" ht="15.75" customHeight="1">
      <c r="A119" s="1129"/>
      <c r="B119" s="1130"/>
      <c r="C119" s="1130"/>
      <c r="D119" s="1130"/>
      <c r="E119" s="1130"/>
      <c r="F119" s="1130"/>
      <c r="G119" s="1130"/>
      <c r="H119" s="1130"/>
      <c r="I119" s="1130"/>
      <c r="J119" s="1130"/>
      <c r="K119" s="1130"/>
      <c r="L119" s="1130"/>
      <c r="M119" s="1130"/>
      <c r="N119" s="1130"/>
      <c r="O119" s="1130"/>
      <c r="P119" s="1130"/>
      <c r="Q119" s="1130"/>
      <c r="R119" s="1130"/>
      <c r="S119" s="1130"/>
      <c r="T119" s="1130"/>
      <c r="U119" s="1130"/>
      <c r="V119" s="1130"/>
      <c r="W119" s="1130"/>
      <c r="X119" s="1130"/>
      <c r="Y119" s="1130"/>
      <c r="Z119" s="1130"/>
    </row>
    <row r="120" spans="1:26" ht="15.75" customHeight="1">
      <c r="A120" s="1129"/>
      <c r="B120" s="1130"/>
      <c r="C120" s="1130"/>
      <c r="D120" s="1130"/>
      <c r="E120" s="1130"/>
      <c r="F120" s="1130"/>
      <c r="G120" s="1130"/>
      <c r="H120" s="1130"/>
      <c r="I120" s="1130"/>
      <c r="J120" s="1130"/>
      <c r="K120" s="1130"/>
      <c r="L120" s="1130"/>
      <c r="M120" s="1130"/>
      <c r="N120" s="1130"/>
      <c r="O120" s="1130"/>
      <c r="P120" s="1130"/>
      <c r="Q120" s="1130"/>
      <c r="R120" s="1130"/>
      <c r="S120" s="1130"/>
      <c r="T120" s="1130"/>
      <c r="U120" s="1130"/>
      <c r="V120" s="1130"/>
      <c r="W120" s="1130"/>
      <c r="X120" s="1130"/>
      <c r="Y120" s="1130"/>
      <c r="Z120" s="1130"/>
    </row>
    <row r="121" spans="1:26" ht="15.75" customHeight="1">
      <c r="A121" s="1129"/>
      <c r="B121" s="1130"/>
      <c r="C121" s="1130"/>
      <c r="D121" s="1130"/>
      <c r="E121" s="1130"/>
      <c r="F121" s="1130"/>
      <c r="G121" s="1130"/>
      <c r="H121" s="1130"/>
      <c r="I121" s="1130"/>
      <c r="J121" s="1130"/>
      <c r="K121" s="1130"/>
      <c r="L121" s="1130"/>
      <c r="M121" s="1130"/>
      <c r="N121" s="1130"/>
      <c r="O121" s="1130"/>
      <c r="P121" s="1130"/>
      <c r="Q121" s="1130"/>
      <c r="R121" s="1130"/>
      <c r="S121" s="1130"/>
      <c r="T121" s="1130"/>
      <c r="U121" s="1130"/>
      <c r="V121" s="1130"/>
      <c r="W121" s="1130"/>
      <c r="X121" s="1130"/>
      <c r="Y121" s="1130"/>
      <c r="Z121" s="1130"/>
    </row>
    <row r="122" spans="1:26" ht="15.75" customHeight="1">
      <c r="A122" s="1129"/>
      <c r="B122" s="1130"/>
      <c r="C122" s="1130"/>
      <c r="D122" s="1130"/>
      <c r="E122" s="1130"/>
      <c r="F122" s="1130"/>
      <c r="G122" s="1130"/>
      <c r="H122" s="1130"/>
      <c r="I122" s="1130"/>
      <c r="J122" s="1130"/>
      <c r="K122" s="1130"/>
      <c r="L122" s="1130"/>
      <c r="M122" s="1130"/>
      <c r="N122" s="1130"/>
      <c r="O122" s="1130"/>
      <c r="P122" s="1130"/>
      <c r="Q122" s="1130"/>
      <c r="R122" s="1130"/>
      <c r="S122" s="1130"/>
      <c r="T122" s="1130"/>
      <c r="U122" s="1130"/>
      <c r="V122" s="1130"/>
      <c r="W122" s="1130"/>
      <c r="X122" s="1130"/>
      <c r="Y122" s="1130"/>
      <c r="Z122" s="1130"/>
    </row>
    <row r="123" spans="1:26" ht="15.75" customHeight="1">
      <c r="A123" s="1129"/>
      <c r="B123" s="1130"/>
      <c r="C123" s="1130"/>
      <c r="D123" s="1130"/>
      <c r="E123" s="1130"/>
      <c r="F123" s="1130"/>
      <c r="G123" s="1130"/>
      <c r="H123" s="1130"/>
      <c r="I123" s="1130"/>
      <c r="J123" s="1130"/>
      <c r="K123" s="1130"/>
      <c r="L123" s="1130"/>
      <c r="M123" s="1130"/>
      <c r="N123" s="1130"/>
      <c r="O123" s="1130"/>
      <c r="P123" s="1130"/>
      <c r="Q123" s="1130"/>
      <c r="R123" s="1130"/>
      <c r="S123" s="1130"/>
      <c r="T123" s="1130"/>
      <c r="U123" s="1130"/>
      <c r="V123" s="1130"/>
      <c r="W123" s="1130"/>
      <c r="X123" s="1130"/>
      <c r="Y123" s="1130"/>
      <c r="Z123" s="1130"/>
    </row>
    <row r="124" spans="1:26" ht="15.75" customHeight="1">
      <c r="A124" s="1129"/>
      <c r="B124" s="1130"/>
      <c r="C124" s="1130"/>
      <c r="D124" s="1130"/>
      <c r="E124" s="1130"/>
      <c r="F124" s="1130"/>
      <c r="G124" s="1130"/>
      <c r="H124" s="1130"/>
      <c r="I124" s="1130"/>
      <c r="J124" s="1130"/>
      <c r="K124" s="1130"/>
      <c r="L124" s="1130"/>
      <c r="M124" s="1130"/>
      <c r="N124" s="1130"/>
      <c r="O124" s="1130"/>
      <c r="P124" s="1130"/>
      <c r="Q124" s="1130"/>
      <c r="R124" s="1130"/>
      <c r="S124" s="1130"/>
      <c r="T124" s="1130"/>
      <c r="U124" s="1130"/>
      <c r="V124" s="1130"/>
      <c r="W124" s="1130"/>
      <c r="X124" s="1130"/>
      <c r="Y124" s="1130"/>
      <c r="Z124" s="1130"/>
    </row>
    <row r="125" spans="1:26" ht="15.75" customHeight="1">
      <c r="A125" s="1129"/>
      <c r="B125" s="1130"/>
      <c r="C125" s="1130"/>
      <c r="D125" s="1130"/>
      <c r="E125" s="1130"/>
      <c r="F125" s="1130"/>
      <c r="G125" s="1130"/>
      <c r="H125" s="1130"/>
      <c r="I125" s="1130"/>
      <c r="J125" s="1130"/>
      <c r="K125" s="1130"/>
      <c r="L125" s="1130"/>
      <c r="M125" s="1130"/>
      <c r="N125" s="1130"/>
      <c r="O125" s="1130"/>
      <c r="P125" s="1130"/>
      <c r="Q125" s="1130"/>
      <c r="R125" s="1130"/>
      <c r="S125" s="1130"/>
      <c r="T125" s="1130"/>
      <c r="U125" s="1130"/>
      <c r="V125" s="1130"/>
      <c r="W125" s="1130"/>
      <c r="X125" s="1130"/>
      <c r="Y125" s="1130"/>
      <c r="Z125" s="1130"/>
    </row>
    <row r="126" spans="1:26" ht="15.75" customHeight="1">
      <c r="A126" s="1129"/>
      <c r="B126" s="1130"/>
      <c r="C126" s="1130"/>
      <c r="D126" s="1130"/>
      <c r="E126" s="1130"/>
      <c r="F126" s="1130"/>
      <c r="G126" s="1130"/>
      <c r="H126" s="1130"/>
      <c r="I126" s="1130"/>
      <c r="J126" s="1130"/>
      <c r="K126" s="1130"/>
      <c r="L126" s="1130"/>
      <c r="M126" s="1130"/>
      <c r="N126" s="1130"/>
      <c r="O126" s="1130"/>
      <c r="P126" s="1130"/>
      <c r="Q126" s="1130"/>
      <c r="R126" s="1130"/>
      <c r="S126" s="1130"/>
      <c r="T126" s="1130"/>
      <c r="U126" s="1130"/>
      <c r="V126" s="1130"/>
      <c r="W126" s="1130"/>
      <c r="X126" s="1130"/>
      <c r="Y126" s="1130"/>
      <c r="Z126" s="1130"/>
    </row>
    <row r="127" spans="1:26" ht="15.75" customHeight="1">
      <c r="A127" s="1129"/>
      <c r="B127" s="1130"/>
      <c r="C127" s="1130"/>
      <c r="D127" s="1130"/>
      <c r="E127" s="1130"/>
      <c r="F127" s="1130"/>
      <c r="G127" s="1130"/>
      <c r="H127" s="1130"/>
      <c r="I127" s="1130"/>
      <c r="J127" s="1130"/>
      <c r="K127" s="1130"/>
      <c r="L127" s="1130"/>
      <c r="M127" s="1130"/>
      <c r="N127" s="1130"/>
      <c r="O127" s="1130"/>
      <c r="P127" s="1130"/>
      <c r="Q127" s="1130"/>
      <c r="R127" s="1130"/>
      <c r="S127" s="1130"/>
      <c r="T127" s="1130"/>
      <c r="U127" s="1130"/>
      <c r="V127" s="1130"/>
      <c r="W127" s="1130"/>
      <c r="X127" s="1130"/>
      <c r="Y127" s="1130"/>
      <c r="Z127" s="1130"/>
    </row>
    <row r="128" spans="1:26" ht="15.75" customHeight="1">
      <c r="A128" s="1129"/>
      <c r="B128" s="1130"/>
      <c r="C128" s="1130"/>
      <c r="D128" s="1130"/>
      <c r="E128" s="1130"/>
      <c r="F128" s="1130"/>
      <c r="G128" s="1130"/>
      <c r="H128" s="1130"/>
      <c r="I128" s="1130"/>
      <c r="J128" s="1130"/>
      <c r="K128" s="1130"/>
      <c r="L128" s="1130"/>
      <c r="M128" s="1130"/>
      <c r="N128" s="1130"/>
      <c r="O128" s="1130"/>
      <c r="P128" s="1130"/>
      <c r="Q128" s="1130"/>
      <c r="R128" s="1130"/>
      <c r="S128" s="1130"/>
      <c r="T128" s="1130"/>
      <c r="U128" s="1130"/>
      <c r="V128" s="1130"/>
      <c r="W128" s="1130"/>
      <c r="X128" s="1130"/>
      <c r="Y128" s="1130"/>
      <c r="Z128" s="1130"/>
    </row>
    <row r="129" spans="1:26" ht="15.75" customHeight="1">
      <c r="A129" s="1129"/>
      <c r="B129" s="1130"/>
      <c r="C129" s="1130"/>
      <c r="D129" s="1130"/>
      <c r="E129" s="1130"/>
      <c r="F129" s="1130"/>
      <c r="G129" s="1130"/>
      <c r="H129" s="1130"/>
      <c r="I129" s="1130"/>
      <c r="J129" s="1130"/>
      <c r="K129" s="1130"/>
      <c r="L129" s="1130"/>
      <c r="M129" s="1130"/>
      <c r="N129" s="1130"/>
      <c r="O129" s="1130"/>
      <c r="P129" s="1130"/>
      <c r="Q129" s="1130"/>
      <c r="R129" s="1130"/>
      <c r="S129" s="1130"/>
      <c r="T129" s="1130"/>
      <c r="U129" s="1130"/>
      <c r="V129" s="1130"/>
      <c r="W129" s="1130"/>
      <c r="X129" s="1130"/>
      <c r="Y129" s="1130"/>
      <c r="Z129" s="1130"/>
    </row>
    <row r="130" spans="1:26" ht="15.75" customHeight="1">
      <c r="A130" s="1129"/>
      <c r="B130" s="1130"/>
      <c r="C130" s="1130"/>
      <c r="D130" s="1130"/>
      <c r="E130" s="1130"/>
      <c r="F130" s="1130"/>
      <c r="G130" s="1130"/>
      <c r="H130" s="1130"/>
      <c r="I130" s="1130"/>
      <c r="J130" s="1130"/>
      <c r="K130" s="1130"/>
      <c r="L130" s="1130"/>
      <c r="M130" s="1130"/>
      <c r="N130" s="1130"/>
      <c r="O130" s="1130"/>
      <c r="P130" s="1130"/>
      <c r="Q130" s="1130"/>
      <c r="R130" s="1130"/>
      <c r="S130" s="1130"/>
      <c r="T130" s="1130"/>
      <c r="U130" s="1130"/>
      <c r="V130" s="1130"/>
      <c r="W130" s="1130"/>
      <c r="X130" s="1130"/>
      <c r="Y130" s="1130"/>
      <c r="Z130" s="1130"/>
    </row>
    <row r="131" spans="1:26" ht="15.75" customHeight="1">
      <c r="A131" s="1129"/>
      <c r="B131" s="1130"/>
      <c r="C131" s="1130"/>
      <c r="D131" s="1130"/>
      <c r="E131" s="1130"/>
      <c r="F131" s="1130"/>
      <c r="G131" s="1130"/>
      <c r="H131" s="1130"/>
      <c r="I131" s="1130"/>
      <c r="J131" s="1130"/>
      <c r="K131" s="1130"/>
      <c r="L131" s="1130"/>
      <c r="M131" s="1130"/>
      <c r="N131" s="1130"/>
      <c r="O131" s="1130"/>
      <c r="P131" s="1130"/>
      <c r="Q131" s="1130"/>
      <c r="R131" s="1130"/>
      <c r="S131" s="1130"/>
      <c r="T131" s="1130"/>
      <c r="U131" s="1130"/>
      <c r="V131" s="1130"/>
      <c r="W131" s="1130"/>
      <c r="X131" s="1130"/>
      <c r="Y131" s="1130"/>
      <c r="Z131" s="1130"/>
    </row>
    <row r="132" spans="1:26" ht="15.75" customHeight="1">
      <c r="A132" s="1129"/>
      <c r="B132" s="1130"/>
      <c r="C132" s="1130"/>
      <c r="D132" s="1130"/>
      <c r="E132" s="1130"/>
      <c r="F132" s="1130"/>
      <c r="G132" s="1130"/>
      <c r="H132" s="1130"/>
      <c r="I132" s="1130"/>
      <c r="J132" s="1130"/>
      <c r="K132" s="1130"/>
      <c r="L132" s="1130"/>
      <c r="M132" s="1130"/>
      <c r="N132" s="1130"/>
      <c r="O132" s="1130"/>
      <c r="P132" s="1130"/>
      <c r="Q132" s="1130"/>
      <c r="R132" s="1130"/>
      <c r="S132" s="1130"/>
      <c r="T132" s="1130"/>
      <c r="U132" s="1130"/>
      <c r="V132" s="1130"/>
      <c r="W132" s="1130"/>
      <c r="X132" s="1130"/>
      <c r="Y132" s="1130"/>
      <c r="Z132" s="1130"/>
    </row>
    <row r="133" spans="1:26" ht="15.75" customHeight="1">
      <c r="A133" s="1129"/>
      <c r="B133" s="1130"/>
      <c r="C133" s="1130"/>
      <c r="D133" s="1130"/>
      <c r="E133" s="1130"/>
      <c r="F133" s="1130"/>
      <c r="G133" s="1130"/>
      <c r="H133" s="1130"/>
      <c r="I133" s="1130"/>
      <c r="J133" s="1130"/>
      <c r="K133" s="1130"/>
      <c r="L133" s="1130"/>
      <c r="M133" s="1130"/>
      <c r="N133" s="1130"/>
      <c r="O133" s="1130"/>
      <c r="P133" s="1130"/>
      <c r="Q133" s="1130"/>
      <c r="R133" s="1130"/>
      <c r="S133" s="1130"/>
      <c r="T133" s="1130"/>
      <c r="U133" s="1130"/>
      <c r="V133" s="1130"/>
      <c r="W133" s="1130"/>
      <c r="X133" s="1130"/>
      <c r="Y133" s="1130"/>
      <c r="Z133" s="1130"/>
    </row>
    <row r="134" spans="1:26" ht="15.75" customHeight="1">
      <c r="A134" s="1129"/>
      <c r="B134" s="1130"/>
      <c r="C134" s="1130"/>
      <c r="D134" s="1130"/>
      <c r="E134" s="1130"/>
      <c r="F134" s="1130"/>
      <c r="G134" s="1130"/>
      <c r="H134" s="1130"/>
      <c r="I134" s="1130"/>
      <c r="J134" s="1130"/>
      <c r="K134" s="1130"/>
      <c r="L134" s="1130"/>
      <c r="M134" s="1130"/>
      <c r="N134" s="1130"/>
      <c r="O134" s="1130"/>
      <c r="P134" s="1130"/>
      <c r="Q134" s="1130"/>
      <c r="R134" s="1130"/>
      <c r="S134" s="1130"/>
      <c r="T134" s="1130"/>
      <c r="U134" s="1130"/>
      <c r="V134" s="1130"/>
      <c r="W134" s="1130"/>
      <c r="X134" s="1130"/>
      <c r="Y134" s="1130"/>
      <c r="Z134" s="1130"/>
    </row>
    <row r="135" spans="1:26" ht="15.75" customHeight="1">
      <c r="A135" s="1129"/>
      <c r="B135" s="1130"/>
      <c r="C135" s="1130"/>
      <c r="D135" s="1130"/>
      <c r="E135" s="1130"/>
      <c r="F135" s="1130"/>
      <c r="G135" s="1130"/>
      <c r="H135" s="1130"/>
      <c r="I135" s="1130"/>
      <c r="J135" s="1130"/>
      <c r="K135" s="1130"/>
      <c r="L135" s="1130"/>
      <c r="M135" s="1130"/>
      <c r="N135" s="1130"/>
      <c r="O135" s="1130"/>
      <c r="P135" s="1130"/>
      <c r="Q135" s="1130"/>
      <c r="R135" s="1130"/>
      <c r="S135" s="1130"/>
      <c r="T135" s="1130"/>
      <c r="U135" s="1130"/>
      <c r="V135" s="1130"/>
      <c r="W135" s="1130"/>
      <c r="X135" s="1130"/>
      <c r="Y135" s="1130"/>
      <c r="Z135" s="1130"/>
    </row>
    <row r="136" spans="1:26" ht="15.75" customHeight="1">
      <c r="A136" s="1129"/>
      <c r="B136" s="1130"/>
      <c r="C136" s="1130"/>
      <c r="D136" s="1130"/>
      <c r="E136" s="1130"/>
      <c r="F136" s="1130"/>
      <c r="G136" s="1130"/>
      <c r="H136" s="1130"/>
      <c r="I136" s="1130"/>
      <c r="J136" s="1130"/>
      <c r="K136" s="1130"/>
      <c r="L136" s="1130"/>
      <c r="M136" s="1130"/>
      <c r="N136" s="1130"/>
      <c r="O136" s="1130"/>
      <c r="P136" s="1130"/>
      <c r="Q136" s="1130"/>
      <c r="R136" s="1130"/>
      <c r="S136" s="1130"/>
      <c r="T136" s="1130"/>
      <c r="U136" s="1130"/>
      <c r="V136" s="1130"/>
      <c r="W136" s="1130"/>
      <c r="X136" s="1130"/>
      <c r="Y136" s="1130"/>
      <c r="Z136" s="1130"/>
    </row>
    <row r="137" spans="1:26" ht="15.75" customHeight="1">
      <c r="A137" s="1129"/>
      <c r="B137" s="1130"/>
      <c r="C137" s="1130"/>
      <c r="D137" s="1130"/>
      <c r="E137" s="1130"/>
      <c r="F137" s="1130"/>
      <c r="G137" s="1130"/>
      <c r="H137" s="1130"/>
      <c r="I137" s="1130"/>
      <c r="J137" s="1130"/>
      <c r="K137" s="1130"/>
      <c r="L137" s="1130"/>
      <c r="M137" s="1130"/>
      <c r="N137" s="1130"/>
      <c r="O137" s="1130"/>
      <c r="P137" s="1130"/>
      <c r="Q137" s="1130"/>
      <c r="R137" s="1130"/>
      <c r="S137" s="1130"/>
      <c r="T137" s="1130"/>
      <c r="U137" s="1130"/>
      <c r="V137" s="1130"/>
      <c r="W137" s="1130"/>
      <c r="X137" s="1130"/>
      <c r="Y137" s="1130"/>
      <c r="Z137" s="1130"/>
    </row>
    <row r="138" spans="1:26" ht="15.75" customHeight="1">
      <c r="A138" s="1129"/>
      <c r="B138" s="1130"/>
      <c r="C138" s="1130"/>
      <c r="D138" s="1130"/>
      <c r="E138" s="1130"/>
      <c r="F138" s="1130"/>
      <c r="G138" s="1130"/>
      <c r="H138" s="1130"/>
      <c r="I138" s="1130"/>
      <c r="J138" s="1130"/>
      <c r="K138" s="1130"/>
      <c r="L138" s="1130"/>
      <c r="M138" s="1130"/>
      <c r="N138" s="1130"/>
      <c r="O138" s="1130"/>
      <c r="P138" s="1130"/>
      <c r="Q138" s="1130"/>
      <c r="R138" s="1130"/>
      <c r="S138" s="1130"/>
      <c r="T138" s="1130"/>
      <c r="U138" s="1130"/>
      <c r="V138" s="1130"/>
      <c r="W138" s="1130"/>
      <c r="X138" s="1130"/>
      <c r="Y138" s="1130"/>
      <c r="Z138" s="1130"/>
    </row>
    <row r="139" spans="1:26" ht="15.75" customHeight="1">
      <c r="A139" s="1129"/>
      <c r="B139" s="1130"/>
      <c r="C139" s="1130"/>
      <c r="D139" s="1130"/>
      <c r="E139" s="1130"/>
      <c r="F139" s="1130"/>
      <c r="G139" s="1130"/>
      <c r="H139" s="1130"/>
      <c r="I139" s="1130"/>
      <c r="J139" s="1130"/>
      <c r="K139" s="1130"/>
      <c r="L139" s="1130"/>
      <c r="M139" s="1130"/>
      <c r="N139" s="1130"/>
      <c r="O139" s="1130"/>
      <c r="P139" s="1130"/>
      <c r="Q139" s="1130"/>
      <c r="R139" s="1130"/>
      <c r="S139" s="1130"/>
      <c r="T139" s="1130"/>
      <c r="U139" s="1130"/>
      <c r="V139" s="1130"/>
      <c r="W139" s="1130"/>
      <c r="X139" s="1130"/>
      <c r="Y139" s="1130"/>
      <c r="Z139" s="1130"/>
    </row>
    <row r="140" spans="1:26" ht="15.75" customHeight="1">
      <c r="A140" s="1129"/>
      <c r="B140" s="1130"/>
      <c r="C140" s="1130"/>
      <c r="D140" s="1130"/>
      <c r="E140" s="1130"/>
      <c r="F140" s="1130"/>
      <c r="G140" s="1130"/>
      <c r="H140" s="1130"/>
      <c r="I140" s="1130"/>
      <c r="J140" s="1130"/>
      <c r="K140" s="1130"/>
      <c r="L140" s="1130"/>
      <c r="M140" s="1130"/>
      <c r="N140" s="1130"/>
      <c r="O140" s="1130"/>
      <c r="P140" s="1130"/>
      <c r="Q140" s="1130"/>
      <c r="R140" s="1130"/>
      <c r="S140" s="1130"/>
      <c r="T140" s="1130"/>
      <c r="U140" s="1130"/>
      <c r="V140" s="1130"/>
      <c r="W140" s="1130"/>
      <c r="X140" s="1130"/>
      <c r="Y140" s="1130"/>
      <c r="Z140" s="1130"/>
    </row>
    <row r="141" spans="1:26" ht="15.75" customHeight="1">
      <c r="A141" s="1129"/>
      <c r="B141" s="1130"/>
      <c r="C141" s="1130"/>
      <c r="D141" s="1130"/>
      <c r="E141" s="1130"/>
      <c r="F141" s="1130"/>
      <c r="G141" s="1130"/>
      <c r="H141" s="1130"/>
      <c r="I141" s="1130"/>
      <c r="J141" s="1130"/>
      <c r="K141" s="1130"/>
      <c r="L141" s="1130"/>
      <c r="M141" s="1130"/>
      <c r="N141" s="1130"/>
      <c r="O141" s="1130"/>
      <c r="P141" s="1130"/>
      <c r="Q141" s="1130"/>
      <c r="R141" s="1130"/>
      <c r="S141" s="1130"/>
      <c r="T141" s="1130"/>
      <c r="U141" s="1130"/>
      <c r="V141" s="1130"/>
      <c r="W141" s="1130"/>
      <c r="X141" s="1130"/>
      <c r="Y141" s="1130"/>
      <c r="Z141" s="1130"/>
    </row>
    <row r="142" spans="1:26" ht="15.75" customHeight="1">
      <c r="A142" s="1129"/>
      <c r="B142" s="1130"/>
      <c r="C142" s="1130"/>
      <c r="D142" s="1130"/>
      <c r="E142" s="1130"/>
      <c r="F142" s="1130"/>
      <c r="G142" s="1130"/>
      <c r="H142" s="1130"/>
      <c r="I142" s="1130"/>
      <c r="J142" s="1130"/>
      <c r="K142" s="1130"/>
      <c r="L142" s="1130"/>
      <c r="M142" s="1130"/>
      <c r="N142" s="1130"/>
      <c r="O142" s="1130"/>
      <c r="P142" s="1130"/>
      <c r="Q142" s="1130"/>
      <c r="R142" s="1130"/>
      <c r="S142" s="1130"/>
      <c r="T142" s="1130"/>
      <c r="U142" s="1130"/>
      <c r="V142" s="1130"/>
      <c r="W142" s="1130"/>
      <c r="X142" s="1130"/>
      <c r="Y142" s="1130"/>
      <c r="Z142" s="1130"/>
    </row>
    <row r="143" spans="1:26" ht="15.75" customHeight="1">
      <c r="A143" s="1129"/>
      <c r="B143" s="1130"/>
      <c r="C143" s="1130"/>
      <c r="D143" s="1130"/>
      <c r="E143" s="1130"/>
      <c r="F143" s="1130"/>
      <c r="G143" s="1130"/>
      <c r="H143" s="1130"/>
      <c r="I143" s="1130"/>
      <c r="J143" s="1130"/>
      <c r="K143" s="1130"/>
      <c r="L143" s="1130"/>
      <c r="M143" s="1130"/>
      <c r="N143" s="1130"/>
      <c r="O143" s="1130"/>
      <c r="P143" s="1130"/>
      <c r="Q143" s="1130"/>
      <c r="R143" s="1130"/>
      <c r="S143" s="1130"/>
      <c r="T143" s="1130"/>
      <c r="U143" s="1130"/>
      <c r="V143" s="1130"/>
      <c r="W143" s="1130"/>
      <c r="X143" s="1130"/>
      <c r="Y143" s="1130"/>
      <c r="Z143" s="1130"/>
    </row>
    <row r="144" spans="1:26" ht="15.75" customHeight="1">
      <c r="A144" s="1129"/>
      <c r="B144" s="1130"/>
      <c r="C144" s="1130"/>
      <c r="D144" s="1130"/>
      <c r="E144" s="1130"/>
      <c r="F144" s="1130"/>
      <c r="G144" s="1130"/>
      <c r="H144" s="1130"/>
      <c r="I144" s="1130"/>
      <c r="J144" s="1130"/>
      <c r="K144" s="1130"/>
      <c r="L144" s="1130"/>
      <c r="M144" s="1130"/>
      <c r="N144" s="1130"/>
      <c r="O144" s="1130"/>
      <c r="P144" s="1130"/>
      <c r="Q144" s="1130"/>
      <c r="R144" s="1130"/>
      <c r="S144" s="1130"/>
      <c r="T144" s="1130"/>
      <c r="U144" s="1130"/>
      <c r="V144" s="1130"/>
      <c r="W144" s="1130"/>
      <c r="X144" s="1130"/>
      <c r="Y144" s="1130"/>
      <c r="Z144" s="1130"/>
    </row>
    <row r="145" spans="1:26" ht="15.75" customHeight="1">
      <c r="A145" s="1129"/>
      <c r="B145" s="1130"/>
      <c r="C145" s="1130"/>
      <c r="D145" s="1130"/>
      <c r="E145" s="1130"/>
      <c r="F145" s="1130"/>
      <c r="G145" s="1130"/>
      <c r="H145" s="1130"/>
      <c r="I145" s="1130"/>
      <c r="J145" s="1130"/>
      <c r="K145" s="1130"/>
      <c r="L145" s="1130"/>
      <c r="M145" s="1130"/>
      <c r="N145" s="1130"/>
      <c r="O145" s="1130"/>
      <c r="P145" s="1130"/>
      <c r="Q145" s="1130"/>
      <c r="R145" s="1130"/>
      <c r="S145" s="1130"/>
      <c r="T145" s="1130"/>
      <c r="U145" s="1130"/>
      <c r="V145" s="1130"/>
      <c r="W145" s="1130"/>
      <c r="X145" s="1130"/>
      <c r="Y145" s="1130"/>
      <c r="Z145" s="1130"/>
    </row>
    <row r="146" spans="1:26" ht="15.75" customHeight="1">
      <c r="A146" s="1129"/>
      <c r="B146" s="1130"/>
      <c r="C146" s="1130"/>
      <c r="D146" s="1130"/>
      <c r="E146" s="1130"/>
      <c r="F146" s="1130"/>
      <c r="G146" s="1130"/>
      <c r="H146" s="1130"/>
      <c r="I146" s="1130"/>
      <c r="J146" s="1130"/>
      <c r="K146" s="1130"/>
      <c r="L146" s="1130"/>
      <c r="M146" s="1130"/>
      <c r="N146" s="1130"/>
      <c r="O146" s="1130"/>
      <c r="P146" s="1130"/>
      <c r="Q146" s="1130"/>
      <c r="R146" s="1130"/>
      <c r="S146" s="1130"/>
      <c r="T146" s="1130"/>
      <c r="U146" s="1130"/>
      <c r="V146" s="1130"/>
      <c r="W146" s="1130"/>
      <c r="X146" s="1130"/>
      <c r="Y146" s="1130"/>
      <c r="Z146" s="1130"/>
    </row>
    <row r="147" spans="1:26" ht="15.75" customHeight="1">
      <c r="A147" s="1129"/>
      <c r="B147" s="1130"/>
      <c r="C147" s="1130"/>
      <c r="D147" s="1130"/>
      <c r="E147" s="1130"/>
      <c r="F147" s="1130"/>
      <c r="G147" s="1130"/>
      <c r="H147" s="1130"/>
      <c r="I147" s="1130"/>
      <c r="J147" s="1130"/>
      <c r="K147" s="1130"/>
      <c r="L147" s="1130"/>
      <c r="M147" s="1130"/>
      <c r="N147" s="1130"/>
      <c r="O147" s="1130"/>
      <c r="P147" s="1130"/>
      <c r="Q147" s="1130"/>
      <c r="R147" s="1130"/>
      <c r="S147" s="1130"/>
      <c r="T147" s="1130"/>
      <c r="U147" s="1130"/>
      <c r="V147" s="1130"/>
      <c r="W147" s="1130"/>
      <c r="X147" s="1130"/>
      <c r="Y147" s="1130"/>
      <c r="Z147" s="1130"/>
    </row>
    <row r="148" spans="1:26" ht="15.75" customHeight="1">
      <c r="A148" s="1129"/>
      <c r="B148" s="1130"/>
      <c r="C148" s="1130"/>
      <c r="D148" s="1130"/>
      <c r="E148" s="1130"/>
      <c r="F148" s="1130"/>
      <c r="G148" s="1130"/>
      <c r="H148" s="1130"/>
      <c r="I148" s="1130"/>
      <c r="J148" s="1130"/>
      <c r="K148" s="1130"/>
      <c r="L148" s="1130"/>
      <c r="M148" s="1130"/>
      <c r="N148" s="1130"/>
      <c r="O148" s="1130"/>
      <c r="P148" s="1130"/>
      <c r="Q148" s="1130"/>
      <c r="R148" s="1130"/>
      <c r="S148" s="1130"/>
      <c r="T148" s="1130"/>
      <c r="U148" s="1130"/>
      <c r="V148" s="1130"/>
      <c r="W148" s="1130"/>
      <c r="X148" s="1130"/>
      <c r="Y148" s="1130"/>
      <c r="Z148" s="1130"/>
    </row>
    <row r="149" spans="1:26" ht="15.75" customHeight="1">
      <c r="A149" s="1129"/>
      <c r="B149" s="1130"/>
      <c r="C149" s="1130"/>
      <c r="D149" s="1130"/>
      <c r="E149" s="1130"/>
      <c r="F149" s="1130"/>
      <c r="G149" s="1130"/>
      <c r="H149" s="1130"/>
      <c r="I149" s="1130"/>
      <c r="J149" s="1130"/>
      <c r="K149" s="1130"/>
      <c r="L149" s="1130"/>
      <c r="M149" s="1130"/>
      <c r="N149" s="1130"/>
      <c r="O149" s="1130"/>
      <c r="P149" s="1130"/>
      <c r="Q149" s="1130"/>
      <c r="R149" s="1130"/>
      <c r="S149" s="1130"/>
      <c r="T149" s="1130"/>
      <c r="U149" s="1130"/>
      <c r="V149" s="1130"/>
      <c r="W149" s="1130"/>
      <c r="X149" s="1130"/>
      <c r="Y149" s="1130"/>
      <c r="Z149" s="1130"/>
    </row>
    <row r="150" spans="1:26" ht="15.75" customHeight="1">
      <c r="A150" s="1129"/>
      <c r="B150" s="1130"/>
      <c r="C150" s="1130"/>
      <c r="D150" s="1130"/>
      <c r="E150" s="1130"/>
      <c r="F150" s="1130"/>
      <c r="G150" s="1130"/>
      <c r="H150" s="1130"/>
      <c r="I150" s="1130"/>
      <c r="J150" s="1130"/>
      <c r="K150" s="1130"/>
      <c r="L150" s="1130"/>
      <c r="M150" s="1130"/>
      <c r="N150" s="1130"/>
      <c r="O150" s="1130"/>
      <c r="P150" s="1130"/>
      <c r="Q150" s="1130"/>
      <c r="R150" s="1130"/>
      <c r="S150" s="1130"/>
      <c r="T150" s="1130"/>
      <c r="U150" s="1130"/>
      <c r="V150" s="1130"/>
      <c r="W150" s="1130"/>
      <c r="X150" s="1130"/>
      <c r="Y150" s="1130"/>
      <c r="Z150" s="1130"/>
    </row>
    <row r="151" spans="1:26" ht="15.75" customHeight="1">
      <c r="A151" s="1129"/>
      <c r="B151" s="1130"/>
      <c r="C151" s="1130"/>
      <c r="D151" s="1130"/>
      <c r="E151" s="1130"/>
      <c r="F151" s="1130"/>
      <c r="G151" s="1130"/>
      <c r="H151" s="1130"/>
      <c r="I151" s="1130"/>
      <c r="J151" s="1130"/>
      <c r="K151" s="1130"/>
      <c r="L151" s="1130"/>
      <c r="M151" s="1130"/>
      <c r="N151" s="1130"/>
      <c r="O151" s="1130"/>
      <c r="P151" s="1130"/>
      <c r="Q151" s="1130"/>
      <c r="R151" s="1130"/>
      <c r="S151" s="1130"/>
      <c r="T151" s="1130"/>
      <c r="U151" s="1130"/>
      <c r="V151" s="1130"/>
      <c r="W151" s="1130"/>
      <c r="X151" s="1130"/>
      <c r="Y151" s="1130"/>
      <c r="Z151" s="1130"/>
    </row>
    <row r="152" spans="1:26" ht="15.75" customHeight="1">
      <c r="A152" s="1129"/>
      <c r="B152" s="1130"/>
      <c r="C152" s="1130"/>
      <c r="D152" s="1130"/>
      <c r="E152" s="1130"/>
      <c r="F152" s="1130"/>
      <c r="G152" s="1130"/>
      <c r="H152" s="1130"/>
      <c r="I152" s="1130"/>
      <c r="J152" s="1130"/>
      <c r="K152" s="1130"/>
      <c r="L152" s="1130"/>
      <c r="M152" s="1130"/>
      <c r="N152" s="1130"/>
      <c r="O152" s="1130"/>
      <c r="P152" s="1130"/>
      <c r="Q152" s="1130"/>
      <c r="R152" s="1130"/>
      <c r="S152" s="1130"/>
      <c r="T152" s="1130"/>
      <c r="U152" s="1130"/>
      <c r="V152" s="1130"/>
      <c r="W152" s="1130"/>
      <c r="X152" s="1130"/>
      <c r="Y152" s="1130"/>
      <c r="Z152" s="1130"/>
    </row>
    <row r="153" spans="1:26" ht="15.75" customHeight="1">
      <c r="A153" s="1129"/>
      <c r="B153" s="1130"/>
      <c r="C153" s="1130"/>
      <c r="D153" s="1130"/>
      <c r="E153" s="1130"/>
      <c r="F153" s="1130"/>
      <c r="G153" s="1130"/>
      <c r="H153" s="1130"/>
      <c r="I153" s="1130"/>
      <c r="J153" s="1130"/>
      <c r="K153" s="1130"/>
      <c r="L153" s="1130"/>
      <c r="M153" s="1130"/>
      <c r="N153" s="1130"/>
      <c r="O153" s="1130"/>
      <c r="P153" s="1130"/>
      <c r="Q153" s="1130"/>
      <c r="R153" s="1130"/>
      <c r="S153" s="1130"/>
      <c r="T153" s="1130"/>
      <c r="U153" s="1130"/>
      <c r="V153" s="1130"/>
      <c r="W153" s="1130"/>
      <c r="X153" s="1130"/>
      <c r="Y153" s="1130"/>
      <c r="Z153" s="1130"/>
    </row>
    <row r="154" spans="1:26" ht="15.75" customHeight="1">
      <c r="A154" s="1129"/>
      <c r="B154" s="1130"/>
      <c r="C154" s="1130"/>
      <c r="D154" s="1130"/>
      <c r="E154" s="1130"/>
      <c r="F154" s="1130"/>
      <c r="G154" s="1130"/>
      <c r="H154" s="1130"/>
      <c r="I154" s="1130"/>
      <c r="J154" s="1130"/>
      <c r="K154" s="1130"/>
      <c r="L154" s="1130"/>
      <c r="M154" s="1130"/>
      <c r="N154" s="1130"/>
      <c r="O154" s="1130"/>
      <c r="P154" s="1130"/>
      <c r="Q154" s="1130"/>
      <c r="R154" s="1130"/>
      <c r="S154" s="1130"/>
      <c r="T154" s="1130"/>
      <c r="U154" s="1130"/>
      <c r="V154" s="1130"/>
      <c r="W154" s="1130"/>
      <c r="X154" s="1130"/>
      <c r="Y154" s="1130"/>
      <c r="Z154" s="1130"/>
    </row>
    <row r="155" spans="1:26" ht="15.75" customHeight="1">
      <c r="A155" s="1129"/>
      <c r="B155" s="1130"/>
      <c r="C155" s="1130"/>
      <c r="D155" s="1130"/>
      <c r="E155" s="1130"/>
      <c r="F155" s="1130"/>
      <c r="G155" s="1130"/>
      <c r="H155" s="1130"/>
      <c r="I155" s="1130"/>
      <c r="J155" s="1130"/>
      <c r="K155" s="1130"/>
      <c r="L155" s="1130"/>
      <c r="M155" s="1130"/>
      <c r="N155" s="1130"/>
      <c r="O155" s="1130"/>
      <c r="P155" s="1130"/>
      <c r="Q155" s="1130"/>
      <c r="R155" s="1130"/>
      <c r="S155" s="1130"/>
      <c r="T155" s="1130"/>
      <c r="U155" s="1130"/>
      <c r="V155" s="1130"/>
      <c r="W155" s="1130"/>
      <c r="X155" s="1130"/>
      <c r="Y155" s="1130"/>
      <c r="Z155" s="1130"/>
    </row>
    <row r="156" spans="1:26" ht="15.75" customHeight="1">
      <c r="A156" s="1129"/>
      <c r="B156" s="1130"/>
      <c r="C156" s="1130"/>
      <c r="D156" s="1130"/>
      <c r="E156" s="1130"/>
      <c r="F156" s="1130"/>
      <c r="G156" s="1130"/>
      <c r="H156" s="1130"/>
      <c r="I156" s="1130"/>
      <c r="J156" s="1130"/>
      <c r="K156" s="1130"/>
      <c r="L156" s="1130"/>
      <c r="M156" s="1130"/>
      <c r="N156" s="1130"/>
      <c r="O156" s="1130"/>
      <c r="P156" s="1130"/>
      <c r="Q156" s="1130"/>
      <c r="R156" s="1130"/>
      <c r="S156" s="1130"/>
      <c r="T156" s="1130"/>
      <c r="U156" s="1130"/>
      <c r="V156" s="1130"/>
      <c r="W156" s="1130"/>
      <c r="X156" s="1130"/>
      <c r="Y156" s="1130"/>
      <c r="Z156" s="1130"/>
    </row>
    <row r="157" spans="1:26" ht="15.75" customHeight="1">
      <c r="A157" s="1129"/>
      <c r="B157" s="1130"/>
      <c r="C157" s="1130"/>
      <c r="D157" s="1130"/>
      <c r="E157" s="1130"/>
      <c r="F157" s="1130"/>
      <c r="G157" s="1130"/>
      <c r="H157" s="1130"/>
      <c r="I157" s="1130"/>
      <c r="J157" s="1130"/>
      <c r="K157" s="1130"/>
      <c r="L157" s="1130"/>
      <c r="M157" s="1130"/>
      <c r="N157" s="1130"/>
      <c r="O157" s="1130"/>
      <c r="P157" s="1130"/>
      <c r="Q157" s="1130"/>
      <c r="R157" s="1130"/>
      <c r="S157" s="1130"/>
      <c r="T157" s="1130"/>
      <c r="U157" s="1130"/>
      <c r="V157" s="1130"/>
      <c r="W157" s="1130"/>
      <c r="X157" s="1130"/>
      <c r="Y157" s="1130"/>
      <c r="Z157" s="1130"/>
    </row>
    <row r="158" spans="1:26" ht="15.75" customHeight="1">
      <c r="A158" s="1129"/>
      <c r="B158" s="1130"/>
      <c r="C158" s="1130"/>
      <c r="D158" s="1130"/>
      <c r="E158" s="1130"/>
      <c r="F158" s="1130"/>
      <c r="G158" s="1130"/>
      <c r="H158" s="1130"/>
      <c r="I158" s="1130"/>
      <c r="J158" s="1130"/>
      <c r="K158" s="1130"/>
      <c r="L158" s="1130"/>
      <c r="M158" s="1130"/>
      <c r="N158" s="1130"/>
      <c r="O158" s="1130"/>
      <c r="P158" s="1130"/>
      <c r="Q158" s="1130"/>
      <c r="R158" s="1130"/>
      <c r="S158" s="1130"/>
      <c r="T158" s="1130"/>
      <c r="U158" s="1130"/>
      <c r="V158" s="1130"/>
      <c r="W158" s="1130"/>
      <c r="X158" s="1130"/>
      <c r="Y158" s="1130"/>
      <c r="Z158" s="1130"/>
    </row>
    <row r="159" spans="1:26" ht="15.75" customHeight="1">
      <c r="A159" s="1129"/>
      <c r="B159" s="1130"/>
      <c r="C159" s="1130"/>
      <c r="D159" s="1130"/>
      <c r="E159" s="1130"/>
      <c r="F159" s="1130"/>
      <c r="G159" s="1130"/>
      <c r="H159" s="1130"/>
      <c r="I159" s="1130"/>
      <c r="J159" s="1130"/>
      <c r="K159" s="1130"/>
      <c r="L159" s="1130"/>
      <c r="M159" s="1130"/>
      <c r="N159" s="1130"/>
      <c r="O159" s="1130"/>
      <c r="P159" s="1130"/>
      <c r="Q159" s="1130"/>
      <c r="R159" s="1130"/>
      <c r="S159" s="1130"/>
      <c r="T159" s="1130"/>
      <c r="U159" s="1130"/>
      <c r="V159" s="1130"/>
      <c r="W159" s="1130"/>
      <c r="X159" s="1130"/>
      <c r="Y159" s="1130"/>
      <c r="Z159" s="1130"/>
    </row>
    <row r="160" spans="1:26" ht="15.75" customHeight="1">
      <c r="A160" s="1129"/>
      <c r="B160" s="1130"/>
      <c r="C160" s="1130"/>
      <c r="D160" s="1130"/>
      <c r="E160" s="1130"/>
      <c r="F160" s="1130"/>
      <c r="G160" s="1130"/>
      <c r="H160" s="1130"/>
      <c r="I160" s="1130"/>
      <c r="J160" s="1130"/>
      <c r="K160" s="1130"/>
      <c r="L160" s="1130"/>
      <c r="M160" s="1130"/>
      <c r="N160" s="1130"/>
      <c r="O160" s="1130"/>
      <c r="P160" s="1130"/>
      <c r="Q160" s="1130"/>
      <c r="R160" s="1130"/>
      <c r="S160" s="1130"/>
      <c r="T160" s="1130"/>
      <c r="U160" s="1130"/>
      <c r="V160" s="1130"/>
      <c r="W160" s="1130"/>
      <c r="X160" s="1130"/>
      <c r="Y160" s="1130"/>
      <c r="Z160" s="1130"/>
    </row>
    <row r="161" spans="1:26" ht="15.75" customHeight="1">
      <c r="A161" s="1129"/>
      <c r="B161" s="1130"/>
      <c r="C161" s="1130"/>
      <c r="D161" s="1130"/>
      <c r="E161" s="1130"/>
      <c r="F161" s="1130"/>
      <c r="G161" s="1130"/>
      <c r="H161" s="1130"/>
      <c r="I161" s="1130"/>
      <c r="J161" s="1130"/>
      <c r="K161" s="1130"/>
      <c r="L161" s="1130"/>
      <c r="M161" s="1130"/>
      <c r="N161" s="1130"/>
      <c r="O161" s="1130"/>
      <c r="P161" s="1130"/>
      <c r="Q161" s="1130"/>
      <c r="R161" s="1130"/>
      <c r="S161" s="1130"/>
      <c r="T161" s="1130"/>
      <c r="U161" s="1130"/>
      <c r="V161" s="1130"/>
      <c r="W161" s="1130"/>
      <c r="X161" s="1130"/>
      <c r="Y161" s="1130"/>
      <c r="Z161" s="1130"/>
    </row>
    <row r="162" spans="1:26" ht="15.75" customHeight="1">
      <c r="A162" s="1129"/>
      <c r="B162" s="1130"/>
      <c r="C162" s="1130"/>
      <c r="D162" s="1130"/>
      <c r="E162" s="1130"/>
      <c r="F162" s="1130"/>
      <c r="G162" s="1130"/>
      <c r="H162" s="1130"/>
      <c r="I162" s="1130"/>
      <c r="J162" s="1130"/>
      <c r="K162" s="1130"/>
      <c r="L162" s="1130"/>
      <c r="M162" s="1130"/>
      <c r="N162" s="1130"/>
      <c r="O162" s="1130"/>
      <c r="P162" s="1130"/>
      <c r="Q162" s="1130"/>
      <c r="R162" s="1130"/>
      <c r="S162" s="1130"/>
      <c r="T162" s="1130"/>
      <c r="U162" s="1130"/>
      <c r="V162" s="1130"/>
      <c r="W162" s="1130"/>
      <c r="X162" s="1130"/>
      <c r="Y162" s="1130"/>
      <c r="Z162" s="1130"/>
    </row>
    <row r="163" spans="1:26" ht="15.75" customHeight="1">
      <c r="A163" s="1129"/>
      <c r="B163" s="1130"/>
      <c r="C163" s="1130"/>
      <c r="D163" s="1130"/>
      <c r="E163" s="1130"/>
      <c r="F163" s="1130"/>
      <c r="G163" s="1130"/>
      <c r="H163" s="1130"/>
      <c r="I163" s="1130"/>
      <c r="J163" s="1130"/>
      <c r="K163" s="1130"/>
      <c r="L163" s="1130"/>
      <c r="M163" s="1130"/>
      <c r="N163" s="1130"/>
      <c r="O163" s="1130"/>
      <c r="P163" s="1130"/>
      <c r="Q163" s="1130"/>
      <c r="R163" s="1130"/>
      <c r="S163" s="1130"/>
      <c r="T163" s="1130"/>
      <c r="U163" s="1130"/>
      <c r="V163" s="1130"/>
      <c r="W163" s="1130"/>
      <c r="X163" s="1130"/>
      <c r="Y163" s="1130"/>
      <c r="Z163" s="1130"/>
    </row>
    <row r="164" spans="1:26" ht="15.75" customHeight="1">
      <c r="A164" s="1129"/>
      <c r="B164" s="1130"/>
      <c r="C164" s="1130"/>
      <c r="D164" s="1130"/>
      <c r="E164" s="1130"/>
      <c r="F164" s="1130"/>
      <c r="G164" s="1130"/>
      <c r="H164" s="1130"/>
      <c r="I164" s="1130"/>
      <c r="J164" s="1130"/>
      <c r="K164" s="1130"/>
      <c r="L164" s="1130"/>
      <c r="M164" s="1130"/>
      <c r="N164" s="1130"/>
      <c r="O164" s="1130"/>
      <c r="P164" s="1130"/>
      <c r="Q164" s="1130"/>
      <c r="R164" s="1130"/>
      <c r="S164" s="1130"/>
      <c r="T164" s="1130"/>
      <c r="U164" s="1130"/>
      <c r="V164" s="1130"/>
      <c r="W164" s="1130"/>
      <c r="X164" s="1130"/>
      <c r="Y164" s="1130"/>
      <c r="Z164" s="1130"/>
    </row>
    <row r="165" spans="1:26" ht="15.75" customHeight="1">
      <c r="A165" s="1129"/>
      <c r="B165" s="1130"/>
      <c r="C165" s="1130"/>
      <c r="D165" s="1130"/>
      <c r="E165" s="1130"/>
      <c r="F165" s="1130"/>
      <c r="G165" s="1130"/>
      <c r="H165" s="1130"/>
      <c r="I165" s="1130"/>
      <c r="J165" s="1130"/>
      <c r="K165" s="1130"/>
      <c r="L165" s="1130"/>
      <c r="M165" s="1130"/>
      <c r="N165" s="1130"/>
      <c r="O165" s="1130"/>
      <c r="P165" s="1130"/>
      <c r="Q165" s="1130"/>
      <c r="R165" s="1130"/>
      <c r="S165" s="1130"/>
      <c r="T165" s="1130"/>
      <c r="U165" s="1130"/>
      <c r="V165" s="1130"/>
      <c r="W165" s="1130"/>
      <c r="X165" s="1130"/>
      <c r="Y165" s="1130"/>
      <c r="Z165" s="1130"/>
    </row>
    <row r="166" spans="1:26" ht="15.75" customHeight="1">
      <c r="A166" s="1129"/>
      <c r="B166" s="1130"/>
      <c r="C166" s="1130"/>
      <c r="D166" s="1130"/>
      <c r="E166" s="1130"/>
      <c r="F166" s="1130"/>
      <c r="G166" s="1130"/>
      <c r="H166" s="1130"/>
      <c r="I166" s="1130"/>
      <c r="J166" s="1130"/>
      <c r="K166" s="1130"/>
      <c r="L166" s="1130"/>
      <c r="M166" s="1130"/>
      <c r="N166" s="1130"/>
      <c r="O166" s="1130"/>
      <c r="P166" s="1130"/>
      <c r="Q166" s="1130"/>
      <c r="R166" s="1130"/>
      <c r="S166" s="1130"/>
      <c r="T166" s="1130"/>
      <c r="U166" s="1130"/>
      <c r="V166" s="1130"/>
      <c r="W166" s="1130"/>
      <c r="X166" s="1130"/>
      <c r="Y166" s="1130"/>
      <c r="Z166" s="1130"/>
    </row>
    <row r="167" spans="1:26" ht="15.75" customHeight="1">
      <c r="A167" s="1129"/>
      <c r="B167" s="1130"/>
      <c r="C167" s="1130"/>
      <c r="D167" s="1130"/>
      <c r="E167" s="1130"/>
      <c r="F167" s="1130"/>
      <c r="G167" s="1130"/>
      <c r="H167" s="1130"/>
      <c r="I167" s="1130"/>
      <c r="J167" s="1130"/>
      <c r="K167" s="1130"/>
      <c r="L167" s="1130"/>
      <c r="M167" s="1130"/>
      <c r="N167" s="1130"/>
      <c r="O167" s="1130"/>
      <c r="P167" s="1130"/>
      <c r="Q167" s="1130"/>
      <c r="R167" s="1130"/>
      <c r="S167" s="1130"/>
      <c r="T167" s="1130"/>
      <c r="U167" s="1130"/>
      <c r="V167" s="1130"/>
      <c r="W167" s="1130"/>
      <c r="X167" s="1130"/>
      <c r="Y167" s="1130"/>
      <c r="Z167" s="1130"/>
    </row>
    <row r="168" spans="1:26" ht="15.75" customHeight="1">
      <c r="A168" s="1129"/>
      <c r="B168" s="1130"/>
      <c r="C168" s="1130"/>
      <c r="D168" s="1130"/>
      <c r="E168" s="1130"/>
      <c r="F168" s="1130"/>
      <c r="G168" s="1130"/>
      <c r="H168" s="1130"/>
      <c r="I168" s="1130"/>
      <c r="J168" s="1130"/>
      <c r="K168" s="1130"/>
      <c r="L168" s="1130"/>
      <c r="M168" s="1130"/>
      <c r="N168" s="1130"/>
      <c r="O168" s="1130"/>
      <c r="P168" s="1130"/>
      <c r="Q168" s="1130"/>
      <c r="R168" s="1130"/>
      <c r="S168" s="1130"/>
      <c r="T168" s="1130"/>
      <c r="U168" s="1130"/>
      <c r="V168" s="1130"/>
      <c r="W168" s="1130"/>
      <c r="X168" s="1130"/>
      <c r="Y168" s="1130"/>
      <c r="Z168" s="1130"/>
    </row>
    <row r="169" spans="1:26" ht="15.75" customHeight="1">
      <c r="A169" s="1129"/>
      <c r="B169" s="1130"/>
      <c r="C169" s="1130"/>
      <c r="D169" s="1130"/>
      <c r="E169" s="1130"/>
      <c r="F169" s="1130"/>
      <c r="G169" s="1130"/>
      <c r="H169" s="1130"/>
      <c r="I169" s="1130"/>
      <c r="J169" s="1130"/>
      <c r="K169" s="1130"/>
      <c r="L169" s="1130"/>
      <c r="M169" s="1130"/>
      <c r="N169" s="1130"/>
      <c r="O169" s="1130"/>
      <c r="P169" s="1130"/>
      <c r="Q169" s="1130"/>
      <c r="R169" s="1130"/>
      <c r="S169" s="1130"/>
      <c r="T169" s="1130"/>
      <c r="U169" s="1130"/>
      <c r="V169" s="1130"/>
      <c r="W169" s="1130"/>
      <c r="X169" s="1130"/>
      <c r="Y169" s="1130"/>
      <c r="Z169" s="1130"/>
    </row>
    <row r="170" spans="1:26" ht="15.75" customHeight="1">
      <c r="A170" s="1129"/>
      <c r="B170" s="1130"/>
      <c r="C170" s="1130"/>
      <c r="D170" s="1130"/>
      <c r="E170" s="1130"/>
      <c r="F170" s="1130"/>
      <c r="G170" s="1130"/>
      <c r="H170" s="1130"/>
      <c r="I170" s="1130"/>
      <c r="J170" s="1130"/>
      <c r="K170" s="1130"/>
      <c r="L170" s="1130"/>
      <c r="M170" s="1130"/>
      <c r="N170" s="1130"/>
      <c r="O170" s="1130"/>
      <c r="P170" s="1130"/>
      <c r="Q170" s="1130"/>
      <c r="R170" s="1130"/>
      <c r="S170" s="1130"/>
      <c r="T170" s="1130"/>
      <c r="U170" s="1130"/>
      <c r="V170" s="1130"/>
      <c r="W170" s="1130"/>
      <c r="X170" s="1130"/>
      <c r="Y170" s="1130"/>
      <c r="Z170" s="1130"/>
    </row>
    <row r="171" spans="1:26" ht="15.75" customHeight="1">
      <c r="A171" s="1129"/>
      <c r="B171" s="1130"/>
      <c r="C171" s="1130"/>
      <c r="D171" s="1130"/>
      <c r="E171" s="1130"/>
      <c r="F171" s="1130"/>
      <c r="G171" s="1130"/>
      <c r="H171" s="1130"/>
      <c r="I171" s="1130"/>
      <c r="J171" s="1130"/>
      <c r="K171" s="1130"/>
      <c r="L171" s="1130"/>
      <c r="M171" s="1130"/>
      <c r="N171" s="1130"/>
      <c r="O171" s="1130"/>
      <c r="P171" s="1130"/>
      <c r="Q171" s="1130"/>
      <c r="R171" s="1130"/>
      <c r="S171" s="1130"/>
      <c r="T171" s="1130"/>
      <c r="U171" s="1130"/>
      <c r="V171" s="1130"/>
      <c r="W171" s="1130"/>
      <c r="X171" s="1130"/>
      <c r="Y171" s="1130"/>
      <c r="Z171" s="1130"/>
    </row>
    <row r="172" spans="1:26" ht="15.75" customHeight="1">
      <c r="A172" s="1129"/>
      <c r="B172" s="1130"/>
      <c r="C172" s="1130"/>
      <c r="D172" s="1130"/>
      <c r="E172" s="1130"/>
      <c r="F172" s="1130"/>
      <c r="G172" s="1130"/>
      <c r="H172" s="1130"/>
      <c r="I172" s="1130"/>
      <c r="J172" s="1130"/>
      <c r="K172" s="1130"/>
      <c r="L172" s="1130"/>
      <c r="M172" s="1130"/>
      <c r="N172" s="1130"/>
      <c r="O172" s="1130"/>
      <c r="P172" s="1130"/>
      <c r="Q172" s="1130"/>
      <c r="R172" s="1130"/>
      <c r="S172" s="1130"/>
      <c r="T172" s="1130"/>
      <c r="U172" s="1130"/>
      <c r="V172" s="1130"/>
      <c r="W172" s="1130"/>
      <c r="X172" s="1130"/>
      <c r="Y172" s="1130"/>
      <c r="Z172" s="1130"/>
    </row>
    <row r="173" spans="1:26" ht="15.75" customHeight="1">
      <c r="A173" s="1129"/>
      <c r="B173" s="1130"/>
      <c r="C173" s="1130"/>
      <c r="D173" s="1130"/>
      <c r="E173" s="1130"/>
      <c r="F173" s="1130"/>
      <c r="G173" s="1130"/>
      <c r="H173" s="1130"/>
      <c r="I173" s="1130"/>
      <c r="J173" s="1130"/>
      <c r="K173" s="1130"/>
      <c r="L173" s="1130"/>
      <c r="M173" s="1130"/>
      <c r="N173" s="1130"/>
      <c r="O173" s="1130"/>
      <c r="P173" s="1130"/>
      <c r="Q173" s="1130"/>
      <c r="R173" s="1130"/>
      <c r="S173" s="1130"/>
      <c r="T173" s="1130"/>
      <c r="U173" s="1130"/>
      <c r="V173" s="1130"/>
      <c r="W173" s="1130"/>
      <c r="X173" s="1130"/>
      <c r="Y173" s="1130"/>
      <c r="Z173" s="1130"/>
    </row>
    <row r="174" spans="1:26" ht="15.75" customHeight="1">
      <c r="A174" s="1129"/>
      <c r="B174" s="1130"/>
      <c r="C174" s="1130"/>
      <c r="D174" s="1130"/>
      <c r="E174" s="1130"/>
      <c r="F174" s="1130"/>
      <c r="G174" s="1130"/>
      <c r="H174" s="1130"/>
      <c r="I174" s="1130"/>
      <c r="J174" s="1130"/>
      <c r="K174" s="1130"/>
      <c r="L174" s="1130"/>
      <c r="M174" s="1130"/>
      <c r="N174" s="1130"/>
      <c r="O174" s="1130"/>
      <c r="P174" s="1130"/>
      <c r="Q174" s="1130"/>
      <c r="R174" s="1130"/>
      <c r="S174" s="1130"/>
      <c r="T174" s="1130"/>
      <c r="U174" s="1130"/>
      <c r="V174" s="1130"/>
      <c r="W174" s="1130"/>
      <c r="X174" s="1130"/>
      <c r="Y174" s="1130"/>
      <c r="Z174" s="1130"/>
    </row>
    <row r="175" spans="1:26" ht="15.75" customHeight="1">
      <c r="A175" s="1129"/>
      <c r="B175" s="1130"/>
      <c r="C175" s="1130"/>
      <c r="D175" s="1130"/>
      <c r="E175" s="1130"/>
      <c r="F175" s="1130"/>
      <c r="G175" s="1130"/>
      <c r="H175" s="1130"/>
      <c r="I175" s="1130"/>
      <c r="J175" s="1130"/>
      <c r="K175" s="1130"/>
      <c r="L175" s="1130"/>
      <c r="M175" s="1130"/>
      <c r="N175" s="1130"/>
      <c r="O175" s="1130"/>
      <c r="P175" s="1130"/>
      <c r="Q175" s="1130"/>
      <c r="R175" s="1130"/>
      <c r="S175" s="1130"/>
      <c r="T175" s="1130"/>
      <c r="U175" s="1130"/>
      <c r="V175" s="1130"/>
      <c r="W175" s="1130"/>
      <c r="X175" s="1130"/>
      <c r="Y175" s="1130"/>
      <c r="Z175" s="1130"/>
    </row>
    <row r="176" spans="1:26" ht="15.75" customHeight="1">
      <c r="A176" s="1129"/>
      <c r="B176" s="1130"/>
      <c r="C176" s="1130"/>
      <c r="D176" s="1130"/>
      <c r="E176" s="1130"/>
      <c r="F176" s="1130"/>
      <c r="G176" s="1130"/>
      <c r="H176" s="1130"/>
      <c r="I176" s="1130"/>
      <c r="J176" s="1130"/>
      <c r="K176" s="1130"/>
      <c r="L176" s="1130"/>
      <c r="M176" s="1130"/>
      <c r="N176" s="1130"/>
      <c r="O176" s="1130"/>
      <c r="P176" s="1130"/>
      <c r="Q176" s="1130"/>
      <c r="R176" s="1130"/>
      <c r="S176" s="1130"/>
      <c r="T176" s="1130"/>
      <c r="U176" s="1130"/>
      <c r="V176" s="1130"/>
      <c r="W176" s="1130"/>
      <c r="X176" s="1130"/>
      <c r="Y176" s="1130"/>
      <c r="Z176" s="1130"/>
    </row>
    <row r="177" spans="1:26" ht="15.75" customHeight="1">
      <c r="A177" s="1129"/>
      <c r="B177" s="1130"/>
      <c r="C177" s="1130"/>
      <c r="D177" s="1130"/>
      <c r="E177" s="1130"/>
      <c r="F177" s="1130"/>
      <c r="G177" s="1130"/>
      <c r="H177" s="1130"/>
      <c r="I177" s="1130"/>
      <c r="J177" s="1130"/>
      <c r="K177" s="1130"/>
      <c r="L177" s="1130"/>
      <c r="M177" s="1130"/>
      <c r="N177" s="1130"/>
      <c r="O177" s="1130"/>
      <c r="P177" s="1130"/>
      <c r="Q177" s="1130"/>
      <c r="R177" s="1130"/>
      <c r="S177" s="1130"/>
      <c r="T177" s="1130"/>
      <c r="U177" s="1130"/>
      <c r="V177" s="1130"/>
      <c r="W177" s="1130"/>
      <c r="X177" s="1130"/>
      <c r="Y177" s="1130"/>
      <c r="Z177" s="1130"/>
    </row>
    <row r="178" spans="1:26" ht="15.75" customHeight="1">
      <c r="A178" s="1129"/>
      <c r="B178" s="1130"/>
      <c r="C178" s="1130"/>
      <c r="D178" s="1130"/>
      <c r="E178" s="1130"/>
      <c r="F178" s="1130"/>
      <c r="G178" s="1130"/>
      <c r="H178" s="1130"/>
      <c r="I178" s="1130"/>
      <c r="J178" s="1130"/>
      <c r="K178" s="1130"/>
      <c r="L178" s="1130"/>
      <c r="M178" s="1130"/>
      <c r="N178" s="1130"/>
      <c r="O178" s="1130"/>
      <c r="P178" s="1130"/>
      <c r="Q178" s="1130"/>
      <c r="R178" s="1130"/>
      <c r="S178" s="1130"/>
      <c r="T178" s="1130"/>
      <c r="U178" s="1130"/>
      <c r="V178" s="1130"/>
      <c r="W178" s="1130"/>
      <c r="X178" s="1130"/>
      <c r="Y178" s="1130"/>
      <c r="Z178" s="1130"/>
    </row>
    <row r="179" spans="1:26" ht="15.75" customHeight="1">
      <c r="A179" s="1129"/>
      <c r="B179" s="1130"/>
      <c r="C179" s="1130"/>
      <c r="D179" s="1130"/>
      <c r="E179" s="1130"/>
      <c r="F179" s="1130"/>
      <c r="G179" s="1130"/>
      <c r="H179" s="1130"/>
      <c r="I179" s="1130"/>
      <c r="J179" s="1130"/>
      <c r="K179" s="1130"/>
      <c r="L179" s="1130"/>
      <c r="M179" s="1130"/>
      <c r="N179" s="1130"/>
      <c r="O179" s="1130"/>
      <c r="P179" s="1130"/>
      <c r="Q179" s="1130"/>
      <c r="R179" s="1130"/>
      <c r="S179" s="1130"/>
      <c r="T179" s="1130"/>
      <c r="U179" s="1130"/>
      <c r="V179" s="1130"/>
      <c r="W179" s="1130"/>
      <c r="X179" s="1130"/>
      <c r="Y179" s="1130"/>
      <c r="Z179" s="1130"/>
    </row>
    <row r="180" spans="1:26" ht="15.75" customHeight="1">
      <c r="A180" s="1129"/>
      <c r="B180" s="1130"/>
      <c r="C180" s="1130"/>
      <c r="D180" s="1130"/>
      <c r="E180" s="1130"/>
      <c r="F180" s="1130"/>
      <c r="G180" s="1130"/>
      <c r="H180" s="1130"/>
      <c r="I180" s="1130"/>
      <c r="J180" s="1130"/>
      <c r="K180" s="1130"/>
      <c r="L180" s="1130"/>
      <c r="M180" s="1130"/>
      <c r="N180" s="1130"/>
      <c r="O180" s="1130"/>
      <c r="P180" s="1130"/>
      <c r="Q180" s="1130"/>
      <c r="R180" s="1130"/>
      <c r="S180" s="1130"/>
      <c r="T180" s="1130"/>
      <c r="U180" s="1130"/>
      <c r="V180" s="1130"/>
      <c r="W180" s="1130"/>
      <c r="X180" s="1130"/>
      <c r="Y180" s="1130"/>
      <c r="Z180" s="1130"/>
    </row>
    <row r="181" spans="1:26" ht="15.75" customHeight="1">
      <c r="A181" s="1129"/>
      <c r="B181" s="1130"/>
      <c r="C181" s="1130"/>
      <c r="D181" s="1130"/>
      <c r="E181" s="1130"/>
      <c r="F181" s="1130"/>
      <c r="G181" s="1130"/>
      <c r="H181" s="1130"/>
      <c r="I181" s="1130"/>
      <c r="J181" s="1130"/>
      <c r="K181" s="1130"/>
      <c r="L181" s="1130"/>
      <c r="M181" s="1130"/>
      <c r="N181" s="1130"/>
      <c r="O181" s="1130"/>
      <c r="P181" s="1130"/>
      <c r="Q181" s="1130"/>
      <c r="R181" s="1130"/>
      <c r="S181" s="1130"/>
      <c r="T181" s="1130"/>
      <c r="U181" s="1130"/>
      <c r="V181" s="1130"/>
      <c r="W181" s="1130"/>
      <c r="X181" s="1130"/>
      <c r="Y181" s="1130"/>
      <c r="Z181" s="1130"/>
    </row>
    <row r="182" spans="1:26" ht="15.75" customHeight="1">
      <c r="A182" s="1129"/>
      <c r="B182" s="1130"/>
      <c r="C182" s="1130"/>
      <c r="D182" s="1130"/>
      <c r="E182" s="1130"/>
      <c r="F182" s="1130"/>
      <c r="G182" s="1130"/>
      <c r="H182" s="1130"/>
      <c r="I182" s="1130"/>
      <c r="J182" s="1130"/>
      <c r="K182" s="1130"/>
      <c r="L182" s="1130"/>
      <c r="M182" s="1130"/>
      <c r="N182" s="1130"/>
      <c r="O182" s="1130"/>
      <c r="P182" s="1130"/>
      <c r="Q182" s="1130"/>
      <c r="R182" s="1130"/>
      <c r="S182" s="1130"/>
      <c r="T182" s="1130"/>
      <c r="U182" s="1130"/>
      <c r="V182" s="1130"/>
      <c r="W182" s="1130"/>
      <c r="X182" s="1130"/>
      <c r="Y182" s="1130"/>
      <c r="Z182" s="1130"/>
    </row>
    <row r="183" spans="1:26" ht="15.75" customHeight="1">
      <c r="A183" s="1129"/>
      <c r="B183" s="1130"/>
      <c r="C183" s="1130"/>
      <c r="D183" s="1130"/>
      <c r="E183" s="1130"/>
      <c r="F183" s="1130"/>
      <c r="G183" s="1130"/>
      <c r="H183" s="1130"/>
      <c r="I183" s="1130"/>
      <c r="J183" s="1130"/>
      <c r="K183" s="1130"/>
      <c r="L183" s="1130"/>
      <c r="M183" s="1130"/>
      <c r="N183" s="1130"/>
      <c r="O183" s="1130"/>
      <c r="P183" s="1130"/>
      <c r="Q183" s="1130"/>
      <c r="R183" s="1130"/>
      <c r="S183" s="1130"/>
      <c r="T183" s="1130"/>
      <c r="U183" s="1130"/>
      <c r="V183" s="1130"/>
      <c r="W183" s="1130"/>
      <c r="X183" s="1130"/>
      <c r="Y183" s="1130"/>
      <c r="Z183" s="1130"/>
    </row>
    <row r="184" spans="1:26" ht="15.75" customHeight="1">
      <c r="A184" s="1129"/>
      <c r="B184" s="1130"/>
      <c r="C184" s="1130"/>
      <c r="D184" s="1130"/>
      <c r="E184" s="1130"/>
      <c r="F184" s="1130"/>
      <c r="G184" s="1130"/>
      <c r="H184" s="1130"/>
      <c r="I184" s="1130"/>
      <c r="J184" s="1130"/>
      <c r="K184" s="1130"/>
      <c r="L184" s="1130"/>
      <c r="M184" s="1130"/>
      <c r="N184" s="1130"/>
      <c r="O184" s="1130"/>
      <c r="P184" s="1130"/>
      <c r="Q184" s="1130"/>
      <c r="R184" s="1130"/>
      <c r="S184" s="1130"/>
      <c r="T184" s="1130"/>
      <c r="U184" s="1130"/>
      <c r="V184" s="1130"/>
      <c r="W184" s="1130"/>
      <c r="X184" s="1130"/>
      <c r="Y184" s="1130"/>
      <c r="Z184" s="1130"/>
    </row>
    <row r="185" spans="1:26" ht="15.75" customHeight="1">
      <c r="A185" s="1129"/>
      <c r="B185" s="1130"/>
      <c r="C185" s="1130"/>
      <c r="D185" s="1130"/>
      <c r="E185" s="1130"/>
      <c r="F185" s="1130"/>
      <c r="G185" s="1130"/>
      <c r="H185" s="1130"/>
      <c r="I185" s="1130"/>
      <c r="J185" s="1130"/>
      <c r="K185" s="1130"/>
      <c r="L185" s="1130"/>
      <c r="M185" s="1130"/>
      <c r="N185" s="1130"/>
      <c r="O185" s="1130"/>
      <c r="P185" s="1130"/>
      <c r="Q185" s="1130"/>
      <c r="R185" s="1130"/>
      <c r="S185" s="1130"/>
      <c r="T185" s="1130"/>
      <c r="U185" s="1130"/>
      <c r="V185" s="1130"/>
      <c r="W185" s="1130"/>
      <c r="X185" s="1130"/>
      <c r="Y185" s="1130"/>
      <c r="Z185" s="1130"/>
    </row>
    <row r="186" spans="1:26" ht="15.75" customHeight="1">
      <c r="A186" s="1129"/>
      <c r="B186" s="1130"/>
      <c r="C186" s="1130"/>
      <c r="D186" s="1130"/>
      <c r="E186" s="1130"/>
      <c r="F186" s="1130"/>
      <c r="G186" s="1130"/>
      <c r="H186" s="1130"/>
      <c r="I186" s="1130"/>
      <c r="J186" s="1130"/>
      <c r="K186" s="1130"/>
      <c r="L186" s="1130"/>
      <c r="M186" s="1130"/>
      <c r="N186" s="1130"/>
      <c r="O186" s="1130"/>
      <c r="P186" s="1130"/>
      <c r="Q186" s="1130"/>
      <c r="R186" s="1130"/>
      <c r="S186" s="1130"/>
      <c r="T186" s="1130"/>
      <c r="U186" s="1130"/>
      <c r="V186" s="1130"/>
      <c r="W186" s="1130"/>
      <c r="X186" s="1130"/>
      <c r="Y186" s="1130"/>
      <c r="Z186" s="1130"/>
    </row>
    <row r="187" spans="1:26" ht="15.75" customHeight="1">
      <c r="A187" s="1129"/>
      <c r="B187" s="1130"/>
      <c r="C187" s="1130"/>
      <c r="D187" s="1130"/>
      <c r="E187" s="1130"/>
      <c r="F187" s="1130"/>
      <c r="G187" s="1130"/>
      <c r="H187" s="1130"/>
      <c r="I187" s="1130"/>
      <c r="J187" s="1130"/>
      <c r="K187" s="1130"/>
      <c r="L187" s="1130"/>
      <c r="M187" s="1130"/>
      <c r="N187" s="1130"/>
      <c r="O187" s="1130"/>
      <c r="P187" s="1130"/>
      <c r="Q187" s="1130"/>
      <c r="R187" s="1130"/>
      <c r="S187" s="1130"/>
      <c r="T187" s="1130"/>
      <c r="U187" s="1130"/>
      <c r="V187" s="1130"/>
      <c r="W187" s="1130"/>
      <c r="X187" s="1130"/>
      <c r="Y187" s="1130"/>
      <c r="Z187" s="1130"/>
    </row>
    <row r="188" spans="1:26" ht="15.75" customHeight="1">
      <c r="A188" s="1129"/>
      <c r="B188" s="1130"/>
      <c r="C188" s="1130"/>
      <c r="D188" s="1130"/>
      <c r="E188" s="1130"/>
      <c r="F188" s="1130"/>
      <c r="G188" s="1130"/>
      <c r="H188" s="1130"/>
      <c r="I188" s="1130"/>
      <c r="J188" s="1130"/>
      <c r="K188" s="1130"/>
      <c r="L188" s="1130"/>
      <c r="M188" s="1130"/>
      <c r="N188" s="1130"/>
      <c r="O188" s="1130"/>
      <c r="P188" s="1130"/>
      <c r="Q188" s="1130"/>
      <c r="R188" s="1130"/>
      <c r="S188" s="1130"/>
      <c r="T188" s="1130"/>
      <c r="U188" s="1130"/>
      <c r="V188" s="1130"/>
      <c r="W188" s="1130"/>
      <c r="X188" s="1130"/>
      <c r="Y188" s="1130"/>
      <c r="Z188" s="1130"/>
    </row>
    <row r="189" spans="1:26" ht="15.75" customHeight="1">
      <c r="A189" s="1129"/>
      <c r="B189" s="1130"/>
      <c r="C189" s="1130"/>
      <c r="D189" s="1130"/>
      <c r="E189" s="1130"/>
      <c r="F189" s="1130"/>
      <c r="G189" s="1130"/>
      <c r="H189" s="1130"/>
      <c r="I189" s="1130"/>
      <c r="J189" s="1130"/>
      <c r="K189" s="1130"/>
      <c r="L189" s="1130"/>
      <c r="M189" s="1130"/>
      <c r="N189" s="1130"/>
      <c r="O189" s="1130"/>
      <c r="P189" s="1130"/>
      <c r="Q189" s="1130"/>
      <c r="R189" s="1130"/>
      <c r="S189" s="1130"/>
      <c r="T189" s="1130"/>
      <c r="U189" s="1130"/>
      <c r="V189" s="1130"/>
      <c r="W189" s="1130"/>
      <c r="X189" s="1130"/>
      <c r="Y189" s="1130"/>
      <c r="Z189" s="1130"/>
    </row>
    <row r="190" spans="1:26" ht="15.75" customHeight="1">
      <c r="A190" s="1129"/>
      <c r="B190" s="1130"/>
      <c r="C190" s="1130"/>
      <c r="D190" s="1130"/>
      <c r="E190" s="1130"/>
      <c r="F190" s="1130"/>
      <c r="G190" s="1130"/>
      <c r="H190" s="1130"/>
      <c r="I190" s="1130"/>
      <c r="J190" s="1130"/>
      <c r="K190" s="1130"/>
      <c r="L190" s="1130"/>
      <c r="M190" s="1130"/>
      <c r="N190" s="1130"/>
      <c r="O190" s="1130"/>
      <c r="P190" s="1130"/>
      <c r="Q190" s="1130"/>
      <c r="R190" s="1130"/>
      <c r="S190" s="1130"/>
      <c r="T190" s="1130"/>
      <c r="U190" s="1130"/>
      <c r="V190" s="1130"/>
      <c r="W190" s="1130"/>
      <c r="X190" s="1130"/>
      <c r="Y190" s="1130"/>
      <c r="Z190" s="1130"/>
    </row>
    <row r="191" spans="1:26" ht="15.75" customHeight="1">
      <c r="A191" s="1129"/>
      <c r="B191" s="1130"/>
      <c r="C191" s="1130"/>
      <c r="D191" s="1130"/>
      <c r="E191" s="1130"/>
      <c r="F191" s="1130"/>
      <c r="G191" s="1130"/>
      <c r="H191" s="1130"/>
      <c r="I191" s="1130"/>
      <c r="J191" s="1130"/>
      <c r="K191" s="1130"/>
      <c r="L191" s="1130"/>
      <c r="M191" s="1130"/>
      <c r="N191" s="1130"/>
      <c r="O191" s="1130"/>
      <c r="P191" s="1130"/>
      <c r="Q191" s="1130"/>
      <c r="R191" s="1130"/>
      <c r="S191" s="1130"/>
      <c r="T191" s="1130"/>
      <c r="U191" s="1130"/>
      <c r="V191" s="1130"/>
      <c r="W191" s="1130"/>
      <c r="X191" s="1130"/>
      <c r="Y191" s="1130"/>
      <c r="Z191" s="1130"/>
    </row>
    <row r="192" spans="1:26" ht="15.75" customHeight="1">
      <c r="A192" s="1129"/>
      <c r="B192" s="1130"/>
      <c r="C192" s="1130"/>
      <c r="D192" s="1130"/>
      <c r="E192" s="1130"/>
      <c r="F192" s="1130"/>
      <c r="G192" s="1130"/>
      <c r="H192" s="1130"/>
      <c r="I192" s="1130"/>
      <c r="J192" s="1130"/>
      <c r="K192" s="1130"/>
      <c r="L192" s="1130"/>
      <c r="M192" s="1130"/>
      <c r="N192" s="1130"/>
      <c r="O192" s="1130"/>
      <c r="P192" s="1130"/>
      <c r="Q192" s="1130"/>
      <c r="R192" s="1130"/>
      <c r="S192" s="1130"/>
      <c r="T192" s="1130"/>
      <c r="U192" s="1130"/>
      <c r="V192" s="1130"/>
      <c r="W192" s="1130"/>
      <c r="X192" s="1130"/>
      <c r="Y192" s="1130"/>
      <c r="Z192" s="1130"/>
    </row>
    <row r="193" spans="1:26" ht="15.75" customHeight="1">
      <c r="A193" s="1129"/>
      <c r="B193" s="1130"/>
      <c r="C193" s="1130"/>
      <c r="D193" s="1130"/>
      <c r="E193" s="1130"/>
      <c r="F193" s="1130"/>
      <c r="G193" s="1130"/>
      <c r="H193" s="1130"/>
      <c r="I193" s="1130"/>
      <c r="J193" s="1130"/>
      <c r="K193" s="1130"/>
      <c r="L193" s="1130"/>
      <c r="M193" s="1130"/>
      <c r="N193" s="1130"/>
      <c r="O193" s="1130"/>
      <c r="P193" s="1130"/>
      <c r="Q193" s="1130"/>
      <c r="R193" s="1130"/>
      <c r="S193" s="1130"/>
      <c r="T193" s="1130"/>
      <c r="U193" s="1130"/>
      <c r="V193" s="1130"/>
      <c r="W193" s="1130"/>
      <c r="X193" s="1130"/>
      <c r="Y193" s="1130"/>
      <c r="Z193" s="1130"/>
    </row>
    <row r="194" spans="1:26" ht="15.75" customHeight="1">
      <c r="A194" s="1129"/>
      <c r="B194" s="1130"/>
      <c r="C194" s="1130"/>
      <c r="D194" s="1130"/>
      <c r="E194" s="1130"/>
      <c r="F194" s="1130"/>
      <c r="G194" s="1130"/>
      <c r="H194" s="1130"/>
      <c r="I194" s="1130"/>
      <c r="J194" s="1130"/>
      <c r="K194" s="1130"/>
      <c r="L194" s="1130"/>
      <c r="M194" s="1130"/>
      <c r="N194" s="1130"/>
      <c r="O194" s="1130"/>
      <c r="P194" s="1130"/>
      <c r="Q194" s="1130"/>
      <c r="R194" s="1130"/>
      <c r="S194" s="1130"/>
      <c r="T194" s="1130"/>
      <c r="U194" s="1130"/>
      <c r="V194" s="1130"/>
      <c r="W194" s="1130"/>
      <c r="X194" s="1130"/>
      <c r="Y194" s="1130"/>
      <c r="Z194" s="1130"/>
    </row>
    <row r="195" spans="1:26" ht="15.75" customHeight="1">
      <c r="A195" s="1129"/>
      <c r="B195" s="1130"/>
      <c r="C195" s="1130"/>
      <c r="D195" s="1130"/>
      <c r="E195" s="1130"/>
      <c r="F195" s="1130"/>
      <c r="G195" s="1130"/>
      <c r="H195" s="1130"/>
      <c r="I195" s="1130"/>
      <c r="J195" s="1130"/>
      <c r="K195" s="1130"/>
      <c r="L195" s="1130"/>
      <c r="M195" s="1130"/>
      <c r="N195" s="1130"/>
      <c r="O195" s="1130"/>
      <c r="P195" s="1130"/>
      <c r="Q195" s="1130"/>
      <c r="R195" s="1130"/>
      <c r="S195" s="1130"/>
      <c r="T195" s="1130"/>
      <c r="U195" s="1130"/>
      <c r="V195" s="1130"/>
      <c r="W195" s="1130"/>
      <c r="X195" s="1130"/>
      <c r="Y195" s="1130"/>
      <c r="Z195" s="1130"/>
    </row>
    <row r="196" spans="1:26" ht="15.75" customHeight="1">
      <c r="A196" s="1129"/>
      <c r="B196" s="1130"/>
      <c r="C196" s="1130"/>
      <c r="D196" s="1130"/>
      <c r="E196" s="1130"/>
      <c r="F196" s="1130"/>
      <c r="G196" s="1130"/>
      <c r="H196" s="1130"/>
      <c r="I196" s="1130"/>
      <c r="J196" s="1130"/>
      <c r="K196" s="1130"/>
      <c r="L196" s="1130"/>
      <c r="M196" s="1130"/>
      <c r="N196" s="1130"/>
      <c r="O196" s="1130"/>
      <c r="P196" s="1130"/>
      <c r="Q196" s="1130"/>
      <c r="R196" s="1130"/>
      <c r="S196" s="1130"/>
      <c r="T196" s="1130"/>
      <c r="U196" s="1130"/>
      <c r="V196" s="1130"/>
      <c r="W196" s="1130"/>
      <c r="X196" s="1130"/>
      <c r="Y196" s="1130"/>
      <c r="Z196" s="1130"/>
    </row>
    <row r="197" spans="1:26" ht="15.75" customHeight="1">
      <c r="A197" s="1129"/>
      <c r="B197" s="1130"/>
      <c r="C197" s="1130"/>
      <c r="D197" s="1130"/>
      <c r="E197" s="1130"/>
      <c r="F197" s="1130"/>
      <c r="G197" s="1130"/>
      <c r="H197" s="1130"/>
      <c r="I197" s="1130"/>
      <c r="J197" s="1130"/>
      <c r="K197" s="1130"/>
      <c r="L197" s="1130"/>
      <c r="M197" s="1130"/>
      <c r="N197" s="1130"/>
      <c r="O197" s="1130"/>
      <c r="P197" s="1130"/>
      <c r="Q197" s="1130"/>
      <c r="R197" s="1130"/>
      <c r="S197" s="1130"/>
      <c r="T197" s="1130"/>
      <c r="U197" s="1130"/>
      <c r="V197" s="1130"/>
      <c r="W197" s="1130"/>
      <c r="X197" s="1130"/>
      <c r="Y197" s="1130"/>
      <c r="Z197" s="1130"/>
    </row>
    <row r="198" spans="1:26" ht="15.75" customHeight="1">
      <c r="A198" s="1129"/>
      <c r="B198" s="1130"/>
      <c r="C198" s="1130"/>
      <c r="D198" s="1130"/>
      <c r="E198" s="1130"/>
      <c r="F198" s="1130"/>
      <c r="G198" s="1130"/>
      <c r="H198" s="1130"/>
      <c r="I198" s="1130"/>
      <c r="J198" s="1130"/>
      <c r="K198" s="1130"/>
      <c r="L198" s="1130"/>
      <c r="M198" s="1130"/>
      <c r="N198" s="1130"/>
      <c r="O198" s="1130"/>
      <c r="P198" s="1130"/>
      <c r="Q198" s="1130"/>
      <c r="R198" s="1130"/>
      <c r="S198" s="1130"/>
      <c r="T198" s="1130"/>
      <c r="U198" s="1130"/>
      <c r="V198" s="1130"/>
      <c r="W198" s="1130"/>
      <c r="X198" s="1130"/>
      <c r="Y198" s="1130"/>
      <c r="Z198" s="1130"/>
    </row>
    <row r="199" spans="1:26" ht="15.75" customHeight="1">
      <c r="A199" s="1129"/>
      <c r="B199" s="1130"/>
      <c r="C199" s="1130"/>
      <c r="D199" s="1130"/>
      <c r="E199" s="1130"/>
      <c r="F199" s="1130"/>
      <c r="G199" s="1130"/>
      <c r="H199" s="1130"/>
      <c r="I199" s="1130"/>
      <c r="J199" s="1130"/>
      <c r="K199" s="1130"/>
      <c r="L199" s="1130"/>
      <c r="M199" s="1130"/>
      <c r="N199" s="1130"/>
      <c r="O199" s="1130"/>
      <c r="P199" s="1130"/>
      <c r="Q199" s="1130"/>
      <c r="R199" s="1130"/>
      <c r="S199" s="1130"/>
      <c r="T199" s="1130"/>
      <c r="U199" s="1130"/>
      <c r="V199" s="1130"/>
      <c r="W199" s="1130"/>
      <c r="X199" s="1130"/>
      <c r="Y199" s="1130"/>
      <c r="Z199" s="1130"/>
    </row>
    <row r="200" spans="1:26" ht="15.75" customHeight="1">
      <c r="A200" s="1129"/>
      <c r="B200" s="1130"/>
      <c r="C200" s="1130"/>
      <c r="D200" s="1130"/>
      <c r="E200" s="1130"/>
      <c r="F200" s="1130"/>
      <c r="G200" s="1130"/>
      <c r="H200" s="1130"/>
      <c r="I200" s="1130"/>
      <c r="J200" s="1130"/>
      <c r="K200" s="1130"/>
      <c r="L200" s="1130"/>
      <c r="M200" s="1130"/>
      <c r="N200" s="1130"/>
      <c r="O200" s="1130"/>
      <c r="P200" s="1130"/>
      <c r="Q200" s="1130"/>
      <c r="R200" s="1130"/>
      <c r="S200" s="1130"/>
      <c r="T200" s="1130"/>
      <c r="U200" s="1130"/>
      <c r="V200" s="1130"/>
      <c r="W200" s="1130"/>
      <c r="X200" s="1130"/>
      <c r="Y200" s="1130"/>
      <c r="Z200" s="1130"/>
    </row>
    <row r="201" spans="1:26" ht="15.75" customHeight="1">
      <c r="A201" s="1129"/>
      <c r="B201" s="1130"/>
      <c r="C201" s="1130"/>
      <c r="D201" s="1130"/>
      <c r="E201" s="1130"/>
      <c r="F201" s="1130"/>
      <c r="G201" s="1130"/>
      <c r="H201" s="1130"/>
      <c r="I201" s="1130"/>
      <c r="J201" s="1130"/>
      <c r="K201" s="1130"/>
      <c r="L201" s="1130"/>
      <c r="M201" s="1130"/>
      <c r="N201" s="1130"/>
      <c r="O201" s="1130"/>
      <c r="P201" s="1130"/>
      <c r="Q201" s="1130"/>
      <c r="R201" s="1130"/>
      <c r="S201" s="1130"/>
      <c r="T201" s="1130"/>
      <c r="U201" s="1130"/>
      <c r="V201" s="1130"/>
      <c r="W201" s="1130"/>
      <c r="X201" s="1130"/>
      <c r="Y201" s="1130"/>
      <c r="Z201" s="1130"/>
    </row>
    <row r="202" spans="1:26" ht="15.75" customHeight="1">
      <c r="A202" s="1129"/>
      <c r="B202" s="1130"/>
      <c r="C202" s="1130"/>
      <c r="D202" s="1130"/>
      <c r="E202" s="1130"/>
      <c r="F202" s="1130"/>
      <c r="G202" s="1130"/>
      <c r="H202" s="1130"/>
      <c r="I202" s="1130"/>
      <c r="J202" s="1130"/>
      <c r="K202" s="1130"/>
      <c r="L202" s="1130"/>
      <c r="M202" s="1130"/>
      <c r="N202" s="1130"/>
      <c r="O202" s="1130"/>
      <c r="P202" s="1130"/>
      <c r="Q202" s="1130"/>
      <c r="R202" s="1130"/>
      <c r="S202" s="1130"/>
      <c r="T202" s="1130"/>
      <c r="U202" s="1130"/>
      <c r="V202" s="1130"/>
      <c r="W202" s="1130"/>
      <c r="X202" s="1130"/>
      <c r="Y202" s="1130"/>
      <c r="Z202" s="1130"/>
    </row>
    <row r="203" spans="1:26" ht="15.75" customHeight="1">
      <c r="A203" s="1129"/>
      <c r="B203" s="1130"/>
      <c r="C203" s="1130"/>
      <c r="D203" s="1130"/>
      <c r="E203" s="1130"/>
      <c r="F203" s="1130"/>
      <c r="G203" s="1130"/>
      <c r="H203" s="1130"/>
      <c r="I203" s="1130"/>
      <c r="J203" s="1130"/>
      <c r="K203" s="1130"/>
      <c r="L203" s="1130"/>
      <c r="M203" s="1130"/>
      <c r="N203" s="1130"/>
      <c r="O203" s="1130"/>
      <c r="P203" s="1130"/>
      <c r="Q203" s="1130"/>
      <c r="R203" s="1130"/>
      <c r="S203" s="1130"/>
      <c r="T203" s="1130"/>
      <c r="U203" s="1130"/>
      <c r="V203" s="1130"/>
      <c r="W203" s="1130"/>
      <c r="X203" s="1130"/>
      <c r="Y203" s="1130"/>
      <c r="Z203" s="1130"/>
    </row>
    <row r="204" spans="1:26" ht="15.75" customHeight="1">
      <c r="A204" s="1129"/>
      <c r="B204" s="1130"/>
      <c r="C204" s="1130"/>
      <c r="D204" s="1130"/>
      <c r="E204" s="1130"/>
      <c r="F204" s="1130"/>
      <c r="G204" s="1130"/>
      <c r="H204" s="1130"/>
      <c r="I204" s="1130"/>
      <c r="J204" s="1130"/>
      <c r="K204" s="1130"/>
      <c r="L204" s="1130"/>
      <c r="M204" s="1130"/>
      <c r="N204" s="1130"/>
      <c r="O204" s="1130"/>
      <c r="P204" s="1130"/>
      <c r="Q204" s="1130"/>
      <c r="R204" s="1130"/>
      <c r="S204" s="1130"/>
      <c r="T204" s="1130"/>
      <c r="U204" s="1130"/>
      <c r="V204" s="1130"/>
      <c r="W204" s="1130"/>
      <c r="X204" s="1130"/>
      <c r="Y204" s="1130"/>
      <c r="Z204" s="1130"/>
    </row>
    <row r="205" spans="1:26" ht="15.75" customHeight="1">
      <c r="A205" s="1129"/>
      <c r="B205" s="1130"/>
      <c r="C205" s="1130"/>
      <c r="D205" s="1130"/>
      <c r="E205" s="1130"/>
      <c r="F205" s="1130"/>
      <c r="G205" s="1130"/>
      <c r="H205" s="1130"/>
      <c r="I205" s="1130"/>
      <c r="J205" s="1130"/>
      <c r="K205" s="1130"/>
      <c r="L205" s="1130"/>
      <c r="M205" s="1130"/>
      <c r="N205" s="1130"/>
      <c r="O205" s="1130"/>
      <c r="P205" s="1130"/>
      <c r="Q205" s="1130"/>
      <c r="R205" s="1130"/>
      <c r="S205" s="1130"/>
      <c r="T205" s="1130"/>
      <c r="U205" s="1130"/>
      <c r="V205" s="1130"/>
      <c r="W205" s="1130"/>
      <c r="X205" s="1130"/>
      <c r="Y205" s="1130"/>
      <c r="Z205" s="1130"/>
    </row>
    <row r="206" spans="1:26" ht="15.75" customHeight="1">
      <c r="A206" s="1129"/>
      <c r="B206" s="1130"/>
      <c r="C206" s="1130"/>
      <c r="D206" s="1130"/>
      <c r="E206" s="1130"/>
      <c r="F206" s="1130"/>
      <c r="G206" s="1130"/>
      <c r="H206" s="1130"/>
      <c r="I206" s="1130"/>
      <c r="J206" s="1130"/>
      <c r="K206" s="1130"/>
      <c r="L206" s="1130"/>
      <c r="M206" s="1130"/>
      <c r="N206" s="1130"/>
      <c r="O206" s="1130"/>
      <c r="P206" s="1130"/>
      <c r="Q206" s="1130"/>
      <c r="R206" s="1130"/>
      <c r="S206" s="1130"/>
      <c r="T206" s="1130"/>
      <c r="U206" s="1130"/>
      <c r="V206" s="1130"/>
      <c r="W206" s="1130"/>
      <c r="X206" s="1130"/>
      <c r="Y206" s="1130"/>
      <c r="Z206" s="1130"/>
    </row>
    <row r="207" spans="1:26" ht="15.75" customHeight="1">
      <c r="A207" s="1129"/>
      <c r="B207" s="1130"/>
      <c r="C207" s="1130"/>
      <c r="D207" s="1130"/>
      <c r="E207" s="1130"/>
      <c r="F207" s="1130"/>
      <c r="G207" s="1130"/>
      <c r="H207" s="1130"/>
      <c r="I207" s="1130"/>
      <c r="J207" s="1130"/>
      <c r="K207" s="1130"/>
      <c r="L207" s="1130"/>
      <c r="M207" s="1130"/>
      <c r="N207" s="1130"/>
      <c r="O207" s="1130"/>
      <c r="P207" s="1130"/>
      <c r="Q207" s="1130"/>
      <c r="R207" s="1130"/>
      <c r="S207" s="1130"/>
      <c r="T207" s="1130"/>
      <c r="U207" s="1130"/>
      <c r="V207" s="1130"/>
      <c r="W207" s="1130"/>
      <c r="X207" s="1130"/>
      <c r="Y207" s="1130"/>
      <c r="Z207" s="1130"/>
    </row>
    <row r="208" spans="1:26" ht="15.75" customHeight="1">
      <c r="A208" s="1129"/>
      <c r="B208" s="1130"/>
      <c r="C208" s="1130"/>
      <c r="D208" s="1130"/>
      <c r="E208" s="1130"/>
      <c r="F208" s="1130"/>
      <c r="G208" s="1130"/>
      <c r="H208" s="1130"/>
      <c r="I208" s="1130"/>
      <c r="J208" s="1130"/>
      <c r="K208" s="1130"/>
      <c r="L208" s="1130"/>
      <c r="M208" s="1130"/>
      <c r="N208" s="1130"/>
      <c r="O208" s="1130"/>
      <c r="P208" s="1130"/>
      <c r="Q208" s="1130"/>
      <c r="R208" s="1130"/>
      <c r="S208" s="1130"/>
      <c r="T208" s="1130"/>
      <c r="U208" s="1130"/>
      <c r="V208" s="1130"/>
      <c r="W208" s="1130"/>
      <c r="X208" s="1130"/>
      <c r="Y208" s="1130"/>
      <c r="Z208" s="1130"/>
    </row>
    <row r="209" spans="1:26" ht="15.75" customHeight="1">
      <c r="A209" s="1129"/>
      <c r="B209" s="1130"/>
      <c r="C209" s="1130"/>
      <c r="D209" s="1130"/>
      <c r="E209" s="1130"/>
      <c r="F209" s="1130"/>
      <c r="G209" s="1130"/>
      <c r="H209" s="1130"/>
      <c r="I209" s="1130"/>
      <c r="J209" s="1130"/>
      <c r="K209" s="1130"/>
      <c r="L209" s="1130"/>
      <c r="M209" s="1130"/>
      <c r="N209" s="1130"/>
      <c r="O209" s="1130"/>
      <c r="P209" s="1130"/>
      <c r="Q209" s="1130"/>
      <c r="R209" s="1130"/>
      <c r="S209" s="1130"/>
      <c r="T209" s="1130"/>
      <c r="U209" s="1130"/>
      <c r="V209" s="1130"/>
      <c r="W209" s="1130"/>
      <c r="X209" s="1130"/>
      <c r="Y209" s="1130"/>
      <c r="Z209" s="1130"/>
    </row>
    <row r="210" spans="1:26" ht="15.75" customHeight="1">
      <c r="A210" s="1129"/>
      <c r="B210" s="1130"/>
      <c r="C210" s="1130"/>
      <c r="D210" s="1130"/>
      <c r="E210" s="1130"/>
      <c r="F210" s="1130"/>
      <c r="G210" s="1130"/>
      <c r="H210" s="1130"/>
      <c r="I210" s="1130"/>
      <c r="J210" s="1130"/>
      <c r="K210" s="1130"/>
      <c r="L210" s="1130"/>
      <c r="M210" s="1130"/>
      <c r="N210" s="1130"/>
      <c r="O210" s="1130"/>
      <c r="P210" s="1130"/>
      <c r="Q210" s="1130"/>
      <c r="R210" s="1130"/>
      <c r="S210" s="1130"/>
      <c r="T210" s="1130"/>
      <c r="U210" s="1130"/>
      <c r="V210" s="1130"/>
      <c r="W210" s="1130"/>
      <c r="X210" s="1130"/>
      <c r="Y210" s="1130"/>
      <c r="Z210" s="1130"/>
    </row>
    <row r="211" spans="1:26" ht="15.75" customHeight="1">
      <c r="A211" s="1129"/>
      <c r="B211" s="1130"/>
      <c r="C211" s="1130"/>
      <c r="D211" s="1130"/>
      <c r="E211" s="1130"/>
      <c r="F211" s="1130"/>
      <c r="G211" s="1130"/>
      <c r="H211" s="1130"/>
      <c r="I211" s="1130"/>
      <c r="J211" s="1130"/>
      <c r="K211" s="1130"/>
      <c r="L211" s="1130"/>
      <c r="M211" s="1130"/>
      <c r="N211" s="1130"/>
      <c r="O211" s="1130"/>
      <c r="P211" s="1130"/>
      <c r="Q211" s="1130"/>
      <c r="R211" s="1130"/>
      <c r="S211" s="1130"/>
      <c r="T211" s="1130"/>
      <c r="U211" s="1130"/>
      <c r="V211" s="1130"/>
      <c r="W211" s="1130"/>
      <c r="X211" s="1130"/>
      <c r="Y211" s="1130"/>
      <c r="Z211" s="1130"/>
    </row>
    <row r="212" spans="1:26" ht="15.75" customHeight="1">
      <c r="A212" s="1129"/>
      <c r="B212" s="1130"/>
      <c r="C212" s="1130"/>
      <c r="D212" s="1130"/>
      <c r="E212" s="1130"/>
      <c r="F212" s="1130"/>
      <c r="G212" s="1130"/>
      <c r="H212" s="1130"/>
      <c r="I212" s="1130"/>
      <c r="J212" s="1130"/>
      <c r="K212" s="1130"/>
      <c r="L212" s="1130"/>
      <c r="M212" s="1130"/>
      <c r="N212" s="1130"/>
      <c r="O212" s="1130"/>
      <c r="P212" s="1130"/>
      <c r="Q212" s="1130"/>
      <c r="R212" s="1130"/>
      <c r="S212" s="1130"/>
      <c r="T212" s="1130"/>
      <c r="U212" s="1130"/>
      <c r="V212" s="1130"/>
      <c r="W212" s="1130"/>
      <c r="X212" s="1130"/>
      <c r="Y212" s="1130"/>
      <c r="Z212" s="1130"/>
    </row>
    <row r="213" spans="1:26" ht="15.75" customHeight="1">
      <c r="A213" s="1129"/>
      <c r="B213" s="1130"/>
      <c r="C213" s="1130"/>
      <c r="D213" s="1130"/>
      <c r="E213" s="1130"/>
      <c r="F213" s="1130"/>
      <c r="G213" s="1130"/>
      <c r="H213" s="1130"/>
      <c r="I213" s="1130"/>
      <c r="J213" s="1130"/>
      <c r="K213" s="1130"/>
      <c r="L213" s="1130"/>
      <c r="M213" s="1130"/>
      <c r="N213" s="1130"/>
      <c r="O213" s="1130"/>
      <c r="P213" s="1130"/>
      <c r="Q213" s="1130"/>
      <c r="R213" s="1130"/>
      <c r="S213" s="1130"/>
      <c r="T213" s="1130"/>
      <c r="U213" s="1130"/>
      <c r="V213" s="1130"/>
      <c r="W213" s="1130"/>
      <c r="X213" s="1130"/>
      <c r="Y213" s="1130"/>
      <c r="Z213" s="1130"/>
    </row>
    <row r="214" spans="1:26" ht="15.75" customHeight="1">
      <c r="A214" s="1129"/>
      <c r="B214" s="1130"/>
      <c r="C214" s="1130"/>
      <c r="D214" s="1130"/>
      <c r="E214" s="1130"/>
      <c r="F214" s="1130"/>
      <c r="G214" s="1130"/>
      <c r="H214" s="1130"/>
      <c r="I214" s="1130"/>
      <c r="J214" s="1130"/>
      <c r="K214" s="1130"/>
      <c r="L214" s="1130"/>
      <c r="M214" s="1130"/>
      <c r="N214" s="1130"/>
      <c r="O214" s="1130"/>
      <c r="P214" s="1130"/>
      <c r="Q214" s="1130"/>
      <c r="R214" s="1130"/>
      <c r="S214" s="1130"/>
      <c r="T214" s="1130"/>
      <c r="U214" s="1130"/>
      <c r="V214" s="1130"/>
      <c r="W214" s="1130"/>
      <c r="X214" s="1130"/>
      <c r="Y214" s="1130"/>
      <c r="Z214" s="1130"/>
    </row>
    <row r="215" spans="1:26" ht="15.75" customHeight="1">
      <c r="A215" s="1129"/>
      <c r="B215" s="1130"/>
      <c r="C215" s="1130"/>
      <c r="D215" s="1130"/>
      <c r="E215" s="1130"/>
      <c r="F215" s="1130"/>
      <c r="G215" s="1130"/>
      <c r="H215" s="1130"/>
      <c r="I215" s="1130"/>
      <c r="J215" s="1130"/>
      <c r="K215" s="1130"/>
      <c r="L215" s="1130"/>
      <c r="M215" s="1130"/>
      <c r="N215" s="1130"/>
      <c r="O215" s="1130"/>
      <c r="P215" s="1130"/>
      <c r="Q215" s="1130"/>
      <c r="R215" s="1130"/>
      <c r="S215" s="1130"/>
      <c r="T215" s="1130"/>
      <c r="U215" s="1130"/>
      <c r="V215" s="1130"/>
      <c r="W215" s="1130"/>
      <c r="X215" s="1130"/>
      <c r="Y215" s="1130"/>
      <c r="Z215" s="1130"/>
    </row>
    <row r="216" spans="1:26" ht="15.75" customHeight="1">
      <c r="A216" s="1129"/>
      <c r="B216" s="1130"/>
      <c r="C216" s="1130"/>
      <c r="D216" s="1130"/>
      <c r="E216" s="1130"/>
      <c r="F216" s="1130"/>
      <c r="G216" s="1130"/>
      <c r="H216" s="1130"/>
      <c r="I216" s="1130"/>
      <c r="J216" s="1130"/>
      <c r="K216" s="1130"/>
      <c r="L216" s="1130"/>
      <c r="M216" s="1130"/>
      <c r="N216" s="1130"/>
      <c r="O216" s="1130"/>
      <c r="P216" s="1130"/>
      <c r="Q216" s="1130"/>
      <c r="R216" s="1130"/>
      <c r="S216" s="1130"/>
      <c r="T216" s="1130"/>
      <c r="U216" s="1130"/>
      <c r="V216" s="1130"/>
      <c r="W216" s="1130"/>
      <c r="X216" s="1130"/>
      <c r="Y216" s="1130"/>
      <c r="Z216" s="1130"/>
    </row>
    <row r="217" spans="1:26" ht="15.75" customHeight="1">
      <c r="A217" s="1129"/>
      <c r="B217" s="1130"/>
      <c r="C217" s="1130"/>
      <c r="D217" s="1130"/>
      <c r="E217" s="1130"/>
      <c r="F217" s="1130"/>
      <c r="G217" s="1130"/>
      <c r="H217" s="1130"/>
      <c r="I217" s="1130"/>
      <c r="J217" s="1130"/>
      <c r="K217" s="1130"/>
      <c r="L217" s="1130"/>
      <c r="M217" s="1130"/>
      <c r="N217" s="1130"/>
      <c r="O217" s="1130"/>
      <c r="P217" s="1130"/>
      <c r="Q217" s="1130"/>
      <c r="R217" s="1130"/>
      <c r="S217" s="1130"/>
      <c r="T217" s="1130"/>
      <c r="U217" s="1130"/>
      <c r="V217" s="1130"/>
      <c r="W217" s="1130"/>
      <c r="X217" s="1130"/>
      <c r="Y217" s="1130"/>
      <c r="Z217" s="1130"/>
    </row>
    <row r="218" spans="1:26" ht="15.75" customHeight="1">
      <c r="A218" s="1129"/>
      <c r="B218" s="1130"/>
      <c r="C218" s="1130"/>
      <c r="D218" s="1130"/>
      <c r="E218" s="1130"/>
      <c r="F218" s="1130"/>
      <c r="G218" s="1130"/>
      <c r="H218" s="1130"/>
      <c r="I218" s="1130"/>
      <c r="J218" s="1130"/>
      <c r="K218" s="1130"/>
      <c r="L218" s="1130"/>
      <c r="M218" s="1130"/>
      <c r="N218" s="1130"/>
      <c r="O218" s="1130"/>
      <c r="P218" s="1130"/>
      <c r="Q218" s="1130"/>
      <c r="R218" s="1130"/>
      <c r="S218" s="1130"/>
      <c r="T218" s="1130"/>
      <c r="U218" s="1130"/>
      <c r="V218" s="1130"/>
      <c r="W218" s="1130"/>
      <c r="X218" s="1130"/>
      <c r="Y218" s="1130"/>
      <c r="Z218" s="1130"/>
    </row>
    <row r="219" spans="1:26" ht="15.75" customHeight="1">
      <c r="A219" s="1129"/>
      <c r="B219" s="1130"/>
      <c r="C219" s="1130"/>
      <c r="D219" s="1130"/>
      <c r="E219" s="1130"/>
      <c r="F219" s="1130"/>
      <c r="G219" s="1130"/>
      <c r="H219" s="1130"/>
      <c r="I219" s="1130"/>
      <c r="J219" s="1130"/>
      <c r="K219" s="1130"/>
      <c r="L219" s="1130"/>
      <c r="M219" s="1130"/>
      <c r="N219" s="1130"/>
      <c r="O219" s="1130"/>
      <c r="P219" s="1130"/>
      <c r="Q219" s="1130"/>
      <c r="R219" s="1130"/>
      <c r="S219" s="1130"/>
      <c r="T219" s="1130"/>
      <c r="U219" s="1130"/>
      <c r="V219" s="1130"/>
      <c r="W219" s="1130"/>
      <c r="X219" s="1130"/>
      <c r="Y219" s="1130"/>
      <c r="Z219" s="1130"/>
    </row>
    <row r="220" spans="1:26" ht="15.75" customHeight="1">
      <c r="A220" s="1129"/>
      <c r="B220" s="1130"/>
      <c r="C220" s="1130"/>
      <c r="D220" s="1130"/>
      <c r="E220" s="1130"/>
      <c r="F220" s="1130"/>
      <c r="G220" s="1130"/>
      <c r="H220" s="1130"/>
      <c r="I220" s="1130"/>
      <c r="J220" s="1130"/>
      <c r="K220" s="1130"/>
      <c r="L220" s="1130"/>
      <c r="M220" s="1130"/>
      <c r="N220" s="1130"/>
      <c r="O220" s="1130"/>
      <c r="P220" s="1130"/>
      <c r="Q220" s="1130"/>
      <c r="R220" s="1130"/>
      <c r="S220" s="1130"/>
      <c r="T220" s="1130"/>
      <c r="U220" s="1130"/>
      <c r="V220" s="1130"/>
      <c r="W220" s="1130"/>
      <c r="X220" s="1130"/>
      <c r="Y220" s="1130"/>
      <c r="Z220" s="1130"/>
    </row>
    <row r="221" spans="1:26" ht="15.75" customHeight="1">
      <c r="A221" s="1129"/>
      <c r="B221" s="1130"/>
      <c r="C221" s="1130"/>
      <c r="D221" s="1130"/>
      <c r="E221" s="1130"/>
      <c r="F221" s="1130"/>
      <c r="G221" s="1130"/>
      <c r="H221" s="1130"/>
      <c r="I221" s="1130"/>
      <c r="J221" s="1130"/>
      <c r="K221" s="1130"/>
      <c r="L221" s="1130"/>
      <c r="M221" s="1130"/>
      <c r="N221" s="1130"/>
      <c r="O221" s="1130"/>
      <c r="P221" s="1130"/>
      <c r="Q221" s="1130"/>
      <c r="R221" s="1130"/>
      <c r="S221" s="1130"/>
      <c r="T221" s="1130"/>
      <c r="U221" s="1130"/>
      <c r="V221" s="1130"/>
      <c r="W221" s="1130"/>
      <c r="X221" s="1130"/>
      <c r="Y221" s="1130"/>
      <c r="Z221" s="1130"/>
    </row>
    <row r="222" spans="1:26" ht="15.75" customHeight="1">
      <c r="A222" s="1129"/>
      <c r="B222" s="1130"/>
      <c r="C222" s="1130"/>
      <c r="D222" s="1130"/>
      <c r="E222" s="1130"/>
      <c r="F222" s="1130"/>
      <c r="G222" s="1130"/>
      <c r="H222" s="1130"/>
      <c r="I222" s="1130"/>
      <c r="J222" s="1130"/>
      <c r="K222" s="1130"/>
      <c r="L222" s="1130"/>
      <c r="M222" s="1130"/>
      <c r="N222" s="1130"/>
      <c r="O222" s="1130"/>
      <c r="P222" s="1130"/>
      <c r="Q222" s="1130"/>
      <c r="R222" s="1130"/>
      <c r="S222" s="1130"/>
      <c r="T222" s="1130"/>
      <c r="U222" s="1130"/>
      <c r="V222" s="1130"/>
      <c r="W222" s="1130"/>
      <c r="X222" s="1130"/>
      <c r="Y222" s="1130"/>
      <c r="Z222" s="1130"/>
    </row>
    <row r="223" spans="1:26" ht="15.75" customHeight="1">
      <c r="A223" s="1129"/>
      <c r="B223" s="1130"/>
      <c r="C223" s="1130"/>
      <c r="D223" s="1130"/>
      <c r="E223" s="1130"/>
      <c r="F223" s="1130"/>
      <c r="G223" s="1130"/>
      <c r="H223" s="1130"/>
      <c r="I223" s="1130"/>
      <c r="J223" s="1130"/>
      <c r="K223" s="1130"/>
      <c r="L223" s="1130"/>
      <c r="M223" s="1130"/>
      <c r="N223" s="1130"/>
      <c r="O223" s="1130"/>
      <c r="P223" s="1130"/>
      <c r="Q223" s="1130"/>
      <c r="R223" s="1130"/>
      <c r="S223" s="1130"/>
      <c r="T223" s="1130"/>
      <c r="U223" s="1130"/>
      <c r="V223" s="1130"/>
      <c r="W223" s="1130"/>
      <c r="X223" s="1130"/>
      <c r="Y223" s="1130"/>
      <c r="Z223" s="1130"/>
    </row>
    <row r="224" spans="1:26" ht="15.75" customHeight="1">
      <c r="A224" s="1129"/>
      <c r="B224" s="1130"/>
      <c r="C224" s="1130"/>
      <c r="D224" s="1130"/>
      <c r="E224" s="1130"/>
      <c r="F224" s="1130"/>
      <c r="G224" s="1130"/>
      <c r="H224" s="1130"/>
      <c r="I224" s="1130"/>
      <c r="J224" s="1130"/>
      <c r="K224" s="1130"/>
      <c r="L224" s="1130"/>
      <c r="M224" s="1130"/>
      <c r="N224" s="1130"/>
      <c r="O224" s="1130"/>
      <c r="P224" s="1130"/>
      <c r="Q224" s="1130"/>
      <c r="R224" s="1130"/>
      <c r="S224" s="1130"/>
      <c r="T224" s="1130"/>
      <c r="U224" s="1130"/>
      <c r="V224" s="1130"/>
      <c r="W224" s="1130"/>
      <c r="X224" s="1130"/>
      <c r="Y224" s="1130"/>
      <c r="Z224" s="1130"/>
    </row>
    <row r="225" spans="1:26" ht="15.75" customHeight="1">
      <c r="A225" s="1129"/>
      <c r="B225" s="1130"/>
      <c r="C225" s="1130"/>
      <c r="D225" s="1130"/>
      <c r="E225" s="1130"/>
      <c r="F225" s="1130"/>
      <c r="G225" s="1130"/>
      <c r="H225" s="1130"/>
      <c r="I225" s="1130"/>
      <c r="J225" s="1130"/>
      <c r="K225" s="1130"/>
      <c r="L225" s="1130"/>
      <c r="M225" s="1130"/>
      <c r="N225" s="1130"/>
      <c r="O225" s="1130"/>
      <c r="P225" s="1130"/>
      <c r="Q225" s="1130"/>
      <c r="R225" s="1130"/>
      <c r="S225" s="1130"/>
      <c r="T225" s="1130"/>
      <c r="U225" s="1130"/>
      <c r="V225" s="1130"/>
      <c r="W225" s="1130"/>
      <c r="X225" s="1130"/>
      <c r="Y225" s="1130"/>
      <c r="Z225" s="1130"/>
    </row>
    <row r="226" spans="1:26" ht="15.75" customHeight="1">
      <c r="A226" s="1129"/>
      <c r="B226" s="1130"/>
      <c r="C226" s="1130"/>
      <c r="D226" s="1130"/>
      <c r="E226" s="1130"/>
      <c r="F226" s="1130"/>
      <c r="G226" s="1130"/>
      <c r="H226" s="1130"/>
      <c r="I226" s="1130"/>
      <c r="J226" s="1130"/>
      <c r="K226" s="1130"/>
      <c r="L226" s="1130"/>
      <c r="M226" s="1130"/>
      <c r="N226" s="1130"/>
      <c r="O226" s="1130"/>
      <c r="P226" s="1130"/>
      <c r="Q226" s="1130"/>
      <c r="R226" s="1130"/>
      <c r="S226" s="1130"/>
      <c r="T226" s="1130"/>
      <c r="U226" s="1130"/>
      <c r="V226" s="1130"/>
      <c r="W226" s="1130"/>
      <c r="X226" s="1130"/>
      <c r="Y226" s="1130"/>
      <c r="Z226" s="1130"/>
    </row>
    <row r="227" spans="1:26" ht="15.75" customHeight="1">
      <c r="A227" s="1129"/>
      <c r="B227" s="1130"/>
      <c r="C227" s="1130"/>
      <c r="D227" s="1130"/>
      <c r="E227" s="1130"/>
      <c r="F227" s="1130"/>
      <c r="G227" s="1130"/>
      <c r="H227" s="1130"/>
      <c r="I227" s="1130"/>
      <c r="J227" s="1130"/>
      <c r="K227" s="1130"/>
      <c r="L227" s="1130"/>
      <c r="M227" s="1130"/>
      <c r="N227" s="1130"/>
      <c r="O227" s="1130"/>
      <c r="P227" s="1130"/>
      <c r="Q227" s="1130"/>
      <c r="R227" s="1130"/>
      <c r="S227" s="1130"/>
      <c r="T227" s="1130"/>
      <c r="U227" s="1130"/>
      <c r="V227" s="1130"/>
      <c r="W227" s="1130"/>
      <c r="X227" s="1130"/>
      <c r="Y227" s="1130"/>
      <c r="Z227" s="1130"/>
    </row>
    <row r="228" spans="1:26" ht="15.75" customHeight="1">
      <c r="A228" s="1129"/>
      <c r="B228" s="1130"/>
      <c r="C228" s="1130"/>
      <c r="D228" s="1130"/>
      <c r="E228" s="1130"/>
      <c r="F228" s="1130"/>
      <c r="G228" s="1130"/>
      <c r="H228" s="1130"/>
      <c r="I228" s="1130"/>
      <c r="J228" s="1130"/>
      <c r="K228" s="1130"/>
      <c r="L228" s="1130"/>
      <c r="M228" s="1130"/>
      <c r="N228" s="1130"/>
      <c r="O228" s="1130"/>
      <c r="P228" s="1130"/>
      <c r="Q228" s="1130"/>
      <c r="R228" s="1130"/>
      <c r="S228" s="1130"/>
      <c r="T228" s="1130"/>
      <c r="U228" s="1130"/>
      <c r="V228" s="1130"/>
      <c r="W228" s="1130"/>
      <c r="X228" s="1130"/>
      <c r="Y228" s="1130"/>
      <c r="Z228" s="1130"/>
    </row>
    <row r="229" spans="1:26" ht="15.75" customHeight="1">
      <c r="A229" s="1129"/>
      <c r="B229" s="1130"/>
      <c r="C229" s="1130"/>
      <c r="D229" s="1130"/>
      <c r="E229" s="1130"/>
      <c r="F229" s="1130"/>
      <c r="G229" s="1130"/>
      <c r="H229" s="1130"/>
      <c r="I229" s="1130"/>
      <c r="J229" s="1130"/>
      <c r="K229" s="1130"/>
      <c r="L229" s="1130"/>
      <c r="M229" s="1130"/>
      <c r="N229" s="1130"/>
      <c r="O229" s="1130"/>
      <c r="P229" s="1130"/>
      <c r="Q229" s="1130"/>
      <c r="R229" s="1130"/>
      <c r="S229" s="1130"/>
      <c r="T229" s="1130"/>
      <c r="U229" s="1130"/>
      <c r="V229" s="1130"/>
      <c r="W229" s="1130"/>
      <c r="X229" s="1130"/>
      <c r="Y229" s="1130"/>
      <c r="Z229" s="1130"/>
    </row>
    <row r="230" spans="1:26" ht="15.75" customHeight="1">
      <c r="A230" s="1129"/>
      <c r="B230" s="1130"/>
      <c r="C230" s="1130"/>
      <c r="D230" s="1130"/>
      <c r="E230" s="1130"/>
      <c r="F230" s="1130"/>
      <c r="G230" s="1130"/>
      <c r="H230" s="1130"/>
      <c r="I230" s="1130"/>
      <c r="J230" s="1130"/>
      <c r="K230" s="1130"/>
      <c r="L230" s="1130"/>
      <c r="M230" s="1130"/>
      <c r="N230" s="1130"/>
      <c r="O230" s="1130"/>
      <c r="P230" s="1130"/>
      <c r="Q230" s="1130"/>
      <c r="R230" s="1130"/>
      <c r="S230" s="1130"/>
      <c r="T230" s="1130"/>
      <c r="U230" s="1130"/>
      <c r="V230" s="1130"/>
      <c r="W230" s="1130"/>
      <c r="X230" s="1130"/>
      <c r="Y230" s="1130"/>
      <c r="Z230" s="1130"/>
    </row>
    <row r="231" spans="1:26" ht="15.75" customHeight="1">
      <c r="A231" s="1129"/>
      <c r="B231" s="1130"/>
      <c r="C231" s="1130"/>
      <c r="D231" s="1130"/>
      <c r="E231" s="1130"/>
      <c r="F231" s="1130"/>
      <c r="G231" s="1130"/>
      <c r="H231" s="1130"/>
      <c r="I231" s="1130"/>
      <c r="J231" s="1130"/>
      <c r="K231" s="1130"/>
      <c r="L231" s="1130"/>
      <c r="M231" s="1130"/>
      <c r="N231" s="1130"/>
      <c r="O231" s="1130"/>
      <c r="P231" s="1130"/>
      <c r="Q231" s="1130"/>
      <c r="R231" s="1130"/>
      <c r="S231" s="1130"/>
      <c r="T231" s="1130"/>
      <c r="U231" s="1130"/>
      <c r="V231" s="1130"/>
      <c r="W231" s="1130"/>
      <c r="X231" s="1130"/>
      <c r="Y231" s="1130"/>
      <c r="Z231" s="1130"/>
    </row>
    <row r="232" spans="1:26" ht="15.75" customHeight="1">
      <c r="A232" s="1129"/>
      <c r="B232" s="1130"/>
      <c r="C232" s="1130"/>
      <c r="D232" s="1130"/>
      <c r="E232" s="1130"/>
      <c r="F232" s="1130"/>
      <c r="G232" s="1130"/>
      <c r="H232" s="1130"/>
      <c r="I232" s="1130"/>
      <c r="J232" s="1130"/>
      <c r="K232" s="1130"/>
      <c r="L232" s="1130"/>
      <c r="M232" s="1130"/>
      <c r="N232" s="1130"/>
      <c r="O232" s="1130"/>
      <c r="P232" s="1130"/>
      <c r="Q232" s="1130"/>
      <c r="R232" s="1130"/>
      <c r="S232" s="1130"/>
      <c r="T232" s="1130"/>
      <c r="U232" s="1130"/>
      <c r="V232" s="1130"/>
      <c r="W232" s="1130"/>
      <c r="X232" s="1130"/>
      <c r="Y232" s="1130"/>
      <c r="Z232" s="1130"/>
    </row>
    <row r="233" spans="1:26" ht="15.75" customHeight="1">
      <c r="A233" s="1129"/>
      <c r="B233" s="1130"/>
      <c r="C233" s="1130"/>
      <c r="D233" s="1130"/>
      <c r="E233" s="1130"/>
      <c r="F233" s="1130"/>
      <c r="G233" s="1130"/>
      <c r="H233" s="1130"/>
      <c r="I233" s="1130"/>
      <c r="J233" s="1130"/>
      <c r="K233" s="1130"/>
      <c r="L233" s="1130"/>
      <c r="M233" s="1130"/>
      <c r="N233" s="1130"/>
      <c r="O233" s="1130"/>
      <c r="P233" s="1130"/>
      <c r="Q233" s="1130"/>
      <c r="R233" s="1130"/>
      <c r="S233" s="1130"/>
      <c r="T233" s="1130"/>
      <c r="U233" s="1130"/>
      <c r="V233" s="1130"/>
      <c r="W233" s="1130"/>
      <c r="X233" s="1130"/>
      <c r="Y233" s="1130"/>
      <c r="Z233" s="1130"/>
    </row>
    <row r="234" spans="1:26" ht="15.75" customHeight="1">
      <c r="A234" s="1129"/>
      <c r="B234" s="1130"/>
      <c r="C234" s="1130"/>
      <c r="D234" s="1130"/>
      <c r="E234" s="1130"/>
      <c r="F234" s="1130"/>
      <c r="G234" s="1130"/>
      <c r="H234" s="1130"/>
      <c r="I234" s="1130"/>
      <c r="J234" s="1130"/>
      <c r="K234" s="1130"/>
      <c r="L234" s="1130"/>
      <c r="M234" s="1130"/>
      <c r="N234" s="1130"/>
      <c r="O234" s="1130"/>
      <c r="P234" s="1130"/>
      <c r="Q234" s="1130"/>
      <c r="R234" s="1130"/>
      <c r="S234" s="1130"/>
      <c r="T234" s="1130"/>
      <c r="U234" s="1130"/>
      <c r="V234" s="1130"/>
      <c r="W234" s="1130"/>
      <c r="X234" s="1130"/>
      <c r="Y234" s="1130"/>
      <c r="Z234" s="1130"/>
    </row>
    <row r="235" spans="1:26" ht="15.75" customHeight="1">
      <c r="A235" s="1129"/>
      <c r="B235" s="1130"/>
      <c r="C235" s="1130"/>
      <c r="D235" s="1130"/>
      <c r="E235" s="1130"/>
      <c r="F235" s="1130"/>
      <c r="G235" s="1130"/>
      <c r="H235" s="1130"/>
      <c r="I235" s="1130"/>
      <c r="J235" s="1130"/>
      <c r="K235" s="1130"/>
      <c r="L235" s="1130"/>
      <c r="M235" s="1130"/>
      <c r="N235" s="1130"/>
      <c r="O235" s="1130"/>
      <c r="P235" s="1130"/>
      <c r="Q235" s="1130"/>
      <c r="R235" s="1130"/>
      <c r="S235" s="1130"/>
      <c r="T235" s="1130"/>
      <c r="U235" s="1130"/>
      <c r="V235" s="1130"/>
      <c r="W235" s="1130"/>
      <c r="X235" s="1130"/>
      <c r="Y235" s="1130"/>
      <c r="Z235" s="1130"/>
    </row>
    <row r="236" spans="1:26" ht="15.75" customHeight="1">
      <c r="A236" s="1129"/>
      <c r="B236" s="1130"/>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row>
    <row r="237" spans="1:26" ht="15.75" customHeight="1">
      <c r="A237" s="1129"/>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row>
    <row r="238" spans="1:26" ht="15.75" customHeight="1">
      <c r="A238" s="1129"/>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row>
    <row r="239" spans="1:26" ht="15.75" customHeight="1">
      <c r="A239" s="1129"/>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row>
    <row r="240" spans="1:26" ht="15.75" customHeight="1">
      <c r="A240" s="1129"/>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row>
    <row r="241" spans="1:26" ht="15.75" customHeight="1">
      <c r="A241" s="1129"/>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row>
    <row r="242" spans="1:26" ht="15.75" customHeight="1">
      <c r="A242" s="1129"/>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row>
    <row r="243" spans="1:26" ht="15.75" customHeight="1">
      <c r="A243" s="1129"/>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row>
    <row r="244" spans="1:26" ht="15.75" customHeight="1">
      <c r="A244" s="1129"/>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row>
    <row r="245" spans="1:26" ht="15.75" customHeight="1">
      <c r="A245" s="1129"/>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row>
    <row r="246" spans="1:26" ht="15.75" customHeight="1">
      <c r="A246" s="1129"/>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row>
    <row r="247" spans="1:26" ht="15.75" customHeight="1">
      <c r="A247" s="1129"/>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row>
    <row r="248" spans="1:26" ht="15.75" customHeight="1">
      <c r="A248" s="1129"/>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row>
    <row r="249" spans="1:26" ht="15.75" customHeight="1">
      <c r="A249" s="1129"/>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row>
    <row r="250" spans="1:26" ht="15.75" customHeight="1">
      <c r="A250" s="1129"/>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row>
    <row r="251" spans="1:26" ht="15.75" customHeight="1">
      <c r="A251" s="1129"/>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row>
    <row r="252" spans="1:26" ht="15.75" customHeight="1">
      <c r="A252" s="1129"/>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row>
    <row r="253" spans="1:26" ht="15.75" customHeight="1">
      <c r="A253" s="1129"/>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row>
    <row r="254" spans="1:26" ht="15.75" customHeight="1">
      <c r="A254" s="1129"/>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row>
    <row r="255" spans="1:26" ht="15.75" customHeight="1">
      <c r="A255" s="1129"/>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row>
    <row r="256" spans="1:26" ht="15.75" customHeight="1">
      <c r="A256" s="1129"/>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row>
    <row r="257" spans="1:26" ht="15.75" customHeight="1">
      <c r="A257" s="1129"/>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row>
    <row r="258" spans="1:26" ht="15.75" customHeight="1">
      <c r="A258" s="1129"/>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row>
    <row r="259" spans="1:26" ht="15.75" customHeight="1">
      <c r="A259" s="1129"/>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row>
    <row r="260" spans="1:26" ht="15.75" customHeight="1">
      <c r="A260" s="1129"/>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row>
    <row r="261" spans="1:26" ht="15.75" customHeight="1">
      <c r="A261" s="1129"/>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row>
    <row r="262" spans="1:26" ht="15.75" customHeight="1">
      <c r="A262" s="1129"/>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row>
    <row r="263" spans="1:26" ht="15.75" customHeight="1">
      <c r="A263" s="1129"/>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row>
    <row r="264" spans="1:26" ht="15.75" customHeight="1">
      <c r="A264" s="1129"/>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row>
    <row r="265" spans="1:26" ht="15.75" customHeight="1">
      <c r="A265" s="1129"/>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row>
    <row r="266" spans="1:26" ht="15.75" customHeight="1">
      <c r="A266" s="1129"/>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row>
    <row r="267" spans="1:26" ht="15.75" customHeight="1">
      <c r="A267" s="1129"/>
      <c r="B267" s="1130"/>
      <c r="C267" s="1130"/>
      <c r="D267" s="1130"/>
      <c r="E267" s="1130"/>
      <c r="F267" s="1130"/>
      <c r="G267" s="1130"/>
      <c r="H267" s="1130"/>
      <c r="I267" s="1130"/>
      <c r="J267" s="1130"/>
      <c r="K267" s="1130"/>
      <c r="L267" s="1130"/>
      <c r="M267" s="1130"/>
      <c r="N267" s="1130"/>
      <c r="O267" s="1130"/>
      <c r="P267" s="1130"/>
      <c r="Q267" s="1130"/>
      <c r="R267" s="1130"/>
      <c r="S267" s="1130"/>
      <c r="T267" s="1130"/>
      <c r="U267" s="1130"/>
      <c r="V267" s="1130"/>
      <c r="W267" s="1130"/>
      <c r="X267" s="1130"/>
      <c r="Y267" s="1130"/>
      <c r="Z267" s="1130"/>
    </row>
    <row r="268" spans="1:26" ht="15.75" customHeight="1">
      <c r="A268" s="1129"/>
      <c r="B268" s="1130"/>
      <c r="C268" s="1130"/>
      <c r="D268" s="1130"/>
      <c r="E268" s="1130"/>
      <c r="F268" s="1130"/>
      <c r="G268" s="1130"/>
      <c r="H268" s="1130"/>
      <c r="I268" s="1130"/>
      <c r="J268" s="1130"/>
      <c r="K268" s="1130"/>
      <c r="L268" s="1130"/>
      <c r="M268" s="1130"/>
      <c r="N268" s="1130"/>
      <c r="O268" s="1130"/>
      <c r="P268" s="1130"/>
      <c r="Q268" s="1130"/>
      <c r="R268" s="1130"/>
      <c r="S268" s="1130"/>
      <c r="T268" s="1130"/>
      <c r="U268" s="1130"/>
      <c r="V268" s="1130"/>
      <c r="W268" s="1130"/>
      <c r="X268" s="1130"/>
      <c r="Y268" s="1130"/>
      <c r="Z268" s="1130"/>
    </row>
    <row r="269" spans="1:26" ht="15.75" customHeight="1">
      <c r="A269" s="1129"/>
      <c r="B269" s="1130"/>
      <c r="C269" s="1130"/>
      <c r="D269" s="1130"/>
      <c r="E269" s="1130"/>
      <c r="F269" s="1130"/>
      <c r="G269" s="1130"/>
      <c r="H269" s="1130"/>
      <c r="I269" s="1130"/>
      <c r="J269" s="1130"/>
      <c r="K269" s="1130"/>
      <c r="L269" s="1130"/>
      <c r="M269" s="1130"/>
      <c r="N269" s="1130"/>
      <c r="O269" s="1130"/>
      <c r="P269" s="1130"/>
      <c r="Q269" s="1130"/>
      <c r="R269" s="1130"/>
      <c r="S269" s="1130"/>
      <c r="T269" s="1130"/>
      <c r="U269" s="1130"/>
      <c r="V269" s="1130"/>
      <c r="W269" s="1130"/>
      <c r="X269" s="1130"/>
      <c r="Y269" s="1130"/>
      <c r="Z269" s="1130"/>
    </row>
    <row r="270" spans="1:26" ht="15.75" customHeight="1">
      <c r="A270" s="1129"/>
      <c r="B270" s="1130"/>
      <c r="C270" s="1130"/>
      <c r="D270" s="1130"/>
      <c r="E270" s="1130"/>
      <c r="F270" s="1130"/>
      <c r="G270" s="1130"/>
      <c r="H270" s="1130"/>
      <c r="I270" s="1130"/>
      <c r="J270" s="1130"/>
      <c r="K270" s="1130"/>
      <c r="L270" s="1130"/>
      <c r="M270" s="1130"/>
      <c r="N270" s="1130"/>
      <c r="O270" s="1130"/>
      <c r="P270" s="1130"/>
      <c r="Q270" s="1130"/>
      <c r="R270" s="1130"/>
      <c r="S270" s="1130"/>
      <c r="T270" s="1130"/>
      <c r="U270" s="1130"/>
      <c r="V270" s="1130"/>
      <c r="W270" s="1130"/>
      <c r="X270" s="1130"/>
      <c r="Y270" s="1130"/>
      <c r="Z270" s="1130"/>
    </row>
    <row r="271" spans="1:26" ht="15.75" customHeight="1">
      <c r="A271" s="1129"/>
      <c r="B271" s="1130"/>
      <c r="C271" s="1130"/>
      <c r="D271" s="1130"/>
      <c r="E271" s="1130"/>
      <c r="F271" s="1130"/>
      <c r="G271" s="1130"/>
      <c r="H271" s="1130"/>
      <c r="I271" s="1130"/>
      <c r="J271" s="1130"/>
      <c r="K271" s="1130"/>
      <c r="L271" s="1130"/>
      <c r="M271" s="1130"/>
      <c r="N271" s="1130"/>
      <c r="O271" s="1130"/>
      <c r="P271" s="1130"/>
      <c r="Q271" s="1130"/>
      <c r="R271" s="1130"/>
      <c r="S271" s="1130"/>
      <c r="T271" s="1130"/>
      <c r="U271" s="1130"/>
      <c r="V271" s="1130"/>
      <c r="W271" s="1130"/>
      <c r="X271" s="1130"/>
      <c r="Y271" s="1130"/>
      <c r="Z271" s="1130"/>
    </row>
    <row r="272" spans="1:26" ht="15.75" customHeight="1">
      <c r="A272" s="1129"/>
      <c r="B272" s="1130"/>
      <c r="C272" s="1130"/>
      <c r="D272" s="1130"/>
      <c r="E272" s="1130"/>
      <c r="F272" s="1130"/>
      <c r="G272" s="1130"/>
      <c r="H272" s="1130"/>
      <c r="I272" s="1130"/>
      <c r="J272" s="1130"/>
      <c r="K272" s="1130"/>
      <c r="L272" s="1130"/>
      <c r="M272" s="1130"/>
      <c r="N272" s="1130"/>
      <c r="O272" s="1130"/>
      <c r="P272" s="1130"/>
      <c r="Q272" s="1130"/>
      <c r="R272" s="1130"/>
      <c r="S272" s="1130"/>
      <c r="T272" s="1130"/>
      <c r="U272" s="1130"/>
      <c r="V272" s="1130"/>
      <c r="W272" s="1130"/>
      <c r="X272" s="1130"/>
      <c r="Y272" s="1130"/>
      <c r="Z272" s="1130"/>
    </row>
    <row r="273" spans="1:26" ht="15.75" customHeight="1">
      <c r="A273" s="1129"/>
      <c r="B273" s="1130"/>
      <c r="C273" s="1130"/>
      <c r="D273" s="1130"/>
      <c r="E273" s="1130"/>
      <c r="F273" s="1130"/>
      <c r="G273" s="1130"/>
      <c r="H273" s="1130"/>
      <c r="I273" s="1130"/>
      <c r="J273" s="1130"/>
      <c r="K273" s="1130"/>
      <c r="L273" s="1130"/>
      <c r="M273" s="1130"/>
      <c r="N273" s="1130"/>
      <c r="O273" s="1130"/>
      <c r="P273" s="1130"/>
      <c r="Q273" s="1130"/>
      <c r="R273" s="1130"/>
      <c r="S273" s="1130"/>
      <c r="T273" s="1130"/>
      <c r="U273" s="1130"/>
      <c r="V273" s="1130"/>
      <c r="W273" s="1130"/>
      <c r="X273" s="1130"/>
      <c r="Y273" s="1130"/>
      <c r="Z273" s="1130"/>
    </row>
    <row r="274" spans="1:26" ht="15.75" customHeight="1">
      <c r="A274" s="1129"/>
      <c r="B274" s="1130"/>
      <c r="C274" s="1130"/>
      <c r="D274" s="1130"/>
      <c r="E274" s="1130"/>
      <c r="F274" s="1130"/>
      <c r="G274" s="1130"/>
      <c r="H274" s="1130"/>
      <c r="I274" s="1130"/>
      <c r="J274" s="1130"/>
      <c r="K274" s="1130"/>
      <c r="L274" s="1130"/>
      <c r="M274" s="1130"/>
      <c r="N274" s="1130"/>
      <c r="O274" s="1130"/>
      <c r="P274" s="1130"/>
      <c r="Q274" s="1130"/>
      <c r="R274" s="1130"/>
      <c r="S274" s="1130"/>
      <c r="T274" s="1130"/>
      <c r="U274" s="1130"/>
      <c r="V274" s="1130"/>
      <c r="W274" s="1130"/>
      <c r="X274" s="1130"/>
      <c r="Y274" s="1130"/>
      <c r="Z274" s="1130"/>
    </row>
    <row r="275" spans="1:26" ht="15.75" customHeight="1">
      <c r="A275" s="1129"/>
      <c r="B275" s="1130"/>
      <c r="C275" s="1130"/>
      <c r="D275" s="1130"/>
      <c r="E275" s="1130"/>
      <c r="F275" s="1130"/>
      <c r="G275" s="1130"/>
      <c r="H275" s="1130"/>
      <c r="I275" s="1130"/>
      <c r="J275" s="1130"/>
      <c r="K275" s="1130"/>
      <c r="L275" s="1130"/>
      <c r="M275" s="1130"/>
      <c r="N275" s="1130"/>
      <c r="O275" s="1130"/>
      <c r="P275" s="1130"/>
      <c r="Q275" s="1130"/>
      <c r="R275" s="1130"/>
      <c r="S275" s="1130"/>
      <c r="T275" s="1130"/>
      <c r="U275" s="1130"/>
      <c r="V275" s="1130"/>
      <c r="W275" s="1130"/>
      <c r="X275" s="1130"/>
      <c r="Y275" s="1130"/>
      <c r="Z275" s="1130"/>
    </row>
    <row r="276" spans="1:26" ht="15.75" customHeight="1">
      <c r="A276" s="1129"/>
      <c r="B276" s="1130"/>
      <c r="C276" s="1130"/>
      <c r="D276" s="1130"/>
      <c r="E276" s="1130"/>
      <c r="F276" s="1130"/>
      <c r="G276" s="1130"/>
      <c r="H276" s="1130"/>
      <c r="I276" s="1130"/>
      <c r="J276" s="1130"/>
      <c r="K276" s="1130"/>
      <c r="L276" s="1130"/>
      <c r="M276" s="1130"/>
      <c r="N276" s="1130"/>
      <c r="O276" s="1130"/>
      <c r="P276" s="1130"/>
      <c r="Q276" s="1130"/>
      <c r="R276" s="1130"/>
      <c r="S276" s="1130"/>
      <c r="T276" s="1130"/>
      <c r="U276" s="1130"/>
      <c r="V276" s="1130"/>
      <c r="W276" s="1130"/>
      <c r="X276" s="1130"/>
      <c r="Y276" s="1130"/>
      <c r="Z276" s="1130"/>
    </row>
    <row r="277" spans="1:26" ht="15.75" customHeight="1">
      <c r="A277" s="1129"/>
      <c r="B277" s="1130"/>
      <c r="C277" s="1130"/>
      <c r="D277" s="1130"/>
      <c r="E277" s="1130"/>
      <c r="F277" s="1130"/>
      <c r="G277" s="1130"/>
      <c r="H277" s="1130"/>
      <c r="I277" s="1130"/>
      <c r="J277" s="1130"/>
      <c r="K277" s="1130"/>
      <c r="L277" s="1130"/>
      <c r="M277" s="1130"/>
      <c r="N277" s="1130"/>
      <c r="O277" s="1130"/>
      <c r="P277" s="1130"/>
      <c r="Q277" s="1130"/>
      <c r="R277" s="1130"/>
      <c r="S277" s="1130"/>
      <c r="T277" s="1130"/>
      <c r="U277" s="1130"/>
      <c r="V277" s="1130"/>
      <c r="W277" s="1130"/>
      <c r="X277" s="1130"/>
      <c r="Y277" s="1130"/>
      <c r="Z277" s="1130"/>
    </row>
    <row r="278" spans="1:26" ht="15.75" customHeight="1">
      <c r="A278" s="1129"/>
      <c r="B278" s="1130"/>
      <c r="C278" s="1130"/>
      <c r="D278" s="1130"/>
      <c r="E278" s="1130"/>
      <c r="F278" s="1130"/>
      <c r="G278" s="1130"/>
      <c r="H278" s="1130"/>
      <c r="I278" s="1130"/>
      <c r="J278" s="1130"/>
      <c r="K278" s="1130"/>
      <c r="L278" s="1130"/>
      <c r="M278" s="1130"/>
      <c r="N278" s="1130"/>
      <c r="O278" s="1130"/>
      <c r="P278" s="1130"/>
      <c r="Q278" s="1130"/>
      <c r="R278" s="1130"/>
      <c r="S278" s="1130"/>
      <c r="T278" s="1130"/>
      <c r="U278" s="1130"/>
      <c r="V278" s="1130"/>
      <c r="W278" s="1130"/>
      <c r="X278" s="1130"/>
      <c r="Y278" s="1130"/>
      <c r="Z278" s="1130"/>
    </row>
    <row r="279" spans="1:26" ht="15.75" customHeight="1">
      <c r="A279" s="1129"/>
      <c r="B279" s="1130"/>
      <c r="C279" s="1130"/>
      <c r="D279" s="1130"/>
      <c r="E279" s="1130"/>
      <c r="F279" s="1130"/>
      <c r="G279" s="1130"/>
      <c r="H279" s="1130"/>
      <c r="I279" s="1130"/>
      <c r="J279" s="1130"/>
      <c r="K279" s="1130"/>
      <c r="L279" s="1130"/>
      <c r="M279" s="1130"/>
      <c r="N279" s="1130"/>
      <c r="O279" s="1130"/>
      <c r="P279" s="1130"/>
      <c r="Q279" s="1130"/>
      <c r="R279" s="1130"/>
      <c r="S279" s="1130"/>
      <c r="T279" s="1130"/>
      <c r="U279" s="1130"/>
      <c r="V279" s="1130"/>
      <c r="W279" s="1130"/>
      <c r="X279" s="1130"/>
      <c r="Y279" s="1130"/>
      <c r="Z279" s="1130"/>
    </row>
    <row r="280" spans="1:26" ht="15.75" customHeight="1">
      <c r="A280" s="1129"/>
      <c r="B280" s="1130"/>
      <c r="C280" s="1130"/>
      <c r="D280" s="1130"/>
      <c r="E280" s="1130"/>
      <c r="F280" s="1130"/>
      <c r="G280" s="1130"/>
      <c r="H280" s="1130"/>
      <c r="I280" s="1130"/>
      <c r="J280" s="1130"/>
      <c r="K280" s="1130"/>
      <c r="L280" s="1130"/>
      <c r="M280" s="1130"/>
      <c r="N280" s="1130"/>
      <c r="O280" s="1130"/>
      <c r="P280" s="1130"/>
      <c r="Q280" s="1130"/>
      <c r="R280" s="1130"/>
      <c r="S280" s="1130"/>
      <c r="T280" s="1130"/>
      <c r="U280" s="1130"/>
      <c r="V280" s="1130"/>
      <c r="W280" s="1130"/>
      <c r="X280" s="1130"/>
      <c r="Y280" s="1130"/>
      <c r="Z280" s="1130"/>
    </row>
    <row r="281" spans="1:26" ht="15.75" customHeight="1">
      <c r="A281" s="1129"/>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row>
    <row r="282" spans="1:26" ht="15.75" customHeight="1">
      <c r="A282" s="1129"/>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row>
    <row r="283" spans="1:26" ht="15.75" customHeight="1">
      <c r="A283" s="1129"/>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row>
    <row r="284" spans="1:26" ht="15.75" customHeight="1">
      <c r="A284" s="1129"/>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row>
    <row r="285" spans="1:26" ht="15.75" customHeight="1">
      <c r="A285" s="1129"/>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row>
    <row r="286" spans="1:26" ht="15.75" customHeight="1">
      <c r="A286" s="1129"/>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row>
    <row r="287" spans="1:26" ht="15.75" customHeight="1">
      <c r="A287" s="1129"/>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row>
    <row r="288" spans="1:26" ht="15.75" customHeight="1">
      <c r="A288" s="1129"/>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row>
    <row r="289" spans="1:26" ht="15.75" customHeight="1">
      <c r="A289" s="1129"/>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row>
    <row r="290" spans="1:26" ht="15.75" customHeight="1">
      <c r="A290" s="1129"/>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row>
    <row r="291" spans="1:26" ht="15.75" customHeight="1">
      <c r="A291" s="1129"/>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row>
    <row r="292" spans="1:26" ht="15.75" customHeight="1">
      <c r="A292" s="1129"/>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row>
    <row r="293" spans="1:26" ht="15.75" customHeight="1">
      <c r="A293" s="1129"/>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row>
    <row r="294" spans="1:26" ht="15.75" customHeight="1">
      <c r="A294" s="1129"/>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row>
    <row r="295" spans="1:26" ht="15.75" customHeight="1">
      <c r="A295" s="1129"/>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row>
    <row r="296" spans="1:26" ht="15.75" customHeight="1">
      <c r="A296" s="1129"/>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row>
    <row r="297" spans="1:26" ht="15.75" customHeight="1">
      <c r="A297" s="1129"/>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row>
    <row r="298" spans="1:26" ht="15.75" customHeight="1">
      <c r="A298" s="1129"/>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row>
    <row r="299" spans="1:26" ht="15.75" customHeight="1">
      <c r="A299" s="1129"/>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row>
    <row r="300" spans="1:26" ht="15.75" customHeight="1">
      <c r="A300" s="1129"/>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row>
    <row r="301" spans="1:26" ht="15.75" customHeight="1">
      <c r="A301" s="1129"/>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row>
    <row r="302" spans="1:26" ht="15.75" customHeight="1">
      <c r="A302" s="1129"/>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row>
    <row r="303" spans="1:26" ht="15.75" customHeight="1">
      <c r="A303" s="1129"/>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row>
    <row r="304" spans="1:26" ht="15.75" customHeight="1">
      <c r="A304" s="1129"/>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row>
    <row r="305" spans="1:26" ht="15.75" customHeight="1">
      <c r="A305" s="1129"/>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row>
    <row r="306" spans="1:26" ht="15.75" customHeight="1">
      <c r="A306" s="1129"/>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row>
    <row r="307" spans="1:26" ht="15.75" customHeight="1">
      <c r="A307" s="1129"/>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row>
    <row r="308" spans="1:26" ht="15.75" customHeight="1">
      <c r="A308" s="1129"/>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row>
    <row r="309" spans="1:26" ht="15.75" customHeight="1">
      <c r="A309" s="1129"/>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row>
    <row r="310" spans="1:26" ht="15.75" customHeight="1">
      <c r="A310" s="1129"/>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row>
    <row r="311" spans="1:26" ht="15.75" customHeight="1">
      <c r="A311" s="1129"/>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row>
    <row r="312" spans="1:26" ht="15.75" customHeight="1">
      <c r="A312" s="1129"/>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row>
    <row r="313" spans="1:26" ht="15.75" customHeight="1">
      <c r="A313" s="1129"/>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row>
    <row r="314" spans="1:26" ht="15.75" customHeight="1">
      <c r="A314" s="1129"/>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row>
    <row r="315" spans="1:26" ht="15.75" customHeight="1">
      <c r="A315" s="1129"/>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row>
    <row r="316" spans="1:26" ht="15.75" customHeight="1">
      <c r="A316" s="1129"/>
      <c r="B316" s="1130"/>
      <c r="C316" s="1130"/>
      <c r="D316" s="1130"/>
      <c r="E316" s="1130"/>
      <c r="F316" s="1130"/>
      <c r="G316" s="1130"/>
      <c r="H316" s="1130"/>
      <c r="I316" s="1130"/>
      <c r="J316" s="1130"/>
      <c r="K316" s="1130"/>
      <c r="L316" s="1130"/>
      <c r="M316" s="1130"/>
      <c r="N316" s="1130"/>
      <c r="O316" s="1130"/>
      <c r="P316" s="1130"/>
      <c r="Q316" s="1130"/>
      <c r="R316" s="1130"/>
      <c r="S316" s="1130"/>
      <c r="T316" s="1130"/>
      <c r="U316" s="1130"/>
      <c r="V316" s="1130"/>
      <c r="W316" s="1130"/>
      <c r="X316" s="1130"/>
      <c r="Y316" s="1130"/>
      <c r="Z316" s="1130"/>
    </row>
    <row r="317" spans="1:26" ht="15.75" customHeight="1">
      <c r="A317" s="1129"/>
      <c r="B317" s="1130"/>
      <c r="C317" s="1130"/>
      <c r="D317" s="1130"/>
      <c r="E317" s="1130"/>
      <c r="F317" s="1130"/>
      <c r="G317" s="1130"/>
      <c r="H317" s="1130"/>
      <c r="I317" s="1130"/>
      <c r="J317" s="1130"/>
      <c r="K317" s="1130"/>
      <c r="L317" s="1130"/>
      <c r="M317" s="1130"/>
      <c r="N317" s="1130"/>
      <c r="O317" s="1130"/>
      <c r="P317" s="1130"/>
      <c r="Q317" s="1130"/>
      <c r="R317" s="1130"/>
      <c r="S317" s="1130"/>
      <c r="T317" s="1130"/>
      <c r="U317" s="1130"/>
      <c r="V317" s="1130"/>
      <c r="W317" s="1130"/>
      <c r="X317" s="1130"/>
      <c r="Y317" s="1130"/>
      <c r="Z317" s="1130"/>
    </row>
    <row r="318" spans="1:26" ht="15.75" customHeight="1">
      <c r="A318" s="1129"/>
      <c r="B318" s="1130"/>
      <c r="C318" s="1130"/>
      <c r="D318" s="1130"/>
      <c r="E318" s="1130"/>
      <c r="F318" s="1130"/>
      <c r="G318" s="1130"/>
      <c r="H318" s="1130"/>
      <c r="I318" s="1130"/>
      <c r="J318" s="1130"/>
      <c r="K318" s="1130"/>
      <c r="L318" s="1130"/>
      <c r="M318" s="1130"/>
      <c r="N318" s="1130"/>
      <c r="O318" s="1130"/>
      <c r="P318" s="1130"/>
      <c r="Q318" s="1130"/>
      <c r="R318" s="1130"/>
      <c r="S318" s="1130"/>
      <c r="T318" s="1130"/>
      <c r="U318" s="1130"/>
      <c r="V318" s="1130"/>
      <c r="W318" s="1130"/>
      <c r="X318" s="1130"/>
      <c r="Y318" s="1130"/>
      <c r="Z318" s="1130"/>
    </row>
    <row r="319" spans="1:26" ht="15.75" customHeight="1">
      <c r="A319" s="1129"/>
      <c r="B319" s="1130"/>
      <c r="C319" s="1130"/>
      <c r="D319" s="1130"/>
      <c r="E319" s="1130"/>
      <c r="F319" s="1130"/>
      <c r="G319" s="1130"/>
      <c r="H319" s="1130"/>
      <c r="I319" s="1130"/>
      <c r="J319" s="1130"/>
      <c r="K319" s="1130"/>
      <c r="L319" s="1130"/>
      <c r="M319" s="1130"/>
      <c r="N319" s="1130"/>
      <c r="O319" s="1130"/>
      <c r="P319" s="1130"/>
      <c r="Q319" s="1130"/>
      <c r="R319" s="1130"/>
      <c r="S319" s="1130"/>
      <c r="T319" s="1130"/>
      <c r="U319" s="1130"/>
      <c r="V319" s="1130"/>
      <c r="W319" s="1130"/>
      <c r="X319" s="1130"/>
      <c r="Y319" s="1130"/>
      <c r="Z319" s="1130"/>
    </row>
    <row r="320" spans="1:26" ht="15.75" customHeight="1">
      <c r="A320" s="1129"/>
      <c r="B320" s="1130"/>
      <c r="C320" s="1130"/>
      <c r="D320" s="1130"/>
      <c r="E320" s="1130"/>
      <c r="F320" s="1130"/>
      <c r="G320" s="1130"/>
      <c r="H320" s="1130"/>
      <c r="I320" s="1130"/>
      <c r="J320" s="1130"/>
      <c r="K320" s="1130"/>
      <c r="L320" s="1130"/>
      <c r="M320" s="1130"/>
      <c r="N320" s="1130"/>
      <c r="O320" s="1130"/>
      <c r="P320" s="1130"/>
      <c r="Q320" s="1130"/>
      <c r="R320" s="1130"/>
      <c r="S320" s="1130"/>
      <c r="T320" s="1130"/>
      <c r="U320" s="1130"/>
      <c r="V320" s="1130"/>
      <c r="W320" s="1130"/>
      <c r="X320" s="1130"/>
      <c r="Y320" s="1130"/>
      <c r="Z320" s="1130"/>
    </row>
    <row r="321" spans="1:26" ht="15.75" customHeight="1">
      <c r="A321" s="1129"/>
      <c r="B321" s="1130"/>
      <c r="C321" s="1130"/>
      <c r="D321" s="1130"/>
      <c r="E321" s="1130"/>
      <c r="F321" s="1130"/>
      <c r="G321" s="1130"/>
      <c r="H321" s="1130"/>
      <c r="I321" s="1130"/>
      <c r="J321" s="1130"/>
      <c r="K321" s="1130"/>
      <c r="L321" s="1130"/>
      <c r="M321" s="1130"/>
      <c r="N321" s="1130"/>
      <c r="O321" s="1130"/>
      <c r="P321" s="1130"/>
      <c r="Q321" s="1130"/>
      <c r="R321" s="1130"/>
      <c r="S321" s="1130"/>
      <c r="T321" s="1130"/>
      <c r="U321" s="1130"/>
      <c r="V321" s="1130"/>
      <c r="W321" s="1130"/>
      <c r="X321" s="1130"/>
      <c r="Y321" s="1130"/>
      <c r="Z321" s="1130"/>
    </row>
    <row r="322" spans="1:26" ht="15.75" customHeight="1">
      <c r="A322" s="1129"/>
      <c r="B322" s="1130"/>
      <c r="C322" s="1130"/>
      <c r="D322" s="1130"/>
      <c r="E322" s="1130"/>
      <c r="F322" s="1130"/>
      <c r="G322" s="1130"/>
      <c r="H322" s="1130"/>
      <c r="I322" s="1130"/>
      <c r="J322" s="1130"/>
      <c r="K322" s="1130"/>
      <c r="L322" s="1130"/>
      <c r="M322" s="1130"/>
      <c r="N322" s="1130"/>
      <c r="O322" s="1130"/>
      <c r="P322" s="1130"/>
      <c r="Q322" s="1130"/>
      <c r="R322" s="1130"/>
      <c r="S322" s="1130"/>
      <c r="T322" s="1130"/>
      <c r="U322" s="1130"/>
      <c r="V322" s="1130"/>
      <c r="W322" s="1130"/>
      <c r="X322" s="1130"/>
      <c r="Y322" s="1130"/>
      <c r="Z322" s="1130"/>
    </row>
    <row r="323" spans="1:26" ht="15.75" customHeight="1">
      <c r="A323" s="1129"/>
      <c r="B323" s="1130"/>
      <c r="C323" s="1130"/>
      <c r="D323" s="1130"/>
      <c r="E323" s="1130"/>
      <c r="F323" s="1130"/>
      <c r="G323" s="1130"/>
      <c r="H323" s="1130"/>
      <c r="I323" s="1130"/>
      <c r="J323" s="1130"/>
      <c r="K323" s="1130"/>
      <c r="L323" s="1130"/>
      <c r="M323" s="1130"/>
      <c r="N323" s="1130"/>
      <c r="O323" s="1130"/>
      <c r="P323" s="1130"/>
      <c r="Q323" s="1130"/>
      <c r="R323" s="1130"/>
      <c r="S323" s="1130"/>
      <c r="T323" s="1130"/>
      <c r="U323" s="1130"/>
      <c r="V323" s="1130"/>
      <c r="W323" s="1130"/>
      <c r="X323" s="1130"/>
      <c r="Y323" s="1130"/>
      <c r="Z323" s="1130"/>
    </row>
    <row r="324" spans="1:26" ht="15.75" customHeight="1">
      <c r="A324" s="1129"/>
      <c r="B324" s="1130"/>
      <c r="C324" s="1130"/>
      <c r="D324" s="1130"/>
      <c r="E324" s="1130"/>
      <c r="F324" s="1130"/>
      <c r="G324" s="1130"/>
      <c r="H324" s="1130"/>
      <c r="I324" s="1130"/>
      <c r="J324" s="1130"/>
      <c r="K324" s="1130"/>
      <c r="L324" s="1130"/>
      <c r="M324" s="1130"/>
      <c r="N324" s="1130"/>
      <c r="O324" s="1130"/>
      <c r="P324" s="1130"/>
      <c r="Q324" s="1130"/>
      <c r="R324" s="1130"/>
      <c r="S324" s="1130"/>
      <c r="T324" s="1130"/>
      <c r="U324" s="1130"/>
      <c r="V324" s="1130"/>
      <c r="W324" s="1130"/>
      <c r="X324" s="1130"/>
      <c r="Y324" s="1130"/>
      <c r="Z324" s="1130"/>
    </row>
    <row r="325" spans="1:26" ht="15.75" customHeight="1">
      <c r="A325" s="1129"/>
      <c r="B325" s="1130"/>
      <c r="C325" s="1130"/>
      <c r="D325" s="1130"/>
      <c r="E325" s="1130"/>
      <c r="F325" s="1130"/>
      <c r="G325" s="1130"/>
      <c r="H325" s="1130"/>
      <c r="I325" s="1130"/>
      <c r="J325" s="1130"/>
      <c r="K325" s="1130"/>
      <c r="L325" s="1130"/>
      <c r="M325" s="1130"/>
      <c r="N325" s="1130"/>
      <c r="O325" s="1130"/>
      <c r="P325" s="1130"/>
      <c r="Q325" s="1130"/>
      <c r="R325" s="1130"/>
      <c r="S325" s="1130"/>
      <c r="T325" s="1130"/>
      <c r="U325" s="1130"/>
      <c r="V325" s="1130"/>
      <c r="W325" s="1130"/>
      <c r="X325" s="1130"/>
      <c r="Y325" s="1130"/>
      <c r="Z325" s="1130"/>
    </row>
    <row r="326" spans="1:26" ht="15.75" customHeight="1">
      <c r="A326" s="1129"/>
      <c r="B326" s="1130"/>
      <c r="C326" s="1130"/>
      <c r="D326" s="1130"/>
      <c r="E326" s="1130"/>
      <c r="F326" s="1130"/>
      <c r="G326" s="1130"/>
      <c r="H326" s="1130"/>
      <c r="I326" s="1130"/>
      <c r="J326" s="1130"/>
      <c r="K326" s="1130"/>
      <c r="L326" s="1130"/>
      <c r="M326" s="1130"/>
      <c r="N326" s="1130"/>
      <c r="O326" s="1130"/>
      <c r="P326" s="1130"/>
      <c r="Q326" s="1130"/>
      <c r="R326" s="1130"/>
      <c r="S326" s="1130"/>
      <c r="T326" s="1130"/>
      <c r="U326" s="1130"/>
      <c r="V326" s="1130"/>
      <c r="W326" s="1130"/>
      <c r="X326" s="1130"/>
      <c r="Y326" s="1130"/>
      <c r="Z326" s="1130"/>
    </row>
    <row r="327" spans="1:26" ht="15.75" customHeight="1">
      <c r="A327" s="1129"/>
      <c r="B327" s="1130"/>
      <c r="C327" s="1130"/>
      <c r="D327" s="1130"/>
      <c r="E327" s="1130"/>
      <c r="F327" s="1130"/>
      <c r="G327" s="1130"/>
      <c r="H327" s="1130"/>
      <c r="I327" s="1130"/>
      <c r="J327" s="1130"/>
      <c r="K327" s="1130"/>
      <c r="L327" s="1130"/>
      <c r="M327" s="1130"/>
      <c r="N327" s="1130"/>
      <c r="O327" s="1130"/>
      <c r="P327" s="1130"/>
      <c r="Q327" s="1130"/>
      <c r="R327" s="1130"/>
      <c r="S327" s="1130"/>
      <c r="T327" s="1130"/>
      <c r="U327" s="1130"/>
      <c r="V327" s="1130"/>
      <c r="W327" s="1130"/>
      <c r="X327" s="1130"/>
      <c r="Y327" s="1130"/>
      <c r="Z327" s="1130"/>
    </row>
    <row r="328" spans="1:26" ht="15.75" customHeight="1">
      <c r="A328" s="1129"/>
      <c r="B328" s="1130"/>
      <c r="C328" s="1130"/>
      <c r="D328" s="1130"/>
      <c r="E328" s="1130"/>
      <c r="F328" s="1130"/>
      <c r="G328" s="1130"/>
      <c r="H328" s="1130"/>
      <c r="I328" s="1130"/>
      <c r="J328" s="1130"/>
      <c r="K328" s="1130"/>
      <c r="L328" s="1130"/>
      <c r="M328" s="1130"/>
      <c r="N328" s="1130"/>
      <c r="O328" s="1130"/>
      <c r="P328" s="1130"/>
      <c r="Q328" s="1130"/>
      <c r="R328" s="1130"/>
      <c r="S328" s="1130"/>
      <c r="T328" s="1130"/>
      <c r="U328" s="1130"/>
      <c r="V328" s="1130"/>
      <c r="W328" s="1130"/>
      <c r="X328" s="1130"/>
      <c r="Y328" s="1130"/>
      <c r="Z328" s="1130"/>
    </row>
    <row r="329" spans="1:26" ht="15.75" customHeight="1">
      <c r="A329" s="1129"/>
      <c r="B329" s="1130"/>
      <c r="C329" s="1130"/>
      <c r="D329" s="1130"/>
      <c r="E329" s="1130"/>
      <c r="F329" s="1130"/>
      <c r="G329" s="1130"/>
      <c r="H329" s="1130"/>
      <c r="I329" s="1130"/>
      <c r="J329" s="1130"/>
      <c r="K329" s="1130"/>
      <c r="L329" s="1130"/>
      <c r="M329" s="1130"/>
      <c r="N329" s="1130"/>
      <c r="O329" s="1130"/>
      <c r="P329" s="1130"/>
      <c r="Q329" s="1130"/>
      <c r="R329" s="1130"/>
      <c r="S329" s="1130"/>
      <c r="T329" s="1130"/>
      <c r="U329" s="1130"/>
      <c r="V329" s="1130"/>
      <c r="W329" s="1130"/>
      <c r="X329" s="1130"/>
      <c r="Y329" s="1130"/>
      <c r="Z329" s="1130"/>
    </row>
    <row r="330" spans="1:26" ht="15.75" customHeight="1">
      <c r="A330" s="1129"/>
      <c r="B330" s="1130"/>
      <c r="C330" s="1130"/>
      <c r="D330" s="1130"/>
      <c r="E330" s="1130"/>
      <c r="F330" s="1130"/>
      <c r="G330" s="1130"/>
      <c r="H330" s="1130"/>
      <c r="I330" s="1130"/>
      <c r="J330" s="1130"/>
      <c r="K330" s="1130"/>
      <c r="L330" s="1130"/>
      <c r="M330" s="1130"/>
      <c r="N330" s="1130"/>
      <c r="O330" s="1130"/>
      <c r="P330" s="1130"/>
      <c r="Q330" s="1130"/>
      <c r="R330" s="1130"/>
      <c r="S330" s="1130"/>
      <c r="T330" s="1130"/>
      <c r="U330" s="1130"/>
      <c r="V330" s="1130"/>
      <c r="W330" s="1130"/>
      <c r="X330" s="1130"/>
      <c r="Y330" s="1130"/>
      <c r="Z330" s="1130"/>
    </row>
    <row r="331" spans="1:26" ht="15.75" customHeight="1">
      <c r="A331" s="1129"/>
      <c r="B331" s="1130"/>
      <c r="C331" s="1130"/>
      <c r="D331" s="1130"/>
      <c r="E331" s="1130"/>
      <c r="F331" s="1130"/>
      <c r="G331" s="1130"/>
      <c r="H331" s="1130"/>
      <c r="I331" s="1130"/>
      <c r="J331" s="1130"/>
      <c r="K331" s="1130"/>
      <c r="L331" s="1130"/>
      <c r="M331" s="1130"/>
      <c r="N331" s="1130"/>
      <c r="O331" s="1130"/>
      <c r="P331" s="1130"/>
      <c r="Q331" s="1130"/>
      <c r="R331" s="1130"/>
      <c r="S331" s="1130"/>
      <c r="T331" s="1130"/>
      <c r="U331" s="1130"/>
      <c r="V331" s="1130"/>
      <c r="W331" s="1130"/>
      <c r="X331" s="1130"/>
      <c r="Y331" s="1130"/>
      <c r="Z331" s="1130"/>
    </row>
    <row r="332" spans="1:26" ht="15.75" customHeight="1">
      <c r="A332" s="1129"/>
      <c r="B332" s="1130"/>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row>
    <row r="333" spans="1:26" ht="15.75" customHeight="1">
      <c r="A333" s="1129"/>
      <c r="B333" s="1130"/>
      <c r="C333" s="1130"/>
      <c r="D333" s="1130"/>
      <c r="E333" s="1130"/>
      <c r="F333" s="1130"/>
      <c r="G333" s="1130"/>
      <c r="H333" s="1130"/>
      <c r="I333" s="1130"/>
      <c r="J333" s="1130"/>
      <c r="K333" s="1130"/>
      <c r="L333" s="1130"/>
      <c r="M333" s="1130"/>
      <c r="N333" s="1130"/>
      <c r="O333" s="1130"/>
      <c r="P333" s="1130"/>
      <c r="Q333" s="1130"/>
      <c r="R333" s="1130"/>
      <c r="S333" s="1130"/>
      <c r="T333" s="1130"/>
      <c r="U333" s="1130"/>
      <c r="V333" s="1130"/>
      <c r="W333" s="1130"/>
      <c r="X333" s="1130"/>
      <c r="Y333" s="1130"/>
      <c r="Z333" s="1130"/>
    </row>
    <row r="334" spans="1:26" ht="15.75" customHeight="1">
      <c r="A334" s="1129"/>
      <c r="B334" s="1130"/>
      <c r="C334" s="1130"/>
      <c r="D334" s="1130"/>
      <c r="E334" s="1130"/>
      <c r="F334" s="1130"/>
      <c r="G334" s="1130"/>
      <c r="H334" s="1130"/>
      <c r="I334" s="1130"/>
      <c r="J334" s="1130"/>
      <c r="K334" s="1130"/>
      <c r="L334" s="1130"/>
      <c r="M334" s="1130"/>
      <c r="N334" s="1130"/>
      <c r="O334" s="1130"/>
      <c r="P334" s="1130"/>
      <c r="Q334" s="1130"/>
      <c r="R334" s="1130"/>
      <c r="S334" s="1130"/>
      <c r="T334" s="1130"/>
      <c r="U334" s="1130"/>
      <c r="V334" s="1130"/>
      <c r="W334" s="1130"/>
      <c r="X334" s="1130"/>
      <c r="Y334" s="1130"/>
      <c r="Z334" s="1130"/>
    </row>
    <row r="335" spans="1:26" ht="15.75" customHeight="1">
      <c r="A335" s="1129"/>
      <c r="B335" s="1130"/>
      <c r="C335" s="1130"/>
      <c r="D335" s="1130"/>
      <c r="E335" s="1130"/>
      <c r="F335" s="1130"/>
      <c r="G335" s="1130"/>
      <c r="H335" s="1130"/>
      <c r="I335" s="1130"/>
      <c r="J335" s="1130"/>
      <c r="K335" s="1130"/>
      <c r="L335" s="1130"/>
      <c r="M335" s="1130"/>
      <c r="N335" s="1130"/>
      <c r="O335" s="1130"/>
      <c r="P335" s="1130"/>
      <c r="Q335" s="1130"/>
      <c r="R335" s="1130"/>
      <c r="S335" s="1130"/>
      <c r="T335" s="1130"/>
      <c r="U335" s="1130"/>
      <c r="V335" s="1130"/>
      <c r="W335" s="1130"/>
      <c r="X335" s="1130"/>
      <c r="Y335" s="1130"/>
      <c r="Z335" s="1130"/>
    </row>
    <row r="336" spans="1:26" ht="15.75" customHeight="1">
      <c r="A336" s="1129"/>
      <c r="B336" s="1130"/>
      <c r="C336" s="1130"/>
      <c r="D336" s="1130"/>
      <c r="E336" s="1130"/>
      <c r="F336" s="1130"/>
      <c r="G336" s="1130"/>
      <c r="H336" s="1130"/>
      <c r="I336" s="1130"/>
      <c r="J336" s="1130"/>
      <c r="K336" s="1130"/>
      <c r="L336" s="1130"/>
      <c r="M336" s="1130"/>
      <c r="N336" s="1130"/>
      <c r="O336" s="1130"/>
      <c r="P336" s="1130"/>
      <c r="Q336" s="1130"/>
      <c r="R336" s="1130"/>
      <c r="S336" s="1130"/>
      <c r="T336" s="1130"/>
      <c r="U336" s="1130"/>
      <c r="V336" s="1130"/>
      <c r="W336" s="1130"/>
      <c r="X336" s="1130"/>
      <c r="Y336" s="1130"/>
      <c r="Z336" s="1130"/>
    </row>
    <row r="337" spans="1:26" ht="15.75" customHeight="1">
      <c r="A337" s="1129"/>
      <c r="B337" s="1130"/>
      <c r="C337" s="1130"/>
      <c r="D337" s="1130"/>
      <c r="E337" s="1130"/>
      <c r="F337" s="1130"/>
      <c r="G337" s="1130"/>
      <c r="H337" s="1130"/>
      <c r="I337" s="1130"/>
      <c r="J337" s="1130"/>
      <c r="K337" s="1130"/>
      <c r="L337" s="1130"/>
      <c r="M337" s="1130"/>
      <c r="N337" s="1130"/>
      <c r="O337" s="1130"/>
      <c r="P337" s="1130"/>
      <c r="Q337" s="1130"/>
      <c r="R337" s="1130"/>
      <c r="S337" s="1130"/>
      <c r="T337" s="1130"/>
      <c r="U337" s="1130"/>
      <c r="V337" s="1130"/>
      <c r="W337" s="1130"/>
      <c r="X337" s="1130"/>
      <c r="Y337" s="1130"/>
      <c r="Z337" s="1130"/>
    </row>
    <row r="338" spans="1:26" ht="15.75" customHeight="1">
      <c r="A338" s="1129"/>
      <c r="B338" s="1130"/>
      <c r="C338" s="1130"/>
      <c r="D338" s="1130"/>
      <c r="E338" s="1130"/>
      <c r="F338" s="1130"/>
      <c r="G338" s="1130"/>
      <c r="H338" s="1130"/>
      <c r="I338" s="1130"/>
      <c r="J338" s="1130"/>
      <c r="K338" s="1130"/>
      <c r="L338" s="1130"/>
      <c r="M338" s="1130"/>
      <c r="N338" s="1130"/>
      <c r="O338" s="1130"/>
      <c r="P338" s="1130"/>
      <c r="Q338" s="1130"/>
      <c r="R338" s="1130"/>
      <c r="S338" s="1130"/>
      <c r="T338" s="1130"/>
      <c r="U338" s="1130"/>
      <c r="V338" s="1130"/>
      <c r="W338" s="1130"/>
      <c r="X338" s="1130"/>
      <c r="Y338" s="1130"/>
      <c r="Z338" s="1130"/>
    </row>
    <row r="339" spans="1:26" ht="15.75" customHeight="1">
      <c r="A339" s="1129"/>
      <c r="B339" s="1130"/>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row>
    <row r="340" spans="1:26" ht="15.75" customHeight="1">
      <c r="A340" s="1129"/>
      <c r="B340" s="1130"/>
      <c r="C340" s="1130"/>
      <c r="D340" s="1130"/>
      <c r="E340" s="1130"/>
      <c r="F340" s="1130"/>
      <c r="G340" s="1130"/>
      <c r="H340" s="1130"/>
      <c r="I340" s="1130"/>
      <c r="J340" s="1130"/>
      <c r="K340" s="1130"/>
      <c r="L340" s="1130"/>
      <c r="M340" s="1130"/>
      <c r="N340" s="1130"/>
      <c r="O340" s="1130"/>
      <c r="P340" s="1130"/>
      <c r="Q340" s="1130"/>
      <c r="R340" s="1130"/>
      <c r="S340" s="1130"/>
      <c r="T340" s="1130"/>
      <c r="U340" s="1130"/>
      <c r="V340" s="1130"/>
      <c r="W340" s="1130"/>
      <c r="X340" s="1130"/>
      <c r="Y340" s="1130"/>
      <c r="Z340" s="1130"/>
    </row>
    <row r="341" spans="1:26" ht="15.75" customHeight="1">
      <c r="A341" s="1129"/>
      <c r="B341" s="1130"/>
      <c r="C341" s="1130"/>
      <c r="D341" s="1130"/>
      <c r="E341" s="1130"/>
      <c r="F341" s="1130"/>
      <c r="G341" s="1130"/>
      <c r="H341" s="1130"/>
      <c r="I341" s="1130"/>
      <c r="J341" s="1130"/>
      <c r="K341" s="1130"/>
      <c r="L341" s="1130"/>
      <c r="M341" s="1130"/>
      <c r="N341" s="1130"/>
      <c r="O341" s="1130"/>
      <c r="P341" s="1130"/>
      <c r="Q341" s="1130"/>
      <c r="R341" s="1130"/>
      <c r="S341" s="1130"/>
      <c r="T341" s="1130"/>
      <c r="U341" s="1130"/>
      <c r="V341" s="1130"/>
      <c r="W341" s="1130"/>
      <c r="X341" s="1130"/>
      <c r="Y341" s="1130"/>
      <c r="Z341" s="1130"/>
    </row>
    <row r="342" spans="1:26" ht="15.75" customHeight="1">
      <c r="A342" s="1129"/>
      <c r="B342" s="1130"/>
      <c r="C342" s="1130"/>
      <c r="D342" s="1130"/>
      <c r="E342" s="1130"/>
      <c r="F342" s="1130"/>
      <c r="G342" s="1130"/>
      <c r="H342" s="1130"/>
      <c r="I342" s="1130"/>
      <c r="J342" s="1130"/>
      <c r="K342" s="1130"/>
      <c r="L342" s="1130"/>
      <c r="M342" s="1130"/>
      <c r="N342" s="1130"/>
      <c r="O342" s="1130"/>
      <c r="P342" s="1130"/>
      <c r="Q342" s="1130"/>
      <c r="R342" s="1130"/>
      <c r="S342" s="1130"/>
      <c r="T342" s="1130"/>
      <c r="U342" s="1130"/>
      <c r="V342" s="1130"/>
      <c r="W342" s="1130"/>
      <c r="X342" s="1130"/>
      <c r="Y342" s="1130"/>
      <c r="Z342" s="1130"/>
    </row>
    <row r="343" spans="1:26" ht="15.75" customHeight="1">
      <c r="A343" s="1129"/>
      <c r="B343" s="1130"/>
      <c r="C343" s="1130"/>
      <c r="D343" s="1130"/>
      <c r="E343" s="1130"/>
      <c r="F343" s="1130"/>
      <c r="G343" s="1130"/>
      <c r="H343" s="1130"/>
      <c r="I343" s="1130"/>
      <c r="J343" s="1130"/>
      <c r="K343" s="1130"/>
      <c r="L343" s="1130"/>
      <c r="M343" s="1130"/>
      <c r="N343" s="1130"/>
      <c r="O343" s="1130"/>
      <c r="P343" s="1130"/>
      <c r="Q343" s="1130"/>
      <c r="R343" s="1130"/>
      <c r="S343" s="1130"/>
      <c r="T343" s="1130"/>
      <c r="U343" s="1130"/>
      <c r="V343" s="1130"/>
      <c r="W343" s="1130"/>
      <c r="X343" s="1130"/>
      <c r="Y343" s="1130"/>
      <c r="Z343" s="1130"/>
    </row>
    <row r="344" spans="1:26" ht="15.75" customHeight="1">
      <c r="A344" s="1129"/>
      <c r="B344" s="1130"/>
      <c r="C344" s="1130"/>
      <c r="D344" s="1130"/>
      <c r="E344" s="1130"/>
      <c r="F344" s="1130"/>
      <c r="G344" s="1130"/>
      <c r="H344" s="1130"/>
      <c r="I344" s="1130"/>
      <c r="J344" s="1130"/>
      <c r="K344" s="1130"/>
      <c r="L344" s="1130"/>
      <c r="M344" s="1130"/>
      <c r="N344" s="1130"/>
      <c r="O344" s="1130"/>
      <c r="P344" s="1130"/>
      <c r="Q344" s="1130"/>
      <c r="R344" s="1130"/>
      <c r="S344" s="1130"/>
      <c r="T344" s="1130"/>
      <c r="U344" s="1130"/>
      <c r="V344" s="1130"/>
      <c r="W344" s="1130"/>
      <c r="X344" s="1130"/>
      <c r="Y344" s="1130"/>
      <c r="Z344" s="1130"/>
    </row>
    <row r="345" spans="1:26" ht="15.75" customHeight="1">
      <c r="A345" s="1129"/>
      <c r="B345" s="1130"/>
      <c r="C345" s="1130"/>
      <c r="D345" s="1130"/>
      <c r="E345" s="1130"/>
      <c r="F345" s="1130"/>
      <c r="G345" s="1130"/>
      <c r="H345" s="1130"/>
      <c r="I345" s="1130"/>
      <c r="J345" s="1130"/>
      <c r="K345" s="1130"/>
      <c r="L345" s="1130"/>
      <c r="M345" s="1130"/>
      <c r="N345" s="1130"/>
      <c r="O345" s="1130"/>
      <c r="P345" s="1130"/>
      <c r="Q345" s="1130"/>
      <c r="R345" s="1130"/>
      <c r="S345" s="1130"/>
      <c r="T345" s="1130"/>
      <c r="U345" s="1130"/>
      <c r="V345" s="1130"/>
      <c r="W345" s="1130"/>
      <c r="X345" s="1130"/>
      <c r="Y345" s="1130"/>
      <c r="Z345" s="1130"/>
    </row>
    <row r="346" spans="1:26" ht="15.75" customHeight="1">
      <c r="A346" s="1129"/>
      <c r="B346" s="1130"/>
      <c r="C346" s="1130"/>
      <c r="D346" s="1130"/>
      <c r="E346" s="1130"/>
      <c r="F346" s="1130"/>
      <c r="G346" s="1130"/>
      <c r="H346" s="1130"/>
      <c r="I346" s="1130"/>
      <c r="J346" s="1130"/>
      <c r="K346" s="1130"/>
      <c r="L346" s="1130"/>
      <c r="M346" s="1130"/>
      <c r="N346" s="1130"/>
      <c r="O346" s="1130"/>
      <c r="P346" s="1130"/>
      <c r="Q346" s="1130"/>
      <c r="R346" s="1130"/>
      <c r="S346" s="1130"/>
      <c r="T346" s="1130"/>
      <c r="U346" s="1130"/>
      <c r="V346" s="1130"/>
      <c r="W346" s="1130"/>
      <c r="X346" s="1130"/>
      <c r="Y346" s="1130"/>
      <c r="Z346" s="1130"/>
    </row>
    <row r="347" spans="1:26" ht="15.75" customHeight="1">
      <c r="A347" s="1129"/>
      <c r="B347" s="1130"/>
      <c r="C347" s="1130"/>
      <c r="D347" s="1130"/>
      <c r="E347" s="1130"/>
      <c r="F347" s="1130"/>
      <c r="G347" s="1130"/>
      <c r="H347" s="1130"/>
      <c r="I347" s="1130"/>
      <c r="J347" s="1130"/>
      <c r="K347" s="1130"/>
      <c r="L347" s="1130"/>
      <c r="M347" s="1130"/>
      <c r="N347" s="1130"/>
      <c r="O347" s="1130"/>
      <c r="P347" s="1130"/>
      <c r="Q347" s="1130"/>
      <c r="R347" s="1130"/>
      <c r="S347" s="1130"/>
      <c r="T347" s="1130"/>
      <c r="U347" s="1130"/>
      <c r="V347" s="1130"/>
      <c r="W347" s="1130"/>
      <c r="X347" s="1130"/>
      <c r="Y347" s="1130"/>
      <c r="Z347" s="1130"/>
    </row>
    <row r="348" spans="1:26" ht="15.75" customHeight="1">
      <c r="A348" s="1129"/>
      <c r="B348" s="1130"/>
      <c r="C348" s="1130"/>
      <c r="D348" s="1130"/>
      <c r="E348" s="1130"/>
      <c r="F348" s="1130"/>
      <c r="G348" s="1130"/>
      <c r="H348" s="1130"/>
      <c r="I348" s="1130"/>
      <c r="J348" s="1130"/>
      <c r="K348" s="1130"/>
      <c r="L348" s="1130"/>
      <c r="M348" s="1130"/>
      <c r="N348" s="1130"/>
      <c r="O348" s="1130"/>
      <c r="P348" s="1130"/>
      <c r="Q348" s="1130"/>
      <c r="R348" s="1130"/>
      <c r="S348" s="1130"/>
      <c r="T348" s="1130"/>
      <c r="U348" s="1130"/>
      <c r="V348" s="1130"/>
      <c r="W348" s="1130"/>
      <c r="X348" s="1130"/>
      <c r="Y348" s="1130"/>
      <c r="Z348" s="1130"/>
    </row>
    <row r="349" spans="1:26" ht="15.75" customHeight="1">
      <c r="A349" s="1129"/>
      <c r="B349" s="1130"/>
      <c r="C349" s="1130"/>
      <c r="D349" s="1130"/>
      <c r="E349" s="1130"/>
      <c r="F349" s="1130"/>
      <c r="G349" s="1130"/>
      <c r="H349" s="1130"/>
      <c r="I349" s="1130"/>
      <c r="J349" s="1130"/>
      <c r="K349" s="1130"/>
      <c r="L349" s="1130"/>
      <c r="M349" s="1130"/>
      <c r="N349" s="1130"/>
      <c r="O349" s="1130"/>
      <c r="P349" s="1130"/>
      <c r="Q349" s="1130"/>
      <c r="R349" s="1130"/>
      <c r="S349" s="1130"/>
      <c r="T349" s="1130"/>
      <c r="U349" s="1130"/>
      <c r="V349" s="1130"/>
      <c r="W349" s="1130"/>
      <c r="X349" s="1130"/>
      <c r="Y349" s="1130"/>
      <c r="Z349" s="1130"/>
    </row>
    <row r="350" spans="1:26" ht="15.75" customHeight="1">
      <c r="A350" s="1129"/>
      <c r="B350" s="1130"/>
      <c r="C350" s="1130"/>
      <c r="D350" s="1130"/>
      <c r="E350" s="1130"/>
      <c r="F350" s="1130"/>
      <c r="G350" s="1130"/>
      <c r="H350" s="1130"/>
      <c r="I350" s="1130"/>
      <c r="J350" s="1130"/>
      <c r="K350" s="1130"/>
      <c r="L350" s="1130"/>
      <c r="M350" s="1130"/>
      <c r="N350" s="1130"/>
      <c r="O350" s="1130"/>
      <c r="P350" s="1130"/>
      <c r="Q350" s="1130"/>
      <c r="R350" s="1130"/>
      <c r="S350" s="1130"/>
      <c r="T350" s="1130"/>
      <c r="U350" s="1130"/>
      <c r="V350" s="1130"/>
      <c r="W350" s="1130"/>
      <c r="X350" s="1130"/>
      <c r="Y350" s="1130"/>
      <c r="Z350" s="1130"/>
    </row>
    <row r="351" spans="1:26" ht="15.75" customHeight="1">
      <c r="A351" s="1129"/>
      <c r="B351" s="1130"/>
      <c r="C351" s="1130"/>
      <c r="D351" s="1130"/>
      <c r="E351" s="1130"/>
      <c r="F351" s="1130"/>
      <c r="G351" s="1130"/>
      <c r="H351" s="1130"/>
      <c r="I351" s="1130"/>
      <c r="J351" s="1130"/>
      <c r="K351" s="1130"/>
      <c r="L351" s="1130"/>
      <c r="M351" s="1130"/>
      <c r="N351" s="1130"/>
      <c r="O351" s="1130"/>
      <c r="P351" s="1130"/>
      <c r="Q351" s="1130"/>
      <c r="R351" s="1130"/>
      <c r="S351" s="1130"/>
      <c r="T351" s="1130"/>
      <c r="U351" s="1130"/>
      <c r="V351" s="1130"/>
      <c r="W351" s="1130"/>
      <c r="X351" s="1130"/>
      <c r="Y351" s="1130"/>
      <c r="Z351" s="1130"/>
    </row>
    <row r="352" spans="1:26" ht="15.75" customHeight="1">
      <c r="A352" s="1129"/>
      <c r="B352" s="1130"/>
      <c r="C352" s="1130"/>
      <c r="D352" s="1130"/>
      <c r="E352" s="1130"/>
      <c r="F352" s="1130"/>
      <c r="G352" s="1130"/>
      <c r="H352" s="1130"/>
      <c r="I352" s="1130"/>
      <c r="J352" s="1130"/>
      <c r="K352" s="1130"/>
      <c r="L352" s="1130"/>
      <c r="M352" s="1130"/>
      <c r="N352" s="1130"/>
      <c r="O352" s="1130"/>
      <c r="P352" s="1130"/>
      <c r="Q352" s="1130"/>
      <c r="R352" s="1130"/>
      <c r="S352" s="1130"/>
      <c r="T352" s="1130"/>
      <c r="U352" s="1130"/>
      <c r="V352" s="1130"/>
      <c r="W352" s="1130"/>
      <c r="X352" s="1130"/>
      <c r="Y352" s="1130"/>
      <c r="Z352" s="1130"/>
    </row>
    <row r="353" spans="1:26" ht="15.75" customHeight="1">
      <c r="A353" s="1129"/>
      <c r="B353" s="1130"/>
      <c r="C353" s="1130"/>
      <c r="D353" s="1130"/>
      <c r="E353" s="1130"/>
      <c r="F353" s="1130"/>
      <c r="G353" s="1130"/>
      <c r="H353" s="1130"/>
      <c r="I353" s="1130"/>
      <c r="J353" s="1130"/>
      <c r="K353" s="1130"/>
      <c r="L353" s="1130"/>
      <c r="M353" s="1130"/>
      <c r="N353" s="1130"/>
      <c r="O353" s="1130"/>
      <c r="P353" s="1130"/>
      <c r="Q353" s="1130"/>
      <c r="R353" s="1130"/>
      <c r="S353" s="1130"/>
      <c r="T353" s="1130"/>
      <c r="U353" s="1130"/>
      <c r="V353" s="1130"/>
      <c r="W353" s="1130"/>
      <c r="X353" s="1130"/>
      <c r="Y353" s="1130"/>
      <c r="Z353" s="1130"/>
    </row>
    <row r="354" spans="1:26" ht="15.75" customHeight="1">
      <c r="A354" s="1129"/>
      <c r="B354" s="1130"/>
      <c r="C354" s="1130"/>
      <c r="D354" s="1130"/>
      <c r="E354" s="1130"/>
      <c r="F354" s="1130"/>
      <c r="G354" s="1130"/>
      <c r="H354" s="1130"/>
      <c r="I354" s="1130"/>
      <c r="J354" s="1130"/>
      <c r="K354" s="1130"/>
      <c r="L354" s="1130"/>
      <c r="M354" s="1130"/>
      <c r="N354" s="1130"/>
      <c r="O354" s="1130"/>
      <c r="P354" s="1130"/>
      <c r="Q354" s="1130"/>
      <c r="R354" s="1130"/>
      <c r="S354" s="1130"/>
      <c r="T354" s="1130"/>
      <c r="U354" s="1130"/>
      <c r="V354" s="1130"/>
      <c r="W354" s="1130"/>
      <c r="X354" s="1130"/>
      <c r="Y354" s="1130"/>
      <c r="Z354" s="1130"/>
    </row>
    <row r="355" spans="1:26" ht="15.75" customHeight="1">
      <c r="A355" s="1129"/>
      <c r="B355" s="1130"/>
      <c r="C355" s="1130"/>
      <c r="D355" s="1130"/>
      <c r="E355" s="1130"/>
      <c r="F355" s="1130"/>
      <c r="G355" s="1130"/>
      <c r="H355" s="1130"/>
      <c r="I355" s="1130"/>
      <c r="J355" s="1130"/>
      <c r="K355" s="1130"/>
      <c r="L355" s="1130"/>
      <c r="M355" s="1130"/>
      <c r="N355" s="1130"/>
      <c r="O355" s="1130"/>
      <c r="P355" s="1130"/>
      <c r="Q355" s="1130"/>
      <c r="R355" s="1130"/>
      <c r="S355" s="1130"/>
      <c r="T355" s="1130"/>
      <c r="U355" s="1130"/>
      <c r="V355" s="1130"/>
      <c r="W355" s="1130"/>
      <c r="X355" s="1130"/>
      <c r="Y355" s="1130"/>
      <c r="Z355" s="1130"/>
    </row>
    <row r="356" spans="1:26" ht="15.75" customHeight="1">
      <c r="A356" s="1129"/>
      <c r="B356" s="1130"/>
      <c r="C356" s="1130"/>
      <c r="D356" s="1130"/>
      <c r="E356" s="1130"/>
      <c r="F356" s="1130"/>
      <c r="G356" s="1130"/>
      <c r="H356" s="1130"/>
      <c r="I356" s="1130"/>
      <c r="J356" s="1130"/>
      <c r="K356" s="1130"/>
      <c r="L356" s="1130"/>
      <c r="M356" s="1130"/>
      <c r="N356" s="1130"/>
      <c r="O356" s="1130"/>
      <c r="P356" s="1130"/>
      <c r="Q356" s="1130"/>
      <c r="R356" s="1130"/>
      <c r="S356" s="1130"/>
      <c r="T356" s="1130"/>
      <c r="U356" s="1130"/>
      <c r="V356" s="1130"/>
      <c r="W356" s="1130"/>
      <c r="X356" s="1130"/>
      <c r="Y356" s="1130"/>
      <c r="Z356" s="1130"/>
    </row>
    <row r="357" spans="1:26" ht="15.75" customHeight="1">
      <c r="A357" s="1129"/>
      <c r="B357" s="1130"/>
      <c r="C357" s="1130"/>
      <c r="D357" s="1130"/>
      <c r="E357" s="1130"/>
      <c r="F357" s="1130"/>
      <c r="G357" s="1130"/>
      <c r="H357" s="1130"/>
      <c r="I357" s="1130"/>
      <c r="J357" s="1130"/>
      <c r="K357" s="1130"/>
      <c r="L357" s="1130"/>
      <c r="M357" s="1130"/>
      <c r="N357" s="1130"/>
      <c r="O357" s="1130"/>
      <c r="P357" s="1130"/>
      <c r="Q357" s="1130"/>
      <c r="R357" s="1130"/>
      <c r="S357" s="1130"/>
      <c r="T357" s="1130"/>
      <c r="U357" s="1130"/>
      <c r="V357" s="1130"/>
      <c r="W357" s="1130"/>
      <c r="X357" s="1130"/>
      <c r="Y357" s="1130"/>
      <c r="Z357" s="1130"/>
    </row>
    <row r="358" spans="1:26" ht="15.75" customHeight="1">
      <c r="A358" s="1129"/>
      <c r="B358" s="1130"/>
      <c r="C358" s="1130"/>
      <c r="D358" s="1130"/>
      <c r="E358" s="1130"/>
      <c r="F358" s="1130"/>
      <c r="G358" s="1130"/>
      <c r="H358" s="1130"/>
      <c r="I358" s="1130"/>
      <c r="J358" s="1130"/>
      <c r="K358" s="1130"/>
      <c r="L358" s="1130"/>
      <c r="M358" s="1130"/>
      <c r="N358" s="1130"/>
      <c r="O358" s="1130"/>
      <c r="P358" s="1130"/>
      <c r="Q358" s="1130"/>
      <c r="R358" s="1130"/>
      <c r="S358" s="1130"/>
      <c r="T358" s="1130"/>
      <c r="U358" s="1130"/>
      <c r="V358" s="1130"/>
      <c r="W358" s="1130"/>
      <c r="X358" s="1130"/>
      <c r="Y358" s="1130"/>
      <c r="Z358" s="1130"/>
    </row>
    <row r="359" spans="1:26" ht="15.75" customHeight="1">
      <c r="A359" s="1129"/>
      <c r="B359" s="1130"/>
      <c r="C359" s="1130"/>
      <c r="D359" s="1130"/>
      <c r="E359" s="1130"/>
      <c r="F359" s="1130"/>
      <c r="G359" s="1130"/>
      <c r="H359" s="1130"/>
      <c r="I359" s="1130"/>
      <c r="J359" s="1130"/>
      <c r="K359" s="1130"/>
      <c r="L359" s="1130"/>
      <c r="M359" s="1130"/>
      <c r="N359" s="1130"/>
      <c r="O359" s="1130"/>
      <c r="P359" s="1130"/>
      <c r="Q359" s="1130"/>
      <c r="R359" s="1130"/>
      <c r="S359" s="1130"/>
      <c r="T359" s="1130"/>
      <c r="U359" s="1130"/>
      <c r="V359" s="1130"/>
      <c r="W359" s="1130"/>
      <c r="X359" s="1130"/>
      <c r="Y359" s="1130"/>
      <c r="Z359" s="1130"/>
    </row>
    <row r="360" spans="1:26" ht="15.75" customHeight="1">
      <c r="A360" s="1129"/>
      <c r="B360" s="1130"/>
      <c r="C360" s="1130"/>
      <c r="D360" s="1130"/>
      <c r="E360" s="1130"/>
      <c r="F360" s="1130"/>
      <c r="G360" s="1130"/>
      <c r="H360" s="1130"/>
      <c r="I360" s="1130"/>
      <c r="J360" s="1130"/>
      <c r="K360" s="1130"/>
      <c r="L360" s="1130"/>
      <c r="M360" s="1130"/>
      <c r="N360" s="1130"/>
      <c r="O360" s="1130"/>
      <c r="P360" s="1130"/>
      <c r="Q360" s="1130"/>
      <c r="R360" s="1130"/>
      <c r="S360" s="1130"/>
      <c r="T360" s="1130"/>
      <c r="U360" s="1130"/>
      <c r="V360" s="1130"/>
      <c r="W360" s="1130"/>
      <c r="X360" s="1130"/>
      <c r="Y360" s="1130"/>
      <c r="Z360" s="1130"/>
    </row>
    <row r="361" spans="1:26" ht="15.75" customHeight="1">
      <c r="A361" s="1129"/>
      <c r="B361" s="1130"/>
      <c r="C361" s="1130"/>
      <c r="D361" s="1130"/>
      <c r="E361" s="1130"/>
      <c r="F361" s="1130"/>
      <c r="G361" s="1130"/>
      <c r="H361" s="1130"/>
      <c r="I361" s="1130"/>
      <c r="J361" s="1130"/>
      <c r="K361" s="1130"/>
      <c r="L361" s="1130"/>
      <c r="M361" s="1130"/>
      <c r="N361" s="1130"/>
      <c r="O361" s="1130"/>
      <c r="P361" s="1130"/>
      <c r="Q361" s="1130"/>
      <c r="R361" s="1130"/>
      <c r="S361" s="1130"/>
      <c r="T361" s="1130"/>
      <c r="U361" s="1130"/>
      <c r="V361" s="1130"/>
      <c r="W361" s="1130"/>
      <c r="X361" s="1130"/>
      <c r="Y361" s="1130"/>
      <c r="Z361" s="1130"/>
    </row>
    <row r="362" spans="1:26" ht="15.75" customHeight="1">
      <c r="A362" s="1129"/>
      <c r="B362" s="1130"/>
      <c r="C362" s="1130"/>
      <c r="D362" s="1130"/>
      <c r="E362" s="1130"/>
      <c r="F362" s="1130"/>
      <c r="G362" s="1130"/>
      <c r="H362" s="1130"/>
      <c r="I362" s="1130"/>
      <c r="J362" s="1130"/>
      <c r="K362" s="1130"/>
      <c r="L362" s="1130"/>
      <c r="M362" s="1130"/>
      <c r="N362" s="1130"/>
      <c r="O362" s="1130"/>
      <c r="P362" s="1130"/>
      <c r="Q362" s="1130"/>
      <c r="R362" s="1130"/>
      <c r="S362" s="1130"/>
      <c r="T362" s="1130"/>
      <c r="U362" s="1130"/>
      <c r="V362" s="1130"/>
      <c r="W362" s="1130"/>
      <c r="X362" s="1130"/>
      <c r="Y362" s="1130"/>
      <c r="Z362" s="1130"/>
    </row>
    <row r="363" spans="1:26" ht="15.75" customHeight="1">
      <c r="A363" s="1129"/>
      <c r="B363" s="1130"/>
      <c r="C363" s="1130"/>
      <c r="D363" s="1130"/>
      <c r="E363" s="1130"/>
      <c r="F363" s="1130"/>
      <c r="G363" s="1130"/>
      <c r="H363" s="1130"/>
      <c r="I363" s="1130"/>
      <c r="J363" s="1130"/>
      <c r="K363" s="1130"/>
      <c r="L363" s="1130"/>
      <c r="M363" s="1130"/>
      <c r="N363" s="1130"/>
      <c r="O363" s="1130"/>
      <c r="P363" s="1130"/>
      <c r="Q363" s="1130"/>
      <c r="R363" s="1130"/>
      <c r="S363" s="1130"/>
      <c r="T363" s="1130"/>
      <c r="U363" s="1130"/>
      <c r="V363" s="1130"/>
      <c r="W363" s="1130"/>
      <c r="X363" s="1130"/>
      <c r="Y363" s="1130"/>
      <c r="Z363" s="1130"/>
    </row>
    <row r="364" spans="1:26" ht="15.75" customHeight="1">
      <c r="A364" s="1129"/>
      <c r="B364" s="1130"/>
      <c r="C364" s="1130"/>
      <c r="D364" s="1130"/>
      <c r="E364" s="1130"/>
      <c r="F364" s="1130"/>
      <c r="G364" s="1130"/>
      <c r="H364" s="1130"/>
      <c r="I364" s="1130"/>
      <c r="J364" s="1130"/>
      <c r="K364" s="1130"/>
      <c r="L364" s="1130"/>
      <c r="M364" s="1130"/>
      <c r="N364" s="1130"/>
      <c r="O364" s="1130"/>
      <c r="P364" s="1130"/>
      <c r="Q364" s="1130"/>
      <c r="R364" s="1130"/>
      <c r="S364" s="1130"/>
      <c r="T364" s="1130"/>
      <c r="U364" s="1130"/>
      <c r="V364" s="1130"/>
      <c r="W364" s="1130"/>
      <c r="X364" s="1130"/>
      <c r="Y364" s="1130"/>
      <c r="Z364" s="1130"/>
    </row>
    <row r="365" spans="1:26" ht="15.75" customHeight="1">
      <c r="A365" s="1129"/>
      <c r="B365" s="1130"/>
      <c r="C365" s="1130"/>
      <c r="D365" s="1130"/>
      <c r="E365" s="1130"/>
      <c r="F365" s="1130"/>
      <c r="G365" s="1130"/>
      <c r="H365" s="1130"/>
      <c r="I365" s="1130"/>
      <c r="J365" s="1130"/>
      <c r="K365" s="1130"/>
      <c r="L365" s="1130"/>
      <c r="M365" s="1130"/>
      <c r="N365" s="1130"/>
      <c r="O365" s="1130"/>
      <c r="P365" s="1130"/>
      <c r="Q365" s="1130"/>
      <c r="R365" s="1130"/>
      <c r="S365" s="1130"/>
      <c r="T365" s="1130"/>
      <c r="U365" s="1130"/>
      <c r="V365" s="1130"/>
      <c r="W365" s="1130"/>
      <c r="X365" s="1130"/>
      <c r="Y365" s="1130"/>
      <c r="Z365" s="1130"/>
    </row>
    <row r="366" spans="1:26" ht="15.75" customHeight="1">
      <c r="A366" s="1129"/>
      <c r="B366" s="1130"/>
      <c r="C366" s="1130"/>
      <c r="D366" s="1130"/>
      <c r="E366" s="1130"/>
      <c r="F366" s="1130"/>
      <c r="G366" s="1130"/>
      <c r="H366" s="1130"/>
      <c r="I366" s="1130"/>
      <c r="J366" s="1130"/>
      <c r="K366" s="1130"/>
      <c r="L366" s="1130"/>
      <c r="M366" s="1130"/>
      <c r="N366" s="1130"/>
      <c r="O366" s="1130"/>
      <c r="P366" s="1130"/>
      <c r="Q366" s="1130"/>
      <c r="R366" s="1130"/>
      <c r="S366" s="1130"/>
      <c r="T366" s="1130"/>
      <c r="U366" s="1130"/>
      <c r="V366" s="1130"/>
      <c r="W366" s="1130"/>
      <c r="X366" s="1130"/>
      <c r="Y366" s="1130"/>
      <c r="Z366" s="1130"/>
    </row>
    <row r="367" spans="1:26" ht="15.75" customHeight="1">
      <c r="A367" s="1129"/>
      <c r="B367" s="1130"/>
      <c r="C367" s="1130"/>
      <c r="D367" s="1130"/>
      <c r="E367" s="1130"/>
      <c r="F367" s="1130"/>
      <c r="G367" s="1130"/>
      <c r="H367" s="1130"/>
      <c r="I367" s="1130"/>
      <c r="J367" s="1130"/>
      <c r="K367" s="1130"/>
      <c r="L367" s="1130"/>
      <c r="M367" s="1130"/>
      <c r="N367" s="1130"/>
      <c r="O367" s="1130"/>
      <c r="P367" s="1130"/>
      <c r="Q367" s="1130"/>
      <c r="R367" s="1130"/>
      <c r="S367" s="1130"/>
      <c r="T367" s="1130"/>
      <c r="U367" s="1130"/>
      <c r="V367" s="1130"/>
      <c r="W367" s="1130"/>
      <c r="X367" s="1130"/>
      <c r="Y367" s="1130"/>
      <c r="Z367" s="1130"/>
    </row>
    <row r="368" spans="1:26" ht="15.75" customHeight="1">
      <c r="A368" s="1129"/>
      <c r="B368" s="1130"/>
      <c r="C368" s="1130"/>
      <c r="D368" s="1130"/>
      <c r="E368" s="1130"/>
      <c r="F368" s="1130"/>
      <c r="G368" s="1130"/>
      <c r="H368" s="1130"/>
      <c r="I368" s="1130"/>
      <c r="J368" s="1130"/>
      <c r="K368" s="1130"/>
      <c r="L368" s="1130"/>
      <c r="M368" s="1130"/>
      <c r="N368" s="1130"/>
      <c r="O368" s="1130"/>
      <c r="P368" s="1130"/>
      <c r="Q368" s="1130"/>
      <c r="R368" s="1130"/>
      <c r="S368" s="1130"/>
      <c r="T368" s="1130"/>
      <c r="U368" s="1130"/>
      <c r="V368" s="1130"/>
      <c r="W368" s="1130"/>
      <c r="X368" s="1130"/>
      <c r="Y368" s="1130"/>
      <c r="Z368" s="1130"/>
    </row>
    <row r="369" spans="1:26" ht="15.75" customHeight="1">
      <c r="A369" s="1129"/>
      <c r="B369" s="1130"/>
      <c r="C369" s="1130"/>
      <c r="D369" s="1130"/>
      <c r="E369" s="1130"/>
      <c r="F369" s="1130"/>
      <c r="G369" s="1130"/>
      <c r="H369" s="1130"/>
      <c r="I369" s="1130"/>
      <c r="J369" s="1130"/>
      <c r="K369" s="1130"/>
      <c r="L369" s="1130"/>
      <c r="M369" s="1130"/>
      <c r="N369" s="1130"/>
      <c r="O369" s="1130"/>
      <c r="P369" s="1130"/>
      <c r="Q369" s="1130"/>
      <c r="R369" s="1130"/>
      <c r="S369" s="1130"/>
      <c r="T369" s="1130"/>
      <c r="U369" s="1130"/>
      <c r="V369" s="1130"/>
      <c r="W369" s="1130"/>
      <c r="X369" s="1130"/>
      <c r="Y369" s="1130"/>
      <c r="Z369" s="1130"/>
    </row>
    <row r="370" spans="1:26" ht="15.75" customHeight="1">
      <c r="A370" s="1129"/>
      <c r="B370" s="1130"/>
      <c r="C370" s="1130"/>
      <c r="D370" s="1130"/>
      <c r="E370" s="1130"/>
      <c r="F370" s="1130"/>
      <c r="G370" s="1130"/>
      <c r="H370" s="1130"/>
      <c r="I370" s="1130"/>
      <c r="J370" s="1130"/>
      <c r="K370" s="1130"/>
      <c r="L370" s="1130"/>
      <c r="M370" s="1130"/>
      <c r="N370" s="1130"/>
      <c r="O370" s="1130"/>
      <c r="P370" s="1130"/>
      <c r="Q370" s="1130"/>
      <c r="R370" s="1130"/>
      <c r="S370" s="1130"/>
      <c r="T370" s="1130"/>
      <c r="U370" s="1130"/>
      <c r="V370" s="1130"/>
      <c r="W370" s="1130"/>
      <c r="X370" s="1130"/>
      <c r="Y370" s="1130"/>
      <c r="Z370" s="1130"/>
    </row>
    <row r="371" spans="1:26" ht="15.75" customHeight="1">
      <c r="A371" s="1129"/>
      <c r="B371" s="1130"/>
      <c r="C371" s="1130"/>
      <c r="D371" s="1130"/>
      <c r="E371" s="1130"/>
      <c r="F371" s="1130"/>
      <c r="G371" s="1130"/>
      <c r="H371" s="1130"/>
      <c r="I371" s="1130"/>
      <c r="J371" s="1130"/>
      <c r="K371" s="1130"/>
      <c r="L371" s="1130"/>
      <c r="M371" s="1130"/>
      <c r="N371" s="1130"/>
      <c r="O371" s="1130"/>
      <c r="P371" s="1130"/>
      <c r="Q371" s="1130"/>
      <c r="R371" s="1130"/>
      <c r="S371" s="1130"/>
      <c r="T371" s="1130"/>
      <c r="U371" s="1130"/>
      <c r="V371" s="1130"/>
      <c r="W371" s="1130"/>
      <c r="X371" s="1130"/>
      <c r="Y371" s="1130"/>
      <c r="Z371" s="1130"/>
    </row>
    <row r="372" spans="1:26" ht="15.75" customHeight="1">
      <c r="A372" s="1129"/>
      <c r="B372" s="1130"/>
      <c r="C372" s="1130"/>
      <c r="D372" s="1130"/>
      <c r="E372" s="1130"/>
      <c r="F372" s="1130"/>
      <c r="G372" s="1130"/>
      <c r="H372" s="1130"/>
      <c r="I372" s="1130"/>
      <c r="J372" s="1130"/>
      <c r="K372" s="1130"/>
      <c r="L372" s="1130"/>
      <c r="M372" s="1130"/>
      <c r="N372" s="1130"/>
      <c r="O372" s="1130"/>
      <c r="P372" s="1130"/>
      <c r="Q372" s="1130"/>
      <c r="R372" s="1130"/>
      <c r="S372" s="1130"/>
      <c r="T372" s="1130"/>
      <c r="U372" s="1130"/>
      <c r="V372" s="1130"/>
      <c r="W372" s="1130"/>
      <c r="X372" s="1130"/>
      <c r="Y372" s="1130"/>
      <c r="Z372" s="1130"/>
    </row>
    <row r="373" spans="1:26" ht="15.75" customHeight="1">
      <c r="A373" s="1129"/>
      <c r="B373" s="1130"/>
      <c r="C373" s="1130"/>
      <c r="D373" s="1130"/>
      <c r="E373" s="1130"/>
      <c r="F373" s="1130"/>
      <c r="G373" s="1130"/>
      <c r="H373" s="1130"/>
      <c r="I373" s="1130"/>
      <c r="J373" s="1130"/>
      <c r="K373" s="1130"/>
      <c r="L373" s="1130"/>
      <c r="M373" s="1130"/>
      <c r="N373" s="1130"/>
      <c r="O373" s="1130"/>
      <c r="P373" s="1130"/>
      <c r="Q373" s="1130"/>
      <c r="R373" s="1130"/>
      <c r="S373" s="1130"/>
      <c r="T373" s="1130"/>
      <c r="U373" s="1130"/>
      <c r="V373" s="1130"/>
      <c r="W373" s="1130"/>
      <c r="X373" s="1130"/>
      <c r="Y373" s="1130"/>
      <c r="Z373" s="1130"/>
    </row>
    <row r="374" spans="1:26" ht="15.75" customHeight="1">
      <c r="A374" s="1129"/>
      <c r="B374" s="1130"/>
      <c r="C374" s="1130"/>
      <c r="D374" s="1130"/>
      <c r="E374" s="1130"/>
      <c r="F374" s="1130"/>
      <c r="G374" s="1130"/>
      <c r="H374" s="1130"/>
      <c r="I374" s="1130"/>
      <c r="J374" s="1130"/>
      <c r="K374" s="1130"/>
      <c r="L374" s="1130"/>
      <c r="M374" s="1130"/>
      <c r="N374" s="1130"/>
      <c r="O374" s="1130"/>
      <c r="P374" s="1130"/>
      <c r="Q374" s="1130"/>
      <c r="R374" s="1130"/>
      <c r="S374" s="1130"/>
      <c r="T374" s="1130"/>
      <c r="U374" s="1130"/>
      <c r="V374" s="1130"/>
      <c r="W374" s="1130"/>
      <c r="X374" s="1130"/>
      <c r="Y374" s="1130"/>
      <c r="Z374" s="1130"/>
    </row>
    <row r="375" spans="1:26" ht="15.75" customHeight="1">
      <c r="A375" s="1129"/>
      <c r="B375" s="1130"/>
      <c r="C375" s="1130"/>
      <c r="D375" s="1130"/>
      <c r="E375" s="1130"/>
      <c r="F375" s="1130"/>
      <c r="G375" s="1130"/>
      <c r="H375" s="1130"/>
      <c r="I375" s="1130"/>
      <c r="J375" s="1130"/>
      <c r="K375" s="1130"/>
      <c r="L375" s="1130"/>
      <c r="M375" s="1130"/>
      <c r="N375" s="1130"/>
      <c r="O375" s="1130"/>
      <c r="P375" s="1130"/>
      <c r="Q375" s="1130"/>
      <c r="R375" s="1130"/>
      <c r="S375" s="1130"/>
      <c r="T375" s="1130"/>
      <c r="U375" s="1130"/>
      <c r="V375" s="1130"/>
      <c r="W375" s="1130"/>
      <c r="X375" s="1130"/>
      <c r="Y375" s="1130"/>
      <c r="Z375" s="1130"/>
    </row>
    <row r="376" spans="1:26" ht="15.75" customHeight="1">
      <c r="A376" s="1129"/>
      <c r="B376" s="1130"/>
      <c r="C376" s="1130"/>
      <c r="D376" s="1130"/>
      <c r="E376" s="1130"/>
      <c r="F376" s="1130"/>
      <c r="G376" s="1130"/>
      <c r="H376" s="1130"/>
      <c r="I376" s="1130"/>
      <c r="J376" s="1130"/>
      <c r="K376" s="1130"/>
      <c r="L376" s="1130"/>
      <c r="M376" s="1130"/>
      <c r="N376" s="1130"/>
      <c r="O376" s="1130"/>
      <c r="P376" s="1130"/>
      <c r="Q376" s="1130"/>
      <c r="R376" s="1130"/>
      <c r="S376" s="1130"/>
      <c r="T376" s="1130"/>
      <c r="U376" s="1130"/>
      <c r="V376" s="1130"/>
      <c r="W376" s="1130"/>
      <c r="X376" s="1130"/>
      <c r="Y376" s="1130"/>
      <c r="Z376" s="1130"/>
    </row>
    <row r="377" spans="1:26" ht="15.75" customHeight="1">
      <c r="A377" s="1129"/>
      <c r="B377" s="1130"/>
      <c r="C377" s="1130"/>
      <c r="D377" s="1130"/>
      <c r="E377" s="1130"/>
      <c r="F377" s="1130"/>
      <c r="G377" s="1130"/>
      <c r="H377" s="1130"/>
      <c r="I377" s="1130"/>
      <c r="J377" s="1130"/>
      <c r="K377" s="1130"/>
      <c r="L377" s="1130"/>
      <c r="M377" s="1130"/>
      <c r="N377" s="1130"/>
      <c r="O377" s="1130"/>
      <c r="P377" s="1130"/>
      <c r="Q377" s="1130"/>
      <c r="R377" s="1130"/>
      <c r="S377" s="1130"/>
      <c r="T377" s="1130"/>
      <c r="U377" s="1130"/>
      <c r="V377" s="1130"/>
      <c r="W377" s="1130"/>
      <c r="X377" s="1130"/>
      <c r="Y377" s="1130"/>
      <c r="Z377" s="1130"/>
    </row>
    <row r="378" spans="1:26" ht="15.75" customHeight="1">
      <c r="A378" s="1129"/>
      <c r="B378" s="1130"/>
      <c r="C378" s="1130"/>
      <c r="D378" s="1130"/>
      <c r="E378" s="1130"/>
      <c r="F378" s="1130"/>
      <c r="G378" s="1130"/>
      <c r="H378" s="1130"/>
      <c r="I378" s="1130"/>
      <c r="J378" s="1130"/>
      <c r="K378" s="1130"/>
      <c r="L378" s="1130"/>
      <c r="M378" s="1130"/>
      <c r="N378" s="1130"/>
      <c r="O378" s="1130"/>
      <c r="P378" s="1130"/>
      <c r="Q378" s="1130"/>
      <c r="R378" s="1130"/>
      <c r="S378" s="1130"/>
      <c r="T378" s="1130"/>
      <c r="U378" s="1130"/>
      <c r="V378" s="1130"/>
      <c r="W378" s="1130"/>
      <c r="X378" s="1130"/>
      <c r="Y378" s="1130"/>
      <c r="Z378" s="1130"/>
    </row>
    <row r="379" spans="1:26" ht="15.75" customHeight="1">
      <c r="A379" s="1129"/>
      <c r="B379" s="1130"/>
      <c r="C379" s="1130"/>
      <c r="D379" s="1130"/>
      <c r="E379" s="1130"/>
      <c r="F379" s="1130"/>
      <c r="G379" s="1130"/>
      <c r="H379" s="1130"/>
      <c r="I379" s="1130"/>
      <c r="J379" s="1130"/>
      <c r="K379" s="1130"/>
      <c r="L379" s="1130"/>
      <c r="M379" s="1130"/>
      <c r="N379" s="1130"/>
      <c r="O379" s="1130"/>
      <c r="P379" s="1130"/>
      <c r="Q379" s="1130"/>
      <c r="R379" s="1130"/>
      <c r="S379" s="1130"/>
      <c r="T379" s="1130"/>
      <c r="U379" s="1130"/>
      <c r="V379" s="1130"/>
      <c r="W379" s="1130"/>
      <c r="X379" s="1130"/>
      <c r="Y379" s="1130"/>
      <c r="Z379" s="1130"/>
    </row>
    <row r="380" spans="1:26" ht="15.75" customHeight="1">
      <c r="A380" s="1129"/>
      <c r="B380" s="1130"/>
      <c r="C380" s="1130"/>
      <c r="D380" s="1130"/>
      <c r="E380" s="1130"/>
      <c r="F380" s="1130"/>
      <c r="G380" s="1130"/>
      <c r="H380" s="1130"/>
      <c r="I380" s="1130"/>
      <c r="J380" s="1130"/>
      <c r="K380" s="1130"/>
      <c r="L380" s="1130"/>
      <c r="M380" s="1130"/>
      <c r="N380" s="1130"/>
      <c r="O380" s="1130"/>
      <c r="P380" s="1130"/>
      <c r="Q380" s="1130"/>
      <c r="R380" s="1130"/>
      <c r="S380" s="1130"/>
      <c r="T380" s="1130"/>
      <c r="U380" s="1130"/>
      <c r="V380" s="1130"/>
      <c r="W380" s="1130"/>
      <c r="X380" s="1130"/>
      <c r="Y380" s="1130"/>
      <c r="Z380" s="1130"/>
    </row>
    <row r="381" spans="1:26" ht="15.75" customHeight="1">
      <c r="A381" s="1129"/>
      <c r="B381" s="1130"/>
      <c r="C381" s="1130"/>
      <c r="D381" s="1130"/>
      <c r="E381" s="1130"/>
      <c r="F381" s="1130"/>
      <c r="G381" s="1130"/>
      <c r="H381" s="1130"/>
      <c r="I381" s="1130"/>
      <c r="J381" s="1130"/>
      <c r="K381" s="1130"/>
      <c r="L381" s="1130"/>
      <c r="M381" s="1130"/>
      <c r="N381" s="1130"/>
      <c r="O381" s="1130"/>
      <c r="P381" s="1130"/>
      <c r="Q381" s="1130"/>
      <c r="R381" s="1130"/>
      <c r="S381" s="1130"/>
      <c r="T381" s="1130"/>
      <c r="U381" s="1130"/>
      <c r="V381" s="1130"/>
      <c r="W381" s="1130"/>
      <c r="X381" s="1130"/>
      <c r="Y381" s="1130"/>
      <c r="Z381" s="1130"/>
    </row>
    <row r="382" spans="1:26" ht="15.75" customHeight="1">
      <c r="A382" s="1129"/>
      <c r="B382" s="1130"/>
      <c r="C382" s="1130"/>
      <c r="D382" s="1130"/>
      <c r="E382" s="1130"/>
      <c r="F382" s="1130"/>
      <c r="G382" s="1130"/>
      <c r="H382" s="1130"/>
      <c r="I382" s="1130"/>
      <c r="J382" s="1130"/>
      <c r="K382" s="1130"/>
      <c r="L382" s="1130"/>
      <c r="M382" s="1130"/>
      <c r="N382" s="1130"/>
      <c r="O382" s="1130"/>
      <c r="P382" s="1130"/>
      <c r="Q382" s="1130"/>
      <c r="R382" s="1130"/>
      <c r="S382" s="1130"/>
      <c r="T382" s="1130"/>
      <c r="U382" s="1130"/>
      <c r="V382" s="1130"/>
      <c r="W382" s="1130"/>
      <c r="X382" s="1130"/>
      <c r="Y382" s="1130"/>
      <c r="Z382" s="1130"/>
    </row>
    <row r="383" spans="1:26" ht="15.75" customHeight="1">
      <c r="A383" s="1129"/>
      <c r="B383" s="1130"/>
      <c r="C383" s="1130"/>
      <c r="D383" s="1130"/>
      <c r="E383" s="1130"/>
      <c r="F383" s="1130"/>
      <c r="G383" s="1130"/>
      <c r="H383" s="1130"/>
      <c r="I383" s="1130"/>
      <c r="J383" s="1130"/>
      <c r="K383" s="1130"/>
      <c r="L383" s="1130"/>
      <c r="M383" s="1130"/>
      <c r="N383" s="1130"/>
      <c r="O383" s="1130"/>
      <c r="P383" s="1130"/>
      <c r="Q383" s="1130"/>
      <c r="R383" s="1130"/>
      <c r="S383" s="1130"/>
      <c r="T383" s="1130"/>
      <c r="U383" s="1130"/>
      <c r="V383" s="1130"/>
      <c r="W383" s="1130"/>
      <c r="X383" s="1130"/>
      <c r="Y383" s="1130"/>
      <c r="Z383" s="1130"/>
    </row>
    <row r="384" spans="1:26" ht="15.75" customHeight="1">
      <c r="A384" s="1129"/>
      <c r="B384" s="1130"/>
      <c r="C384" s="1130"/>
      <c r="D384" s="1130"/>
      <c r="E384" s="1130"/>
      <c r="F384" s="1130"/>
      <c r="G384" s="1130"/>
      <c r="H384" s="1130"/>
      <c r="I384" s="1130"/>
      <c r="J384" s="1130"/>
      <c r="K384" s="1130"/>
      <c r="L384" s="1130"/>
      <c r="M384" s="1130"/>
      <c r="N384" s="1130"/>
      <c r="O384" s="1130"/>
      <c r="P384" s="1130"/>
      <c r="Q384" s="1130"/>
      <c r="R384" s="1130"/>
      <c r="S384" s="1130"/>
      <c r="T384" s="1130"/>
      <c r="U384" s="1130"/>
      <c r="V384" s="1130"/>
      <c r="W384" s="1130"/>
      <c r="X384" s="1130"/>
      <c r="Y384" s="1130"/>
      <c r="Z384" s="1130"/>
    </row>
    <row r="385" spans="1:26" ht="15.75" customHeight="1">
      <c r="A385" s="1129"/>
      <c r="B385" s="1130"/>
      <c r="C385" s="1130"/>
      <c r="D385" s="1130"/>
      <c r="E385" s="1130"/>
      <c r="F385" s="1130"/>
      <c r="G385" s="1130"/>
      <c r="H385" s="1130"/>
      <c r="I385" s="1130"/>
      <c r="J385" s="1130"/>
      <c r="K385" s="1130"/>
      <c r="L385" s="1130"/>
      <c r="M385" s="1130"/>
      <c r="N385" s="1130"/>
      <c r="O385" s="1130"/>
      <c r="P385" s="1130"/>
      <c r="Q385" s="1130"/>
      <c r="R385" s="1130"/>
      <c r="S385" s="1130"/>
      <c r="T385" s="1130"/>
      <c r="U385" s="1130"/>
      <c r="V385" s="1130"/>
      <c r="W385" s="1130"/>
      <c r="X385" s="1130"/>
      <c r="Y385" s="1130"/>
      <c r="Z385" s="1130"/>
    </row>
    <row r="386" spans="1:26" ht="15.75" customHeight="1">
      <c r="A386" s="1129"/>
      <c r="B386" s="1130"/>
      <c r="C386" s="1130"/>
      <c r="D386" s="1130"/>
      <c r="E386" s="1130"/>
      <c r="F386" s="1130"/>
      <c r="G386" s="1130"/>
      <c r="H386" s="1130"/>
      <c r="I386" s="1130"/>
      <c r="J386" s="1130"/>
      <c r="K386" s="1130"/>
      <c r="L386" s="1130"/>
      <c r="M386" s="1130"/>
      <c r="N386" s="1130"/>
      <c r="O386" s="1130"/>
      <c r="P386" s="1130"/>
      <c r="Q386" s="1130"/>
      <c r="R386" s="1130"/>
      <c r="S386" s="1130"/>
      <c r="T386" s="1130"/>
      <c r="U386" s="1130"/>
      <c r="V386" s="1130"/>
      <c r="W386" s="1130"/>
      <c r="X386" s="1130"/>
      <c r="Y386" s="1130"/>
      <c r="Z386" s="1130"/>
    </row>
    <row r="387" spans="1:26" ht="15.75" customHeight="1">
      <c r="A387" s="1129"/>
      <c r="B387" s="1130"/>
      <c r="C387" s="1130"/>
      <c r="D387" s="1130"/>
      <c r="E387" s="1130"/>
      <c r="F387" s="1130"/>
      <c r="G387" s="1130"/>
      <c r="H387" s="1130"/>
      <c r="I387" s="1130"/>
      <c r="J387" s="1130"/>
      <c r="K387" s="1130"/>
      <c r="L387" s="1130"/>
      <c r="M387" s="1130"/>
      <c r="N387" s="1130"/>
      <c r="O387" s="1130"/>
      <c r="P387" s="1130"/>
      <c r="Q387" s="1130"/>
      <c r="R387" s="1130"/>
      <c r="S387" s="1130"/>
      <c r="T387" s="1130"/>
      <c r="U387" s="1130"/>
      <c r="V387" s="1130"/>
      <c r="W387" s="1130"/>
      <c r="X387" s="1130"/>
      <c r="Y387" s="1130"/>
      <c r="Z387" s="1130"/>
    </row>
    <row r="388" spans="1:26" ht="15.75" customHeight="1">
      <c r="A388" s="1129"/>
      <c r="B388" s="1130"/>
      <c r="C388" s="1130"/>
      <c r="D388" s="1130"/>
      <c r="E388" s="1130"/>
      <c r="F388" s="1130"/>
      <c r="G388" s="1130"/>
      <c r="H388" s="1130"/>
      <c r="I388" s="1130"/>
      <c r="J388" s="1130"/>
      <c r="K388" s="1130"/>
      <c r="L388" s="1130"/>
      <c r="M388" s="1130"/>
      <c r="N388" s="1130"/>
      <c r="O388" s="1130"/>
      <c r="P388" s="1130"/>
      <c r="Q388" s="1130"/>
      <c r="R388" s="1130"/>
      <c r="S388" s="1130"/>
      <c r="T388" s="1130"/>
      <c r="U388" s="1130"/>
      <c r="V388" s="1130"/>
      <c r="W388" s="1130"/>
      <c r="X388" s="1130"/>
      <c r="Y388" s="1130"/>
      <c r="Z388" s="1130"/>
    </row>
    <row r="389" spans="1:26" ht="15.75" customHeight="1">
      <c r="A389" s="1129"/>
      <c r="B389" s="1130"/>
      <c r="C389" s="1130"/>
      <c r="D389" s="1130"/>
      <c r="E389" s="1130"/>
      <c r="F389" s="1130"/>
      <c r="G389" s="1130"/>
      <c r="H389" s="1130"/>
      <c r="I389" s="1130"/>
      <c r="J389" s="1130"/>
      <c r="K389" s="1130"/>
      <c r="L389" s="1130"/>
      <c r="M389" s="1130"/>
      <c r="N389" s="1130"/>
      <c r="O389" s="1130"/>
      <c r="P389" s="1130"/>
      <c r="Q389" s="1130"/>
      <c r="R389" s="1130"/>
      <c r="S389" s="1130"/>
      <c r="T389" s="1130"/>
      <c r="U389" s="1130"/>
      <c r="V389" s="1130"/>
      <c r="W389" s="1130"/>
      <c r="X389" s="1130"/>
      <c r="Y389" s="1130"/>
      <c r="Z389" s="1130"/>
    </row>
    <row r="390" spans="1:26" ht="15.75" customHeight="1">
      <c r="A390" s="1129"/>
      <c r="B390" s="1130"/>
      <c r="C390" s="1130"/>
      <c r="D390" s="1130"/>
      <c r="E390" s="1130"/>
      <c r="F390" s="1130"/>
      <c r="G390" s="1130"/>
      <c r="H390" s="1130"/>
      <c r="I390" s="1130"/>
      <c r="J390" s="1130"/>
      <c r="K390" s="1130"/>
      <c r="L390" s="1130"/>
      <c r="M390" s="1130"/>
      <c r="N390" s="1130"/>
      <c r="O390" s="1130"/>
      <c r="P390" s="1130"/>
      <c r="Q390" s="1130"/>
      <c r="R390" s="1130"/>
      <c r="S390" s="1130"/>
      <c r="T390" s="1130"/>
      <c r="U390" s="1130"/>
      <c r="V390" s="1130"/>
      <c r="W390" s="1130"/>
      <c r="X390" s="1130"/>
      <c r="Y390" s="1130"/>
      <c r="Z390" s="1130"/>
    </row>
    <row r="391" spans="1:26" ht="15.75" customHeight="1">
      <c r="A391" s="1129"/>
      <c r="B391" s="1130"/>
      <c r="C391" s="1130"/>
      <c r="D391" s="1130"/>
      <c r="E391" s="1130"/>
      <c r="F391" s="1130"/>
      <c r="G391" s="1130"/>
      <c r="H391" s="1130"/>
      <c r="I391" s="1130"/>
      <c r="J391" s="1130"/>
      <c r="K391" s="1130"/>
      <c r="L391" s="1130"/>
      <c r="M391" s="1130"/>
      <c r="N391" s="1130"/>
      <c r="O391" s="1130"/>
      <c r="P391" s="1130"/>
      <c r="Q391" s="1130"/>
      <c r="R391" s="1130"/>
      <c r="S391" s="1130"/>
      <c r="T391" s="1130"/>
      <c r="U391" s="1130"/>
      <c r="V391" s="1130"/>
      <c r="W391" s="1130"/>
      <c r="X391" s="1130"/>
      <c r="Y391" s="1130"/>
      <c r="Z391" s="1130"/>
    </row>
    <row r="392" spans="1:26" ht="15.75" customHeight="1">
      <c r="A392" s="1129"/>
      <c r="B392" s="1130"/>
      <c r="C392" s="1130"/>
      <c r="D392" s="1130"/>
      <c r="E392" s="1130"/>
      <c r="F392" s="1130"/>
      <c r="G392" s="1130"/>
      <c r="H392" s="1130"/>
      <c r="I392" s="1130"/>
      <c r="J392" s="1130"/>
      <c r="K392" s="1130"/>
      <c r="L392" s="1130"/>
      <c r="M392" s="1130"/>
      <c r="N392" s="1130"/>
      <c r="O392" s="1130"/>
      <c r="P392" s="1130"/>
      <c r="Q392" s="1130"/>
      <c r="R392" s="1130"/>
      <c r="S392" s="1130"/>
      <c r="T392" s="1130"/>
      <c r="U392" s="1130"/>
      <c r="V392" s="1130"/>
      <c r="W392" s="1130"/>
      <c r="X392" s="1130"/>
      <c r="Y392" s="1130"/>
      <c r="Z392" s="1130"/>
    </row>
    <row r="393" spans="1:26" ht="15.75" customHeight="1">
      <c r="A393" s="1129"/>
      <c r="B393" s="1130"/>
      <c r="C393" s="1130"/>
      <c r="D393" s="1130"/>
      <c r="E393" s="1130"/>
      <c r="F393" s="1130"/>
      <c r="G393" s="1130"/>
      <c r="H393" s="1130"/>
      <c r="I393" s="1130"/>
      <c r="J393" s="1130"/>
      <c r="K393" s="1130"/>
      <c r="L393" s="1130"/>
      <c r="M393" s="1130"/>
      <c r="N393" s="1130"/>
      <c r="O393" s="1130"/>
      <c r="P393" s="1130"/>
      <c r="Q393" s="1130"/>
      <c r="R393" s="1130"/>
      <c r="S393" s="1130"/>
      <c r="T393" s="1130"/>
      <c r="U393" s="1130"/>
      <c r="V393" s="1130"/>
      <c r="W393" s="1130"/>
      <c r="X393" s="1130"/>
      <c r="Y393" s="1130"/>
      <c r="Z393" s="1130"/>
    </row>
    <row r="394" spans="1:26" ht="15.75" customHeight="1">
      <c r="A394" s="1129"/>
      <c r="B394" s="1130"/>
      <c r="C394" s="1130"/>
      <c r="D394" s="1130"/>
      <c r="E394" s="1130"/>
      <c r="F394" s="1130"/>
      <c r="G394" s="1130"/>
      <c r="H394" s="1130"/>
      <c r="I394" s="1130"/>
      <c r="J394" s="1130"/>
      <c r="K394" s="1130"/>
      <c r="L394" s="1130"/>
      <c r="M394" s="1130"/>
      <c r="N394" s="1130"/>
      <c r="O394" s="1130"/>
      <c r="P394" s="1130"/>
      <c r="Q394" s="1130"/>
      <c r="R394" s="1130"/>
      <c r="S394" s="1130"/>
      <c r="T394" s="1130"/>
      <c r="U394" s="1130"/>
      <c r="V394" s="1130"/>
      <c r="W394" s="1130"/>
      <c r="X394" s="1130"/>
      <c r="Y394" s="1130"/>
      <c r="Z394" s="1130"/>
    </row>
    <row r="395" spans="1:26" ht="15.75" customHeight="1">
      <c r="A395" s="1129"/>
      <c r="B395" s="1130"/>
      <c r="C395" s="1130"/>
      <c r="D395" s="1130"/>
      <c r="E395" s="1130"/>
      <c r="F395" s="1130"/>
      <c r="G395" s="1130"/>
      <c r="H395" s="1130"/>
      <c r="I395" s="1130"/>
      <c r="J395" s="1130"/>
      <c r="K395" s="1130"/>
      <c r="L395" s="1130"/>
      <c r="M395" s="1130"/>
      <c r="N395" s="1130"/>
      <c r="O395" s="1130"/>
      <c r="P395" s="1130"/>
      <c r="Q395" s="1130"/>
      <c r="R395" s="1130"/>
      <c r="S395" s="1130"/>
      <c r="T395" s="1130"/>
      <c r="U395" s="1130"/>
      <c r="V395" s="1130"/>
      <c r="W395" s="1130"/>
      <c r="X395" s="1130"/>
      <c r="Y395" s="1130"/>
      <c r="Z395" s="1130"/>
    </row>
    <row r="396" spans="1:26" ht="15.75" customHeight="1">
      <c r="A396" s="1129"/>
      <c r="B396" s="1130"/>
      <c r="C396" s="1130"/>
      <c r="D396" s="1130"/>
      <c r="E396" s="1130"/>
      <c r="F396" s="1130"/>
      <c r="G396" s="1130"/>
      <c r="H396" s="1130"/>
      <c r="I396" s="1130"/>
      <c r="J396" s="1130"/>
      <c r="K396" s="1130"/>
      <c r="L396" s="1130"/>
      <c r="M396" s="1130"/>
      <c r="N396" s="1130"/>
      <c r="O396" s="1130"/>
      <c r="P396" s="1130"/>
      <c r="Q396" s="1130"/>
      <c r="R396" s="1130"/>
      <c r="S396" s="1130"/>
      <c r="T396" s="1130"/>
      <c r="U396" s="1130"/>
      <c r="V396" s="1130"/>
      <c r="W396" s="1130"/>
      <c r="X396" s="1130"/>
      <c r="Y396" s="1130"/>
      <c r="Z396" s="1130"/>
    </row>
    <row r="397" spans="1:26" ht="15.75" customHeight="1">
      <c r="A397" s="1129"/>
      <c r="B397" s="1130"/>
      <c r="C397" s="1130"/>
      <c r="D397" s="1130"/>
      <c r="E397" s="1130"/>
      <c r="F397" s="1130"/>
      <c r="G397" s="1130"/>
      <c r="H397" s="1130"/>
      <c r="I397" s="1130"/>
      <c r="J397" s="1130"/>
      <c r="K397" s="1130"/>
      <c r="L397" s="1130"/>
      <c r="M397" s="1130"/>
      <c r="N397" s="1130"/>
      <c r="O397" s="1130"/>
      <c r="P397" s="1130"/>
      <c r="Q397" s="1130"/>
      <c r="R397" s="1130"/>
      <c r="S397" s="1130"/>
      <c r="T397" s="1130"/>
      <c r="U397" s="1130"/>
      <c r="V397" s="1130"/>
      <c r="W397" s="1130"/>
      <c r="X397" s="1130"/>
      <c r="Y397" s="1130"/>
      <c r="Z397" s="1130"/>
    </row>
    <row r="398" spans="1:26" ht="15.75" customHeight="1">
      <c r="A398" s="1129"/>
      <c r="B398" s="1130"/>
      <c r="C398" s="1130"/>
      <c r="D398" s="1130"/>
      <c r="E398" s="1130"/>
      <c r="F398" s="1130"/>
      <c r="G398" s="1130"/>
      <c r="H398" s="1130"/>
      <c r="I398" s="1130"/>
      <c r="J398" s="1130"/>
      <c r="K398" s="1130"/>
      <c r="L398" s="1130"/>
      <c r="M398" s="1130"/>
      <c r="N398" s="1130"/>
      <c r="O398" s="1130"/>
      <c r="P398" s="1130"/>
      <c r="Q398" s="1130"/>
      <c r="R398" s="1130"/>
      <c r="S398" s="1130"/>
      <c r="T398" s="1130"/>
      <c r="U398" s="1130"/>
      <c r="V398" s="1130"/>
      <c r="W398" s="1130"/>
      <c r="X398" s="1130"/>
      <c r="Y398" s="1130"/>
      <c r="Z398" s="1130"/>
    </row>
    <row r="399" spans="1:26" ht="15.75" customHeight="1">
      <c r="A399" s="1129"/>
      <c r="B399" s="1130"/>
      <c r="C399" s="1130"/>
      <c r="D399" s="1130"/>
      <c r="E399" s="1130"/>
      <c r="F399" s="1130"/>
      <c r="G399" s="1130"/>
      <c r="H399" s="1130"/>
      <c r="I399" s="1130"/>
      <c r="J399" s="1130"/>
      <c r="K399" s="1130"/>
      <c r="L399" s="1130"/>
      <c r="M399" s="1130"/>
      <c r="N399" s="1130"/>
      <c r="O399" s="1130"/>
      <c r="P399" s="1130"/>
      <c r="Q399" s="1130"/>
      <c r="R399" s="1130"/>
      <c r="S399" s="1130"/>
      <c r="T399" s="1130"/>
      <c r="U399" s="1130"/>
      <c r="V399" s="1130"/>
      <c r="W399" s="1130"/>
      <c r="X399" s="1130"/>
      <c r="Y399" s="1130"/>
      <c r="Z399" s="1130"/>
    </row>
    <row r="400" spans="1:26" ht="15.75" customHeight="1">
      <c r="A400" s="1129"/>
      <c r="B400" s="1130"/>
      <c r="C400" s="1130"/>
      <c r="D400" s="1130"/>
      <c r="E400" s="1130"/>
      <c r="F400" s="1130"/>
      <c r="G400" s="1130"/>
      <c r="H400" s="1130"/>
      <c r="I400" s="1130"/>
      <c r="J400" s="1130"/>
      <c r="K400" s="1130"/>
      <c r="L400" s="1130"/>
      <c r="M400" s="1130"/>
      <c r="N400" s="1130"/>
      <c r="O400" s="1130"/>
      <c r="P400" s="1130"/>
      <c r="Q400" s="1130"/>
      <c r="R400" s="1130"/>
      <c r="S400" s="1130"/>
      <c r="T400" s="1130"/>
      <c r="U400" s="1130"/>
      <c r="V400" s="1130"/>
      <c r="W400" s="1130"/>
      <c r="X400" s="1130"/>
      <c r="Y400" s="1130"/>
      <c r="Z400" s="1130"/>
    </row>
    <row r="401" spans="1:26" ht="15.75" customHeight="1">
      <c r="A401" s="1129"/>
      <c r="B401" s="1130"/>
      <c r="C401" s="1130"/>
      <c r="D401" s="1130"/>
      <c r="E401" s="1130"/>
      <c r="F401" s="1130"/>
      <c r="G401" s="1130"/>
      <c r="H401" s="1130"/>
      <c r="I401" s="1130"/>
      <c r="J401" s="1130"/>
      <c r="K401" s="1130"/>
      <c r="L401" s="1130"/>
      <c r="M401" s="1130"/>
      <c r="N401" s="1130"/>
      <c r="O401" s="1130"/>
      <c r="P401" s="1130"/>
      <c r="Q401" s="1130"/>
      <c r="R401" s="1130"/>
      <c r="S401" s="1130"/>
      <c r="T401" s="1130"/>
      <c r="U401" s="1130"/>
      <c r="V401" s="1130"/>
      <c r="W401" s="1130"/>
      <c r="X401" s="1130"/>
      <c r="Y401" s="1130"/>
      <c r="Z401" s="1130"/>
    </row>
    <row r="402" spans="1:26" ht="15.75" customHeight="1">
      <c r="A402" s="1129"/>
      <c r="B402" s="1130"/>
      <c r="C402" s="1130"/>
      <c r="D402" s="1130"/>
      <c r="E402" s="1130"/>
      <c r="F402" s="1130"/>
      <c r="G402" s="1130"/>
      <c r="H402" s="1130"/>
      <c r="I402" s="1130"/>
      <c r="J402" s="1130"/>
      <c r="K402" s="1130"/>
      <c r="L402" s="1130"/>
      <c r="M402" s="1130"/>
      <c r="N402" s="1130"/>
      <c r="O402" s="1130"/>
      <c r="P402" s="1130"/>
      <c r="Q402" s="1130"/>
      <c r="R402" s="1130"/>
      <c r="S402" s="1130"/>
      <c r="T402" s="1130"/>
      <c r="U402" s="1130"/>
      <c r="V402" s="1130"/>
      <c r="W402" s="1130"/>
      <c r="X402" s="1130"/>
      <c r="Y402" s="1130"/>
      <c r="Z402" s="1130"/>
    </row>
    <row r="403" spans="1:26" ht="15.75" customHeight="1">
      <c r="A403" s="1129"/>
      <c r="B403" s="1130"/>
      <c r="C403" s="1130"/>
      <c r="D403" s="1130"/>
      <c r="E403" s="1130"/>
      <c r="F403" s="1130"/>
      <c r="G403" s="1130"/>
      <c r="H403" s="1130"/>
      <c r="I403" s="1130"/>
      <c r="J403" s="1130"/>
      <c r="K403" s="1130"/>
      <c r="L403" s="1130"/>
      <c r="M403" s="1130"/>
      <c r="N403" s="1130"/>
      <c r="O403" s="1130"/>
      <c r="P403" s="1130"/>
      <c r="Q403" s="1130"/>
      <c r="R403" s="1130"/>
      <c r="S403" s="1130"/>
      <c r="T403" s="1130"/>
      <c r="U403" s="1130"/>
      <c r="V403" s="1130"/>
      <c r="W403" s="1130"/>
      <c r="X403" s="1130"/>
      <c r="Y403" s="1130"/>
      <c r="Z403" s="1130"/>
    </row>
    <row r="404" spans="1:26" ht="15.75" customHeight="1">
      <c r="A404" s="1129"/>
      <c r="B404" s="1130"/>
      <c r="C404" s="1130"/>
      <c r="D404" s="1130"/>
      <c r="E404" s="1130"/>
      <c r="F404" s="1130"/>
      <c r="G404" s="1130"/>
      <c r="H404" s="1130"/>
      <c r="I404" s="1130"/>
      <c r="J404" s="1130"/>
      <c r="K404" s="1130"/>
      <c r="L404" s="1130"/>
      <c r="M404" s="1130"/>
      <c r="N404" s="1130"/>
      <c r="O404" s="1130"/>
      <c r="P404" s="1130"/>
      <c r="Q404" s="1130"/>
      <c r="R404" s="1130"/>
      <c r="S404" s="1130"/>
      <c r="T404" s="1130"/>
      <c r="U404" s="1130"/>
      <c r="V404" s="1130"/>
      <c r="W404" s="1130"/>
      <c r="X404" s="1130"/>
      <c r="Y404" s="1130"/>
      <c r="Z404" s="1130"/>
    </row>
    <row r="405" spans="1:26" ht="15.75" customHeight="1">
      <c r="A405" s="1129"/>
      <c r="B405" s="1130"/>
      <c r="C405" s="1130"/>
      <c r="D405" s="1130"/>
      <c r="E405" s="1130"/>
      <c r="F405" s="1130"/>
      <c r="G405" s="1130"/>
      <c r="H405" s="1130"/>
      <c r="I405" s="1130"/>
      <c r="J405" s="1130"/>
      <c r="K405" s="1130"/>
      <c r="L405" s="1130"/>
      <c r="M405" s="1130"/>
      <c r="N405" s="1130"/>
      <c r="O405" s="1130"/>
      <c r="P405" s="1130"/>
      <c r="Q405" s="1130"/>
      <c r="R405" s="1130"/>
      <c r="S405" s="1130"/>
      <c r="T405" s="1130"/>
      <c r="U405" s="1130"/>
      <c r="V405" s="1130"/>
      <c r="W405" s="1130"/>
      <c r="X405" s="1130"/>
      <c r="Y405" s="1130"/>
      <c r="Z405" s="1130"/>
    </row>
    <row r="406" spans="1:26" ht="15.75" customHeight="1">
      <c r="A406" s="1129"/>
      <c r="B406" s="1130"/>
      <c r="C406" s="1130"/>
      <c r="D406" s="1130"/>
      <c r="E406" s="1130"/>
      <c r="F406" s="1130"/>
      <c r="G406" s="1130"/>
      <c r="H406" s="1130"/>
      <c r="I406" s="1130"/>
      <c r="J406" s="1130"/>
      <c r="K406" s="1130"/>
      <c r="L406" s="1130"/>
      <c r="M406" s="1130"/>
      <c r="N406" s="1130"/>
      <c r="O406" s="1130"/>
      <c r="P406" s="1130"/>
      <c r="Q406" s="1130"/>
      <c r="R406" s="1130"/>
      <c r="S406" s="1130"/>
      <c r="T406" s="1130"/>
      <c r="U406" s="1130"/>
      <c r="V406" s="1130"/>
      <c r="W406" s="1130"/>
      <c r="X406" s="1130"/>
      <c r="Y406" s="1130"/>
      <c r="Z406" s="1130"/>
    </row>
    <row r="407" spans="1:26" ht="15.75" customHeight="1">
      <c r="A407" s="1129"/>
      <c r="B407" s="1130"/>
      <c r="C407" s="1130"/>
      <c r="D407" s="1130"/>
      <c r="E407" s="1130"/>
      <c r="F407" s="1130"/>
      <c r="G407" s="1130"/>
      <c r="H407" s="1130"/>
      <c r="I407" s="1130"/>
      <c r="J407" s="1130"/>
      <c r="K407" s="1130"/>
      <c r="L407" s="1130"/>
      <c r="M407" s="1130"/>
      <c r="N407" s="1130"/>
      <c r="O407" s="1130"/>
      <c r="P407" s="1130"/>
      <c r="Q407" s="1130"/>
      <c r="R407" s="1130"/>
      <c r="S407" s="1130"/>
      <c r="T407" s="1130"/>
      <c r="U407" s="1130"/>
      <c r="V407" s="1130"/>
      <c r="W407" s="1130"/>
      <c r="X407" s="1130"/>
      <c r="Y407" s="1130"/>
      <c r="Z407" s="1130"/>
    </row>
    <row r="408" spans="1:26" ht="15.75" customHeight="1">
      <c r="A408" s="1129"/>
      <c r="B408" s="1130"/>
      <c r="C408" s="1130"/>
      <c r="D408" s="1130"/>
      <c r="E408" s="1130"/>
      <c r="F408" s="1130"/>
      <c r="G408" s="1130"/>
      <c r="H408" s="1130"/>
      <c r="I408" s="1130"/>
      <c r="J408" s="1130"/>
      <c r="K408" s="1130"/>
      <c r="L408" s="1130"/>
      <c r="M408" s="1130"/>
      <c r="N408" s="1130"/>
      <c r="O408" s="1130"/>
      <c r="P408" s="1130"/>
      <c r="Q408" s="1130"/>
      <c r="R408" s="1130"/>
      <c r="S408" s="1130"/>
      <c r="T408" s="1130"/>
      <c r="U408" s="1130"/>
      <c r="V408" s="1130"/>
      <c r="W408" s="1130"/>
      <c r="X408" s="1130"/>
      <c r="Y408" s="1130"/>
      <c r="Z408" s="1130"/>
    </row>
    <row r="409" spans="1:26" ht="15.75" customHeight="1">
      <c r="A409" s="1129"/>
      <c r="B409" s="1130"/>
      <c r="C409" s="1130"/>
      <c r="D409" s="1130"/>
      <c r="E409" s="1130"/>
      <c r="F409" s="1130"/>
      <c r="G409" s="1130"/>
      <c r="H409" s="1130"/>
      <c r="I409" s="1130"/>
      <c r="J409" s="1130"/>
      <c r="K409" s="1130"/>
      <c r="L409" s="1130"/>
      <c r="M409" s="1130"/>
      <c r="N409" s="1130"/>
      <c r="O409" s="1130"/>
      <c r="P409" s="1130"/>
      <c r="Q409" s="1130"/>
      <c r="R409" s="1130"/>
      <c r="S409" s="1130"/>
      <c r="T409" s="1130"/>
      <c r="U409" s="1130"/>
      <c r="V409" s="1130"/>
      <c r="W409" s="1130"/>
      <c r="X409" s="1130"/>
      <c r="Y409" s="1130"/>
      <c r="Z409" s="1130"/>
    </row>
    <row r="410" spans="1:26" ht="15.75" customHeight="1">
      <c r="A410" s="1129"/>
      <c r="B410" s="1130"/>
      <c r="C410" s="1130"/>
      <c r="D410" s="1130"/>
      <c r="E410" s="1130"/>
      <c r="F410" s="1130"/>
      <c r="G410" s="1130"/>
      <c r="H410" s="1130"/>
      <c r="I410" s="1130"/>
      <c r="J410" s="1130"/>
      <c r="K410" s="1130"/>
      <c r="L410" s="1130"/>
      <c r="M410" s="1130"/>
      <c r="N410" s="1130"/>
      <c r="O410" s="1130"/>
      <c r="P410" s="1130"/>
      <c r="Q410" s="1130"/>
      <c r="R410" s="1130"/>
      <c r="S410" s="1130"/>
      <c r="T410" s="1130"/>
      <c r="U410" s="1130"/>
      <c r="V410" s="1130"/>
      <c r="W410" s="1130"/>
      <c r="X410" s="1130"/>
      <c r="Y410" s="1130"/>
      <c r="Z410" s="1130"/>
    </row>
    <row r="411" spans="1:26" ht="15.75" customHeight="1">
      <c r="A411" s="1129"/>
      <c r="B411" s="1130"/>
      <c r="C411" s="1130"/>
      <c r="D411" s="1130"/>
      <c r="E411" s="1130"/>
      <c r="F411" s="1130"/>
      <c r="G411" s="1130"/>
      <c r="H411" s="1130"/>
      <c r="I411" s="1130"/>
      <c r="J411" s="1130"/>
      <c r="K411" s="1130"/>
      <c r="L411" s="1130"/>
      <c r="M411" s="1130"/>
      <c r="N411" s="1130"/>
      <c r="O411" s="1130"/>
      <c r="P411" s="1130"/>
      <c r="Q411" s="1130"/>
      <c r="R411" s="1130"/>
      <c r="S411" s="1130"/>
      <c r="T411" s="1130"/>
      <c r="U411" s="1130"/>
      <c r="V411" s="1130"/>
      <c r="W411" s="1130"/>
      <c r="X411" s="1130"/>
      <c r="Y411" s="1130"/>
      <c r="Z411" s="1130"/>
    </row>
    <row r="412" spans="1:26" ht="15.75" customHeight="1">
      <c r="A412" s="1129"/>
      <c r="B412" s="1130"/>
      <c r="C412" s="1130"/>
      <c r="D412" s="1130"/>
      <c r="E412" s="1130"/>
      <c r="F412" s="1130"/>
      <c r="G412" s="1130"/>
      <c r="H412" s="1130"/>
      <c r="I412" s="1130"/>
      <c r="J412" s="1130"/>
      <c r="K412" s="1130"/>
      <c r="L412" s="1130"/>
      <c r="M412" s="1130"/>
      <c r="N412" s="1130"/>
      <c r="O412" s="1130"/>
      <c r="P412" s="1130"/>
      <c r="Q412" s="1130"/>
      <c r="R412" s="1130"/>
      <c r="S412" s="1130"/>
      <c r="T412" s="1130"/>
      <c r="U412" s="1130"/>
      <c r="V412" s="1130"/>
      <c r="W412" s="1130"/>
      <c r="X412" s="1130"/>
      <c r="Y412" s="1130"/>
      <c r="Z412" s="1130"/>
    </row>
    <row r="413" spans="1:26" ht="15.75" customHeight="1">
      <c r="A413" s="1129"/>
      <c r="B413" s="1130"/>
      <c r="C413" s="1130"/>
      <c r="D413" s="1130"/>
      <c r="E413" s="1130"/>
      <c r="F413" s="1130"/>
      <c r="G413" s="1130"/>
      <c r="H413" s="1130"/>
      <c r="I413" s="1130"/>
      <c r="J413" s="1130"/>
      <c r="K413" s="1130"/>
      <c r="L413" s="1130"/>
      <c r="M413" s="1130"/>
      <c r="N413" s="1130"/>
      <c r="O413" s="1130"/>
      <c r="P413" s="1130"/>
      <c r="Q413" s="1130"/>
      <c r="R413" s="1130"/>
      <c r="S413" s="1130"/>
      <c r="T413" s="1130"/>
      <c r="U413" s="1130"/>
      <c r="V413" s="1130"/>
      <c r="W413" s="1130"/>
      <c r="X413" s="1130"/>
      <c r="Y413" s="1130"/>
      <c r="Z413" s="1130"/>
    </row>
    <row r="414" spans="1:26" ht="15.75" customHeight="1">
      <c r="A414" s="1129"/>
      <c r="B414" s="1130"/>
      <c r="C414" s="1130"/>
      <c r="D414" s="1130"/>
      <c r="E414" s="1130"/>
      <c r="F414" s="1130"/>
      <c r="G414" s="1130"/>
      <c r="H414" s="1130"/>
      <c r="I414" s="1130"/>
      <c r="J414" s="1130"/>
      <c r="K414" s="1130"/>
      <c r="L414" s="1130"/>
      <c r="M414" s="1130"/>
      <c r="N414" s="1130"/>
      <c r="O414" s="1130"/>
      <c r="P414" s="1130"/>
      <c r="Q414" s="1130"/>
      <c r="R414" s="1130"/>
      <c r="S414" s="1130"/>
      <c r="T414" s="1130"/>
      <c r="U414" s="1130"/>
      <c r="V414" s="1130"/>
      <c r="W414" s="1130"/>
      <c r="X414" s="1130"/>
      <c r="Y414" s="1130"/>
      <c r="Z414" s="1130"/>
    </row>
    <row r="415" spans="1:26" ht="15.75" customHeight="1">
      <c r="A415" s="1129"/>
      <c r="B415" s="1130"/>
      <c r="C415" s="1130"/>
      <c r="D415" s="1130"/>
      <c r="E415" s="1130"/>
      <c r="F415" s="1130"/>
      <c r="G415" s="1130"/>
      <c r="H415" s="1130"/>
      <c r="I415" s="1130"/>
      <c r="J415" s="1130"/>
      <c r="K415" s="1130"/>
      <c r="L415" s="1130"/>
      <c r="M415" s="1130"/>
      <c r="N415" s="1130"/>
      <c r="O415" s="1130"/>
      <c r="P415" s="1130"/>
      <c r="Q415" s="1130"/>
      <c r="R415" s="1130"/>
      <c r="S415" s="1130"/>
      <c r="T415" s="1130"/>
      <c r="U415" s="1130"/>
      <c r="V415" s="1130"/>
      <c r="W415" s="1130"/>
      <c r="X415" s="1130"/>
      <c r="Y415" s="1130"/>
      <c r="Z415" s="1130"/>
    </row>
    <row r="416" spans="1:26" ht="15.75" customHeight="1">
      <c r="A416" s="1129"/>
      <c r="B416" s="1130"/>
      <c r="C416" s="1130"/>
      <c r="D416" s="1130"/>
      <c r="E416" s="1130"/>
      <c r="F416" s="1130"/>
      <c r="G416" s="1130"/>
      <c r="H416" s="1130"/>
      <c r="I416" s="1130"/>
      <c r="J416" s="1130"/>
      <c r="K416" s="1130"/>
      <c r="L416" s="1130"/>
      <c r="M416" s="1130"/>
      <c r="N416" s="1130"/>
      <c r="O416" s="1130"/>
      <c r="P416" s="1130"/>
      <c r="Q416" s="1130"/>
      <c r="R416" s="1130"/>
      <c r="S416" s="1130"/>
      <c r="T416" s="1130"/>
      <c r="U416" s="1130"/>
      <c r="V416" s="1130"/>
      <c r="W416" s="1130"/>
      <c r="X416" s="1130"/>
      <c r="Y416" s="1130"/>
      <c r="Z416" s="1130"/>
    </row>
    <row r="417" spans="1:26" ht="15.75" customHeight="1">
      <c r="A417" s="1129"/>
      <c r="B417" s="1130"/>
      <c r="C417" s="1130"/>
      <c r="D417" s="1130"/>
      <c r="E417" s="1130"/>
      <c r="F417" s="1130"/>
      <c r="G417" s="1130"/>
      <c r="H417" s="1130"/>
      <c r="I417" s="1130"/>
      <c r="J417" s="1130"/>
      <c r="K417" s="1130"/>
      <c r="L417" s="1130"/>
      <c r="M417" s="1130"/>
      <c r="N417" s="1130"/>
      <c r="O417" s="1130"/>
      <c r="P417" s="1130"/>
      <c r="Q417" s="1130"/>
      <c r="R417" s="1130"/>
      <c r="S417" s="1130"/>
      <c r="T417" s="1130"/>
      <c r="U417" s="1130"/>
      <c r="V417" s="1130"/>
      <c r="W417" s="1130"/>
      <c r="X417" s="1130"/>
      <c r="Y417" s="1130"/>
      <c r="Z417" s="1130"/>
    </row>
    <row r="418" spans="1:26" ht="15.75" customHeight="1">
      <c r="A418" s="1129"/>
      <c r="B418" s="1130"/>
      <c r="C418" s="1130"/>
      <c r="D418" s="1130"/>
      <c r="E418" s="1130"/>
      <c r="F418" s="1130"/>
      <c r="G418" s="1130"/>
      <c r="H418" s="1130"/>
      <c r="I418" s="1130"/>
      <c r="J418" s="1130"/>
      <c r="K418" s="1130"/>
      <c r="L418" s="1130"/>
      <c r="M418" s="1130"/>
      <c r="N418" s="1130"/>
      <c r="O418" s="1130"/>
      <c r="P418" s="1130"/>
      <c r="Q418" s="1130"/>
      <c r="R418" s="1130"/>
      <c r="S418" s="1130"/>
      <c r="T418" s="1130"/>
      <c r="U418" s="1130"/>
      <c r="V418" s="1130"/>
      <c r="W418" s="1130"/>
      <c r="X418" s="1130"/>
      <c r="Y418" s="1130"/>
      <c r="Z418" s="1130"/>
    </row>
    <row r="419" spans="1:26" ht="15.75" customHeight="1">
      <c r="A419" s="1129"/>
      <c r="B419" s="1130"/>
      <c r="C419" s="1130"/>
      <c r="D419" s="1130"/>
      <c r="E419" s="1130"/>
      <c r="F419" s="1130"/>
      <c r="G419" s="1130"/>
      <c r="H419" s="1130"/>
      <c r="I419" s="1130"/>
      <c r="J419" s="1130"/>
      <c r="K419" s="1130"/>
      <c r="L419" s="1130"/>
      <c r="M419" s="1130"/>
      <c r="N419" s="1130"/>
      <c r="O419" s="1130"/>
      <c r="P419" s="1130"/>
      <c r="Q419" s="1130"/>
      <c r="R419" s="1130"/>
      <c r="S419" s="1130"/>
      <c r="T419" s="1130"/>
      <c r="U419" s="1130"/>
      <c r="V419" s="1130"/>
      <c r="W419" s="1130"/>
      <c r="X419" s="1130"/>
      <c r="Y419" s="1130"/>
      <c r="Z419" s="1130"/>
    </row>
    <row r="420" spans="1:26" ht="15.75" customHeight="1">
      <c r="A420" s="1129"/>
      <c r="B420" s="1130"/>
      <c r="C420" s="1130"/>
      <c r="D420" s="1130"/>
      <c r="E420" s="1130"/>
      <c r="F420" s="1130"/>
      <c r="G420" s="1130"/>
      <c r="H420" s="1130"/>
      <c r="I420" s="1130"/>
      <c r="J420" s="1130"/>
      <c r="K420" s="1130"/>
      <c r="L420" s="1130"/>
      <c r="M420" s="1130"/>
      <c r="N420" s="1130"/>
      <c r="O420" s="1130"/>
      <c r="P420" s="1130"/>
      <c r="Q420" s="1130"/>
      <c r="R420" s="1130"/>
      <c r="S420" s="1130"/>
      <c r="T420" s="1130"/>
      <c r="U420" s="1130"/>
      <c r="V420" s="1130"/>
      <c r="W420" s="1130"/>
      <c r="X420" s="1130"/>
      <c r="Y420" s="1130"/>
      <c r="Z420" s="1130"/>
    </row>
    <row r="421" spans="1:26" ht="15.75" customHeight="1">
      <c r="A421" s="1129"/>
      <c r="B421" s="1130"/>
      <c r="C421" s="1130"/>
      <c r="D421" s="1130"/>
      <c r="E421" s="1130"/>
      <c r="F421" s="1130"/>
      <c r="G421" s="1130"/>
      <c r="H421" s="1130"/>
      <c r="I421" s="1130"/>
      <c r="J421" s="1130"/>
      <c r="K421" s="1130"/>
      <c r="L421" s="1130"/>
      <c r="M421" s="1130"/>
      <c r="N421" s="1130"/>
      <c r="O421" s="1130"/>
      <c r="P421" s="1130"/>
      <c r="Q421" s="1130"/>
      <c r="R421" s="1130"/>
      <c r="S421" s="1130"/>
      <c r="T421" s="1130"/>
      <c r="U421" s="1130"/>
      <c r="V421" s="1130"/>
      <c r="W421" s="1130"/>
      <c r="X421" s="1130"/>
      <c r="Y421" s="1130"/>
      <c r="Z421" s="1130"/>
    </row>
    <row r="422" spans="1:26" ht="15.75" customHeight="1">
      <c r="A422" s="1129"/>
      <c r="B422" s="1130"/>
      <c r="C422" s="1130"/>
      <c r="D422" s="1130"/>
      <c r="E422" s="1130"/>
      <c r="F422" s="1130"/>
      <c r="G422" s="1130"/>
      <c r="H422" s="1130"/>
      <c r="I422" s="1130"/>
      <c r="J422" s="1130"/>
      <c r="K422" s="1130"/>
      <c r="L422" s="1130"/>
      <c r="M422" s="1130"/>
      <c r="N422" s="1130"/>
      <c r="O422" s="1130"/>
      <c r="P422" s="1130"/>
      <c r="Q422" s="1130"/>
      <c r="R422" s="1130"/>
      <c r="S422" s="1130"/>
      <c r="T422" s="1130"/>
      <c r="U422" s="1130"/>
      <c r="V422" s="1130"/>
      <c r="W422" s="1130"/>
      <c r="X422" s="1130"/>
      <c r="Y422" s="1130"/>
      <c r="Z422" s="1130"/>
    </row>
    <row r="423" spans="1:26" ht="15.75" customHeight="1">
      <c r="A423" s="1129"/>
      <c r="B423" s="1130"/>
      <c r="C423" s="1130"/>
      <c r="D423" s="1130"/>
      <c r="E423" s="1130"/>
      <c r="F423" s="1130"/>
      <c r="G423" s="1130"/>
      <c r="H423" s="1130"/>
      <c r="I423" s="1130"/>
      <c r="J423" s="1130"/>
      <c r="K423" s="1130"/>
      <c r="L423" s="1130"/>
      <c r="M423" s="1130"/>
      <c r="N423" s="1130"/>
      <c r="O423" s="1130"/>
      <c r="P423" s="1130"/>
      <c r="Q423" s="1130"/>
      <c r="R423" s="1130"/>
      <c r="S423" s="1130"/>
      <c r="T423" s="1130"/>
      <c r="U423" s="1130"/>
      <c r="V423" s="1130"/>
      <c r="W423" s="1130"/>
      <c r="X423" s="1130"/>
      <c r="Y423" s="1130"/>
      <c r="Z423" s="1130"/>
    </row>
    <row r="424" spans="1:26" ht="15.75" customHeight="1">
      <c r="A424" s="1129"/>
      <c r="B424" s="1130"/>
      <c r="C424" s="1130"/>
      <c r="D424" s="1130"/>
      <c r="E424" s="1130"/>
      <c r="F424" s="1130"/>
      <c r="G424" s="1130"/>
      <c r="H424" s="1130"/>
      <c r="I424" s="1130"/>
      <c r="J424" s="1130"/>
      <c r="K424" s="1130"/>
      <c r="L424" s="1130"/>
      <c r="M424" s="1130"/>
      <c r="N424" s="1130"/>
      <c r="O424" s="1130"/>
      <c r="P424" s="1130"/>
      <c r="Q424" s="1130"/>
      <c r="R424" s="1130"/>
      <c r="S424" s="1130"/>
      <c r="T424" s="1130"/>
      <c r="U424" s="1130"/>
      <c r="V424" s="1130"/>
      <c r="W424" s="1130"/>
      <c r="X424" s="1130"/>
      <c r="Y424" s="1130"/>
      <c r="Z424" s="1130"/>
    </row>
    <row r="425" spans="1:26" ht="15.75" customHeight="1">
      <c r="A425" s="1129"/>
      <c r="B425" s="1130"/>
      <c r="C425" s="1130"/>
      <c r="D425" s="1130"/>
      <c r="E425" s="1130"/>
      <c r="F425" s="1130"/>
      <c r="G425" s="1130"/>
      <c r="H425" s="1130"/>
      <c r="I425" s="1130"/>
      <c r="J425" s="1130"/>
      <c r="K425" s="1130"/>
      <c r="L425" s="1130"/>
      <c r="M425" s="1130"/>
      <c r="N425" s="1130"/>
      <c r="O425" s="1130"/>
      <c r="P425" s="1130"/>
      <c r="Q425" s="1130"/>
      <c r="R425" s="1130"/>
      <c r="S425" s="1130"/>
      <c r="T425" s="1130"/>
      <c r="U425" s="1130"/>
      <c r="V425" s="1130"/>
      <c r="W425" s="1130"/>
      <c r="X425" s="1130"/>
      <c r="Y425" s="1130"/>
      <c r="Z425" s="1130"/>
    </row>
    <row r="426" spans="1:26" ht="15.75" customHeight="1">
      <c r="A426" s="1129"/>
      <c r="B426" s="1130"/>
      <c r="C426" s="1130"/>
      <c r="D426" s="1130"/>
      <c r="E426" s="1130"/>
      <c r="F426" s="1130"/>
      <c r="G426" s="1130"/>
      <c r="H426" s="1130"/>
      <c r="I426" s="1130"/>
      <c r="J426" s="1130"/>
      <c r="K426" s="1130"/>
      <c r="L426" s="1130"/>
      <c r="M426" s="1130"/>
      <c r="N426" s="1130"/>
      <c r="O426" s="1130"/>
      <c r="P426" s="1130"/>
      <c r="Q426" s="1130"/>
      <c r="R426" s="1130"/>
      <c r="S426" s="1130"/>
      <c r="T426" s="1130"/>
      <c r="U426" s="1130"/>
      <c r="V426" s="1130"/>
      <c r="W426" s="1130"/>
      <c r="X426" s="1130"/>
      <c r="Y426" s="1130"/>
      <c r="Z426" s="1130"/>
    </row>
    <row r="427" spans="1:26" ht="15.75" customHeight="1">
      <c r="A427" s="1129"/>
      <c r="B427" s="1130"/>
      <c r="C427" s="1130"/>
      <c r="D427" s="1130"/>
      <c r="E427" s="1130"/>
      <c r="F427" s="1130"/>
      <c r="G427" s="1130"/>
      <c r="H427" s="1130"/>
      <c r="I427" s="1130"/>
      <c r="J427" s="1130"/>
      <c r="K427" s="1130"/>
      <c r="L427" s="1130"/>
      <c r="M427" s="1130"/>
      <c r="N427" s="1130"/>
      <c r="O427" s="1130"/>
      <c r="P427" s="1130"/>
      <c r="Q427" s="1130"/>
      <c r="R427" s="1130"/>
      <c r="S427" s="1130"/>
      <c r="T427" s="1130"/>
      <c r="U427" s="1130"/>
      <c r="V427" s="1130"/>
      <c r="W427" s="1130"/>
      <c r="X427" s="1130"/>
      <c r="Y427" s="1130"/>
      <c r="Z427" s="1130"/>
    </row>
    <row r="428" spans="1:26" ht="15.75" customHeight="1">
      <c r="A428" s="1129"/>
      <c r="B428" s="1130"/>
      <c r="C428" s="1130"/>
      <c r="D428" s="1130"/>
      <c r="E428" s="1130"/>
      <c r="F428" s="1130"/>
      <c r="G428" s="1130"/>
      <c r="H428" s="1130"/>
      <c r="I428" s="1130"/>
      <c r="J428" s="1130"/>
      <c r="K428" s="1130"/>
      <c r="L428" s="1130"/>
      <c r="M428" s="1130"/>
      <c r="N428" s="1130"/>
      <c r="O428" s="1130"/>
      <c r="P428" s="1130"/>
      <c r="Q428" s="1130"/>
      <c r="R428" s="1130"/>
      <c r="S428" s="1130"/>
      <c r="T428" s="1130"/>
      <c r="U428" s="1130"/>
      <c r="V428" s="1130"/>
      <c r="W428" s="1130"/>
      <c r="X428" s="1130"/>
      <c r="Y428" s="1130"/>
      <c r="Z428" s="1130"/>
    </row>
    <row r="429" spans="1:26" ht="15.75" customHeight="1">
      <c r="A429" s="1129"/>
      <c r="B429" s="1130"/>
      <c r="C429" s="1130"/>
      <c r="D429" s="1130"/>
      <c r="E429" s="1130"/>
      <c r="F429" s="1130"/>
      <c r="G429" s="1130"/>
      <c r="H429" s="1130"/>
      <c r="I429" s="1130"/>
      <c r="J429" s="1130"/>
      <c r="K429" s="1130"/>
      <c r="L429" s="1130"/>
      <c r="M429" s="1130"/>
      <c r="N429" s="1130"/>
      <c r="O429" s="1130"/>
      <c r="P429" s="1130"/>
      <c r="Q429" s="1130"/>
      <c r="R429" s="1130"/>
      <c r="S429" s="1130"/>
      <c r="T429" s="1130"/>
      <c r="U429" s="1130"/>
      <c r="V429" s="1130"/>
      <c r="W429" s="1130"/>
      <c r="X429" s="1130"/>
      <c r="Y429" s="1130"/>
      <c r="Z429" s="1130"/>
    </row>
    <row r="430" spans="1:26" ht="15.75" customHeight="1">
      <c r="A430" s="1129"/>
      <c r="B430" s="1130"/>
      <c r="C430" s="1130"/>
      <c r="D430" s="1130"/>
      <c r="E430" s="1130"/>
      <c r="F430" s="1130"/>
      <c r="G430" s="1130"/>
      <c r="H430" s="1130"/>
      <c r="I430" s="1130"/>
      <c r="J430" s="1130"/>
      <c r="K430" s="1130"/>
      <c r="L430" s="1130"/>
      <c r="M430" s="1130"/>
      <c r="N430" s="1130"/>
      <c r="O430" s="1130"/>
      <c r="P430" s="1130"/>
      <c r="Q430" s="1130"/>
      <c r="R430" s="1130"/>
      <c r="S430" s="1130"/>
      <c r="T430" s="1130"/>
      <c r="U430" s="1130"/>
      <c r="V430" s="1130"/>
      <c r="W430" s="1130"/>
      <c r="X430" s="1130"/>
      <c r="Y430" s="1130"/>
      <c r="Z430" s="1130"/>
    </row>
    <row r="431" spans="1:26" ht="15.75" customHeight="1">
      <c r="A431" s="1129"/>
      <c r="B431" s="1130"/>
      <c r="C431" s="1130"/>
      <c r="D431" s="1130"/>
      <c r="E431" s="1130"/>
      <c r="F431" s="1130"/>
      <c r="G431" s="1130"/>
      <c r="H431" s="1130"/>
      <c r="I431" s="1130"/>
      <c r="J431" s="1130"/>
      <c r="K431" s="1130"/>
      <c r="L431" s="1130"/>
      <c r="M431" s="1130"/>
      <c r="N431" s="1130"/>
      <c r="O431" s="1130"/>
      <c r="P431" s="1130"/>
      <c r="Q431" s="1130"/>
      <c r="R431" s="1130"/>
      <c r="S431" s="1130"/>
      <c r="T431" s="1130"/>
      <c r="U431" s="1130"/>
      <c r="V431" s="1130"/>
      <c r="W431" s="1130"/>
      <c r="X431" s="1130"/>
      <c r="Y431" s="1130"/>
      <c r="Z431" s="1130"/>
    </row>
    <row r="432" spans="1:26" ht="15.75" customHeight="1">
      <c r="A432" s="1129"/>
      <c r="B432" s="1130"/>
      <c r="C432" s="1130"/>
      <c r="D432" s="1130"/>
      <c r="E432" s="1130"/>
      <c r="F432" s="1130"/>
      <c r="G432" s="1130"/>
      <c r="H432" s="1130"/>
      <c r="I432" s="1130"/>
      <c r="J432" s="1130"/>
      <c r="K432" s="1130"/>
      <c r="L432" s="1130"/>
      <c r="M432" s="1130"/>
      <c r="N432" s="1130"/>
      <c r="O432" s="1130"/>
      <c r="P432" s="1130"/>
      <c r="Q432" s="1130"/>
      <c r="R432" s="1130"/>
      <c r="S432" s="1130"/>
      <c r="T432" s="1130"/>
      <c r="U432" s="1130"/>
      <c r="V432" s="1130"/>
      <c r="W432" s="1130"/>
      <c r="X432" s="1130"/>
      <c r="Y432" s="1130"/>
      <c r="Z432" s="1130"/>
    </row>
    <row r="433" spans="1:26" ht="15.75" customHeight="1">
      <c r="A433" s="1129"/>
      <c r="B433" s="1130"/>
      <c r="C433" s="1130"/>
      <c r="D433" s="1130"/>
      <c r="E433" s="1130"/>
      <c r="F433" s="1130"/>
      <c r="G433" s="1130"/>
      <c r="H433" s="1130"/>
      <c r="I433" s="1130"/>
      <c r="J433" s="1130"/>
      <c r="K433" s="1130"/>
      <c r="L433" s="1130"/>
      <c r="M433" s="1130"/>
      <c r="N433" s="1130"/>
      <c r="O433" s="1130"/>
      <c r="P433" s="1130"/>
      <c r="Q433" s="1130"/>
      <c r="R433" s="1130"/>
      <c r="S433" s="1130"/>
      <c r="T433" s="1130"/>
      <c r="U433" s="1130"/>
      <c r="V433" s="1130"/>
      <c r="W433" s="1130"/>
      <c r="X433" s="1130"/>
      <c r="Y433" s="1130"/>
      <c r="Z433" s="1130"/>
    </row>
    <row r="434" spans="1:26" ht="15.75" customHeight="1">
      <c r="A434" s="1129"/>
      <c r="B434" s="1130"/>
      <c r="C434" s="1130"/>
      <c r="D434" s="1130"/>
      <c r="E434" s="1130"/>
      <c r="F434" s="1130"/>
      <c r="G434" s="1130"/>
      <c r="H434" s="1130"/>
      <c r="I434" s="1130"/>
      <c r="J434" s="1130"/>
      <c r="K434" s="1130"/>
      <c r="L434" s="1130"/>
      <c r="M434" s="1130"/>
      <c r="N434" s="1130"/>
      <c r="O434" s="1130"/>
      <c r="P434" s="1130"/>
      <c r="Q434" s="1130"/>
      <c r="R434" s="1130"/>
      <c r="S434" s="1130"/>
      <c r="T434" s="1130"/>
      <c r="U434" s="1130"/>
      <c r="V434" s="1130"/>
      <c r="W434" s="1130"/>
      <c r="X434" s="1130"/>
      <c r="Y434" s="1130"/>
      <c r="Z434" s="1130"/>
    </row>
    <row r="435" spans="1:26" ht="15.75" customHeight="1">
      <c r="A435" s="1129"/>
      <c r="B435" s="1130"/>
      <c r="C435" s="1130"/>
      <c r="D435" s="1130"/>
      <c r="E435" s="1130"/>
      <c r="F435" s="1130"/>
      <c r="G435" s="1130"/>
      <c r="H435" s="1130"/>
      <c r="I435" s="1130"/>
      <c r="J435" s="1130"/>
      <c r="K435" s="1130"/>
      <c r="L435" s="1130"/>
      <c r="M435" s="1130"/>
      <c r="N435" s="1130"/>
      <c r="O435" s="1130"/>
      <c r="P435" s="1130"/>
      <c r="Q435" s="1130"/>
      <c r="R435" s="1130"/>
      <c r="S435" s="1130"/>
      <c r="T435" s="1130"/>
      <c r="U435" s="1130"/>
      <c r="V435" s="1130"/>
      <c r="W435" s="1130"/>
      <c r="X435" s="1130"/>
      <c r="Y435" s="1130"/>
      <c r="Z435" s="1130"/>
    </row>
    <row r="436" spans="1:26" ht="15.75" customHeight="1">
      <c r="A436" s="1129"/>
      <c r="B436" s="1130"/>
      <c r="C436" s="1130"/>
      <c r="D436" s="1130"/>
      <c r="E436" s="1130"/>
      <c r="F436" s="1130"/>
      <c r="G436" s="1130"/>
      <c r="H436" s="1130"/>
      <c r="I436" s="1130"/>
      <c r="J436" s="1130"/>
      <c r="K436" s="1130"/>
      <c r="L436" s="1130"/>
      <c r="M436" s="1130"/>
      <c r="N436" s="1130"/>
      <c r="O436" s="1130"/>
      <c r="P436" s="1130"/>
      <c r="Q436" s="1130"/>
      <c r="R436" s="1130"/>
      <c r="S436" s="1130"/>
      <c r="T436" s="1130"/>
      <c r="U436" s="1130"/>
      <c r="V436" s="1130"/>
      <c r="W436" s="1130"/>
      <c r="X436" s="1130"/>
      <c r="Y436" s="1130"/>
      <c r="Z436" s="1130"/>
    </row>
    <row r="437" spans="1:26" ht="15.75" customHeight="1">
      <c r="A437" s="1129"/>
      <c r="B437" s="1130"/>
      <c r="C437" s="1130"/>
      <c r="D437" s="1130"/>
      <c r="E437" s="1130"/>
      <c r="F437" s="1130"/>
      <c r="G437" s="1130"/>
      <c r="H437" s="1130"/>
      <c r="I437" s="1130"/>
      <c r="J437" s="1130"/>
      <c r="K437" s="1130"/>
      <c r="L437" s="1130"/>
      <c r="M437" s="1130"/>
      <c r="N437" s="1130"/>
      <c r="O437" s="1130"/>
      <c r="P437" s="1130"/>
      <c r="Q437" s="1130"/>
      <c r="R437" s="1130"/>
      <c r="S437" s="1130"/>
      <c r="T437" s="1130"/>
      <c r="U437" s="1130"/>
      <c r="V437" s="1130"/>
      <c r="W437" s="1130"/>
      <c r="X437" s="1130"/>
      <c r="Y437" s="1130"/>
      <c r="Z437" s="1130"/>
    </row>
    <row r="438" spans="1:26" ht="15.75" customHeight="1">
      <c r="A438" s="1129"/>
      <c r="B438" s="1130"/>
      <c r="C438" s="1130"/>
      <c r="D438" s="1130"/>
      <c r="E438" s="1130"/>
      <c r="F438" s="1130"/>
      <c r="G438" s="1130"/>
      <c r="H438" s="1130"/>
      <c r="I438" s="1130"/>
      <c r="J438" s="1130"/>
      <c r="K438" s="1130"/>
      <c r="L438" s="1130"/>
      <c r="M438" s="1130"/>
      <c r="N438" s="1130"/>
      <c r="O438" s="1130"/>
      <c r="P438" s="1130"/>
      <c r="Q438" s="1130"/>
      <c r="R438" s="1130"/>
      <c r="S438" s="1130"/>
      <c r="T438" s="1130"/>
      <c r="U438" s="1130"/>
      <c r="V438" s="1130"/>
      <c r="W438" s="1130"/>
      <c r="X438" s="1130"/>
      <c r="Y438" s="1130"/>
      <c r="Z438" s="1130"/>
    </row>
    <row r="439" spans="1:26" ht="15.75" customHeight="1">
      <c r="A439" s="1129"/>
      <c r="B439" s="1130"/>
      <c r="C439" s="1130"/>
      <c r="D439" s="1130"/>
      <c r="E439" s="1130"/>
      <c r="F439" s="1130"/>
      <c r="G439" s="1130"/>
      <c r="H439" s="1130"/>
      <c r="I439" s="1130"/>
      <c r="J439" s="1130"/>
      <c r="K439" s="1130"/>
      <c r="L439" s="1130"/>
      <c r="M439" s="1130"/>
      <c r="N439" s="1130"/>
      <c r="O439" s="1130"/>
      <c r="P439" s="1130"/>
      <c r="Q439" s="1130"/>
      <c r="R439" s="1130"/>
      <c r="S439" s="1130"/>
      <c r="T439" s="1130"/>
      <c r="U439" s="1130"/>
      <c r="V439" s="1130"/>
      <c r="W439" s="1130"/>
      <c r="X439" s="1130"/>
      <c r="Y439" s="1130"/>
      <c r="Z439" s="1130"/>
    </row>
    <row r="440" spans="1:26" ht="15.75" customHeight="1">
      <c r="A440" s="1129"/>
      <c r="B440" s="1130"/>
      <c r="C440" s="1130"/>
      <c r="D440" s="1130"/>
      <c r="E440" s="1130"/>
      <c r="F440" s="1130"/>
      <c r="G440" s="1130"/>
      <c r="H440" s="1130"/>
      <c r="I440" s="1130"/>
      <c r="J440" s="1130"/>
      <c r="K440" s="1130"/>
      <c r="L440" s="1130"/>
      <c r="M440" s="1130"/>
      <c r="N440" s="1130"/>
      <c r="O440" s="1130"/>
      <c r="P440" s="1130"/>
      <c r="Q440" s="1130"/>
      <c r="R440" s="1130"/>
      <c r="S440" s="1130"/>
      <c r="T440" s="1130"/>
      <c r="U440" s="1130"/>
      <c r="V440" s="1130"/>
      <c r="W440" s="1130"/>
      <c r="X440" s="1130"/>
      <c r="Y440" s="1130"/>
      <c r="Z440" s="1130"/>
    </row>
    <row r="441" spans="1:26" ht="15.75" customHeight="1">
      <c r="A441" s="1129"/>
      <c r="B441" s="1130"/>
      <c r="C441" s="1130"/>
      <c r="D441" s="1130"/>
      <c r="E441" s="1130"/>
      <c r="F441" s="1130"/>
      <c r="G441" s="1130"/>
      <c r="H441" s="1130"/>
      <c r="I441" s="1130"/>
      <c r="J441" s="1130"/>
      <c r="K441" s="1130"/>
      <c r="L441" s="1130"/>
      <c r="M441" s="1130"/>
      <c r="N441" s="1130"/>
      <c r="O441" s="1130"/>
      <c r="P441" s="1130"/>
      <c r="Q441" s="1130"/>
      <c r="R441" s="1130"/>
      <c r="S441" s="1130"/>
      <c r="T441" s="1130"/>
      <c r="U441" s="1130"/>
      <c r="V441" s="1130"/>
      <c r="W441" s="1130"/>
      <c r="X441" s="1130"/>
      <c r="Y441" s="1130"/>
      <c r="Z441" s="1130"/>
    </row>
    <row r="442" spans="1:26" ht="15.75" customHeight="1">
      <c r="A442" s="1129"/>
      <c r="B442" s="1130"/>
      <c r="C442" s="1130"/>
      <c r="D442" s="1130"/>
      <c r="E442" s="1130"/>
      <c r="F442" s="1130"/>
      <c r="G442" s="1130"/>
      <c r="H442" s="1130"/>
      <c r="I442" s="1130"/>
      <c r="J442" s="1130"/>
      <c r="K442" s="1130"/>
      <c r="L442" s="1130"/>
      <c r="M442" s="1130"/>
      <c r="N442" s="1130"/>
      <c r="O442" s="1130"/>
      <c r="P442" s="1130"/>
      <c r="Q442" s="1130"/>
      <c r="R442" s="1130"/>
      <c r="S442" s="1130"/>
      <c r="T442" s="1130"/>
      <c r="U442" s="1130"/>
      <c r="V442" s="1130"/>
      <c r="W442" s="1130"/>
      <c r="X442" s="1130"/>
      <c r="Y442" s="1130"/>
      <c r="Z442" s="1130"/>
    </row>
    <row r="443" spans="1:26" ht="15.75" customHeight="1">
      <c r="A443" s="1129"/>
      <c r="B443" s="1130"/>
      <c r="C443" s="1130"/>
      <c r="D443" s="1130"/>
      <c r="E443" s="1130"/>
      <c r="F443" s="1130"/>
      <c r="G443" s="1130"/>
      <c r="H443" s="1130"/>
      <c r="I443" s="1130"/>
      <c r="J443" s="1130"/>
      <c r="K443" s="1130"/>
      <c r="L443" s="1130"/>
      <c r="M443" s="1130"/>
      <c r="N443" s="1130"/>
      <c r="O443" s="1130"/>
      <c r="P443" s="1130"/>
      <c r="Q443" s="1130"/>
      <c r="R443" s="1130"/>
      <c r="S443" s="1130"/>
      <c r="T443" s="1130"/>
      <c r="U443" s="1130"/>
      <c r="V443" s="1130"/>
      <c r="W443" s="1130"/>
      <c r="X443" s="1130"/>
      <c r="Y443" s="1130"/>
      <c r="Z443" s="1130"/>
    </row>
    <row r="444" spans="1:26" ht="15.75" customHeight="1">
      <c r="A444" s="1129"/>
      <c r="B444" s="1130"/>
      <c r="C444" s="1130"/>
      <c r="D444" s="1130"/>
      <c r="E444" s="1130"/>
      <c r="F444" s="1130"/>
      <c r="G444" s="1130"/>
      <c r="H444" s="1130"/>
      <c r="I444" s="1130"/>
      <c r="J444" s="1130"/>
      <c r="K444" s="1130"/>
      <c r="L444" s="1130"/>
      <c r="M444" s="1130"/>
      <c r="N444" s="1130"/>
      <c r="O444" s="1130"/>
      <c r="P444" s="1130"/>
      <c r="Q444" s="1130"/>
      <c r="R444" s="1130"/>
      <c r="S444" s="1130"/>
      <c r="T444" s="1130"/>
      <c r="U444" s="1130"/>
      <c r="V444" s="1130"/>
      <c r="W444" s="1130"/>
      <c r="X444" s="1130"/>
      <c r="Y444" s="1130"/>
      <c r="Z444" s="1130"/>
    </row>
    <row r="445" spans="1:26" ht="15.75" customHeight="1">
      <c r="A445" s="1129"/>
      <c r="B445" s="1130"/>
      <c r="C445" s="1130"/>
      <c r="D445" s="1130"/>
      <c r="E445" s="1130"/>
      <c r="F445" s="1130"/>
      <c r="G445" s="1130"/>
      <c r="H445" s="1130"/>
      <c r="I445" s="1130"/>
      <c r="J445" s="1130"/>
      <c r="K445" s="1130"/>
      <c r="L445" s="1130"/>
      <c r="M445" s="1130"/>
      <c r="N445" s="1130"/>
      <c r="O445" s="1130"/>
      <c r="P445" s="1130"/>
      <c r="Q445" s="1130"/>
      <c r="R445" s="1130"/>
      <c r="S445" s="1130"/>
      <c r="T445" s="1130"/>
      <c r="U445" s="1130"/>
      <c r="V445" s="1130"/>
      <c r="W445" s="1130"/>
      <c r="X445" s="1130"/>
      <c r="Y445" s="1130"/>
      <c r="Z445" s="1130"/>
    </row>
    <row r="446" spans="1:26" ht="15.75" customHeight="1">
      <c r="A446" s="1129"/>
      <c r="B446" s="1130"/>
      <c r="C446" s="1130"/>
      <c r="D446" s="1130"/>
      <c r="E446" s="1130"/>
      <c r="F446" s="1130"/>
      <c r="G446" s="1130"/>
      <c r="H446" s="1130"/>
      <c r="I446" s="1130"/>
      <c r="J446" s="1130"/>
      <c r="K446" s="1130"/>
      <c r="L446" s="1130"/>
      <c r="M446" s="1130"/>
      <c r="N446" s="1130"/>
      <c r="O446" s="1130"/>
      <c r="P446" s="1130"/>
      <c r="Q446" s="1130"/>
      <c r="R446" s="1130"/>
      <c r="S446" s="1130"/>
      <c r="T446" s="1130"/>
      <c r="U446" s="1130"/>
      <c r="V446" s="1130"/>
      <c r="W446" s="1130"/>
      <c r="X446" s="1130"/>
      <c r="Y446" s="1130"/>
      <c r="Z446" s="1130"/>
    </row>
    <row r="447" spans="1:26" ht="15.75" customHeight="1">
      <c r="A447" s="1129"/>
      <c r="B447" s="1130"/>
      <c r="C447" s="1130"/>
      <c r="D447" s="1130"/>
      <c r="E447" s="1130"/>
      <c r="F447" s="1130"/>
      <c r="G447" s="1130"/>
      <c r="H447" s="1130"/>
      <c r="I447" s="1130"/>
      <c r="J447" s="1130"/>
      <c r="K447" s="1130"/>
      <c r="L447" s="1130"/>
      <c r="M447" s="1130"/>
      <c r="N447" s="1130"/>
      <c r="O447" s="1130"/>
      <c r="P447" s="1130"/>
      <c r="Q447" s="1130"/>
      <c r="R447" s="1130"/>
      <c r="S447" s="1130"/>
      <c r="T447" s="1130"/>
      <c r="U447" s="1130"/>
      <c r="V447" s="1130"/>
      <c r="W447" s="1130"/>
      <c r="X447" s="1130"/>
      <c r="Y447" s="1130"/>
      <c r="Z447" s="1130"/>
    </row>
    <row r="448" spans="1:26" ht="15.75" customHeight="1">
      <c r="A448" s="1129"/>
      <c r="B448" s="1130"/>
      <c r="C448" s="1130"/>
      <c r="D448" s="1130"/>
      <c r="E448" s="1130"/>
      <c r="F448" s="1130"/>
      <c r="G448" s="1130"/>
      <c r="H448" s="1130"/>
      <c r="I448" s="1130"/>
      <c r="J448" s="1130"/>
      <c r="K448" s="1130"/>
      <c r="L448" s="1130"/>
      <c r="M448" s="1130"/>
      <c r="N448" s="1130"/>
      <c r="O448" s="1130"/>
      <c r="P448" s="1130"/>
      <c r="Q448" s="1130"/>
      <c r="R448" s="1130"/>
      <c r="S448" s="1130"/>
      <c r="T448" s="1130"/>
      <c r="U448" s="1130"/>
      <c r="V448" s="1130"/>
      <c r="W448" s="1130"/>
      <c r="X448" s="1130"/>
      <c r="Y448" s="1130"/>
      <c r="Z448" s="1130"/>
    </row>
    <row r="449" spans="1:26" ht="15.75" customHeight="1">
      <c r="A449" s="1129"/>
      <c r="B449" s="1130"/>
      <c r="C449" s="1130"/>
      <c r="D449" s="1130"/>
      <c r="E449" s="1130"/>
      <c r="F449" s="1130"/>
      <c r="G449" s="1130"/>
      <c r="H449" s="1130"/>
      <c r="I449" s="1130"/>
      <c r="J449" s="1130"/>
      <c r="K449" s="1130"/>
      <c r="L449" s="1130"/>
      <c r="M449" s="1130"/>
      <c r="N449" s="1130"/>
      <c r="O449" s="1130"/>
      <c r="P449" s="1130"/>
      <c r="Q449" s="1130"/>
      <c r="R449" s="1130"/>
      <c r="S449" s="1130"/>
      <c r="T449" s="1130"/>
      <c r="U449" s="1130"/>
      <c r="V449" s="1130"/>
      <c r="W449" s="1130"/>
      <c r="X449" s="1130"/>
      <c r="Y449" s="1130"/>
      <c r="Z449" s="1130"/>
    </row>
    <row r="450" spans="1:26" ht="15.75" customHeight="1">
      <c r="A450" s="1129"/>
      <c r="B450" s="1130"/>
      <c r="C450" s="1130"/>
      <c r="D450" s="1130"/>
      <c r="E450" s="1130"/>
      <c r="F450" s="1130"/>
      <c r="G450" s="1130"/>
      <c r="H450" s="1130"/>
      <c r="I450" s="1130"/>
      <c r="J450" s="1130"/>
      <c r="K450" s="1130"/>
      <c r="L450" s="1130"/>
      <c r="M450" s="1130"/>
      <c r="N450" s="1130"/>
      <c r="O450" s="1130"/>
      <c r="P450" s="1130"/>
      <c r="Q450" s="1130"/>
      <c r="R450" s="1130"/>
      <c r="S450" s="1130"/>
      <c r="T450" s="1130"/>
      <c r="U450" s="1130"/>
      <c r="V450" s="1130"/>
      <c r="W450" s="1130"/>
      <c r="X450" s="1130"/>
      <c r="Y450" s="1130"/>
      <c r="Z450" s="1130"/>
    </row>
    <row r="451" spans="1:26" ht="15.75" customHeight="1">
      <c r="A451" s="1129"/>
      <c r="B451" s="1130"/>
      <c r="C451" s="1130"/>
      <c r="D451" s="1130"/>
      <c r="E451" s="1130"/>
      <c r="F451" s="1130"/>
      <c r="G451" s="1130"/>
      <c r="H451" s="1130"/>
      <c r="I451" s="1130"/>
      <c r="J451" s="1130"/>
      <c r="K451" s="1130"/>
      <c r="L451" s="1130"/>
      <c r="M451" s="1130"/>
      <c r="N451" s="1130"/>
      <c r="O451" s="1130"/>
      <c r="P451" s="1130"/>
      <c r="Q451" s="1130"/>
      <c r="R451" s="1130"/>
      <c r="S451" s="1130"/>
      <c r="T451" s="1130"/>
      <c r="U451" s="1130"/>
      <c r="V451" s="1130"/>
      <c r="W451" s="1130"/>
      <c r="X451" s="1130"/>
      <c r="Y451" s="1130"/>
      <c r="Z451" s="1130"/>
    </row>
    <row r="452" spans="1:26" ht="15.75" customHeight="1">
      <c r="A452" s="1129"/>
      <c r="B452" s="1130"/>
      <c r="C452" s="1130"/>
      <c r="D452" s="1130"/>
      <c r="E452" s="1130"/>
      <c r="F452" s="1130"/>
      <c r="G452" s="1130"/>
      <c r="H452" s="1130"/>
      <c r="I452" s="1130"/>
      <c r="J452" s="1130"/>
      <c r="K452" s="1130"/>
      <c r="L452" s="1130"/>
      <c r="M452" s="1130"/>
      <c r="N452" s="1130"/>
      <c r="O452" s="1130"/>
      <c r="P452" s="1130"/>
      <c r="Q452" s="1130"/>
      <c r="R452" s="1130"/>
      <c r="S452" s="1130"/>
      <c r="T452" s="1130"/>
      <c r="U452" s="1130"/>
      <c r="V452" s="1130"/>
      <c r="W452" s="1130"/>
      <c r="X452" s="1130"/>
      <c r="Y452" s="1130"/>
      <c r="Z452" s="1130"/>
    </row>
    <row r="453" spans="1:26" ht="15.75" customHeight="1">
      <c r="A453" s="1129"/>
      <c r="B453" s="1130"/>
      <c r="C453" s="1130"/>
      <c r="D453" s="1130"/>
      <c r="E453" s="1130"/>
      <c r="F453" s="1130"/>
      <c r="G453" s="1130"/>
      <c r="H453" s="1130"/>
      <c r="I453" s="1130"/>
      <c r="J453" s="1130"/>
      <c r="K453" s="1130"/>
      <c r="L453" s="1130"/>
      <c r="M453" s="1130"/>
      <c r="N453" s="1130"/>
      <c r="O453" s="1130"/>
      <c r="P453" s="1130"/>
      <c r="Q453" s="1130"/>
      <c r="R453" s="1130"/>
      <c r="S453" s="1130"/>
      <c r="T453" s="1130"/>
      <c r="U453" s="1130"/>
      <c r="V453" s="1130"/>
      <c r="W453" s="1130"/>
      <c r="X453" s="1130"/>
      <c r="Y453" s="1130"/>
      <c r="Z453" s="1130"/>
    </row>
    <row r="454" spans="1:26" ht="15.75" customHeight="1">
      <c r="A454" s="1129"/>
      <c r="B454" s="1130"/>
      <c r="C454" s="1130"/>
      <c r="D454" s="1130"/>
      <c r="E454" s="1130"/>
      <c r="F454" s="1130"/>
      <c r="G454" s="1130"/>
      <c r="H454" s="1130"/>
      <c r="I454" s="1130"/>
      <c r="J454" s="1130"/>
      <c r="K454" s="1130"/>
      <c r="L454" s="1130"/>
      <c r="M454" s="1130"/>
      <c r="N454" s="1130"/>
      <c r="O454" s="1130"/>
      <c r="P454" s="1130"/>
      <c r="Q454" s="1130"/>
      <c r="R454" s="1130"/>
      <c r="S454" s="1130"/>
      <c r="T454" s="1130"/>
      <c r="U454" s="1130"/>
      <c r="V454" s="1130"/>
      <c r="W454" s="1130"/>
      <c r="X454" s="1130"/>
      <c r="Y454" s="1130"/>
      <c r="Z454" s="1130"/>
    </row>
    <row r="455" spans="1:26" ht="15.75" customHeight="1">
      <c r="A455" s="1129"/>
      <c r="B455" s="1130"/>
      <c r="C455" s="1130"/>
      <c r="D455" s="1130"/>
      <c r="E455" s="1130"/>
      <c r="F455" s="1130"/>
      <c r="G455" s="1130"/>
      <c r="H455" s="1130"/>
      <c r="I455" s="1130"/>
      <c r="J455" s="1130"/>
      <c r="K455" s="1130"/>
      <c r="L455" s="1130"/>
      <c r="M455" s="1130"/>
      <c r="N455" s="1130"/>
      <c r="O455" s="1130"/>
      <c r="P455" s="1130"/>
      <c r="Q455" s="1130"/>
      <c r="R455" s="1130"/>
      <c r="S455" s="1130"/>
      <c r="T455" s="1130"/>
      <c r="U455" s="1130"/>
      <c r="V455" s="1130"/>
      <c r="W455" s="1130"/>
      <c r="X455" s="1130"/>
      <c r="Y455" s="1130"/>
      <c r="Z455" s="1130"/>
    </row>
    <row r="456" spans="1:26" ht="15.75" customHeight="1">
      <c r="A456" s="1129"/>
      <c r="B456" s="1130"/>
      <c r="C456" s="1130"/>
      <c r="D456" s="1130"/>
      <c r="E456" s="1130"/>
      <c r="F456" s="1130"/>
      <c r="G456" s="1130"/>
      <c r="H456" s="1130"/>
      <c r="I456" s="1130"/>
      <c r="J456" s="1130"/>
      <c r="K456" s="1130"/>
      <c r="L456" s="1130"/>
      <c r="M456" s="1130"/>
      <c r="N456" s="1130"/>
      <c r="O456" s="1130"/>
      <c r="P456" s="1130"/>
      <c r="Q456" s="1130"/>
      <c r="R456" s="1130"/>
      <c r="S456" s="1130"/>
      <c r="T456" s="1130"/>
      <c r="U456" s="1130"/>
      <c r="V456" s="1130"/>
      <c r="W456" s="1130"/>
      <c r="X456" s="1130"/>
      <c r="Y456" s="1130"/>
      <c r="Z456" s="1130"/>
    </row>
    <row r="457" spans="1:26" ht="15.75" customHeight="1">
      <c r="A457" s="1129"/>
      <c r="B457" s="1130"/>
      <c r="C457" s="1130"/>
      <c r="D457" s="1130"/>
      <c r="E457" s="1130"/>
      <c r="F457" s="1130"/>
      <c r="G457" s="1130"/>
      <c r="H457" s="1130"/>
      <c r="I457" s="1130"/>
      <c r="J457" s="1130"/>
      <c r="K457" s="1130"/>
      <c r="L457" s="1130"/>
      <c r="M457" s="1130"/>
      <c r="N457" s="1130"/>
      <c r="O457" s="1130"/>
      <c r="P457" s="1130"/>
      <c r="Q457" s="1130"/>
      <c r="R457" s="1130"/>
      <c r="S457" s="1130"/>
      <c r="T457" s="1130"/>
      <c r="U457" s="1130"/>
      <c r="V457" s="1130"/>
      <c r="W457" s="1130"/>
      <c r="X457" s="1130"/>
      <c r="Y457" s="1130"/>
      <c r="Z457" s="1130"/>
    </row>
    <row r="458" spans="1:26" ht="15.75" customHeight="1">
      <c r="A458" s="1129"/>
      <c r="B458" s="1130"/>
      <c r="C458" s="1130"/>
      <c r="D458" s="1130"/>
      <c r="E458" s="1130"/>
      <c r="F458" s="1130"/>
      <c r="G458" s="1130"/>
      <c r="H458" s="1130"/>
      <c r="I458" s="1130"/>
      <c r="J458" s="1130"/>
      <c r="K458" s="1130"/>
      <c r="L458" s="1130"/>
      <c r="M458" s="1130"/>
      <c r="N458" s="1130"/>
      <c r="O458" s="1130"/>
      <c r="P458" s="1130"/>
      <c r="Q458" s="1130"/>
      <c r="R458" s="1130"/>
      <c r="S458" s="1130"/>
      <c r="T458" s="1130"/>
      <c r="U458" s="1130"/>
      <c r="V458" s="1130"/>
      <c r="W458" s="1130"/>
      <c r="X458" s="1130"/>
      <c r="Y458" s="1130"/>
      <c r="Z458" s="1130"/>
    </row>
    <row r="459" spans="1:26" ht="15.75" customHeight="1">
      <c r="A459" s="1129"/>
      <c r="B459" s="1130"/>
      <c r="C459" s="1130"/>
      <c r="D459" s="1130"/>
      <c r="E459" s="1130"/>
      <c r="F459" s="1130"/>
      <c r="G459" s="1130"/>
      <c r="H459" s="1130"/>
      <c r="I459" s="1130"/>
      <c r="J459" s="1130"/>
      <c r="K459" s="1130"/>
      <c r="L459" s="1130"/>
      <c r="M459" s="1130"/>
      <c r="N459" s="1130"/>
      <c r="O459" s="1130"/>
      <c r="P459" s="1130"/>
      <c r="Q459" s="1130"/>
      <c r="R459" s="1130"/>
      <c r="S459" s="1130"/>
      <c r="T459" s="1130"/>
      <c r="U459" s="1130"/>
      <c r="V459" s="1130"/>
      <c r="W459" s="1130"/>
      <c r="X459" s="1130"/>
      <c r="Y459" s="1130"/>
      <c r="Z459" s="1130"/>
    </row>
    <row r="460" spans="1:26" ht="15.75" customHeight="1">
      <c r="A460" s="1129"/>
      <c r="B460" s="1130"/>
      <c r="C460" s="1130"/>
      <c r="D460" s="1130"/>
      <c r="E460" s="1130"/>
      <c r="F460" s="1130"/>
      <c r="G460" s="1130"/>
      <c r="H460" s="1130"/>
      <c r="I460" s="1130"/>
      <c r="J460" s="1130"/>
      <c r="K460" s="1130"/>
      <c r="L460" s="1130"/>
      <c r="M460" s="1130"/>
      <c r="N460" s="1130"/>
      <c r="O460" s="1130"/>
      <c r="P460" s="1130"/>
      <c r="Q460" s="1130"/>
      <c r="R460" s="1130"/>
      <c r="S460" s="1130"/>
      <c r="T460" s="1130"/>
      <c r="U460" s="1130"/>
      <c r="V460" s="1130"/>
      <c r="W460" s="1130"/>
      <c r="X460" s="1130"/>
      <c r="Y460" s="1130"/>
      <c r="Z460" s="1130"/>
    </row>
    <row r="461" spans="1:26" ht="15.75" customHeight="1">
      <c r="A461" s="1129"/>
      <c r="B461" s="1130"/>
      <c r="C461" s="1130"/>
      <c r="D461" s="1130"/>
      <c r="E461" s="1130"/>
      <c r="F461" s="1130"/>
      <c r="G461" s="1130"/>
      <c r="H461" s="1130"/>
      <c r="I461" s="1130"/>
      <c r="J461" s="1130"/>
      <c r="K461" s="1130"/>
      <c r="L461" s="1130"/>
      <c r="M461" s="1130"/>
      <c r="N461" s="1130"/>
      <c r="O461" s="1130"/>
      <c r="P461" s="1130"/>
      <c r="Q461" s="1130"/>
      <c r="R461" s="1130"/>
      <c r="S461" s="1130"/>
      <c r="T461" s="1130"/>
      <c r="U461" s="1130"/>
      <c r="V461" s="1130"/>
      <c r="W461" s="1130"/>
      <c r="X461" s="1130"/>
      <c r="Y461" s="1130"/>
      <c r="Z461" s="1130"/>
    </row>
    <row r="462" spans="1:26" ht="15.75" customHeight="1">
      <c r="A462" s="1129"/>
      <c r="B462" s="1130"/>
      <c r="C462" s="1130"/>
      <c r="D462" s="1130"/>
      <c r="E462" s="1130"/>
      <c r="F462" s="1130"/>
      <c r="G462" s="1130"/>
      <c r="H462" s="1130"/>
      <c r="I462" s="1130"/>
      <c r="J462" s="1130"/>
      <c r="K462" s="1130"/>
      <c r="L462" s="1130"/>
      <c r="M462" s="1130"/>
      <c r="N462" s="1130"/>
      <c r="O462" s="1130"/>
      <c r="P462" s="1130"/>
      <c r="Q462" s="1130"/>
      <c r="R462" s="1130"/>
      <c r="S462" s="1130"/>
      <c r="T462" s="1130"/>
      <c r="U462" s="1130"/>
      <c r="V462" s="1130"/>
      <c r="W462" s="1130"/>
      <c r="X462" s="1130"/>
      <c r="Y462" s="1130"/>
      <c r="Z462" s="1130"/>
    </row>
    <row r="463" spans="1:26" ht="15.75" customHeight="1">
      <c r="A463" s="1129"/>
      <c r="B463" s="1130"/>
      <c r="C463" s="1130"/>
      <c r="D463" s="1130"/>
      <c r="E463" s="1130"/>
      <c r="F463" s="1130"/>
      <c r="G463" s="1130"/>
      <c r="H463" s="1130"/>
      <c r="I463" s="1130"/>
      <c r="J463" s="1130"/>
      <c r="K463" s="1130"/>
      <c r="L463" s="1130"/>
      <c r="M463" s="1130"/>
      <c r="N463" s="1130"/>
      <c r="O463" s="1130"/>
      <c r="P463" s="1130"/>
      <c r="Q463" s="1130"/>
      <c r="R463" s="1130"/>
      <c r="S463" s="1130"/>
      <c r="T463" s="1130"/>
      <c r="U463" s="1130"/>
      <c r="V463" s="1130"/>
      <c r="W463" s="1130"/>
      <c r="X463" s="1130"/>
      <c r="Y463" s="1130"/>
      <c r="Z463" s="1130"/>
    </row>
    <row r="464" spans="1:26" ht="15.75" customHeight="1">
      <c r="A464" s="1129"/>
      <c r="B464" s="1130"/>
      <c r="C464" s="1130"/>
      <c r="D464" s="1130"/>
      <c r="E464" s="1130"/>
      <c r="F464" s="1130"/>
      <c r="G464" s="1130"/>
      <c r="H464" s="1130"/>
      <c r="I464" s="1130"/>
      <c r="J464" s="1130"/>
      <c r="K464" s="1130"/>
      <c r="L464" s="1130"/>
      <c r="M464" s="1130"/>
      <c r="N464" s="1130"/>
      <c r="O464" s="1130"/>
      <c r="P464" s="1130"/>
      <c r="Q464" s="1130"/>
      <c r="R464" s="1130"/>
      <c r="S464" s="1130"/>
      <c r="T464" s="1130"/>
      <c r="U464" s="1130"/>
      <c r="V464" s="1130"/>
      <c r="W464" s="1130"/>
      <c r="X464" s="1130"/>
      <c r="Y464" s="1130"/>
      <c r="Z464" s="1130"/>
    </row>
    <row r="465" spans="1:26" ht="15.75" customHeight="1">
      <c r="A465" s="1129"/>
      <c r="B465" s="1130"/>
      <c r="C465" s="1130"/>
      <c r="D465" s="1130"/>
      <c r="E465" s="1130"/>
      <c r="F465" s="1130"/>
      <c r="G465" s="1130"/>
      <c r="H465" s="1130"/>
      <c r="I465" s="1130"/>
      <c r="J465" s="1130"/>
      <c r="K465" s="1130"/>
      <c r="L465" s="1130"/>
      <c r="M465" s="1130"/>
      <c r="N465" s="1130"/>
      <c r="O465" s="1130"/>
      <c r="P465" s="1130"/>
      <c r="Q465" s="1130"/>
      <c r="R465" s="1130"/>
      <c r="S465" s="1130"/>
      <c r="T465" s="1130"/>
      <c r="U465" s="1130"/>
      <c r="V465" s="1130"/>
      <c r="W465" s="1130"/>
      <c r="X465" s="1130"/>
      <c r="Y465" s="1130"/>
      <c r="Z465" s="1130"/>
    </row>
    <row r="466" spans="1:26" ht="15.75" customHeight="1">
      <c r="A466" s="1129"/>
      <c r="B466" s="1130"/>
      <c r="C466" s="1130"/>
      <c r="D466" s="1130"/>
      <c r="E466" s="1130"/>
      <c r="F466" s="1130"/>
      <c r="G466" s="1130"/>
      <c r="H466" s="1130"/>
      <c r="I466" s="1130"/>
      <c r="J466" s="1130"/>
      <c r="K466" s="1130"/>
      <c r="L466" s="1130"/>
      <c r="M466" s="1130"/>
      <c r="N466" s="1130"/>
      <c r="O466" s="1130"/>
      <c r="P466" s="1130"/>
      <c r="Q466" s="1130"/>
      <c r="R466" s="1130"/>
      <c r="S466" s="1130"/>
      <c r="T466" s="1130"/>
      <c r="U466" s="1130"/>
      <c r="V466" s="1130"/>
      <c r="W466" s="1130"/>
      <c r="X466" s="1130"/>
      <c r="Y466" s="1130"/>
      <c r="Z466" s="1130"/>
    </row>
    <row r="467" spans="1:26" ht="15.75" customHeight="1">
      <c r="A467" s="1129"/>
      <c r="B467" s="1130"/>
      <c r="C467" s="1130"/>
      <c r="D467" s="1130"/>
      <c r="E467" s="1130"/>
      <c r="F467" s="1130"/>
      <c r="G467" s="1130"/>
      <c r="H467" s="1130"/>
      <c r="I467" s="1130"/>
      <c r="J467" s="1130"/>
      <c r="K467" s="1130"/>
      <c r="L467" s="1130"/>
      <c r="M467" s="1130"/>
      <c r="N467" s="1130"/>
      <c r="O467" s="1130"/>
      <c r="P467" s="1130"/>
      <c r="Q467" s="1130"/>
      <c r="R467" s="1130"/>
      <c r="S467" s="1130"/>
      <c r="T467" s="1130"/>
      <c r="U467" s="1130"/>
      <c r="V467" s="1130"/>
      <c r="W467" s="1130"/>
      <c r="X467" s="1130"/>
      <c r="Y467" s="1130"/>
      <c r="Z467" s="1130"/>
    </row>
    <row r="468" spans="1:26" ht="15.75" customHeight="1">
      <c r="A468" s="1129"/>
      <c r="B468" s="1130"/>
      <c r="C468" s="1130"/>
      <c r="D468" s="1130"/>
      <c r="E468" s="1130"/>
      <c r="F468" s="1130"/>
      <c r="G468" s="1130"/>
      <c r="H468" s="1130"/>
      <c r="I468" s="1130"/>
      <c r="J468" s="1130"/>
      <c r="K468" s="1130"/>
      <c r="L468" s="1130"/>
      <c r="M468" s="1130"/>
      <c r="N468" s="1130"/>
      <c r="O468" s="1130"/>
      <c r="P468" s="1130"/>
      <c r="Q468" s="1130"/>
      <c r="R468" s="1130"/>
      <c r="S468" s="1130"/>
      <c r="T468" s="1130"/>
      <c r="U468" s="1130"/>
      <c r="V468" s="1130"/>
      <c r="W468" s="1130"/>
      <c r="X468" s="1130"/>
      <c r="Y468" s="1130"/>
      <c r="Z468" s="1130"/>
    </row>
    <row r="469" spans="1:26" ht="15.75" customHeight="1">
      <c r="A469" s="1129"/>
      <c r="B469" s="1130"/>
      <c r="C469" s="1130"/>
      <c r="D469" s="1130"/>
      <c r="E469" s="1130"/>
      <c r="F469" s="1130"/>
      <c r="G469" s="1130"/>
      <c r="H469" s="1130"/>
      <c r="I469" s="1130"/>
      <c r="J469" s="1130"/>
      <c r="K469" s="1130"/>
      <c r="L469" s="1130"/>
      <c r="M469" s="1130"/>
      <c r="N469" s="1130"/>
      <c r="O469" s="1130"/>
      <c r="P469" s="1130"/>
      <c r="Q469" s="1130"/>
      <c r="R469" s="1130"/>
      <c r="S469" s="1130"/>
      <c r="T469" s="1130"/>
      <c r="U469" s="1130"/>
      <c r="V469" s="1130"/>
      <c r="W469" s="1130"/>
      <c r="X469" s="1130"/>
      <c r="Y469" s="1130"/>
      <c r="Z469" s="1130"/>
    </row>
    <row r="470" spans="1:26" ht="15.75" customHeight="1">
      <c r="A470" s="1129"/>
      <c r="B470" s="1130"/>
      <c r="C470" s="1130"/>
      <c r="D470" s="1130"/>
      <c r="E470" s="1130"/>
      <c r="F470" s="1130"/>
      <c r="G470" s="1130"/>
      <c r="H470" s="1130"/>
      <c r="I470" s="1130"/>
      <c r="J470" s="1130"/>
      <c r="K470" s="1130"/>
      <c r="L470" s="1130"/>
      <c r="M470" s="1130"/>
      <c r="N470" s="1130"/>
      <c r="O470" s="1130"/>
      <c r="P470" s="1130"/>
      <c r="Q470" s="1130"/>
      <c r="R470" s="1130"/>
      <c r="S470" s="1130"/>
      <c r="T470" s="1130"/>
      <c r="U470" s="1130"/>
      <c r="V470" s="1130"/>
      <c r="W470" s="1130"/>
      <c r="X470" s="1130"/>
      <c r="Y470" s="1130"/>
      <c r="Z470" s="1130"/>
    </row>
    <row r="471" spans="1:26" ht="15.75" customHeight="1">
      <c r="A471" s="1129"/>
      <c r="B471" s="1130"/>
      <c r="C471" s="1130"/>
      <c r="D471" s="1130"/>
      <c r="E471" s="1130"/>
      <c r="F471" s="1130"/>
      <c r="G471" s="1130"/>
      <c r="H471" s="1130"/>
      <c r="I471" s="1130"/>
      <c r="J471" s="1130"/>
      <c r="K471" s="1130"/>
      <c r="L471" s="1130"/>
      <c r="M471" s="1130"/>
      <c r="N471" s="1130"/>
      <c r="O471" s="1130"/>
      <c r="P471" s="1130"/>
      <c r="Q471" s="1130"/>
      <c r="R471" s="1130"/>
      <c r="S471" s="1130"/>
      <c r="T471" s="1130"/>
      <c r="U471" s="1130"/>
      <c r="V471" s="1130"/>
      <c r="W471" s="1130"/>
      <c r="X471" s="1130"/>
      <c r="Y471" s="1130"/>
      <c r="Z471" s="1130"/>
    </row>
    <row r="472" spans="1:26" ht="15.75" customHeight="1">
      <c r="A472" s="1129"/>
      <c r="B472" s="1130"/>
      <c r="C472" s="1130"/>
      <c r="D472" s="1130"/>
      <c r="E472" s="1130"/>
      <c r="F472" s="1130"/>
      <c r="G472" s="1130"/>
      <c r="H472" s="1130"/>
      <c r="I472" s="1130"/>
      <c r="J472" s="1130"/>
      <c r="K472" s="1130"/>
      <c r="L472" s="1130"/>
      <c r="M472" s="1130"/>
      <c r="N472" s="1130"/>
      <c r="O472" s="1130"/>
      <c r="P472" s="1130"/>
      <c r="Q472" s="1130"/>
      <c r="R472" s="1130"/>
      <c r="S472" s="1130"/>
      <c r="T472" s="1130"/>
      <c r="U472" s="1130"/>
      <c r="V472" s="1130"/>
      <c r="W472" s="1130"/>
      <c r="X472" s="1130"/>
      <c r="Y472" s="1130"/>
      <c r="Z472" s="1130"/>
    </row>
    <row r="473" spans="1:26" ht="15.75" customHeight="1">
      <c r="A473" s="1129"/>
      <c r="B473" s="1130"/>
      <c r="C473" s="1130"/>
      <c r="D473" s="1130"/>
      <c r="E473" s="1130"/>
      <c r="F473" s="1130"/>
      <c r="G473" s="1130"/>
      <c r="H473" s="1130"/>
      <c r="I473" s="1130"/>
      <c r="J473" s="1130"/>
      <c r="K473" s="1130"/>
      <c r="L473" s="1130"/>
      <c r="M473" s="1130"/>
      <c r="N473" s="1130"/>
      <c r="O473" s="1130"/>
      <c r="P473" s="1130"/>
      <c r="Q473" s="1130"/>
      <c r="R473" s="1130"/>
      <c r="S473" s="1130"/>
      <c r="T473" s="1130"/>
      <c r="U473" s="1130"/>
      <c r="V473" s="1130"/>
      <c r="W473" s="1130"/>
      <c r="X473" s="1130"/>
      <c r="Y473" s="1130"/>
      <c r="Z473" s="1130"/>
    </row>
    <row r="474" spans="1:26" ht="15.75" customHeight="1">
      <c r="A474" s="1129"/>
      <c r="B474" s="1130"/>
      <c r="C474" s="1130"/>
      <c r="D474" s="1130"/>
      <c r="E474" s="1130"/>
      <c r="F474" s="1130"/>
      <c r="G474" s="1130"/>
      <c r="H474" s="1130"/>
      <c r="I474" s="1130"/>
      <c r="J474" s="1130"/>
      <c r="K474" s="1130"/>
      <c r="L474" s="1130"/>
      <c r="M474" s="1130"/>
      <c r="N474" s="1130"/>
      <c r="O474" s="1130"/>
      <c r="P474" s="1130"/>
      <c r="Q474" s="1130"/>
      <c r="R474" s="1130"/>
      <c r="S474" s="1130"/>
      <c r="T474" s="1130"/>
      <c r="U474" s="1130"/>
      <c r="V474" s="1130"/>
      <c r="W474" s="1130"/>
      <c r="X474" s="1130"/>
      <c r="Y474" s="1130"/>
      <c r="Z474" s="1130"/>
    </row>
    <row r="475" spans="1:26" ht="15.75" customHeight="1">
      <c r="A475" s="1129"/>
      <c r="B475" s="1130"/>
      <c r="C475" s="1130"/>
      <c r="D475" s="1130"/>
      <c r="E475" s="1130"/>
      <c r="F475" s="1130"/>
      <c r="G475" s="1130"/>
      <c r="H475" s="1130"/>
      <c r="I475" s="1130"/>
      <c r="J475" s="1130"/>
      <c r="K475" s="1130"/>
      <c r="L475" s="1130"/>
      <c r="M475" s="1130"/>
      <c r="N475" s="1130"/>
      <c r="O475" s="1130"/>
      <c r="P475" s="1130"/>
      <c r="Q475" s="1130"/>
      <c r="R475" s="1130"/>
      <c r="S475" s="1130"/>
      <c r="T475" s="1130"/>
      <c r="U475" s="1130"/>
      <c r="V475" s="1130"/>
      <c r="W475" s="1130"/>
      <c r="X475" s="1130"/>
      <c r="Y475" s="1130"/>
      <c r="Z475" s="1130"/>
    </row>
    <row r="476" spans="1:26" ht="15.75" customHeight="1">
      <c r="A476" s="1129"/>
      <c r="B476" s="1130"/>
      <c r="C476" s="1130"/>
      <c r="D476" s="1130"/>
      <c r="E476" s="1130"/>
      <c r="F476" s="1130"/>
      <c r="G476" s="1130"/>
      <c r="H476" s="1130"/>
      <c r="I476" s="1130"/>
      <c r="J476" s="1130"/>
      <c r="K476" s="1130"/>
      <c r="L476" s="1130"/>
      <c r="M476" s="1130"/>
      <c r="N476" s="1130"/>
      <c r="O476" s="1130"/>
      <c r="P476" s="1130"/>
      <c r="Q476" s="1130"/>
      <c r="R476" s="1130"/>
      <c r="S476" s="1130"/>
      <c r="T476" s="1130"/>
      <c r="U476" s="1130"/>
      <c r="V476" s="1130"/>
      <c r="W476" s="1130"/>
      <c r="X476" s="1130"/>
      <c r="Y476" s="1130"/>
      <c r="Z476" s="1130"/>
    </row>
    <row r="477" spans="1:26" ht="15.75" customHeight="1">
      <c r="A477" s="1129"/>
      <c r="B477" s="1130"/>
      <c r="C477" s="1130"/>
      <c r="D477" s="1130"/>
      <c r="E477" s="1130"/>
      <c r="F477" s="1130"/>
      <c r="G477" s="1130"/>
      <c r="H477" s="1130"/>
      <c r="I477" s="1130"/>
      <c r="J477" s="1130"/>
      <c r="K477" s="1130"/>
      <c r="L477" s="1130"/>
      <c r="M477" s="1130"/>
      <c r="N477" s="1130"/>
      <c r="O477" s="1130"/>
      <c r="P477" s="1130"/>
      <c r="Q477" s="1130"/>
      <c r="R477" s="1130"/>
      <c r="S477" s="1130"/>
      <c r="T477" s="1130"/>
      <c r="U477" s="1130"/>
      <c r="V477" s="1130"/>
      <c r="W477" s="1130"/>
      <c r="X477" s="1130"/>
      <c r="Y477" s="1130"/>
      <c r="Z477" s="1130"/>
    </row>
    <row r="478" spans="1:26" ht="15.75" customHeight="1">
      <c r="A478" s="1129"/>
      <c r="B478" s="1130"/>
      <c r="C478" s="1130"/>
      <c r="D478" s="1130"/>
      <c r="E478" s="1130"/>
      <c r="F478" s="1130"/>
      <c r="G478" s="1130"/>
      <c r="H478" s="1130"/>
      <c r="I478" s="1130"/>
      <c r="J478" s="1130"/>
      <c r="K478" s="1130"/>
      <c r="L478" s="1130"/>
      <c r="M478" s="1130"/>
      <c r="N478" s="1130"/>
      <c r="O478" s="1130"/>
      <c r="P478" s="1130"/>
      <c r="Q478" s="1130"/>
      <c r="R478" s="1130"/>
      <c r="S478" s="1130"/>
      <c r="T478" s="1130"/>
      <c r="U478" s="1130"/>
      <c r="V478" s="1130"/>
      <c r="W478" s="1130"/>
      <c r="X478" s="1130"/>
      <c r="Y478" s="1130"/>
      <c r="Z478" s="1130"/>
    </row>
    <row r="479" spans="1:26" ht="15.75" customHeight="1">
      <c r="A479" s="1129"/>
      <c r="B479" s="1130"/>
      <c r="C479" s="1130"/>
      <c r="D479" s="1130"/>
      <c r="E479" s="1130"/>
      <c r="F479" s="1130"/>
      <c r="G479" s="1130"/>
      <c r="H479" s="1130"/>
      <c r="I479" s="1130"/>
      <c r="J479" s="1130"/>
      <c r="K479" s="1130"/>
      <c r="L479" s="1130"/>
      <c r="M479" s="1130"/>
      <c r="N479" s="1130"/>
      <c r="O479" s="1130"/>
      <c r="P479" s="1130"/>
      <c r="Q479" s="1130"/>
      <c r="R479" s="1130"/>
      <c r="S479" s="1130"/>
      <c r="T479" s="1130"/>
      <c r="U479" s="1130"/>
      <c r="V479" s="1130"/>
      <c r="W479" s="1130"/>
      <c r="X479" s="1130"/>
      <c r="Y479" s="1130"/>
      <c r="Z479" s="1130"/>
    </row>
    <row r="480" spans="1:26" ht="15.75" customHeight="1">
      <c r="A480" s="1129"/>
      <c r="B480" s="1130"/>
      <c r="C480" s="1130"/>
      <c r="D480" s="1130"/>
      <c r="E480" s="1130"/>
      <c r="F480" s="1130"/>
      <c r="G480" s="1130"/>
      <c r="H480" s="1130"/>
      <c r="I480" s="1130"/>
      <c r="J480" s="1130"/>
      <c r="K480" s="1130"/>
      <c r="L480" s="1130"/>
      <c r="M480" s="1130"/>
      <c r="N480" s="1130"/>
      <c r="O480" s="1130"/>
      <c r="P480" s="1130"/>
      <c r="Q480" s="1130"/>
      <c r="R480" s="1130"/>
      <c r="S480" s="1130"/>
      <c r="T480" s="1130"/>
      <c r="U480" s="1130"/>
      <c r="V480" s="1130"/>
      <c r="W480" s="1130"/>
      <c r="X480" s="1130"/>
      <c r="Y480" s="1130"/>
      <c r="Z480" s="1130"/>
    </row>
    <row r="481" spans="1:26" ht="15.75" customHeight="1">
      <c r="A481" s="1129"/>
      <c r="B481" s="1130"/>
      <c r="C481" s="1130"/>
      <c r="D481" s="1130"/>
      <c r="E481" s="1130"/>
      <c r="F481" s="1130"/>
      <c r="G481" s="1130"/>
      <c r="H481" s="1130"/>
      <c r="I481" s="1130"/>
      <c r="J481" s="1130"/>
      <c r="K481" s="1130"/>
      <c r="L481" s="1130"/>
      <c r="M481" s="1130"/>
      <c r="N481" s="1130"/>
      <c r="O481" s="1130"/>
      <c r="P481" s="1130"/>
      <c r="Q481" s="1130"/>
      <c r="R481" s="1130"/>
      <c r="S481" s="1130"/>
      <c r="T481" s="1130"/>
      <c r="U481" s="1130"/>
      <c r="V481" s="1130"/>
      <c r="W481" s="1130"/>
      <c r="X481" s="1130"/>
      <c r="Y481" s="1130"/>
      <c r="Z481" s="1130"/>
    </row>
    <row r="482" spans="1:26" ht="15.75" customHeight="1">
      <c r="A482" s="1129"/>
      <c r="B482" s="1130"/>
      <c r="C482" s="1130"/>
      <c r="D482" s="1130"/>
      <c r="E482" s="1130"/>
      <c r="F482" s="1130"/>
      <c r="G482" s="1130"/>
      <c r="H482" s="1130"/>
      <c r="I482" s="1130"/>
      <c r="J482" s="1130"/>
      <c r="K482" s="1130"/>
      <c r="L482" s="1130"/>
      <c r="M482" s="1130"/>
      <c r="N482" s="1130"/>
      <c r="O482" s="1130"/>
      <c r="P482" s="1130"/>
      <c r="Q482" s="1130"/>
      <c r="R482" s="1130"/>
      <c r="S482" s="1130"/>
      <c r="T482" s="1130"/>
      <c r="U482" s="1130"/>
      <c r="V482" s="1130"/>
      <c r="W482" s="1130"/>
      <c r="X482" s="1130"/>
      <c r="Y482" s="1130"/>
      <c r="Z482" s="1130"/>
    </row>
    <row r="483" spans="1:26" ht="15.75" customHeight="1">
      <c r="A483" s="1129"/>
      <c r="B483" s="1130"/>
      <c r="C483" s="1130"/>
      <c r="D483" s="1130"/>
      <c r="E483" s="1130"/>
      <c r="F483" s="1130"/>
      <c r="G483" s="1130"/>
      <c r="H483" s="1130"/>
      <c r="I483" s="1130"/>
      <c r="J483" s="1130"/>
      <c r="K483" s="1130"/>
      <c r="L483" s="1130"/>
      <c r="M483" s="1130"/>
      <c r="N483" s="1130"/>
      <c r="O483" s="1130"/>
      <c r="P483" s="1130"/>
      <c r="Q483" s="1130"/>
      <c r="R483" s="1130"/>
      <c r="S483" s="1130"/>
      <c r="T483" s="1130"/>
      <c r="U483" s="1130"/>
      <c r="V483" s="1130"/>
      <c r="W483" s="1130"/>
      <c r="X483" s="1130"/>
      <c r="Y483" s="1130"/>
      <c r="Z483" s="1130"/>
    </row>
    <row r="484" spans="1:26" ht="15.75" customHeight="1">
      <c r="A484" s="1129"/>
      <c r="B484" s="1130"/>
      <c r="C484" s="1130"/>
      <c r="D484" s="1130"/>
      <c r="E484" s="1130"/>
      <c r="F484" s="1130"/>
      <c r="G484" s="1130"/>
      <c r="H484" s="1130"/>
      <c r="I484" s="1130"/>
      <c r="J484" s="1130"/>
      <c r="K484" s="1130"/>
      <c r="L484" s="1130"/>
      <c r="M484" s="1130"/>
      <c r="N484" s="1130"/>
      <c r="O484" s="1130"/>
      <c r="P484" s="1130"/>
      <c r="Q484" s="1130"/>
      <c r="R484" s="1130"/>
      <c r="S484" s="1130"/>
      <c r="T484" s="1130"/>
      <c r="U484" s="1130"/>
      <c r="V484" s="1130"/>
      <c r="W484" s="1130"/>
      <c r="X484" s="1130"/>
      <c r="Y484" s="1130"/>
      <c r="Z484" s="1130"/>
    </row>
    <row r="485" spans="1:26" ht="15.75" customHeight="1">
      <c r="A485" s="1129"/>
      <c r="B485" s="1130"/>
      <c r="C485" s="1130"/>
      <c r="D485" s="1130"/>
      <c r="E485" s="1130"/>
      <c r="F485" s="1130"/>
      <c r="G485" s="1130"/>
      <c r="H485" s="1130"/>
      <c r="I485" s="1130"/>
      <c r="J485" s="1130"/>
      <c r="K485" s="1130"/>
      <c r="L485" s="1130"/>
      <c r="M485" s="1130"/>
      <c r="N485" s="1130"/>
      <c r="O485" s="1130"/>
      <c r="P485" s="1130"/>
      <c r="Q485" s="1130"/>
      <c r="R485" s="1130"/>
      <c r="S485" s="1130"/>
      <c r="T485" s="1130"/>
      <c r="U485" s="1130"/>
      <c r="V485" s="1130"/>
      <c r="W485" s="1130"/>
      <c r="X485" s="1130"/>
      <c r="Y485" s="1130"/>
      <c r="Z485" s="1130"/>
    </row>
    <row r="486" spans="1:26" ht="15.75" customHeight="1">
      <c r="A486" s="1129"/>
      <c r="B486" s="1130"/>
      <c r="C486" s="1130"/>
      <c r="D486" s="1130"/>
      <c r="E486" s="1130"/>
      <c r="F486" s="1130"/>
      <c r="G486" s="1130"/>
      <c r="H486" s="1130"/>
      <c r="I486" s="1130"/>
      <c r="J486" s="1130"/>
      <c r="K486" s="1130"/>
      <c r="L486" s="1130"/>
      <c r="M486" s="1130"/>
      <c r="N486" s="1130"/>
      <c r="O486" s="1130"/>
      <c r="P486" s="1130"/>
      <c r="Q486" s="1130"/>
      <c r="R486" s="1130"/>
      <c r="S486" s="1130"/>
      <c r="T486" s="1130"/>
      <c r="U486" s="1130"/>
      <c r="V486" s="1130"/>
      <c r="W486" s="1130"/>
      <c r="X486" s="1130"/>
      <c r="Y486" s="1130"/>
      <c r="Z486" s="1130"/>
    </row>
    <row r="487" spans="1:26" ht="15.75" customHeight="1">
      <c r="A487" s="1129"/>
      <c r="B487" s="1130"/>
      <c r="C487" s="1130"/>
      <c r="D487" s="1130"/>
      <c r="E487" s="1130"/>
      <c r="F487" s="1130"/>
      <c r="G487" s="1130"/>
      <c r="H487" s="1130"/>
      <c r="I487" s="1130"/>
      <c r="J487" s="1130"/>
      <c r="K487" s="1130"/>
      <c r="L487" s="1130"/>
      <c r="M487" s="1130"/>
      <c r="N487" s="1130"/>
      <c r="O487" s="1130"/>
      <c r="P487" s="1130"/>
      <c r="Q487" s="1130"/>
      <c r="R487" s="1130"/>
      <c r="S487" s="1130"/>
      <c r="T487" s="1130"/>
      <c r="U487" s="1130"/>
      <c r="V487" s="1130"/>
      <c r="W487" s="1130"/>
      <c r="X487" s="1130"/>
      <c r="Y487" s="1130"/>
      <c r="Z487" s="1130"/>
    </row>
    <row r="488" spans="1:26" ht="15.75" customHeight="1">
      <c r="A488" s="1129"/>
      <c r="B488" s="1130"/>
      <c r="C488" s="1130"/>
      <c r="D488" s="1130"/>
      <c r="E488" s="1130"/>
      <c r="F488" s="1130"/>
      <c r="G488" s="1130"/>
      <c r="H488" s="1130"/>
      <c r="I488" s="1130"/>
      <c r="J488" s="1130"/>
      <c r="K488" s="1130"/>
      <c r="L488" s="1130"/>
      <c r="M488" s="1130"/>
      <c r="N488" s="1130"/>
      <c r="O488" s="1130"/>
      <c r="P488" s="1130"/>
      <c r="Q488" s="1130"/>
      <c r="R488" s="1130"/>
      <c r="S488" s="1130"/>
      <c r="T488" s="1130"/>
      <c r="U488" s="1130"/>
      <c r="V488" s="1130"/>
      <c r="W488" s="1130"/>
      <c r="X488" s="1130"/>
      <c r="Y488" s="1130"/>
      <c r="Z488" s="1130"/>
    </row>
    <row r="489" spans="1:26" ht="15.75" customHeight="1">
      <c r="A489" s="1129"/>
      <c r="B489" s="1130"/>
      <c r="C489" s="1130"/>
      <c r="D489" s="1130"/>
      <c r="E489" s="1130"/>
      <c r="F489" s="1130"/>
      <c r="G489" s="1130"/>
      <c r="H489" s="1130"/>
      <c r="I489" s="1130"/>
      <c r="J489" s="1130"/>
      <c r="K489" s="1130"/>
      <c r="L489" s="1130"/>
      <c r="M489" s="1130"/>
      <c r="N489" s="1130"/>
      <c r="O489" s="1130"/>
      <c r="P489" s="1130"/>
      <c r="Q489" s="1130"/>
      <c r="R489" s="1130"/>
      <c r="S489" s="1130"/>
      <c r="T489" s="1130"/>
      <c r="U489" s="1130"/>
      <c r="V489" s="1130"/>
      <c r="W489" s="1130"/>
      <c r="X489" s="1130"/>
      <c r="Y489" s="1130"/>
      <c r="Z489" s="1130"/>
    </row>
    <row r="490" spans="1:26" ht="15.75" customHeight="1">
      <c r="A490" s="1129"/>
      <c r="B490" s="1130"/>
      <c r="C490" s="1130"/>
      <c r="D490" s="1130"/>
      <c r="E490" s="1130"/>
      <c r="F490" s="1130"/>
      <c r="G490" s="1130"/>
      <c r="H490" s="1130"/>
      <c r="I490" s="1130"/>
      <c r="J490" s="1130"/>
      <c r="K490" s="1130"/>
      <c r="L490" s="1130"/>
      <c r="M490" s="1130"/>
      <c r="N490" s="1130"/>
      <c r="O490" s="1130"/>
      <c r="P490" s="1130"/>
      <c r="Q490" s="1130"/>
      <c r="R490" s="1130"/>
      <c r="S490" s="1130"/>
      <c r="T490" s="1130"/>
      <c r="U490" s="1130"/>
      <c r="V490" s="1130"/>
      <c r="W490" s="1130"/>
      <c r="X490" s="1130"/>
      <c r="Y490" s="1130"/>
      <c r="Z490" s="1130"/>
    </row>
    <row r="491" spans="1:26" ht="15.75" customHeight="1">
      <c r="A491" s="1129"/>
      <c r="B491" s="1130"/>
      <c r="C491" s="1130"/>
      <c r="D491" s="1130"/>
      <c r="E491" s="1130"/>
      <c r="F491" s="1130"/>
      <c r="G491" s="1130"/>
      <c r="H491" s="1130"/>
      <c r="I491" s="1130"/>
      <c r="J491" s="1130"/>
      <c r="K491" s="1130"/>
      <c r="L491" s="1130"/>
      <c r="M491" s="1130"/>
      <c r="N491" s="1130"/>
      <c r="O491" s="1130"/>
      <c r="P491" s="1130"/>
      <c r="Q491" s="1130"/>
      <c r="R491" s="1130"/>
      <c r="S491" s="1130"/>
      <c r="T491" s="1130"/>
      <c r="U491" s="1130"/>
      <c r="V491" s="1130"/>
      <c r="W491" s="1130"/>
      <c r="X491" s="1130"/>
      <c r="Y491" s="1130"/>
      <c r="Z491" s="1130"/>
    </row>
    <row r="492" spans="1:26" ht="15.75" customHeight="1">
      <c r="A492" s="1129"/>
      <c r="B492" s="1130"/>
      <c r="C492" s="1130"/>
      <c r="D492" s="1130"/>
      <c r="E492" s="1130"/>
      <c r="F492" s="1130"/>
      <c r="G492" s="1130"/>
      <c r="H492" s="1130"/>
      <c r="I492" s="1130"/>
      <c r="J492" s="1130"/>
      <c r="K492" s="1130"/>
      <c r="L492" s="1130"/>
      <c r="M492" s="1130"/>
      <c r="N492" s="1130"/>
      <c r="O492" s="1130"/>
      <c r="P492" s="1130"/>
      <c r="Q492" s="1130"/>
      <c r="R492" s="1130"/>
      <c r="S492" s="1130"/>
      <c r="T492" s="1130"/>
      <c r="U492" s="1130"/>
      <c r="V492" s="1130"/>
      <c r="W492" s="1130"/>
      <c r="X492" s="1130"/>
      <c r="Y492" s="1130"/>
      <c r="Z492" s="1130"/>
    </row>
    <row r="493" spans="1:26" ht="15.75" customHeight="1">
      <c r="A493" s="1129"/>
      <c r="B493" s="1130"/>
      <c r="C493" s="1130"/>
      <c r="D493" s="1130"/>
      <c r="E493" s="1130"/>
      <c r="F493" s="1130"/>
      <c r="G493" s="1130"/>
      <c r="H493" s="1130"/>
      <c r="I493" s="1130"/>
      <c r="J493" s="1130"/>
      <c r="K493" s="1130"/>
      <c r="L493" s="1130"/>
      <c r="M493" s="1130"/>
      <c r="N493" s="1130"/>
      <c r="O493" s="1130"/>
      <c r="P493" s="1130"/>
      <c r="Q493" s="1130"/>
      <c r="R493" s="1130"/>
      <c r="S493" s="1130"/>
      <c r="T493" s="1130"/>
      <c r="U493" s="1130"/>
      <c r="V493" s="1130"/>
      <c r="W493" s="1130"/>
      <c r="X493" s="1130"/>
      <c r="Y493" s="1130"/>
      <c r="Z493" s="1130"/>
    </row>
    <row r="494" spans="1:26" ht="15.75" customHeight="1">
      <c r="A494" s="1129"/>
      <c r="B494" s="1130"/>
      <c r="C494" s="1130"/>
      <c r="D494" s="1130"/>
      <c r="E494" s="1130"/>
      <c r="F494" s="1130"/>
      <c r="G494" s="1130"/>
      <c r="H494" s="1130"/>
      <c r="I494" s="1130"/>
      <c r="J494" s="1130"/>
      <c r="K494" s="1130"/>
      <c r="L494" s="1130"/>
      <c r="M494" s="1130"/>
      <c r="N494" s="1130"/>
      <c r="O494" s="1130"/>
      <c r="P494" s="1130"/>
      <c r="Q494" s="1130"/>
      <c r="R494" s="1130"/>
      <c r="S494" s="1130"/>
      <c r="T494" s="1130"/>
      <c r="U494" s="1130"/>
      <c r="V494" s="1130"/>
      <c r="W494" s="1130"/>
      <c r="X494" s="1130"/>
      <c r="Y494" s="1130"/>
      <c r="Z494" s="1130"/>
    </row>
    <row r="495" spans="1:26" ht="15.75" customHeight="1">
      <c r="A495" s="1129"/>
      <c r="B495" s="1130"/>
      <c r="C495" s="1130"/>
      <c r="D495" s="1130"/>
      <c r="E495" s="1130"/>
      <c r="F495" s="1130"/>
      <c r="G495" s="1130"/>
      <c r="H495" s="1130"/>
      <c r="I495" s="1130"/>
      <c r="J495" s="1130"/>
      <c r="K495" s="1130"/>
      <c r="L495" s="1130"/>
      <c r="M495" s="1130"/>
      <c r="N495" s="1130"/>
      <c r="O495" s="1130"/>
      <c r="P495" s="1130"/>
      <c r="Q495" s="1130"/>
      <c r="R495" s="1130"/>
      <c r="S495" s="1130"/>
      <c r="T495" s="1130"/>
      <c r="U495" s="1130"/>
      <c r="V495" s="1130"/>
      <c r="W495" s="1130"/>
      <c r="X495" s="1130"/>
      <c r="Y495" s="1130"/>
      <c r="Z495" s="1130"/>
    </row>
    <row r="496" spans="1:26" ht="15.75" customHeight="1">
      <c r="A496" s="1129"/>
      <c r="B496" s="1130"/>
      <c r="C496" s="1130"/>
      <c r="D496" s="1130"/>
      <c r="E496" s="1130"/>
      <c r="F496" s="1130"/>
      <c r="G496" s="1130"/>
      <c r="H496" s="1130"/>
      <c r="I496" s="1130"/>
      <c r="J496" s="1130"/>
      <c r="K496" s="1130"/>
      <c r="L496" s="1130"/>
      <c r="M496" s="1130"/>
      <c r="N496" s="1130"/>
      <c r="O496" s="1130"/>
      <c r="P496" s="1130"/>
      <c r="Q496" s="1130"/>
      <c r="R496" s="1130"/>
      <c r="S496" s="1130"/>
      <c r="T496" s="1130"/>
      <c r="U496" s="1130"/>
      <c r="V496" s="1130"/>
      <c r="W496" s="1130"/>
      <c r="X496" s="1130"/>
      <c r="Y496" s="1130"/>
      <c r="Z496" s="1130"/>
    </row>
    <row r="497" spans="1:26" ht="15.75" customHeight="1">
      <c r="A497" s="1129"/>
      <c r="B497" s="1130"/>
      <c r="C497" s="1130"/>
      <c r="D497" s="1130"/>
      <c r="E497" s="1130"/>
      <c r="F497" s="1130"/>
      <c r="G497" s="1130"/>
      <c r="H497" s="1130"/>
      <c r="I497" s="1130"/>
      <c r="J497" s="1130"/>
      <c r="K497" s="1130"/>
      <c r="L497" s="1130"/>
      <c r="M497" s="1130"/>
      <c r="N497" s="1130"/>
      <c r="O497" s="1130"/>
      <c r="P497" s="1130"/>
      <c r="Q497" s="1130"/>
      <c r="R497" s="1130"/>
      <c r="S497" s="1130"/>
      <c r="T497" s="1130"/>
      <c r="U497" s="1130"/>
      <c r="V497" s="1130"/>
      <c r="W497" s="1130"/>
      <c r="X497" s="1130"/>
      <c r="Y497" s="1130"/>
      <c r="Z497" s="1130"/>
    </row>
    <row r="498" spans="1:26" ht="15.75" customHeight="1">
      <c r="A498" s="1129"/>
      <c r="B498" s="1130"/>
      <c r="C498" s="1130"/>
      <c r="D498" s="1130"/>
      <c r="E498" s="1130"/>
      <c r="F498" s="1130"/>
      <c r="G498" s="1130"/>
      <c r="H498" s="1130"/>
      <c r="I498" s="1130"/>
      <c r="J498" s="1130"/>
      <c r="K498" s="1130"/>
      <c r="L498" s="1130"/>
      <c r="M498" s="1130"/>
      <c r="N498" s="1130"/>
      <c r="O498" s="1130"/>
      <c r="P498" s="1130"/>
      <c r="Q498" s="1130"/>
      <c r="R498" s="1130"/>
      <c r="S498" s="1130"/>
      <c r="T498" s="1130"/>
      <c r="U498" s="1130"/>
      <c r="V498" s="1130"/>
      <c r="W498" s="1130"/>
      <c r="X498" s="1130"/>
      <c r="Y498" s="1130"/>
      <c r="Z498" s="1130"/>
    </row>
    <row r="499" spans="1:26" ht="15.75" customHeight="1">
      <c r="A499" s="1129"/>
      <c r="B499" s="1130"/>
      <c r="C499" s="1130"/>
      <c r="D499" s="1130"/>
      <c r="E499" s="1130"/>
      <c r="F499" s="1130"/>
      <c r="G499" s="1130"/>
      <c r="H499" s="1130"/>
      <c r="I499" s="1130"/>
      <c r="J499" s="1130"/>
      <c r="K499" s="1130"/>
      <c r="L499" s="1130"/>
      <c r="M499" s="1130"/>
      <c r="N499" s="1130"/>
      <c r="O499" s="1130"/>
      <c r="P499" s="1130"/>
      <c r="Q499" s="1130"/>
      <c r="R499" s="1130"/>
      <c r="S499" s="1130"/>
      <c r="T499" s="1130"/>
      <c r="U499" s="1130"/>
      <c r="V499" s="1130"/>
      <c r="W499" s="1130"/>
      <c r="X499" s="1130"/>
      <c r="Y499" s="1130"/>
      <c r="Z499" s="1130"/>
    </row>
    <row r="500" spans="1:26" ht="15.75" customHeight="1">
      <c r="A500" s="1129"/>
      <c r="B500" s="1130"/>
      <c r="C500" s="1130"/>
      <c r="D500" s="1130"/>
      <c r="E500" s="1130"/>
      <c r="F500" s="1130"/>
      <c r="G500" s="1130"/>
      <c r="H500" s="1130"/>
      <c r="I500" s="1130"/>
      <c r="J500" s="1130"/>
      <c r="K500" s="1130"/>
      <c r="L500" s="1130"/>
      <c r="M500" s="1130"/>
      <c r="N500" s="1130"/>
      <c r="O500" s="1130"/>
      <c r="P500" s="1130"/>
      <c r="Q500" s="1130"/>
      <c r="R500" s="1130"/>
      <c r="S500" s="1130"/>
      <c r="T500" s="1130"/>
      <c r="U500" s="1130"/>
      <c r="V500" s="1130"/>
      <c r="W500" s="1130"/>
      <c r="X500" s="1130"/>
      <c r="Y500" s="1130"/>
      <c r="Z500" s="1130"/>
    </row>
    <row r="501" spans="1:26" ht="15.75" customHeight="1">
      <c r="A501" s="1129"/>
      <c r="B501" s="1130"/>
      <c r="C501" s="1130"/>
      <c r="D501" s="1130"/>
      <c r="E501" s="1130"/>
      <c r="F501" s="1130"/>
      <c r="G501" s="1130"/>
      <c r="H501" s="1130"/>
      <c r="I501" s="1130"/>
      <c r="J501" s="1130"/>
      <c r="K501" s="1130"/>
      <c r="L501" s="1130"/>
      <c r="M501" s="1130"/>
      <c r="N501" s="1130"/>
      <c r="O501" s="1130"/>
      <c r="P501" s="1130"/>
      <c r="Q501" s="1130"/>
      <c r="R501" s="1130"/>
      <c r="S501" s="1130"/>
      <c r="T501" s="1130"/>
      <c r="U501" s="1130"/>
      <c r="V501" s="1130"/>
      <c r="W501" s="1130"/>
      <c r="X501" s="1130"/>
      <c r="Y501" s="1130"/>
      <c r="Z501" s="1130"/>
    </row>
    <row r="502" spans="1:26" ht="15.75" customHeight="1">
      <c r="A502" s="1129"/>
      <c r="B502" s="1130"/>
      <c r="C502" s="1130"/>
      <c r="D502" s="1130"/>
      <c r="E502" s="1130"/>
      <c r="F502" s="1130"/>
      <c r="G502" s="1130"/>
      <c r="H502" s="1130"/>
      <c r="I502" s="1130"/>
      <c r="J502" s="1130"/>
      <c r="K502" s="1130"/>
      <c r="L502" s="1130"/>
      <c r="M502" s="1130"/>
      <c r="N502" s="1130"/>
      <c r="O502" s="1130"/>
      <c r="P502" s="1130"/>
      <c r="Q502" s="1130"/>
      <c r="R502" s="1130"/>
      <c r="S502" s="1130"/>
      <c r="T502" s="1130"/>
      <c r="U502" s="1130"/>
      <c r="V502" s="1130"/>
      <c r="W502" s="1130"/>
      <c r="X502" s="1130"/>
      <c r="Y502" s="1130"/>
      <c r="Z502" s="1130"/>
    </row>
    <row r="503" spans="1:26" ht="15.75" customHeight="1">
      <c r="A503" s="1129"/>
      <c r="B503" s="1130"/>
      <c r="C503" s="1130"/>
      <c r="D503" s="1130"/>
      <c r="E503" s="1130"/>
      <c r="F503" s="1130"/>
      <c r="G503" s="1130"/>
      <c r="H503" s="1130"/>
      <c r="I503" s="1130"/>
      <c r="J503" s="1130"/>
      <c r="K503" s="1130"/>
      <c r="L503" s="1130"/>
      <c r="M503" s="1130"/>
      <c r="N503" s="1130"/>
      <c r="O503" s="1130"/>
      <c r="P503" s="1130"/>
      <c r="Q503" s="1130"/>
      <c r="R503" s="1130"/>
      <c r="S503" s="1130"/>
      <c r="T503" s="1130"/>
      <c r="U503" s="1130"/>
      <c r="V503" s="1130"/>
      <c r="W503" s="1130"/>
      <c r="X503" s="1130"/>
      <c r="Y503" s="1130"/>
      <c r="Z503" s="1130"/>
    </row>
    <row r="504" spans="1:26" ht="15.75" customHeight="1">
      <c r="A504" s="1129"/>
      <c r="B504" s="1130"/>
      <c r="C504" s="1130"/>
      <c r="D504" s="1130"/>
      <c r="E504" s="1130"/>
      <c r="F504" s="1130"/>
      <c r="G504" s="1130"/>
      <c r="H504" s="1130"/>
      <c r="I504" s="1130"/>
      <c r="J504" s="1130"/>
      <c r="K504" s="1130"/>
      <c r="L504" s="1130"/>
      <c r="M504" s="1130"/>
      <c r="N504" s="1130"/>
      <c r="O504" s="1130"/>
      <c r="P504" s="1130"/>
      <c r="Q504" s="1130"/>
      <c r="R504" s="1130"/>
      <c r="S504" s="1130"/>
      <c r="T504" s="1130"/>
      <c r="U504" s="1130"/>
      <c r="V504" s="1130"/>
      <c r="W504" s="1130"/>
      <c r="X504" s="1130"/>
      <c r="Y504" s="1130"/>
      <c r="Z504" s="1130"/>
    </row>
    <row r="505" spans="1:26" ht="15.75" customHeight="1">
      <c r="A505" s="1129"/>
      <c r="B505" s="1130"/>
      <c r="C505" s="1130"/>
      <c r="D505" s="1130"/>
      <c r="E505" s="1130"/>
      <c r="F505" s="1130"/>
      <c r="G505" s="1130"/>
      <c r="H505" s="1130"/>
      <c r="I505" s="1130"/>
      <c r="J505" s="1130"/>
      <c r="K505" s="1130"/>
      <c r="L505" s="1130"/>
      <c r="M505" s="1130"/>
      <c r="N505" s="1130"/>
      <c r="O505" s="1130"/>
      <c r="P505" s="1130"/>
      <c r="Q505" s="1130"/>
      <c r="R505" s="1130"/>
      <c r="S505" s="1130"/>
      <c r="T505" s="1130"/>
      <c r="U505" s="1130"/>
      <c r="V505" s="1130"/>
      <c r="W505" s="1130"/>
      <c r="X505" s="1130"/>
      <c r="Y505" s="1130"/>
      <c r="Z505" s="1130"/>
    </row>
    <row r="506" spans="1:26" ht="15.75" customHeight="1">
      <c r="A506" s="1129"/>
      <c r="B506" s="1130"/>
      <c r="C506" s="1130"/>
      <c r="D506" s="1130"/>
      <c r="E506" s="1130"/>
      <c r="F506" s="1130"/>
      <c r="G506" s="1130"/>
      <c r="H506" s="1130"/>
      <c r="I506" s="1130"/>
      <c r="J506" s="1130"/>
      <c r="K506" s="1130"/>
      <c r="L506" s="1130"/>
      <c r="M506" s="1130"/>
      <c r="N506" s="1130"/>
      <c r="O506" s="1130"/>
      <c r="P506" s="1130"/>
      <c r="Q506" s="1130"/>
      <c r="R506" s="1130"/>
      <c r="S506" s="1130"/>
      <c r="T506" s="1130"/>
      <c r="U506" s="1130"/>
      <c r="V506" s="1130"/>
      <c r="W506" s="1130"/>
      <c r="X506" s="1130"/>
      <c r="Y506" s="1130"/>
      <c r="Z506" s="1130"/>
    </row>
    <row r="507" spans="1:26" ht="15.75" customHeight="1">
      <c r="A507" s="1129"/>
      <c r="B507" s="1130"/>
      <c r="C507" s="1130"/>
      <c r="D507" s="1130"/>
      <c r="E507" s="1130"/>
      <c r="F507" s="1130"/>
      <c r="G507" s="1130"/>
      <c r="H507" s="1130"/>
      <c r="I507" s="1130"/>
      <c r="J507" s="1130"/>
      <c r="K507" s="1130"/>
      <c r="L507" s="1130"/>
      <c r="M507" s="1130"/>
      <c r="N507" s="1130"/>
      <c r="O507" s="1130"/>
      <c r="P507" s="1130"/>
      <c r="Q507" s="1130"/>
      <c r="R507" s="1130"/>
      <c r="S507" s="1130"/>
      <c r="T507" s="1130"/>
      <c r="U507" s="1130"/>
      <c r="V507" s="1130"/>
      <c r="W507" s="1130"/>
      <c r="X507" s="1130"/>
      <c r="Y507" s="1130"/>
      <c r="Z507" s="1130"/>
    </row>
    <row r="508" spans="1:26" ht="15.75" customHeight="1">
      <c r="A508" s="1129"/>
      <c r="B508" s="1130"/>
      <c r="C508" s="1130"/>
      <c r="D508" s="1130"/>
      <c r="E508" s="1130"/>
      <c r="F508" s="1130"/>
      <c r="G508" s="1130"/>
      <c r="H508" s="1130"/>
      <c r="I508" s="1130"/>
      <c r="J508" s="1130"/>
      <c r="K508" s="1130"/>
      <c r="L508" s="1130"/>
      <c r="M508" s="1130"/>
      <c r="N508" s="1130"/>
      <c r="O508" s="1130"/>
      <c r="P508" s="1130"/>
      <c r="Q508" s="1130"/>
      <c r="R508" s="1130"/>
      <c r="S508" s="1130"/>
      <c r="T508" s="1130"/>
      <c r="U508" s="1130"/>
      <c r="V508" s="1130"/>
      <c r="W508" s="1130"/>
      <c r="X508" s="1130"/>
      <c r="Y508" s="1130"/>
      <c r="Z508" s="1130"/>
    </row>
    <row r="509" spans="1:26" ht="15.75" customHeight="1">
      <c r="A509" s="1129"/>
      <c r="B509" s="1130"/>
      <c r="C509" s="1130"/>
      <c r="D509" s="1130"/>
      <c r="E509" s="1130"/>
      <c r="F509" s="1130"/>
      <c r="G509" s="1130"/>
      <c r="H509" s="1130"/>
      <c r="I509" s="1130"/>
      <c r="J509" s="1130"/>
      <c r="K509" s="1130"/>
      <c r="L509" s="1130"/>
      <c r="M509" s="1130"/>
      <c r="N509" s="1130"/>
      <c r="O509" s="1130"/>
      <c r="P509" s="1130"/>
      <c r="Q509" s="1130"/>
      <c r="R509" s="1130"/>
      <c r="S509" s="1130"/>
      <c r="T509" s="1130"/>
      <c r="U509" s="1130"/>
      <c r="V509" s="1130"/>
      <c r="W509" s="1130"/>
      <c r="X509" s="1130"/>
      <c r="Y509" s="1130"/>
      <c r="Z509" s="1130"/>
    </row>
    <row r="510" spans="1:26" ht="15.75" customHeight="1">
      <c r="A510" s="1129"/>
      <c r="B510" s="1130"/>
      <c r="C510" s="1130"/>
      <c r="D510" s="1130"/>
      <c r="E510" s="1130"/>
      <c r="F510" s="1130"/>
      <c r="G510" s="1130"/>
      <c r="H510" s="1130"/>
      <c r="I510" s="1130"/>
      <c r="J510" s="1130"/>
      <c r="K510" s="1130"/>
      <c r="L510" s="1130"/>
      <c r="M510" s="1130"/>
      <c r="N510" s="1130"/>
      <c r="O510" s="1130"/>
      <c r="P510" s="1130"/>
      <c r="Q510" s="1130"/>
      <c r="R510" s="1130"/>
      <c r="S510" s="1130"/>
      <c r="T510" s="1130"/>
      <c r="U510" s="1130"/>
      <c r="V510" s="1130"/>
      <c r="W510" s="1130"/>
      <c r="X510" s="1130"/>
      <c r="Y510" s="1130"/>
      <c r="Z510" s="1130"/>
    </row>
    <row r="511" spans="1:26" ht="15.75" customHeight="1">
      <c r="A511" s="1129"/>
      <c r="B511" s="1130"/>
      <c r="C511" s="1130"/>
      <c r="D511" s="1130"/>
      <c r="E511" s="1130"/>
      <c r="F511" s="1130"/>
      <c r="G511" s="1130"/>
      <c r="H511" s="1130"/>
      <c r="I511" s="1130"/>
      <c r="J511" s="1130"/>
      <c r="K511" s="1130"/>
      <c r="L511" s="1130"/>
      <c r="M511" s="1130"/>
      <c r="N511" s="1130"/>
      <c r="O511" s="1130"/>
      <c r="P511" s="1130"/>
      <c r="Q511" s="1130"/>
      <c r="R511" s="1130"/>
      <c r="S511" s="1130"/>
      <c r="T511" s="1130"/>
      <c r="U511" s="1130"/>
      <c r="V511" s="1130"/>
      <c r="W511" s="1130"/>
      <c r="X511" s="1130"/>
      <c r="Y511" s="1130"/>
      <c r="Z511" s="1130"/>
    </row>
    <row r="512" spans="1:26" ht="15.75" customHeight="1">
      <c r="A512" s="1129"/>
      <c r="B512" s="1130"/>
      <c r="C512" s="1130"/>
      <c r="D512" s="1130"/>
      <c r="E512" s="1130"/>
      <c r="F512" s="1130"/>
      <c r="G512" s="1130"/>
      <c r="H512" s="1130"/>
      <c r="I512" s="1130"/>
      <c r="J512" s="1130"/>
      <c r="K512" s="1130"/>
      <c r="L512" s="1130"/>
      <c r="M512" s="1130"/>
      <c r="N512" s="1130"/>
      <c r="O512" s="1130"/>
      <c r="P512" s="1130"/>
      <c r="Q512" s="1130"/>
      <c r="R512" s="1130"/>
      <c r="S512" s="1130"/>
      <c r="T512" s="1130"/>
      <c r="U512" s="1130"/>
      <c r="V512" s="1130"/>
      <c r="W512" s="1130"/>
      <c r="X512" s="1130"/>
      <c r="Y512" s="1130"/>
      <c r="Z512" s="1130"/>
    </row>
    <row r="513" spans="1:26" ht="15.75" customHeight="1">
      <c r="A513" s="1129"/>
      <c r="B513" s="1130"/>
      <c r="C513" s="1130"/>
      <c r="D513" s="1130"/>
      <c r="E513" s="1130"/>
      <c r="F513" s="1130"/>
      <c r="G513" s="1130"/>
      <c r="H513" s="1130"/>
      <c r="I513" s="1130"/>
      <c r="J513" s="1130"/>
      <c r="K513" s="1130"/>
      <c r="L513" s="1130"/>
      <c r="M513" s="1130"/>
      <c r="N513" s="1130"/>
      <c r="O513" s="1130"/>
      <c r="P513" s="1130"/>
      <c r="Q513" s="1130"/>
      <c r="R513" s="1130"/>
      <c r="S513" s="1130"/>
      <c r="T513" s="1130"/>
      <c r="U513" s="1130"/>
      <c r="V513" s="1130"/>
      <c r="W513" s="1130"/>
      <c r="X513" s="1130"/>
      <c r="Y513" s="1130"/>
      <c r="Z513" s="1130"/>
    </row>
    <row r="514" spans="1:26" ht="15.75" customHeight="1">
      <c r="A514" s="1129"/>
      <c r="B514" s="1130"/>
      <c r="C514" s="1130"/>
      <c r="D514" s="1130"/>
      <c r="E514" s="1130"/>
      <c r="F514" s="1130"/>
      <c r="G514" s="1130"/>
      <c r="H514" s="1130"/>
      <c r="I514" s="1130"/>
      <c r="J514" s="1130"/>
      <c r="K514" s="1130"/>
      <c r="L514" s="1130"/>
      <c r="M514" s="1130"/>
      <c r="N514" s="1130"/>
      <c r="O514" s="1130"/>
      <c r="P514" s="1130"/>
      <c r="Q514" s="1130"/>
      <c r="R514" s="1130"/>
      <c r="S514" s="1130"/>
      <c r="T514" s="1130"/>
      <c r="U514" s="1130"/>
      <c r="V514" s="1130"/>
      <c r="W514" s="1130"/>
      <c r="X514" s="1130"/>
      <c r="Y514" s="1130"/>
      <c r="Z514" s="1130"/>
    </row>
    <row r="515" spans="1:26" ht="15.75" customHeight="1">
      <c r="A515" s="1129"/>
      <c r="B515" s="1130"/>
      <c r="C515" s="1130"/>
      <c r="D515" s="1130"/>
      <c r="E515" s="1130"/>
      <c r="F515" s="1130"/>
      <c r="G515" s="1130"/>
      <c r="H515" s="1130"/>
      <c r="I515" s="1130"/>
      <c r="J515" s="1130"/>
      <c r="K515" s="1130"/>
      <c r="L515" s="1130"/>
      <c r="M515" s="1130"/>
      <c r="N515" s="1130"/>
      <c r="O515" s="1130"/>
      <c r="P515" s="1130"/>
      <c r="Q515" s="1130"/>
      <c r="R515" s="1130"/>
      <c r="S515" s="1130"/>
      <c r="T515" s="1130"/>
      <c r="U515" s="1130"/>
      <c r="V515" s="1130"/>
      <c r="W515" s="1130"/>
      <c r="X515" s="1130"/>
      <c r="Y515" s="1130"/>
      <c r="Z515" s="1130"/>
    </row>
    <row r="516" spans="1:26" ht="15.75" customHeight="1">
      <c r="A516" s="1129"/>
      <c r="B516" s="1130"/>
      <c r="C516" s="1130"/>
      <c r="D516" s="1130"/>
      <c r="E516" s="1130"/>
      <c r="F516" s="1130"/>
      <c r="G516" s="1130"/>
      <c r="H516" s="1130"/>
      <c r="I516" s="1130"/>
      <c r="J516" s="1130"/>
      <c r="K516" s="1130"/>
      <c r="L516" s="1130"/>
      <c r="M516" s="1130"/>
      <c r="N516" s="1130"/>
      <c r="O516" s="1130"/>
      <c r="P516" s="1130"/>
      <c r="Q516" s="1130"/>
      <c r="R516" s="1130"/>
      <c r="S516" s="1130"/>
      <c r="T516" s="1130"/>
      <c r="U516" s="1130"/>
      <c r="V516" s="1130"/>
      <c r="W516" s="1130"/>
      <c r="X516" s="1130"/>
      <c r="Y516" s="1130"/>
      <c r="Z516" s="1130"/>
    </row>
    <row r="517" spans="1:26" ht="15.75" customHeight="1">
      <c r="A517" s="1129"/>
      <c r="B517" s="1130"/>
      <c r="C517" s="1130"/>
      <c r="D517" s="1130"/>
      <c r="E517" s="1130"/>
      <c r="F517" s="1130"/>
      <c r="G517" s="1130"/>
      <c r="H517" s="1130"/>
      <c r="I517" s="1130"/>
      <c r="J517" s="1130"/>
      <c r="K517" s="1130"/>
      <c r="L517" s="1130"/>
      <c r="M517" s="1130"/>
      <c r="N517" s="1130"/>
      <c r="O517" s="1130"/>
      <c r="P517" s="1130"/>
      <c r="Q517" s="1130"/>
      <c r="R517" s="1130"/>
      <c r="S517" s="1130"/>
      <c r="T517" s="1130"/>
      <c r="U517" s="1130"/>
      <c r="V517" s="1130"/>
      <c r="W517" s="1130"/>
      <c r="X517" s="1130"/>
      <c r="Y517" s="1130"/>
      <c r="Z517" s="1130"/>
    </row>
    <row r="518" spans="1:26" ht="15.75" customHeight="1">
      <c r="A518" s="1129"/>
      <c r="B518" s="1130"/>
      <c r="C518" s="1130"/>
      <c r="D518" s="1130"/>
      <c r="E518" s="1130"/>
      <c r="F518" s="1130"/>
      <c r="G518" s="1130"/>
      <c r="H518" s="1130"/>
      <c r="I518" s="1130"/>
      <c r="J518" s="1130"/>
      <c r="K518" s="1130"/>
      <c r="L518" s="1130"/>
      <c r="M518" s="1130"/>
      <c r="N518" s="1130"/>
      <c r="O518" s="1130"/>
      <c r="P518" s="1130"/>
      <c r="Q518" s="1130"/>
      <c r="R518" s="1130"/>
      <c r="S518" s="1130"/>
      <c r="T518" s="1130"/>
      <c r="U518" s="1130"/>
      <c r="V518" s="1130"/>
      <c r="W518" s="1130"/>
      <c r="X518" s="1130"/>
      <c r="Y518" s="1130"/>
      <c r="Z518" s="1130"/>
    </row>
    <row r="519" spans="1:26" ht="15.75" customHeight="1">
      <c r="A519" s="1129"/>
      <c r="B519" s="1130"/>
      <c r="C519" s="1130"/>
      <c r="D519" s="1130"/>
      <c r="E519" s="1130"/>
      <c r="F519" s="1130"/>
      <c r="G519" s="1130"/>
      <c r="H519" s="1130"/>
      <c r="I519" s="1130"/>
      <c r="J519" s="1130"/>
      <c r="K519" s="1130"/>
      <c r="L519" s="1130"/>
      <c r="M519" s="1130"/>
      <c r="N519" s="1130"/>
      <c r="O519" s="1130"/>
      <c r="P519" s="1130"/>
      <c r="Q519" s="1130"/>
      <c r="R519" s="1130"/>
      <c r="S519" s="1130"/>
      <c r="T519" s="1130"/>
      <c r="U519" s="1130"/>
      <c r="V519" s="1130"/>
      <c r="W519" s="1130"/>
      <c r="X519" s="1130"/>
      <c r="Y519" s="1130"/>
      <c r="Z519" s="1130"/>
    </row>
    <row r="520" spans="1:26" ht="15.75" customHeight="1">
      <c r="A520" s="1129"/>
      <c r="B520" s="1130"/>
      <c r="C520" s="1130"/>
      <c r="D520" s="1130"/>
      <c r="E520" s="1130"/>
      <c r="F520" s="1130"/>
      <c r="G520" s="1130"/>
      <c r="H520" s="1130"/>
      <c r="I520" s="1130"/>
      <c r="J520" s="1130"/>
      <c r="K520" s="1130"/>
      <c r="L520" s="1130"/>
      <c r="M520" s="1130"/>
      <c r="N520" s="1130"/>
      <c r="O520" s="1130"/>
      <c r="P520" s="1130"/>
      <c r="Q520" s="1130"/>
      <c r="R520" s="1130"/>
      <c r="S520" s="1130"/>
      <c r="T520" s="1130"/>
      <c r="U520" s="1130"/>
      <c r="V520" s="1130"/>
      <c r="W520" s="1130"/>
      <c r="X520" s="1130"/>
      <c r="Y520" s="1130"/>
      <c r="Z520" s="1130"/>
    </row>
    <row r="521" spans="1:26" ht="15.75" customHeight="1">
      <c r="A521" s="1129"/>
      <c r="B521" s="1130"/>
      <c r="C521" s="1130"/>
      <c r="D521" s="1130"/>
      <c r="E521" s="1130"/>
      <c r="F521" s="1130"/>
      <c r="G521" s="1130"/>
      <c r="H521" s="1130"/>
      <c r="I521" s="1130"/>
      <c r="J521" s="1130"/>
      <c r="K521" s="1130"/>
      <c r="L521" s="1130"/>
      <c r="M521" s="1130"/>
      <c r="N521" s="1130"/>
      <c r="O521" s="1130"/>
      <c r="P521" s="1130"/>
      <c r="Q521" s="1130"/>
      <c r="R521" s="1130"/>
      <c r="S521" s="1130"/>
      <c r="T521" s="1130"/>
      <c r="U521" s="1130"/>
      <c r="V521" s="1130"/>
      <c r="W521" s="1130"/>
      <c r="X521" s="1130"/>
      <c r="Y521" s="1130"/>
      <c r="Z521" s="1130"/>
    </row>
    <row r="522" spans="1:26" ht="15.75" customHeight="1">
      <c r="A522" s="1129"/>
      <c r="B522" s="1130"/>
      <c r="C522" s="1130"/>
      <c r="D522" s="1130"/>
      <c r="E522" s="1130"/>
      <c r="F522" s="1130"/>
      <c r="G522" s="1130"/>
      <c r="H522" s="1130"/>
      <c r="I522" s="1130"/>
      <c r="J522" s="1130"/>
      <c r="K522" s="1130"/>
      <c r="L522" s="1130"/>
      <c r="M522" s="1130"/>
      <c r="N522" s="1130"/>
      <c r="O522" s="1130"/>
      <c r="P522" s="1130"/>
      <c r="Q522" s="1130"/>
      <c r="R522" s="1130"/>
      <c r="S522" s="1130"/>
      <c r="T522" s="1130"/>
      <c r="U522" s="1130"/>
      <c r="V522" s="1130"/>
      <c r="W522" s="1130"/>
      <c r="X522" s="1130"/>
      <c r="Y522" s="1130"/>
      <c r="Z522" s="1130"/>
    </row>
    <row r="523" spans="1:26" ht="15.75" customHeight="1">
      <c r="A523" s="1129"/>
      <c r="B523" s="1130"/>
      <c r="C523" s="1130"/>
      <c r="D523" s="1130"/>
      <c r="E523" s="1130"/>
      <c r="F523" s="1130"/>
      <c r="G523" s="1130"/>
      <c r="H523" s="1130"/>
      <c r="I523" s="1130"/>
      <c r="J523" s="1130"/>
      <c r="K523" s="1130"/>
      <c r="L523" s="1130"/>
      <c r="M523" s="1130"/>
      <c r="N523" s="1130"/>
      <c r="O523" s="1130"/>
      <c r="P523" s="1130"/>
      <c r="Q523" s="1130"/>
      <c r="R523" s="1130"/>
      <c r="S523" s="1130"/>
      <c r="T523" s="1130"/>
      <c r="U523" s="1130"/>
      <c r="V523" s="1130"/>
      <c r="W523" s="1130"/>
      <c r="X523" s="1130"/>
      <c r="Y523" s="1130"/>
      <c r="Z523" s="1130"/>
    </row>
    <row r="524" spans="1:26" ht="15.75" customHeight="1">
      <c r="A524" s="1129"/>
      <c r="B524" s="1130"/>
      <c r="C524" s="1130"/>
      <c r="D524" s="1130"/>
      <c r="E524" s="1130"/>
      <c r="F524" s="1130"/>
      <c r="G524" s="1130"/>
      <c r="H524" s="1130"/>
      <c r="I524" s="1130"/>
      <c r="J524" s="1130"/>
      <c r="K524" s="1130"/>
      <c r="L524" s="1130"/>
      <c r="M524" s="1130"/>
      <c r="N524" s="1130"/>
      <c r="O524" s="1130"/>
      <c r="P524" s="1130"/>
      <c r="Q524" s="1130"/>
      <c r="R524" s="1130"/>
      <c r="S524" s="1130"/>
      <c r="T524" s="1130"/>
      <c r="U524" s="1130"/>
      <c r="V524" s="1130"/>
      <c r="W524" s="1130"/>
      <c r="X524" s="1130"/>
      <c r="Y524" s="1130"/>
      <c r="Z524" s="1130"/>
    </row>
    <row r="525" spans="1:26" ht="15.75" customHeight="1">
      <c r="A525" s="1129"/>
      <c r="B525" s="1130"/>
      <c r="C525" s="1130"/>
      <c r="D525" s="1130"/>
      <c r="E525" s="1130"/>
      <c r="F525" s="1130"/>
      <c r="G525" s="1130"/>
      <c r="H525" s="1130"/>
      <c r="I525" s="1130"/>
      <c r="J525" s="1130"/>
      <c r="K525" s="1130"/>
      <c r="L525" s="1130"/>
      <c r="M525" s="1130"/>
      <c r="N525" s="1130"/>
      <c r="O525" s="1130"/>
      <c r="P525" s="1130"/>
      <c r="Q525" s="1130"/>
      <c r="R525" s="1130"/>
      <c r="S525" s="1130"/>
      <c r="T525" s="1130"/>
      <c r="U525" s="1130"/>
      <c r="V525" s="1130"/>
      <c r="W525" s="1130"/>
      <c r="X525" s="1130"/>
      <c r="Y525" s="1130"/>
      <c r="Z525" s="1130"/>
    </row>
    <row r="526" spans="1:26" ht="15.75" customHeight="1">
      <c r="A526" s="1129"/>
      <c r="B526" s="1130"/>
      <c r="C526" s="1130"/>
      <c r="D526" s="1130"/>
      <c r="E526" s="1130"/>
      <c r="F526" s="1130"/>
      <c r="G526" s="1130"/>
      <c r="H526" s="1130"/>
      <c r="I526" s="1130"/>
      <c r="J526" s="1130"/>
      <c r="K526" s="1130"/>
      <c r="L526" s="1130"/>
      <c r="M526" s="1130"/>
      <c r="N526" s="1130"/>
      <c r="O526" s="1130"/>
      <c r="P526" s="1130"/>
      <c r="Q526" s="1130"/>
      <c r="R526" s="1130"/>
      <c r="S526" s="1130"/>
      <c r="T526" s="1130"/>
      <c r="U526" s="1130"/>
      <c r="V526" s="1130"/>
      <c r="W526" s="1130"/>
      <c r="X526" s="1130"/>
      <c r="Y526" s="1130"/>
      <c r="Z526" s="1130"/>
    </row>
    <row r="527" spans="1:26" ht="15.75" customHeight="1">
      <c r="A527" s="1129"/>
      <c r="B527" s="1130"/>
      <c r="C527" s="1130"/>
      <c r="D527" s="1130"/>
      <c r="E527" s="1130"/>
      <c r="F527" s="1130"/>
      <c r="G527" s="1130"/>
      <c r="H527" s="1130"/>
      <c r="I527" s="1130"/>
      <c r="J527" s="1130"/>
      <c r="K527" s="1130"/>
      <c r="L527" s="1130"/>
      <c r="M527" s="1130"/>
      <c r="N527" s="1130"/>
      <c r="O527" s="1130"/>
      <c r="P527" s="1130"/>
      <c r="Q527" s="1130"/>
      <c r="R527" s="1130"/>
      <c r="S527" s="1130"/>
      <c r="T527" s="1130"/>
      <c r="U527" s="1130"/>
      <c r="V527" s="1130"/>
      <c r="W527" s="1130"/>
      <c r="X527" s="1130"/>
      <c r="Y527" s="1130"/>
      <c r="Z527" s="1130"/>
    </row>
    <row r="528" spans="1:26" ht="15.75" customHeight="1">
      <c r="A528" s="1129"/>
      <c r="B528" s="1130"/>
      <c r="C528" s="1130"/>
      <c r="D528" s="1130"/>
      <c r="E528" s="1130"/>
      <c r="F528" s="1130"/>
      <c r="G528" s="1130"/>
      <c r="H528" s="1130"/>
      <c r="I528" s="1130"/>
      <c r="J528" s="1130"/>
      <c r="K528" s="1130"/>
      <c r="L528" s="1130"/>
      <c r="M528" s="1130"/>
      <c r="N528" s="1130"/>
      <c r="O528" s="1130"/>
      <c r="P528" s="1130"/>
      <c r="Q528" s="1130"/>
      <c r="R528" s="1130"/>
      <c r="S528" s="1130"/>
      <c r="T528" s="1130"/>
      <c r="U528" s="1130"/>
      <c r="V528" s="1130"/>
      <c r="W528" s="1130"/>
      <c r="X528" s="1130"/>
      <c r="Y528" s="1130"/>
      <c r="Z528" s="1130"/>
    </row>
    <row r="529" spans="1:26" ht="15.75" customHeight="1">
      <c r="A529" s="1129"/>
      <c r="B529" s="1130"/>
      <c r="C529" s="1130"/>
      <c r="D529" s="1130"/>
      <c r="E529" s="1130"/>
      <c r="F529" s="1130"/>
      <c r="G529" s="1130"/>
      <c r="H529" s="1130"/>
      <c r="I529" s="1130"/>
      <c r="J529" s="1130"/>
      <c r="K529" s="1130"/>
      <c r="L529" s="1130"/>
      <c r="M529" s="1130"/>
      <c r="N529" s="1130"/>
      <c r="O529" s="1130"/>
      <c r="P529" s="1130"/>
      <c r="Q529" s="1130"/>
      <c r="R529" s="1130"/>
      <c r="S529" s="1130"/>
      <c r="T529" s="1130"/>
      <c r="U529" s="1130"/>
      <c r="V529" s="1130"/>
      <c r="W529" s="1130"/>
      <c r="X529" s="1130"/>
      <c r="Y529" s="1130"/>
      <c r="Z529" s="1130"/>
    </row>
    <row r="530" spans="1:26" ht="15.75" customHeight="1">
      <c r="A530" s="1129"/>
      <c r="B530" s="1130"/>
      <c r="C530" s="1130"/>
      <c r="D530" s="1130"/>
      <c r="E530" s="1130"/>
      <c r="F530" s="1130"/>
      <c r="G530" s="1130"/>
      <c r="H530" s="1130"/>
      <c r="I530" s="1130"/>
      <c r="J530" s="1130"/>
      <c r="K530" s="1130"/>
      <c r="L530" s="1130"/>
      <c r="M530" s="1130"/>
      <c r="N530" s="1130"/>
      <c r="O530" s="1130"/>
      <c r="P530" s="1130"/>
      <c r="Q530" s="1130"/>
      <c r="R530" s="1130"/>
      <c r="S530" s="1130"/>
      <c r="T530" s="1130"/>
      <c r="U530" s="1130"/>
      <c r="V530" s="1130"/>
      <c r="W530" s="1130"/>
      <c r="X530" s="1130"/>
      <c r="Y530" s="1130"/>
      <c r="Z530" s="1130"/>
    </row>
    <row r="531" spans="1:26" ht="15.75" customHeight="1">
      <c r="A531" s="1129"/>
      <c r="B531" s="1130"/>
      <c r="C531" s="1130"/>
      <c r="D531" s="1130"/>
      <c r="E531" s="1130"/>
      <c r="F531" s="1130"/>
      <c r="G531" s="1130"/>
      <c r="H531" s="1130"/>
      <c r="I531" s="1130"/>
      <c r="J531" s="1130"/>
      <c r="K531" s="1130"/>
      <c r="L531" s="1130"/>
      <c r="M531" s="1130"/>
      <c r="N531" s="1130"/>
      <c r="O531" s="1130"/>
      <c r="P531" s="1130"/>
      <c r="Q531" s="1130"/>
      <c r="R531" s="1130"/>
      <c r="S531" s="1130"/>
      <c r="T531" s="1130"/>
      <c r="U531" s="1130"/>
      <c r="V531" s="1130"/>
      <c r="W531" s="1130"/>
      <c r="X531" s="1130"/>
      <c r="Y531" s="1130"/>
      <c r="Z531" s="1130"/>
    </row>
    <row r="532" spans="1:26" ht="15.75" customHeight="1">
      <c r="A532" s="1129"/>
      <c r="B532" s="1130"/>
      <c r="C532" s="1130"/>
      <c r="D532" s="1130"/>
      <c r="E532" s="1130"/>
      <c r="F532" s="1130"/>
      <c r="G532" s="1130"/>
      <c r="H532" s="1130"/>
      <c r="I532" s="1130"/>
      <c r="J532" s="1130"/>
      <c r="K532" s="1130"/>
      <c r="L532" s="1130"/>
      <c r="M532" s="1130"/>
      <c r="N532" s="1130"/>
      <c r="O532" s="1130"/>
      <c r="P532" s="1130"/>
      <c r="Q532" s="1130"/>
      <c r="R532" s="1130"/>
      <c r="S532" s="1130"/>
      <c r="T532" s="1130"/>
      <c r="U532" s="1130"/>
      <c r="V532" s="1130"/>
      <c r="W532" s="1130"/>
      <c r="X532" s="1130"/>
      <c r="Y532" s="1130"/>
      <c r="Z532" s="1130"/>
    </row>
    <row r="533" spans="1:26" ht="15.75" customHeight="1">
      <c r="A533" s="1129"/>
      <c r="B533" s="1130"/>
      <c r="C533" s="1130"/>
      <c r="D533" s="1130"/>
      <c r="E533" s="1130"/>
      <c r="F533" s="1130"/>
      <c r="G533" s="1130"/>
      <c r="H533" s="1130"/>
      <c r="I533" s="1130"/>
      <c r="J533" s="1130"/>
      <c r="K533" s="1130"/>
      <c r="L533" s="1130"/>
      <c r="M533" s="1130"/>
      <c r="N533" s="1130"/>
      <c r="O533" s="1130"/>
      <c r="P533" s="1130"/>
      <c r="Q533" s="1130"/>
      <c r="R533" s="1130"/>
      <c r="S533" s="1130"/>
      <c r="T533" s="1130"/>
      <c r="U533" s="1130"/>
      <c r="V533" s="1130"/>
      <c r="W533" s="1130"/>
      <c r="X533" s="1130"/>
      <c r="Y533" s="1130"/>
      <c r="Z533" s="1130"/>
    </row>
    <row r="534" spans="1:26" ht="15.75" customHeight="1">
      <c r="A534" s="1129"/>
      <c r="B534" s="1130"/>
      <c r="C534" s="1130"/>
      <c r="D534" s="1130"/>
      <c r="E534" s="1130"/>
      <c r="F534" s="1130"/>
      <c r="G534" s="1130"/>
      <c r="H534" s="1130"/>
      <c r="I534" s="1130"/>
      <c r="J534" s="1130"/>
      <c r="K534" s="1130"/>
      <c r="L534" s="1130"/>
      <c r="M534" s="1130"/>
      <c r="N534" s="1130"/>
      <c r="O534" s="1130"/>
      <c r="P534" s="1130"/>
      <c r="Q534" s="1130"/>
      <c r="R534" s="1130"/>
      <c r="S534" s="1130"/>
      <c r="T534" s="1130"/>
      <c r="U534" s="1130"/>
      <c r="V534" s="1130"/>
      <c r="W534" s="1130"/>
      <c r="X534" s="1130"/>
      <c r="Y534" s="1130"/>
      <c r="Z534" s="1130"/>
    </row>
    <row r="535" spans="1:26" ht="15.75" customHeight="1">
      <c r="A535" s="1129"/>
      <c r="B535" s="1130"/>
      <c r="C535" s="1130"/>
      <c r="D535" s="1130"/>
      <c r="E535" s="1130"/>
      <c r="F535" s="1130"/>
      <c r="G535" s="1130"/>
      <c r="H535" s="1130"/>
      <c r="I535" s="1130"/>
      <c r="J535" s="1130"/>
      <c r="K535" s="1130"/>
      <c r="L535" s="1130"/>
      <c r="M535" s="1130"/>
      <c r="N535" s="1130"/>
      <c r="O535" s="1130"/>
      <c r="P535" s="1130"/>
      <c r="Q535" s="1130"/>
      <c r="R535" s="1130"/>
      <c r="S535" s="1130"/>
      <c r="T535" s="1130"/>
      <c r="U535" s="1130"/>
      <c r="V535" s="1130"/>
      <c r="W535" s="1130"/>
      <c r="X535" s="1130"/>
      <c r="Y535" s="1130"/>
      <c r="Z535" s="1130"/>
    </row>
    <row r="536" spans="1:26" ht="15.75" customHeight="1">
      <c r="A536" s="1129"/>
      <c r="B536" s="1130"/>
      <c r="C536" s="1130"/>
      <c r="D536" s="1130"/>
      <c r="E536" s="1130"/>
      <c r="F536" s="1130"/>
      <c r="G536" s="1130"/>
      <c r="H536" s="1130"/>
      <c r="I536" s="1130"/>
      <c r="J536" s="1130"/>
      <c r="K536" s="1130"/>
      <c r="L536" s="1130"/>
      <c r="M536" s="1130"/>
      <c r="N536" s="1130"/>
      <c r="O536" s="1130"/>
      <c r="P536" s="1130"/>
      <c r="Q536" s="1130"/>
      <c r="R536" s="1130"/>
      <c r="S536" s="1130"/>
      <c r="T536" s="1130"/>
      <c r="U536" s="1130"/>
      <c r="V536" s="1130"/>
      <c r="W536" s="1130"/>
      <c r="X536" s="1130"/>
      <c r="Y536" s="1130"/>
      <c r="Z536" s="1130"/>
    </row>
    <row r="537" spans="1:26" ht="15.75" customHeight="1">
      <c r="A537" s="1129"/>
      <c r="B537" s="1130"/>
      <c r="C537" s="1130"/>
      <c r="D537" s="1130"/>
      <c r="E537" s="1130"/>
      <c r="F537" s="1130"/>
      <c r="G537" s="1130"/>
      <c r="H537" s="1130"/>
      <c r="I537" s="1130"/>
      <c r="J537" s="1130"/>
      <c r="K537" s="1130"/>
      <c r="L537" s="1130"/>
      <c r="M537" s="1130"/>
      <c r="N537" s="1130"/>
      <c r="O537" s="1130"/>
      <c r="P537" s="1130"/>
      <c r="Q537" s="1130"/>
      <c r="R537" s="1130"/>
      <c r="S537" s="1130"/>
      <c r="T537" s="1130"/>
      <c r="U537" s="1130"/>
      <c r="V537" s="1130"/>
      <c r="W537" s="1130"/>
      <c r="X537" s="1130"/>
      <c r="Y537" s="1130"/>
      <c r="Z537" s="1130"/>
    </row>
    <row r="538" spans="1:26" ht="15.75" customHeight="1">
      <c r="A538" s="1129"/>
      <c r="B538" s="1130"/>
      <c r="C538" s="1130"/>
      <c r="D538" s="1130"/>
      <c r="E538" s="1130"/>
      <c r="F538" s="1130"/>
      <c r="G538" s="1130"/>
      <c r="H538" s="1130"/>
      <c r="I538" s="1130"/>
      <c r="J538" s="1130"/>
      <c r="K538" s="1130"/>
      <c r="L538" s="1130"/>
      <c r="M538" s="1130"/>
      <c r="N538" s="1130"/>
      <c r="O538" s="1130"/>
      <c r="P538" s="1130"/>
      <c r="Q538" s="1130"/>
      <c r="R538" s="1130"/>
      <c r="S538" s="1130"/>
      <c r="T538" s="1130"/>
      <c r="U538" s="1130"/>
      <c r="V538" s="1130"/>
      <c r="W538" s="1130"/>
      <c r="X538" s="1130"/>
      <c r="Y538" s="1130"/>
      <c r="Z538" s="1130"/>
    </row>
    <row r="539" spans="1:26" ht="15.75" customHeight="1">
      <c r="A539" s="1129"/>
      <c r="B539" s="1130"/>
      <c r="C539" s="1130"/>
      <c r="D539" s="1130"/>
      <c r="E539" s="1130"/>
      <c r="F539" s="1130"/>
      <c r="G539" s="1130"/>
      <c r="H539" s="1130"/>
      <c r="I539" s="1130"/>
      <c r="J539" s="1130"/>
      <c r="K539" s="1130"/>
      <c r="L539" s="1130"/>
      <c r="M539" s="1130"/>
      <c r="N539" s="1130"/>
      <c r="O539" s="1130"/>
      <c r="P539" s="1130"/>
      <c r="Q539" s="1130"/>
      <c r="R539" s="1130"/>
      <c r="S539" s="1130"/>
      <c r="T539" s="1130"/>
      <c r="U539" s="1130"/>
      <c r="V539" s="1130"/>
      <c r="W539" s="1130"/>
      <c r="X539" s="1130"/>
      <c r="Y539" s="1130"/>
      <c r="Z539" s="1130"/>
    </row>
    <row r="540" spans="1:26" ht="15.75" customHeight="1">
      <c r="A540" s="1129"/>
      <c r="B540" s="1130"/>
      <c r="C540" s="1130"/>
      <c r="D540" s="1130"/>
      <c r="E540" s="1130"/>
      <c r="F540" s="1130"/>
      <c r="G540" s="1130"/>
      <c r="H540" s="1130"/>
      <c r="I540" s="1130"/>
      <c r="J540" s="1130"/>
      <c r="K540" s="1130"/>
      <c r="L540" s="1130"/>
      <c r="M540" s="1130"/>
      <c r="N540" s="1130"/>
      <c r="O540" s="1130"/>
      <c r="P540" s="1130"/>
      <c r="Q540" s="1130"/>
      <c r="R540" s="1130"/>
      <c r="S540" s="1130"/>
      <c r="T540" s="1130"/>
      <c r="U540" s="1130"/>
      <c r="V540" s="1130"/>
      <c r="W540" s="1130"/>
      <c r="X540" s="1130"/>
      <c r="Y540" s="1130"/>
      <c r="Z540" s="1130"/>
    </row>
    <row r="541" spans="1:26" ht="15.75" customHeight="1">
      <c r="A541" s="1129"/>
      <c r="B541" s="1130"/>
      <c r="C541" s="1130"/>
      <c r="D541" s="1130"/>
      <c r="E541" s="1130"/>
      <c r="F541" s="1130"/>
      <c r="G541" s="1130"/>
      <c r="H541" s="1130"/>
      <c r="I541" s="1130"/>
      <c r="J541" s="1130"/>
      <c r="K541" s="1130"/>
      <c r="L541" s="1130"/>
      <c r="M541" s="1130"/>
      <c r="N541" s="1130"/>
      <c r="O541" s="1130"/>
      <c r="P541" s="1130"/>
      <c r="Q541" s="1130"/>
      <c r="R541" s="1130"/>
      <c r="S541" s="1130"/>
      <c r="T541" s="1130"/>
      <c r="U541" s="1130"/>
      <c r="V541" s="1130"/>
      <c r="W541" s="1130"/>
      <c r="X541" s="1130"/>
      <c r="Y541" s="1130"/>
      <c r="Z541" s="1130"/>
    </row>
    <row r="542" spans="1:26" ht="15.75" customHeight="1">
      <c r="A542" s="1129"/>
      <c r="B542" s="1130"/>
      <c r="C542" s="1130"/>
      <c r="D542" s="1130"/>
      <c r="E542" s="1130"/>
      <c r="F542" s="1130"/>
      <c r="G542" s="1130"/>
      <c r="H542" s="1130"/>
      <c r="I542" s="1130"/>
      <c r="J542" s="1130"/>
      <c r="K542" s="1130"/>
      <c r="L542" s="1130"/>
      <c r="M542" s="1130"/>
      <c r="N542" s="1130"/>
      <c r="O542" s="1130"/>
      <c r="P542" s="1130"/>
      <c r="Q542" s="1130"/>
      <c r="R542" s="1130"/>
      <c r="S542" s="1130"/>
      <c r="T542" s="1130"/>
      <c r="U542" s="1130"/>
      <c r="V542" s="1130"/>
      <c r="W542" s="1130"/>
      <c r="X542" s="1130"/>
      <c r="Y542" s="1130"/>
      <c r="Z542" s="1130"/>
    </row>
    <row r="543" spans="1:26" ht="15.75" customHeight="1">
      <c r="A543" s="1129"/>
      <c r="B543" s="1130"/>
      <c r="C543" s="1130"/>
      <c r="D543" s="1130"/>
      <c r="E543" s="1130"/>
      <c r="F543" s="1130"/>
      <c r="G543" s="1130"/>
      <c r="H543" s="1130"/>
      <c r="I543" s="1130"/>
      <c r="J543" s="1130"/>
      <c r="K543" s="1130"/>
      <c r="L543" s="1130"/>
      <c r="M543" s="1130"/>
      <c r="N543" s="1130"/>
      <c r="O543" s="1130"/>
      <c r="P543" s="1130"/>
      <c r="Q543" s="1130"/>
      <c r="R543" s="1130"/>
      <c r="S543" s="1130"/>
      <c r="T543" s="1130"/>
      <c r="U543" s="1130"/>
      <c r="V543" s="1130"/>
      <c r="W543" s="1130"/>
      <c r="X543" s="1130"/>
      <c r="Y543" s="1130"/>
      <c r="Z543" s="1130"/>
    </row>
    <row r="544" spans="1:26" ht="15.75" customHeight="1">
      <c r="A544" s="1129"/>
      <c r="B544" s="1130"/>
      <c r="C544" s="1130"/>
      <c r="D544" s="1130"/>
      <c r="E544" s="1130"/>
      <c r="F544" s="1130"/>
      <c r="G544" s="1130"/>
      <c r="H544" s="1130"/>
      <c r="I544" s="1130"/>
      <c r="J544" s="1130"/>
      <c r="K544" s="1130"/>
      <c r="L544" s="1130"/>
      <c r="M544" s="1130"/>
      <c r="N544" s="1130"/>
      <c r="O544" s="1130"/>
      <c r="P544" s="1130"/>
      <c r="Q544" s="1130"/>
      <c r="R544" s="1130"/>
      <c r="S544" s="1130"/>
      <c r="T544" s="1130"/>
      <c r="U544" s="1130"/>
      <c r="V544" s="1130"/>
      <c r="W544" s="1130"/>
      <c r="X544" s="1130"/>
      <c r="Y544" s="1130"/>
      <c r="Z544" s="1130"/>
    </row>
    <row r="545" spans="1:26" ht="15.75" customHeight="1">
      <c r="A545" s="1129"/>
      <c r="B545" s="1130"/>
      <c r="C545" s="1130"/>
      <c r="D545" s="1130"/>
      <c r="E545" s="1130"/>
      <c r="F545" s="1130"/>
      <c r="G545" s="1130"/>
      <c r="H545" s="1130"/>
      <c r="I545" s="1130"/>
      <c r="J545" s="1130"/>
      <c r="K545" s="1130"/>
      <c r="L545" s="1130"/>
      <c r="M545" s="1130"/>
      <c r="N545" s="1130"/>
      <c r="O545" s="1130"/>
      <c r="P545" s="1130"/>
      <c r="Q545" s="1130"/>
      <c r="R545" s="1130"/>
      <c r="S545" s="1130"/>
      <c r="T545" s="1130"/>
      <c r="U545" s="1130"/>
      <c r="V545" s="1130"/>
      <c r="W545" s="1130"/>
      <c r="X545" s="1130"/>
      <c r="Y545" s="1130"/>
      <c r="Z545" s="1130"/>
    </row>
    <row r="546" spans="1:26" ht="15.75" customHeight="1">
      <c r="A546" s="1129"/>
      <c r="B546" s="1130"/>
      <c r="C546" s="1130"/>
      <c r="D546" s="1130"/>
      <c r="E546" s="1130"/>
      <c r="F546" s="1130"/>
      <c r="G546" s="1130"/>
      <c r="H546" s="1130"/>
      <c r="I546" s="1130"/>
      <c r="J546" s="1130"/>
      <c r="K546" s="1130"/>
      <c r="L546" s="1130"/>
      <c r="M546" s="1130"/>
      <c r="N546" s="1130"/>
      <c r="O546" s="1130"/>
      <c r="P546" s="1130"/>
      <c r="Q546" s="1130"/>
      <c r="R546" s="1130"/>
      <c r="S546" s="1130"/>
      <c r="T546" s="1130"/>
      <c r="U546" s="1130"/>
      <c r="V546" s="1130"/>
      <c r="W546" s="1130"/>
      <c r="X546" s="1130"/>
      <c r="Y546" s="1130"/>
      <c r="Z546" s="1130"/>
    </row>
    <row r="547" spans="1:26" ht="15.75" customHeight="1">
      <c r="A547" s="1129"/>
      <c r="B547" s="1130"/>
      <c r="C547" s="1130"/>
      <c r="D547" s="1130"/>
      <c r="E547" s="1130"/>
      <c r="F547" s="1130"/>
      <c r="G547" s="1130"/>
      <c r="H547" s="1130"/>
      <c r="I547" s="1130"/>
      <c r="J547" s="1130"/>
      <c r="K547" s="1130"/>
      <c r="L547" s="1130"/>
      <c r="M547" s="1130"/>
      <c r="N547" s="1130"/>
      <c r="O547" s="1130"/>
      <c r="P547" s="1130"/>
      <c r="Q547" s="1130"/>
      <c r="R547" s="1130"/>
      <c r="S547" s="1130"/>
      <c r="T547" s="1130"/>
      <c r="U547" s="1130"/>
      <c r="V547" s="1130"/>
      <c r="W547" s="1130"/>
      <c r="X547" s="1130"/>
      <c r="Y547" s="1130"/>
      <c r="Z547" s="1130"/>
    </row>
    <row r="548" spans="1:26" ht="15.75" customHeight="1">
      <c r="A548" s="1129"/>
      <c r="B548" s="1130"/>
      <c r="C548" s="1130"/>
      <c r="D548" s="1130"/>
      <c r="E548" s="1130"/>
      <c r="F548" s="1130"/>
      <c r="G548" s="1130"/>
      <c r="H548" s="1130"/>
      <c r="I548" s="1130"/>
      <c r="J548" s="1130"/>
      <c r="K548" s="1130"/>
      <c r="L548" s="1130"/>
      <c r="M548" s="1130"/>
      <c r="N548" s="1130"/>
      <c r="O548" s="1130"/>
      <c r="P548" s="1130"/>
      <c r="Q548" s="1130"/>
      <c r="R548" s="1130"/>
      <c r="S548" s="1130"/>
      <c r="T548" s="1130"/>
      <c r="U548" s="1130"/>
      <c r="V548" s="1130"/>
      <c r="W548" s="1130"/>
      <c r="X548" s="1130"/>
      <c r="Y548" s="1130"/>
      <c r="Z548" s="1130"/>
    </row>
    <row r="549" spans="1:26" ht="15.75" customHeight="1">
      <c r="A549" s="1129"/>
      <c r="B549" s="1130"/>
      <c r="C549" s="1130"/>
      <c r="D549" s="1130"/>
      <c r="E549" s="1130"/>
      <c r="F549" s="1130"/>
      <c r="G549" s="1130"/>
      <c r="H549" s="1130"/>
      <c r="I549" s="1130"/>
      <c r="J549" s="1130"/>
      <c r="K549" s="1130"/>
      <c r="L549" s="1130"/>
      <c r="M549" s="1130"/>
      <c r="N549" s="1130"/>
      <c r="O549" s="1130"/>
      <c r="P549" s="1130"/>
      <c r="Q549" s="1130"/>
      <c r="R549" s="1130"/>
      <c r="S549" s="1130"/>
      <c r="T549" s="1130"/>
      <c r="U549" s="1130"/>
      <c r="V549" s="1130"/>
      <c r="W549" s="1130"/>
      <c r="X549" s="1130"/>
      <c r="Y549" s="1130"/>
      <c r="Z549" s="1130"/>
    </row>
    <row r="550" spans="1:26" ht="15.75" customHeight="1">
      <c r="A550" s="1129"/>
      <c r="B550" s="1130"/>
      <c r="C550" s="1130"/>
      <c r="D550" s="1130"/>
      <c r="E550" s="1130"/>
      <c r="F550" s="1130"/>
      <c r="G550" s="1130"/>
      <c r="H550" s="1130"/>
      <c r="I550" s="1130"/>
      <c r="J550" s="1130"/>
      <c r="K550" s="1130"/>
      <c r="L550" s="1130"/>
      <c r="M550" s="1130"/>
      <c r="N550" s="1130"/>
      <c r="O550" s="1130"/>
      <c r="P550" s="1130"/>
      <c r="Q550" s="1130"/>
      <c r="R550" s="1130"/>
      <c r="S550" s="1130"/>
      <c r="T550" s="1130"/>
      <c r="U550" s="1130"/>
      <c r="V550" s="1130"/>
      <c r="W550" s="1130"/>
      <c r="X550" s="1130"/>
      <c r="Y550" s="1130"/>
      <c r="Z550" s="1130"/>
    </row>
    <row r="551" spans="1:26" ht="15.75" customHeight="1">
      <c r="A551" s="1129"/>
      <c r="B551" s="1130"/>
      <c r="C551" s="1130"/>
      <c r="D551" s="1130"/>
      <c r="E551" s="1130"/>
      <c r="F551" s="1130"/>
      <c r="G551" s="1130"/>
      <c r="H551" s="1130"/>
      <c r="I551" s="1130"/>
      <c r="J551" s="1130"/>
      <c r="K551" s="1130"/>
      <c r="L551" s="1130"/>
      <c r="M551" s="1130"/>
      <c r="N551" s="1130"/>
      <c r="O551" s="1130"/>
      <c r="P551" s="1130"/>
      <c r="Q551" s="1130"/>
      <c r="R551" s="1130"/>
      <c r="S551" s="1130"/>
      <c r="T551" s="1130"/>
      <c r="U551" s="1130"/>
      <c r="V551" s="1130"/>
      <c r="W551" s="1130"/>
      <c r="X551" s="1130"/>
      <c r="Y551" s="1130"/>
      <c r="Z551" s="1130"/>
    </row>
    <row r="552" spans="1:26" ht="15.75" customHeight="1">
      <c r="A552" s="1129"/>
      <c r="B552" s="1130"/>
      <c r="C552" s="1130"/>
      <c r="D552" s="1130"/>
      <c r="E552" s="1130"/>
      <c r="F552" s="1130"/>
      <c r="G552" s="1130"/>
      <c r="H552" s="1130"/>
      <c r="I552" s="1130"/>
      <c r="J552" s="1130"/>
      <c r="K552" s="1130"/>
      <c r="L552" s="1130"/>
      <c r="M552" s="1130"/>
      <c r="N552" s="1130"/>
      <c r="O552" s="1130"/>
      <c r="P552" s="1130"/>
      <c r="Q552" s="1130"/>
      <c r="R552" s="1130"/>
      <c r="S552" s="1130"/>
      <c r="T552" s="1130"/>
      <c r="U552" s="1130"/>
      <c r="V552" s="1130"/>
      <c r="W552" s="1130"/>
      <c r="X552" s="1130"/>
      <c r="Y552" s="1130"/>
      <c r="Z552" s="1130"/>
    </row>
    <row r="553" spans="1:26" ht="15.75" customHeight="1">
      <c r="A553" s="1129"/>
      <c r="B553" s="1130"/>
      <c r="C553" s="1130"/>
      <c r="D553" s="1130"/>
      <c r="E553" s="1130"/>
      <c r="F553" s="1130"/>
      <c r="G553" s="1130"/>
      <c r="H553" s="1130"/>
      <c r="I553" s="1130"/>
      <c r="J553" s="1130"/>
      <c r="K553" s="1130"/>
      <c r="L553" s="1130"/>
      <c r="M553" s="1130"/>
      <c r="N553" s="1130"/>
      <c r="O553" s="1130"/>
      <c r="P553" s="1130"/>
      <c r="Q553" s="1130"/>
      <c r="R553" s="1130"/>
      <c r="S553" s="1130"/>
      <c r="T553" s="1130"/>
      <c r="U553" s="1130"/>
      <c r="V553" s="1130"/>
      <c r="W553" s="1130"/>
      <c r="X553" s="1130"/>
      <c r="Y553" s="1130"/>
      <c r="Z553" s="1130"/>
    </row>
    <row r="554" spans="1:26" ht="15.75" customHeight="1">
      <c r="A554" s="1129"/>
      <c r="B554" s="1130"/>
      <c r="C554" s="1130"/>
      <c r="D554" s="1130"/>
      <c r="E554" s="1130"/>
      <c r="F554" s="1130"/>
      <c r="G554" s="1130"/>
      <c r="H554" s="1130"/>
      <c r="I554" s="1130"/>
      <c r="J554" s="1130"/>
      <c r="K554" s="1130"/>
      <c r="L554" s="1130"/>
      <c r="M554" s="1130"/>
      <c r="N554" s="1130"/>
      <c r="O554" s="1130"/>
      <c r="P554" s="1130"/>
      <c r="Q554" s="1130"/>
      <c r="R554" s="1130"/>
      <c r="S554" s="1130"/>
      <c r="T554" s="1130"/>
      <c r="U554" s="1130"/>
      <c r="V554" s="1130"/>
      <c r="W554" s="1130"/>
      <c r="X554" s="1130"/>
      <c r="Y554" s="1130"/>
      <c r="Z554" s="1130"/>
    </row>
    <row r="555" spans="1:26" ht="15.75" customHeight="1">
      <c r="A555" s="1129"/>
      <c r="B555" s="1130"/>
      <c r="C555" s="1130"/>
      <c r="D555" s="1130"/>
      <c r="E555" s="1130"/>
      <c r="F555" s="1130"/>
      <c r="G555" s="1130"/>
      <c r="H555" s="1130"/>
      <c r="I555" s="1130"/>
      <c r="J555" s="1130"/>
      <c r="K555" s="1130"/>
      <c r="L555" s="1130"/>
      <c r="M555" s="1130"/>
      <c r="N555" s="1130"/>
      <c r="O555" s="1130"/>
      <c r="P555" s="1130"/>
      <c r="Q555" s="1130"/>
      <c r="R555" s="1130"/>
      <c r="S555" s="1130"/>
      <c r="T555" s="1130"/>
      <c r="U555" s="1130"/>
      <c r="V555" s="1130"/>
      <c r="W555" s="1130"/>
      <c r="X555" s="1130"/>
      <c r="Y555" s="1130"/>
      <c r="Z555" s="1130"/>
    </row>
    <row r="556" spans="1:26" ht="15.75" customHeight="1">
      <c r="A556" s="1129"/>
      <c r="B556" s="1130"/>
      <c r="C556" s="1130"/>
      <c r="D556" s="1130"/>
      <c r="E556" s="1130"/>
      <c r="F556" s="1130"/>
      <c r="G556" s="1130"/>
      <c r="H556" s="1130"/>
      <c r="I556" s="1130"/>
      <c r="J556" s="1130"/>
      <c r="K556" s="1130"/>
      <c r="L556" s="1130"/>
      <c r="M556" s="1130"/>
      <c r="N556" s="1130"/>
      <c r="O556" s="1130"/>
      <c r="P556" s="1130"/>
      <c r="Q556" s="1130"/>
      <c r="R556" s="1130"/>
      <c r="S556" s="1130"/>
      <c r="T556" s="1130"/>
      <c r="U556" s="1130"/>
      <c r="V556" s="1130"/>
      <c r="W556" s="1130"/>
      <c r="X556" s="1130"/>
      <c r="Y556" s="1130"/>
      <c r="Z556" s="1130"/>
    </row>
    <row r="557" spans="1:26" ht="15.75" customHeight="1">
      <c r="A557" s="1129"/>
      <c r="B557" s="1130"/>
      <c r="C557" s="1130"/>
      <c r="D557" s="1130"/>
      <c r="E557" s="1130"/>
      <c r="F557" s="1130"/>
      <c r="G557" s="1130"/>
      <c r="H557" s="1130"/>
      <c r="I557" s="1130"/>
      <c r="J557" s="1130"/>
      <c r="K557" s="1130"/>
      <c r="L557" s="1130"/>
      <c r="M557" s="1130"/>
      <c r="N557" s="1130"/>
      <c r="O557" s="1130"/>
      <c r="P557" s="1130"/>
      <c r="Q557" s="1130"/>
      <c r="R557" s="1130"/>
      <c r="S557" s="1130"/>
      <c r="T557" s="1130"/>
      <c r="U557" s="1130"/>
      <c r="V557" s="1130"/>
      <c r="W557" s="1130"/>
      <c r="X557" s="1130"/>
      <c r="Y557" s="1130"/>
      <c r="Z557" s="1130"/>
    </row>
    <row r="558" spans="1:26" ht="15.75" customHeight="1">
      <c r="A558" s="1129"/>
      <c r="B558" s="1130"/>
      <c r="C558" s="1130"/>
      <c r="D558" s="1130"/>
      <c r="E558" s="1130"/>
      <c r="F558" s="1130"/>
      <c r="G558" s="1130"/>
      <c r="H558" s="1130"/>
      <c r="I558" s="1130"/>
      <c r="J558" s="1130"/>
      <c r="K558" s="1130"/>
      <c r="L558" s="1130"/>
      <c r="M558" s="1130"/>
      <c r="N558" s="1130"/>
      <c r="O558" s="1130"/>
      <c r="P558" s="1130"/>
      <c r="Q558" s="1130"/>
      <c r="R558" s="1130"/>
      <c r="S558" s="1130"/>
      <c r="T558" s="1130"/>
      <c r="U558" s="1130"/>
      <c r="V558" s="1130"/>
      <c r="W558" s="1130"/>
      <c r="X558" s="1130"/>
      <c r="Y558" s="1130"/>
      <c r="Z558" s="1130"/>
    </row>
    <row r="559" spans="1:26" ht="15.75" customHeight="1">
      <c r="A559" s="1129"/>
      <c r="B559" s="1130"/>
      <c r="C559" s="1130"/>
      <c r="D559" s="1130"/>
      <c r="E559" s="1130"/>
      <c r="F559" s="1130"/>
      <c r="G559" s="1130"/>
      <c r="H559" s="1130"/>
      <c r="I559" s="1130"/>
      <c r="J559" s="1130"/>
      <c r="K559" s="1130"/>
      <c r="L559" s="1130"/>
      <c r="M559" s="1130"/>
      <c r="N559" s="1130"/>
      <c r="O559" s="1130"/>
      <c r="P559" s="1130"/>
      <c r="Q559" s="1130"/>
      <c r="R559" s="1130"/>
      <c r="S559" s="1130"/>
      <c r="T559" s="1130"/>
      <c r="U559" s="1130"/>
      <c r="V559" s="1130"/>
      <c r="W559" s="1130"/>
      <c r="X559" s="1130"/>
      <c r="Y559" s="1130"/>
      <c r="Z559" s="1130"/>
    </row>
    <row r="560" spans="1:26" ht="15.75" customHeight="1">
      <c r="A560" s="1129"/>
      <c r="B560" s="1130"/>
      <c r="C560" s="1130"/>
      <c r="D560" s="1130"/>
      <c r="E560" s="1130"/>
      <c r="F560" s="1130"/>
      <c r="G560" s="1130"/>
      <c r="H560" s="1130"/>
      <c r="I560" s="1130"/>
      <c r="J560" s="1130"/>
      <c r="K560" s="1130"/>
      <c r="L560" s="1130"/>
      <c r="M560" s="1130"/>
      <c r="N560" s="1130"/>
      <c r="O560" s="1130"/>
      <c r="P560" s="1130"/>
      <c r="Q560" s="1130"/>
      <c r="R560" s="1130"/>
      <c r="S560" s="1130"/>
      <c r="T560" s="1130"/>
      <c r="U560" s="1130"/>
      <c r="V560" s="1130"/>
      <c r="W560" s="1130"/>
      <c r="X560" s="1130"/>
      <c r="Y560" s="1130"/>
      <c r="Z560" s="1130"/>
    </row>
    <row r="561" spans="1:26" ht="15.75" customHeight="1">
      <c r="A561" s="1129"/>
      <c r="B561" s="1130"/>
      <c r="C561" s="1130"/>
      <c r="D561" s="1130"/>
      <c r="E561" s="1130"/>
      <c r="F561" s="1130"/>
      <c r="G561" s="1130"/>
      <c r="H561" s="1130"/>
      <c r="I561" s="1130"/>
      <c r="J561" s="1130"/>
      <c r="K561" s="1130"/>
      <c r="L561" s="1130"/>
      <c r="M561" s="1130"/>
      <c r="N561" s="1130"/>
      <c r="O561" s="1130"/>
      <c r="P561" s="1130"/>
      <c r="Q561" s="1130"/>
      <c r="R561" s="1130"/>
      <c r="S561" s="1130"/>
      <c r="T561" s="1130"/>
      <c r="U561" s="1130"/>
      <c r="V561" s="1130"/>
      <c r="W561" s="1130"/>
      <c r="X561" s="1130"/>
      <c r="Y561" s="1130"/>
      <c r="Z561" s="1130"/>
    </row>
    <row r="562" spans="1:26" ht="15.75" customHeight="1">
      <c r="A562" s="1129"/>
      <c r="B562" s="1130"/>
      <c r="C562" s="1130"/>
      <c r="D562" s="1130"/>
      <c r="E562" s="1130"/>
      <c r="F562" s="1130"/>
      <c r="G562" s="1130"/>
      <c r="H562" s="1130"/>
      <c r="I562" s="1130"/>
      <c r="J562" s="1130"/>
      <c r="K562" s="1130"/>
      <c r="L562" s="1130"/>
      <c r="M562" s="1130"/>
      <c r="N562" s="1130"/>
      <c r="O562" s="1130"/>
      <c r="P562" s="1130"/>
      <c r="Q562" s="1130"/>
      <c r="R562" s="1130"/>
      <c r="S562" s="1130"/>
      <c r="T562" s="1130"/>
      <c r="U562" s="1130"/>
      <c r="V562" s="1130"/>
      <c r="W562" s="1130"/>
      <c r="X562" s="1130"/>
      <c r="Y562" s="1130"/>
      <c r="Z562" s="1130"/>
    </row>
    <row r="563" spans="1:26" ht="15.75" customHeight="1">
      <c r="A563" s="1129"/>
      <c r="B563" s="1130"/>
      <c r="C563" s="1130"/>
      <c r="D563" s="1130"/>
      <c r="E563" s="1130"/>
      <c r="F563" s="1130"/>
      <c r="G563" s="1130"/>
      <c r="H563" s="1130"/>
      <c r="I563" s="1130"/>
      <c r="J563" s="1130"/>
      <c r="K563" s="1130"/>
      <c r="L563" s="1130"/>
      <c r="M563" s="1130"/>
      <c r="N563" s="1130"/>
      <c r="O563" s="1130"/>
      <c r="P563" s="1130"/>
      <c r="Q563" s="1130"/>
      <c r="R563" s="1130"/>
      <c r="S563" s="1130"/>
      <c r="T563" s="1130"/>
      <c r="U563" s="1130"/>
      <c r="V563" s="1130"/>
      <c r="W563" s="1130"/>
      <c r="X563" s="1130"/>
      <c r="Y563" s="1130"/>
      <c r="Z563" s="1130"/>
    </row>
    <row r="564" spans="1:26" ht="15.75" customHeight="1">
      <c r="A564" s="1129"/>
      <c r="B564" s="1130"/>
      <c r="C564" s="1130"/>
      <c r="D564" s="1130"/>
      <c r="E564" s="1130"/>
      <c r="F564" s="1130"/>
      <c r="G564" s="1130"/>
      <c r="H564" s="1130"/>
      <c r="I564" s="1130"/>
      <c r="J564" s="1130"/>
      <c r="K564" s="1130"/>
      <c r="L564" s="1130"/>
      <c r="M564" s="1130"/>
      <c r="N564" s="1130"/>
      <c r="O564" s="1130"/>
      <c r="P564" s="1130"/>
      <c r="Q564" s="1130"/>
      <c r="R564" s="1130"/>
      <c r="S564" s="1130"/>
      <c r="T564" s="1130"/>
      <c r="U564" s="1130"/>
      <c r="V564" s="1130"/>
      <c r="W564" s="1130"/>
      <c r="X564" s="1130"/>
      <c r="Y564" s="1130"/>
      <c r="Z564" s="1130"/>
    </row>
    <row r="565" spans="1:26" ht="15.75" customHeight="1">
      <c r="A565" s="1129"/>
      <c r="B565" s="1130"/>
      <c r="C565" s="1130"/>
      <c r="D565" s="1130"/>
      <c r="E565" s="1130"/>
      <c r="F565" s="1130"/>
      <c r="G565" s="1130"/>
      <c r="H565" s="1130"/>
      <c r="I565" s="1130"/>
      <c r="J565" s="1130"/>
      <c r="K565" s="1130"/>
      <c r="L565" s="1130"/>
      <c r="M565" s="1130"/>
      <c r="N565" s="1130"/>
      <c r="O565" s="1130"/>
      <c r="P565" s="1130"/>
      <c r="Q565" s="1130"/>
      <c r="R565" s="1130"/>
      <c r="S565" s="1130"/>
      <c r="T565" s="1130"/>
      <c r="U565" s="1130"/>
      <c r="V565" s="1130"/>
      <c r="W565" s="1130"/>
      <c r="X565" s="1130"/>
      <c r="Y565" s="1130"/>
      <c r="Z565" s="1130"/>
    </row>
    <row r="566" spans="1:26" ht="15.75" customHeight="1">
      <c r="A566" s="1129"/>
      <c r="B566" s="1130"/>
      <c r="C566" s="1130"/>
      <c r="D566" s="1130"/>
      <c r="E566" s="1130"/>
      <c r="F566" s="1130"/>
      <c r="G566" s="1130"/>
      <c r="H566" s="1130"/>
      <c r="I566" s="1130"/>
      <c r="J566" s="1130"/>
      <c r="K566" s="1130"/>
      <c r="L566" s="1130"/>
      <c r="M566" s="1130"/>
      <c r="N566" s="1130"/>
      <c r="O566" s="1130"/>
      <c r="P566" s="1130"/>
      <c r="Q566" s="1130"/>
      <c r="R566" s="1130"/>
      <c r="S566" s="1130"/>
      <c r="T566" s="1130"/>
      <c r="U566" s="1130"/>
      <c r="V566" s="1130"/>
      <c r="W566" s="1130"/>
      <c r="X566" s="1130"/>
      <c r="Y566" s="1130"/>
      <c r="Z566" s="1130"/>
    </row>
    <row r="567" spans="1:26" ht="15.75" customHeight="1">
      <c r="A567" s="1129"/>
      <c r="B567" s="1130"/>
      <c r="C567" s="1130"/>
      <c r="D567" s="1130"/>
      <c r="E567" s="1130"/>
      <c r="F567" s="1130"/>
      <c r="G567" s="1130"/>
      <c r="H567" s="1130"/>
      <c r="I567" s="1130"/>
      <c r="J567" s="1130"/>
      <c r="K567" s="1130"/>
      <c r="L567" s="1130"/>
      <c r="M567" s="1130"/>
      <c r="N567" s="1130"/>
      <c r="O567" s="1130"/>
      <c r="P567" s="1130"/>
      <c r="Q567" s="1130"/>
      <c r="R567" s="1130"/>
      <c r="S567" s="1130"/>
      <c r="T567" s="1130"/>
      <c r="U567" s="1130"/>
      <c r="V567" s="1130"/>
      <c r="W567" s="1130"/>
      <c r="X567" s="1130"/>
      <c r="Y567" s="1130"/>
      <c r="Z567" s="1130"/>
    </row>
    <row r="568" spans="1:26" ht="15.75" customHeight="1">
      <c r="A568" s="1129"/>
      <c r="B568" s="1130"/>
      <c r="C568" s="1130"/>
      <c r="D568" s="1130"/>
      <c r="E568" s="1130"/>
      <c r="F568" s="1130"/>
      <c r="G568" s="1130"/>
      <c r="H568" s="1130"/>
      <c r="I568" s="1130"/>
      <c r="J568" s="1130"/>
      <c r="K568" s="1130"/>
      <c r="L568" s="1130"/>
      <c r="M568" s="1130"/>
      <c r="N568" s="1130"/>
      <c r="O568" s="1130"/>
      <c r="P568" s="1130"/>
      <c r="Q568" s="1130"/>
      <c r="R568" s="1130"/>
      <c r="S568" s="1130"/>
      <c r="T568" s="1130"/>
      <c r="U568" s="1130"/>
      <c r="V568" s="1130"/>
      <c r="W568" s="1130"/>
      <c r="X568" s="1130"/>
      <c r="Y568" s="1130"/>
      <c r="Z568" s="1130"/>
    </row>
    <row r="569" spans="1:26" ht="15.75" customHeight="1">
      <c r="A569" s="1129"/>
      <c r="B569" s="1130"/>
      <c r="C569" s="1130"/>
      <c r="D569" s="1130"/>
      <c r="E569" s="1130"/>
      <c r="F569" s="1130"/>
      <c r="G569" s="1130"/>
      <c r="H569" s="1130"/>
      <c r="I569" s="1130"/>
      <c r="J569" s="1130"/>
      <c r="K569" s="1130"/>
      <c r="L569" s="1130"/>
      <c r="M569" s="1130"/>
      <c r="N569" s="1130"/>
      <c r="O569" s="1130"/>
      <c r="P569" s="1130"/>
      <c r="Q569" s="1130"/>
      <c r="R569" s="1130"/>
      <c r="S569" s="1130"/>
      <c r="T569" s="1130"/>
      <c r="U569" s="1130"/>
      <c r="V569" s="1130"/>
      <c r="W569" s="1130"/>
      <c r="X569" s="1130"/>
      <c r="Y569" s="1130"/>
      <c r="Z569" s="1130"/>
    </row>
    <row r="570" spans="1:26" ht="15.75" customHeight="1">
      <c r="A570" s="1129"/>
      <c r="B570" s="1130"/>
      <c r="C570" s="1130"/>
      <c r="D570" s="1130"/>
      <c r="E570" s="1130"/>
      <c r="F570" s="1130"/>
      <c r="G570" s="1130"/>
      <c r="H570" s="1130"/>
      <c r="I570" s="1130"/>
      <c r="J570" s="1130"/>
      <c r="K570" s="1130"/>
      <c r="L570" s="1130"/>
      <c r="M570" s="1130"/>
      <c r="N570" s="1130"/>
      <c r="O570" s="1130"/>
      <c r="P570" s="1130"/>
      <c r="Q570" s="1130"/>
      <c r="R570" s="1130"/>
      <c r="S570" s="1130"/>
      <c r="T570" s="1130"/>
      <c r="U570" s="1130"/>
      <c r="V570" s="1130"/>
      <c r="W570" s="1130"/>
      <c r="X570" s="1130"/>
      <c r="Y570" s="1130"/>
      <c r="Z570" s="1130"/>
    </row>
    <row r="571" spans="1:26" ht="15.75" customHeight="1">
      <c r="A571" s="1129"/>
      <c r="B571" s="1130"/>
      <c r="C571" s="1130"/>
      <c r="D571" s="1130"/>
      <c r="E571" s="1130"/>
      <c r="F571" s="1130"/>
      <c r="G571" s="1130"/>
      <c r="H571" s="1130"/>
      <c r="I571" s="1130"/>
      <c r="J571" s="1130"/>
      <c r="K571" s="1130"/>
      <c r="L571" s="1130"/>
      <c r="M571" s="1130"/>
      <c r="N571" s="1130"/>
      <c r="O571" s="1130"/>
      <c r="P571" s="1130"/>
      <c r="Q571" s="1130"/>
      <c r="R571" s="1130"/>
      <c r="S571" s="1130"/>
      <c r="T571" s="1130"/>
      <c r="U571" s="1130"/>
      <c r="V571" s="1130"/>
      <c r="W571" s="1130"/>
      <c r="X571" s="1130"/>
      <c r="Y571" s="1130"/>
      <c r="Z571" s="1130"/>
    </row>
    <row r="572" spans="1:26" ht="15.75" customHeight="1">
      <c r="A572" s="1129"/>
      <c r="B572" s="1130"/>
      <c r="C572" s="1130"/>
      <c r="D572" s="1130"/>
      <c r="E572" s="1130"/>
      <c r="F572" s="1130"/>
      <c r="G572" s="1130"/>
      <c r="H572" s="1130"/>
      <c r="I572" s="1130"/>
      <c r="J572" s="1130"/>
      <c r="K572" s="1130"/>
      <c r="L572" s="1130"/>
      <c r="M572" s="1130"/>
      <c r="N572" s="1130"/>
      <c r="O572" s="1130"/>
      <c r="P572" s="1130"/>
      <c r="Q572" s="1130"/>
      <c r="R572" s="1130"/>
      <c r="S572" s="1130"/>
      <c r="T572" s="1130"/>
      <c r="U572" s="1130"/>
      <c r="V572" s="1130"/>
      <c r="W572" s="1130"/>
      <c r="X572" s="1130"/>
      <c r="Y572" s="1130"/>
      <c r="Z572" s="1130"/>
    </row>
    <row r="573" spans="1:26" ht="15.75" customHeight="1">
      <c r="A573" s="1129"/>
      <c r="B573" s="1130"/>
      <c r="C573" s="1130"/>
      <c r="D573" s="1130"/>
      <c r="E573" s="1130"/>
      <c r="F573" s="1130"/>
      <c r="G573" s="1130"/>
      <c r="H573" s="1130"/>
      <c r="I573" s="1130"/>
      <c r="J573" s="1130"/>
      <c r="K573" s="1130"/>
      <c r="L573" s="1130"/>
      <c r="M573" s="1130"/>
      <c r="N573" s="1130"/>
      <c r="O573" s="1130"/>
      <c r="P573" s="1130"/>
      <c r="Q573" s="1130"/>
      <c r="R573" s="1130"/>
      <c r="S573" s="1130"/>
      <c r="T573" s="1130"/>
      <c r="U573" s="1130"/>
      <c r="V573" s="1130"/>
      <c r="W573" s="1130"/>
      <c r="X573" s="1130"/>
      <c r="Y573" s="1130"/>
      <c r="Z573" s="1130"/>
    </row>
    <row r="574" spans="1:26" ht="15.75" customHeight="1">
      <c r="A574" s="1129"/>
      <c r="B574" s="1130"/>
      <c r="C574" s="1130"/>
      <c r="D574" s="1130"/>
      <c r="E574" s="1130"/>
      <c r="F574" s="1130"/>
      <c r="G574" s="1130"/>
      <c r="H574" s="1130"/>
      <c r="I574" s="1130"/>
      <c r="J574" s="1130"/>
      <c r="K574" s="1130"/>
      <c r="L574" s="1130"/>
      <c r="M574" s="1130"/>
      <c r="N574" s="1130"/>
      <c r="O574" s="1130"/>
      <c r="P574" s="1130"/>
      <c r="Q574" s="1130"/>
      <c r="R574" s="1130"/>
      <c r="S574" s="1130"/>
      <c r="T574" s="1130"/>
      <c r="U574" s="1130"/>
      <c r="V574" s="1130"/>
      <c r="W574" s="1130"/>
      <c r="X574" s="1130"/>
      <c r="Y574" s="1130"/>
      <c r="Z574" s="1130"/>
    </row>
    <row r="575" spans="1:26" ht="15.75" customHeight="1">
      <c r="A575" s="1129"/>
      <c r="B575" s="1130"/>
      <c r="C575" s="1130"/>
      <c r="D575" s="1130"/>
      <c r="E575" s="1130"/>
      <c r="F575" s="1130"/>
      <c r="G575" s="1130"/>
      <c r="H575" s="1130"/>
      <c r="I575" s="1130"/>
      <c r="J575" s="1130"/>
      <c r="K575" s="1130"/>
      <c r="L575" s="1130"/>
      <c r="M575" s="1130"/>
      <c r="N575" s="1130"/>
      <c r="O575" s="1130"/>
      <c r="P575" s="1130"/>
      <c r="Q575" s="1130"/>
      <c r="R575" s="1130"/>
      <c r="S575" s="1130"/>
      <c r="T575" s="1130"/>
      <c r="U575" s="1130"/>
      <c r="V575" s="1130"/>
      <c r="W575" s="1130"/>
      <c r="X575" s="1130"/>
      <c r="Y575" s="1130"/>
      <c r="Z575" s="1130"/>
    </row>
    <row r="576" spans="1:26" ht="15.75" customHeight="1">
      <c r="A576" s="1129"/>
      <c r="B576" s="1130"/>
      <c r="C576" s="1130"/>
      <c r="D576" s="1130"/>
      <c r="E576" s="1130"/>
      <c r="F576" s="1130"/>
      <c r="G576" s="1130"/>
      <c r="H576" s="1130"/>
      <c r="I576" s="1130"/>
      <c r="J576" s="1130"/>
      <c r="K576" s="1130"/>
      <c r="L576" s="1130"/>
      <c r="M576" s="1130"/>
      <c r="N576" s="1130"/>
      <c r="O576" s="1130"/>
      <c r="P576" s="1130"/>
      <c r="Q576" s="1130"/>
      <c r="R576" s="1130"/>
      <c r="S576" s="1130"/>
      <c r="T576" s="1130"/>
      <c r="U576" s="1130"/>
      <c r="V576" s="1130"/>
      <c r="W576" s="1130"/>
      <c r="X576" s="1130"/>
      <c r="Y576" s="1130"/>
      <c r="Z576" s="1130"/>
    </row>
    <row r="577" spans="1:26" ht="15.75" customHeight="1">
      <c r="A577" s="1129"/>
      <c r="B577" s="1130"/>
      <c r="C577" s="1130"/>
      <c r="D577" s="1130"/>
      <c r="E577" s="1130"/>
      <c r="F577" s="1130"/>
      <c r="G577" s="1130"/>
      <c r="H577" s="1130"/>
      <c r="I577" s="1130"/>
      <c r="J577" s="1130"/>
      <c r="K577" s="1130"/>
      <c r="L577" s="1130"/>
      <c r="M577" s="1130"/>
      <c r="N577" s="1130"/>
      <c r="O577" s="1130"/>
      <c r="P577" s="1130"/>
      <c r="Q577" s="1130"/>
      <c r="R577" s="1130"/>
      <c r="S577" s="1130"/>
      <c r="T577" s="1130"/>
      <c r="U577" s="1130"/>
      <c r="V577" s="1130"/>
      <c r="W577" s="1130"/>
      <c r="X577" s="1130"/>
      <c r="Y577" s="1130"/>
      <c r="Z577" s="1130"/>
    </row>
    <row r="578" spans="1:26" ht="15.75" customHeight="1">
      <c r="A578" s="1129"/>
      <c r="B578" s="1130"/>
      <c r="C578" s="1130"/>
      <c r="D578" s="1130"/>
      <c r="E578" s="1130"/>
      <c r="F578" s="1130"/>
      <c r="G578" s="1130"/>
      <c r="H578" s="1130"/>
      <c r="I578" s="1130"/>
      <c r="J578" s="1130"/>
      <c r="K578" s="1130"/>
      <c r="L578" s="1130"/>
      <c r="M578" s="1130"/>
      <c r="N578" s="1130"/>
      <c r="O578" s="1130"/>
      <c r="P578" s="1130"/>
      <c r="Q578" s="1130"/>
      <c r="R578" s="1130"/>
      <c r="S578" s="1130"/>
      <c r="T578" s="1130"/>
      <c r="U578" s="1130"/>
      <c r="V578" s="1130"/>
      <c r="W578" s="1130"/>
      <c r="X578" s="1130"/>
      <c r="Y578" s="1130"/>
      <c r="Z578" s="1130"/>
    </row>
    <row r="579" spans="1:26" ht="15.75" customHeight="1">
      <c r="A579" s="1129"/>
      <c r="B579" s="1130"/>
      <c r="C579" s="1130"/>
      <c r="D579" s="1130"/>
      <c r="E579" s="1130"/>
      <c r="F579" s="1130"/>
      <c r="G579" s="1130"/>
      <c r="H579" s="1130"/>
      <c r="I579" s="1130"/>
      <c r="J579" s="1130"/>
      <c r="K579" s="1130"/>
      <c r="L579" s="1130"/>
      <c r="M579" s="1130"/>
      <c r="N579" s="1130"/>
      <c r="O579" s="1130"/>
      <c r="P579" s="1130"/>
      <c r="Q579" s="1130"/>
      <c r="R579" s="1130"/>
      <c r="S579" s="1130"/>
      <c r="T579" s="1130"/>
      <c r="U579" s="1130"/>
      <c r="V579" s="1130"/>
      <c r="W579" s="1130"/>
      <c r="X579" s="1130"/>
      <c r="Y579" s="1130"/>
      <c r="Z579" s="1130"/>
    </row>
    <row r="580" spans="1:26" ht="15.75" customHeight="1">
      <c r="A580" s="1129"/>
      <c r="B580" s="1130"/>
      <c r="C580" s="1130"/>
      <c r="D580" s="1130"/>
      <c r="E580" s="1130"/>
      <c r="F580" s="1130"/>
      <c r="G580" s="1130"/>
      <c r="H580" s="1130"/>
      <c r="I580" s="1130"/>
      <c r="J580" s="1130"/>
      <c r="K580" s="1130"/>
      <c r="L580" s="1130"/>
      <c r="M580" s="1130"/>
      <c r="N580" s="1130"/>
      <c r="O580" s="1130"/>
      <c r="P580" s="1130"/>
      <c r="Q580" s="1130"/>
      <c r="R580" s="1130"/>
      <c r="S580" s="1130"/>
      <c r="T580" s="1130"/>
      <c r="U580" s="1130"/>
      <c r="V580" s="1130"/>
      <c r="W580" s="1130"/>
      <c r="X580" s="1130"/>
      <c r="Y580" s="1130"/>
      <c r="Z580" s="1130"/>
    </row>
    <row r="581" spans="1:26" ht="15.75" customHeight="1">
      <c r="A581" s="1129"/>
      <c r="B581" s="1130"/>
      <c r="C581" s="1130"/>
      <c r="D581" s="1130"/>
      <c r="E581" s="1130"/>
      <c r="F581" s="1130"/>
      <c r="G581" s="1130"/>
      <c r="H581" s="1130"/>
      <c r="I581" s="1130"/>
      <c r="J581" s="1130"/>
      <c r="K581" s="1130"/>
      <c r="L581" s="1130"/>
      <c r="M581" s="1130"/>
      <c r="N581" s="1130"/>
      <c r="O581" s="1130"/>
      <c r="P581" s="1130"/>
      <c r="Q581" s="1130"/>
      <c r="R581" s="1130"/>
      <c r="S581" s="1130"/>
      <c r="T581" s="1130"/>
      <c r="U581" s="1130"/>
      <c r="V581" s="1130"/>
      <c r="W581" s="1130"/>
      <c r="X581" s="1130"/>
      <c r="Y581" s="1130"/>
      <c r="Z581" s="1130"/>
    </row>
    <row r="582" spans="1:26" ht="15.75" customHeight="1">
      <c r="A582" s="1129"/>
      <c r="B582" s="1130"/>
      <c r="C582" s="1130"/>
      <c r="D582" s="1130"/>
      <c r="E582" s="1130"/>
      <c r="F582" s="1130"/>
      <c r="G582" s="1130"/>
      <c r="H582" s="1130"/>
      <c r="I582" s="1130"/>
      <c r="J582" s="1130"/>
      <c r="K582" s="1130"/>
      <c r="L582" s="1130"/>
      <c r="M582" s="1130"/>
      <c r="N582" s="1130"/>
      <c r="O582" s="1130"/>
      <c r="P582" s="1130"/>
      <c r="Q582" s="1130"/>
      <c r="R582" s="1130"/>
      <c r="S582" s="1130"/>
      <c r="T582" s="1130"/>
      <c r="U582" s="1130"/>
      <c r="V582" s="1130"/>
      <c r="W582" s="1130"/>
      <c r="X582" s="1130"/>
      <c r="Y582" s="1130"/>
      <c r="Z582" s="1130"/>
    </row>
    <row r="583" spans="1:26" ht="15.75" customHeight="1">
      <c r="A583" s="1129"/>
      <c r="B583" s="1130"/>
      <c r="C583" s="1130"/>
      <c r="D583" s="1130"/>
      <c r="E583" s="1130"/>
      <c r="F583" s="1130"/>
      <c r="G583" s="1130"/>
      <c r="H583" s="1130"/>
      <c r="I583" s="1130"/>
      <c r="J583" s="1130"/>
      <c r="K583" s="1130"/>
      <c r="L583" s="1130"/>
      <c r="M583" s="1130"/>
      <c r="N583" s="1130"/>
      <c r="O583" s="1130"/>
      <c r="P583" s="1130"/>
      <c r="Q583" s="1130"/>
      <c r="R583" s="1130"/>
      <c r="S583" s="1130"/>
      <c r="T583" s="1130"/>
      <c r="U583" s="1130"/>
      <c r="V583" s="1130"/>
      <c r="W583" s="1130"/>
      <c r="X583" s="1130"/>
      <c r="Y583" s="1130"/>
      <c r="Z583" s="1130"/>
    </row>
    <row r="584" spans="1:26" ht="15.75" customHeight="1">
      <c r="A584" s="1129"/>
      <c r="B584" s="1130"/>
      <c r="C584" s="1130"/>
      <c r="D584" s="1130"/>
      <c r="E584" s="1130"/>
      <c r="F584" s="1130"/>
      <c r="G584" s="1130"/>
      <c r="H584" s="1130"/>
      <c r="I584" s="1130"/>
      <c r="J584" s="1130"/>
      <c r="K584" s="1130"/>
      <c r="L584" s="1130"/>
      <c r="M584" s="1130"/>
      <c r="N584" s="1130"/>
      <c r="O584" s="1130"/>
      <c r="P584" s="1130"/>
      <c r="Q584" s="1130"/>
      <c r="R584" s="1130"/>
      <c r="S584" s="1130"/>
      <c r="T584" s="1130"/>
      <c r="U584" s="1130"/>
      <c r="V584" s="1130"/>
      <c r="W584" s="1130"/>
      <c r="X584" s="1130"/>
      <c r="Y584" s="1130"/>
      <c r="Z584" s="1130"/>
    </row>
    <row r="585" spans="1:26" ht="15.75" customHeight="1">
      <c r="A585" s="1129"/>
      <c r="B585" s="1130"/>
      <c r="C585" s="1130"/>
      <c r="D585" s="1130"/>
      <c r="E585" s="1130"/>
      <c r="F585" s="1130"/>
      <c r="G585" s="1130"/>
      <c r="H585" s="1130"/>
      <c r="I585" s="1130"/>
      <c r="J585" s="1130"/>
      <c r="K585" s="1130"/>
      <c r="L585" s="1130"/>
      <c r="M585" s="1130"/>
      <c r="N585" s="1130"/>
      <c r="O585" s="1130"/>
      <c r="P585" s="1130"/>
      <c r="Q585" s="1130"/>
      <c r="R585" s="1130"/>
      <c r="S585" s="1130"/>
      <c r="T585" s="1130"/>
      <c r="U585" s="1130"/>
      <c r="V585" s="1130"/>
      <c r="W585" s="1130"/>
      <c r="X585" s="1130"/>
      <c r="Y585" s="1130"/>
      <c r="Z585" s="1130"/>
    </row>
    <row r="586" spans="1:26" ht="15.75" customHeight="1">
      <c r="A586" s="1129"/>
      <c r="B586" s="1130"/>
      <c r="C586" s="1130"/>
      <c r="D586" s="1130"/>
      <c r="E586" s="1130"/>
      <c r="F586" s="1130"/>
      <c r="G586" s="1130"/>
      <c r="H586" s="1130"/>
      <c r="I586" s="1130"/>
      <c r="J586" s="1130"/>
      <c r="K586" s="1130"/>
      <c r="L586" s="1130"/>
      <c r="M586" s="1130"/>
      <c r="N586" s="1130"/>
      <c r="O586" s="1130"/>
      <c r="P586" s="1130"/>
      <c r="Q586" s="1130"/>
      <c r="R586" s="1130"/>
      <c r="S586" s="1130"/>
      <c r="T586" s="1130"/>
      <c r="U586" s="1130"/>
      <c r="V586" s="1130"/>
      <c r="W586" s="1130"/>
      <c r="X586" s="1130"/>
      <c r="Y586" s="1130"/>
      <c r="Z586" s="1130"/>
    </row>
    <row r="587" spans="1:26" ht="15.75" customHeight="1">
      <c r="A587" s="1129"/>
      <c r="B587" s="1130"/>
      <c r="C587" s="1130"/>
      <c r="D587" s="1130"/>
      <c r="E587" s="1130"/>
      <c r="F587" s="1130"/>
      <c r="G587" s="1130"/>
      <c r="H587" s="1130"/>
      <c r="I587" s="1130"/>
      <c r="J587" s="1130"/>
      <c r="K587" s="1130"/>
      <c r="L587" s="1130"/>
      <c r="M587" s="1130"/>
      <c r="N587" s="1130"/>
      <c r="O587" s="1130"/>
      <c r="P587" s="1130"/>
      <c r="Q587" s="1130"/>
      <c r="R587" s="1130"/>
      <c r="S587" s="1130"/>
      <c r="T587" s="1130"/>
      <c r="U587" s="1130"/>
      <c r="V587" s="1130"/>
      <c r="W587" s="1130"/>
      <c r="X587" s="1130"/>
      <c r="Y587" s="1130"/>
      <c r="Z587" s="1130"/>
    </row>
    <row r="588" spans="1:26" ht="15.75" customHeight="1">
      <c r="A588" s="1129"/>
      <c r="B588" s="1130"/>
      <c r="C588" s="1130"/>
      <c r="D588" s="1130"/>
      <c r="E588" s="1130"/>
      <c r="F588" s="1130"/>
      <c r="G588" s="1130"/>
      <c r="H588" s="1130"/>
      <c r="I588" s="1130"/>
      <c r="J588" s="1130"/>
      <c r="K588" s="1130"/>
      <c r="L588" s="1130"/>
      <c r="M588" s="1130"/>
      <c r="N588" s="1130"/>
      <c r="O588" s="1130"/>
      <c r="P588" s="1130"/>
      <c r="Q588" s="1130"/>
      <c r="R588" s="1130"/>
      <c r="S588" s="1130"/>
      <c r="T588" s="1130"/>
      <c r="U588" s="1130"/>
      <c r="V588" s="1130"/>
      <c r="W588" s="1130"/>
      <c r="X588" s="1130"/>
      <c r="Y588" s="1130"/>
      <c r="Z588" s="1130"/>
    </row>
    <row r="589" spans="1:26" ht="15.75" customHeight="1">
      <c r="A589" s="1129"/>
      <c r="B589" s="1130"/>
      <c r="C589" s="1130"/>
      <c r="D589" s="1130"/>
      <c r="E589" s="1130"/>
      <c r="F589" s="1130"/>
      <c r="G589" s="1130"/>
      <c r="H589" s="1130"/>
      <c r="I589" s="1130"/>
      <c r="J589" s="1130"/>
      <c r="K589" s="1130"/>
      <c r="L589" s="1130"/>
      <c r="M589" s="1130"/>
      <c r="N589" s="1130"/>
      <c r="O589" s="1130"/>
      <c r="P589" s="1130"/>
      <c r="Q589" s="1130"/>
      <c r="R589" s="1130"/>
      <c r="S589" s="1130"/>
      <c r="T589" s="1130"/>
      <c r="U589" s="1130"/>
      <c r="V589" s="1130"/>
      <c r="W589" s="1130"/>
      <c r="X589" s="1130"/>
      <c r="Y589" s="1130"/>
      <c r="Z589" s="1130"/>
    </row>
    <row r="590" spans="1:26" ht="15.75" customHeight="1">
      <c r="A590" s="1129"/>
      <c r="B590" s="1130"/>
      <c r="C590" s="1130"/>
      <c r="D590" s="1130"/>
      <c r="E590" s="1130"/>
      <c r="F590" s="1130"/>
      <c r="G590" s="1130"/>
      <c r="H590" s="1130"/>
      <c r="I590" s="1130"/>
      <c r="J590" s="1130"/>
      <c r="K590" s="1130"/>
      <c r="L590" s="1130"/>
      <c r="M590" s="1130"/>
      <c r="N590" s="1130"/>
      <c r="O590" s="1130"/>
      <c r="P590" s="1130"/>
      <c r="Q590" s="1130"/>
      <c r="R590" s="1130"/>
      <c r="S590" s="1130"/>
      <c r="T590" s="1130"/>
      <c r="U590" s="1130"/>
      <c r="V590" s="1130"/>
      <c r="W590" s="1130"/>
      <c r="X590" s="1130"/>
      <c r="Y590" s="1130"/>
      <c r="Z590" s="1130"/>
    </row>
    <row r="591" spans="1:26" ht="15.75" customHeight="1">
      <c r="A591" s="1129"/>
      <c r="B591" s="1130"/>
      <c r="C591" s="1130"/>
      <c r="D591" s="1130"/>
      <c r="E591" s="1130"/>
      <c r="F591" s="1130"/>
      <c r="G591" s="1130"/>
      <c r="H591" s="1130"/>
      <c r="I591" s="1130"/>
      <c r="J591" s="1130"/>
      <c r="K591" s="1130"/>
      <c r="L591" s="1130"/>
      <c r="M591" s="1130"/>
      <c r="N591" s="1130"/>
      <c r="O591" s="1130"/>
      <c r="P591" s="1130"/>
      <c r="Q591" s="1130"/>
      <c r="R591" s="1130"/>
      <c r="S591" s="1130"/>
      <c r="T591" s="1130"/>
      <c r="U591" s="1130"/>
      <c r="V591" s="1130"/>
      <c r="W591" s="1130"/>
      <c r="X591" s="1130"/>
      <c r="Y591" s="1130"/>
      <c r="Z591" s="1130"/>
    </row>
    <row r="592" spans="1:26" ht="15.75" customHeight="1">
      <c r="A592" s="1129"/>
      <c r="B592" s="1130"/>
      <c r="C592" s="1130"/>
      <c r="D592" s="1130"/>
      <c r="E592" s="1130"/>
      <c r="F592" s="1130"/>
      <c r="G592" s="1130"/>
      <c r="H592" s="1130"/>
      <c r="I592" s="1130"/>
      <c r="J592" s="1130"/>
      <c r="K592" s="1130"/>
      <c r="L592" s="1130"/>
      <c r="M592" s="1130"/>
      <c r="N592" s="1130"/>
      <c r="O592" s="1130"/>
      <c r="P592" s="1130"/>
      <c r="Q592" s="1130"/>
      <c r="R592" s="1130"/>
      <c r="S592" s="1130"/>
      <c r="T592" s="1130"/>
      <c r="U592" s="1130"/>
      <c r="V592" s="1130"/>
      <c r="W592" s="1130"/>
      <c r="X592" s="1130"/>
      <c r="Y592" s="1130"/>
      <c r="Z592" s="1130"/>
    </row>
    <row r="593" spans="1:26" ht="15.75" customHeight="1">
      <c r="A593" s="1129"/>
      <c r="B593" s="1130"/>
      <c r="C593" s="1130"/>
      <c r="D593" s="1130"/>
      <c r="E593" s="1130"/>
      <c r="F593" s="1130"/>
      <c r="G593" s="1130"/>
      <c r="H593" s="1130"/>
      <c r="I593" s="1130"/>
      <c r="J593" s="1130"/>
      <c r="K593" s="1130"/>
      <c r="L593" s="1130"/>
      <c r="M593" s="1130"/>
      <c r="N593" s="1130"/>
      <c r="O593" s="1130"/>
      <c r="P593" s="1130"/>
      <c r="Q593" s="1130"/>
      <c r="R593" s="1130"/>
      <c r="S593" s="1130"/>
      <c r="T593" s="1130"/>
      <c r="U593" s="1130"/>
      <c r="V593" s="1130"/>
      <c r="W593" s="1130"/>
      <c r="X593" s="1130"/>
      <c r="Y593" s="1130"/>
      <c r="Z593" s="1130"/>
    </row>
    <row r="594" spans="1:26" ht="15.75" customHeight="1">
      <c r="A594" s="1129"/>
      <c r="B594" s="1130"/>
      <c r="C594" s="1130"/>
      <c r="D594" s="1130"/>
      <c r="E594" s="1130"/>
      <c r="F594" s="1130"/>
      <c r="G594" s="1130"/>
      <c r="H594" s="1130"/>
      <c r="I594" s="1130"/>
      <c r="J594" s="1130"/>
      <c r="K594" s="1130"/>
      <c r="L594" s="1130"/>
      <c r="M594" s="1130"/>
      <c r="N594" s="1130"/>
      <c r="O594" s="1130"/>
      <c r="P594" s="1130"/>
      <c r="Q594" s="1130"/>
      <c r="R594" s="1130"/>
      <c r="S594" s="1130"/>
      <c r="T594" s="1130"/>
      <c r="U594" s="1130"/>
      <c r="V594" s="1130"/>
      <c r="W594" s="1130"/>
      <c r="X594" s="1130"/>
      <c r="Y594" s="1130"/>
      <c r="Z594" s="1130"/>
    </row>
    <row r="595" spans="1:26" ht="15.75" customHeight="1">
      <c r="A595" s="1129"/>
      <c r="B595" s="1130"/>
      <c r="C595" s="1130"/>
      <c r="D595" s="1130"/>
      <c r="E595" s="1130"/>
      <c r="F595" s="1130"/>
      <c r="G595" s="1130"/>
      <c r="H595" s="1130"/>
      <c r="I595" s="1130"/>
      <c r="J595" s="1130"/>
      <c r="K595" s="1130"/>
      <c r="L595" s="1130"/>
      <c r="M595" s="1130"/>
      <c r="N595" s="1130"/>
      <c r="O595" s="1130"/>
      <c r="P595" s="1130"/>
      <c r="Q595" s="1130"/>
      <c r="R595" s="1130"/>
      <c r="S595" s="1130"/>
      <c r="T595" s="1130"/>
      <c r="U595" s="1130"/>
      <c r="V595" s="1130"/>
      <c r="W595" s="1130"/>
      <c r="X595" s="1130"/>
      <c r="Y595" s="1130"/>
      <c r="Z595" s="1130"/>
    </row>
    <row r="596" spans="1:26" ht="15.75" customHeight="1">
      <c r="A596" s="1129"/>
      <c r="B596" s="1130"/>
      <c r="C596" s="1130"/>
      <c r="D596" s="1130"/>
      <c r="E596" s="1130"/>
      <c r="F596" s="1130"/>
      <c r="G596" s="1130"/>
      <c r="H596" s="1130"/>
      <c r="I596" s="1130"/>
      <c r="J596" s="1130"/>
      <c r="K596" s="1130"/>
      <c r="L596" s="1130"/>
      <c r="M596" s="1130"/>
      <c r="N596" s="1130"/>
      <c r="O596" s="1130"/>
      <c r="P596" s="1130"/>
      <c r="Q596" s="1130"/>
      <c r="R596" s="1130"/>
      <c r="S596" s="1130"/>
      <c r="T596" s="1130"/>
      <c r="U596" s="1130"/>
      <c r="V596" s="1130"/>
      <c r="W596" s="1130"/>
      <c r="X596" s="1130"/>
      <c r="Y596" s="1130"/>
      <c r="Z596" s="1130"/>
    </row>
    <row r="597" spans="1:26" ht="15.75" customHeight="1">
      <c r="A597" s="1129"/>
      <c r="B597" s="1130"/>
      <c r="C597" s="1130"/>
      <c r="D597" s="1130"/>
      <c r="E597" s="1130"/>
      <c r="F597" s="1130"/>
      <c r="G597" s="1130"/>
      <c r="H597" s="1130"/>
      <c r="I597" s="1130"/>
      <c r="J597" s="1130"/>
      <c r="K597" s="1130"/>
      <c r="L597" s="1130"/>
      <c r="M597" s="1130"/>
      <c r="N597" s="1130"/>
      <c r="O597" s="1130"/>
      <c r="P597" s="1130"/>
      <c r="Q597" s="1130"/>
      <c r="R597" s="1130"/>
      <c r="S597" s="1130"/>
      <c r="T597" s="1130"/>
      <c r="U597" s="1130"/>
      <c r="V597" s="1130"/>
      <c r="W597" s="1130"/>
      <c r="X597" s="1130"/>
      <c r="Y597" s="1130"/>
      <c r="Z597" s="1130"/>
    </row>
    <row r="598" spans="1:26" ht="15.75" customHeight="1">
      <c r="A598" s="1129"/>
      <c r="B598" s="1130"/>
      <c r="C598" s="1130"/>
      <c r="D598" s="1130"/>
      <c r="E598" s="1130"/>
      <c r="F598" s="1130"/>
      <c r="G598" s="1130"/>
      <c r="H598" s="1130"/>
      <c r="I598" s="1130"/>
      <c r="J598" s="1130"/>
      <c r="K598" s="1130"/>
      <c r="L598" s="1130"/>
      <c r="M598" s="1130"/>
      <c r="N598" s="1130"/>
      <c r="O598" s="1130"/>
      <c r="P598" s="1130"/>
      <c r="Q598" s="1130"/>
      <c r="R598" s="1130"/>
      <c r="S598" s="1130"/>
      <c r="T598" s="1130"/>
      <c r="U598" s="1130"/>
      <c r="V598" s="1130"/>
      <c r="W598" s="1130"/>
      <c r="X598" s="1130"/>
      <c r="Y598" s="1130"/>
      <c r="Z598" s="1130"/>
    </row>
    <row r="599" spans="1:26" ht="15.75" customHeight="1">
      <c r="A599" s="1129"/>
      <c r="B599" s="1130"/>
      <c r="C599" s="1130"/>
      <c r="D599" s="1130"/>
      <c r="E599" s="1130"/>
      <c r="F599" s="1130"/>
      <c r="G599" s="1130"/>
      <c r="H599" s="1130"/>
      <c r="I599" s="1130"/>
      <c r="J599" s="1130"/>
      <c r="K599" s="1130"/>
      <c r="L599" s="1130"/>
      <c r="M599" s="1130"/>
      <c r="N599" s="1130"/>
      <c r="O599" s="1130"/>
      <c r="P599" s="1130"/>
      <c r="Q599" s="1130"/>
      <c r="R599" s="1130"/>
      <c r="S599" s="1130"/>
      <c r="T599" s="1130"/>
      <c r="U599" s="1130"/>
      <c r="V599" s="1130"/>
      <c r="W599" s="1130"/>
      <c r="X599" s="1130"/>
      <c r="Y599" s="1130"/>
      <c r="Z599" s="1130"/>
    </row>
    <row r="600" spans="1:26" ht="15.75" customHeight="1">
      <c r="A600" s="1129"/>
      <c r="B600" s="1130"/>
      <c r="C600" s="1130"/>
      <c r="D600" s="1130"/>
      <c r="E600" s="1130"/>
      <c r="F600" s="1130"/>
      <c r="G600" s="1130"/>
      <c r="H600" s="1130"/>
      <c r="I600" s="1130"/>
      <c r="J600" s="1130"/>
      <c r="K600" s="1130"/>
      <c r="L600" s="1130"/>
      <c r="M600" s="1130"/>
      <c r="N600" s="1130"/>
      <c r="O600" s="1130"/>
      <c r="P600" s="1130"/>
      <c r="Q600" s="1130"/>
      <c r="R600" s="1130"/>
      <c r="S600" s="1130"/>
      <c r="T600" s="1130"/>
      <c r="U600" s="1130"/>
      <c r="V600" s="1130"/>
      <c r="W600" s="1130"/>
      <c r="X600" s="1130"/>
      <c r="Y600" s="1130"/>
      <c r="Z600" s="1130"/>
    </row>
    <row r="601" spans="1:26" ht="15.75" customHeight="1">
      <c r="A601" s="1129"/>
      <c r="B601" s="1130"/>
      <c r="C601" s="1130"/>
      <c r="D601" s="1130"/>
      <c r="E601" s="1130"/>
      <c r="F601" s="1130"/>
      <c r="G601" s="1130"/>
      <c r="H601" s="1130"/>
      <c r="I601" s="1130"/>
      <c r="J601" s="1130"/>
      <c r="K601" s="1130"/>
      <c r="L601" s="1130"/>
      <c r="M601" s="1130"/>
      <c r="N601" s="1130"/>
      <c r="O601" s="1130"/>
      <c r="P601" s="1130"/>
      <c r="Q601" s="1130"/>
      <c r="R601" s="1130"/>
      <c r="S601" s="1130"/>
      <c r="T601" s="1130"/>
      <c r="U601" s="1130"/>
      <c r="V601" s="1130"/>
      <c r="W601" s="1130"/>
      <c r="X601" s="1130"/>
      <c r="Y601" s="1130"/>
      <c r="Z601" s="1130"/>
    </row>
    <row r="602" spans="1:26" ht="15.75" customHeight="1">
      <c r="A602" s="1129"/>
      <c r="B602" s="1130"/>
      <c r="C602" s="1130"/>
      <c r="D602" s="1130"/>
      <c r="E602" s="1130"/>
      <c r="F602" s="1130"/>
      <c r="G602" s="1130"/>
      <c r="H602" s="1130"/>
      <c r="I602" s="1130"/>
      <c r="J602" s="1130"/>
      <c r="K602" s="1130"/>
      <c r="L602" s="1130"/>
      <c r="M602" s="1130"/>
      <c r="N602" s="1130"/>
      <c r="O602" s="1130"/>
      <c r="P602" s="1130"/>
      <c r="Q602" s="1130"/>
      <c r="R602" s="1130"/>
      <c r="S602" s="1130"/>
      <c r="T602" s="1130"/>
      <c r="U602" s="1130"/>
      <c r="V602" s="1130"/>
      <c r="W602" s="1130"/>
      <c r="X602" s="1130"/>
      <c r="Y602" s="1130"/>
      <c r="Z602" s="1130"/>
    </row>
    <row r="603" spans="1:26" ht="15.75" customHeight="1">
      <c r="A603" s="1129"/>
      <c r="B603" s="1130"/>
      <c r="C603" s="1130"/>
      <c r="D603" s="1130"/>
      <c r="E603" s="1130"/>
      <c r="F603" s="1130"/>
      <c r="G603" s="1130"/>
      <c r="H603" s="1130"/>
      <c r="I603" s="1130"/>
      <c r="J603" s="1130"/>
      <c r="K603" s="1130"/>
      <c r="L603" s="1130"/>
      <c r="M603" s="1130"/>
      <c r="N603" s="1130"/>
      <c r="O603" s="1130"/>
      <c r="P603" s="1130"/>
      <c r="Q603" s="1130"/>
      <c r="R603" s="1130"/>
      <c r="S603" s="1130"/>
      <c r="T603" s="1130"/>
      <c r="U603" s="1130"/>
      <c r="V603" s="1130"/>
      <c r="W603" s="1130"/>
      <c r="X603" s="1130"/>
      <c r="Y603" s="1130"/>
      <c r="Z603" s="1130"/>
    </row>
    <row r="604" spans="1:26" ht="15.75" customHeight="1">
      <c r="A604" s="1129"/>
      <c r="B604" s="1130"/>
      <c r="C604" s="1130"/>
      <c r="D604" s="1130"/>
      <c r="E604" s="1130"/>
      <c r="F604" s="1130"/>
      <c r="G604" s="1130"/>
      <c r="H604" s="1130"/>
      <c r="I604" s="1130"/>
      <c r="J604" s="1130"/>
      <c r="K604" s="1130"/>
      <c r="L604" s="1130"/>
      <c r="M604" s="1130"/>
      <c r="N604" s="1130"/>
      <c r="O604" s="1130"/>
      <c r="P604" s="1130"/>
      <c r="Q604" s="1130"/>
      <c r="R604" s="1130"/>
      <c r="S604" s="1130"/>
      <c r="T604" s="1130"/>
      <c r="U604" s="1130"/>
      <c r="V604" s="1130"/>
      <c r="W604" s="1130"/>
      <c r="X604" s="1130"/>
      <c r="Y604" s="1130"/>
      <c r="Z604" s="1130"/>
    </row>
    <row r="605" spans="1:26" ht="15.75" customHeight="1">
      <c r="A605" s="1129"/>
      <c r="B605" s="1130"/>
      <c r="C605" s="1130"/>
      <c r="D605" s="1130"/>
      <c r="E605" s="1130"/>
      <c r="F605" s="1130"/>
      <c r="G605" s="1130"/>
      <c r="H605" s="1130"/>
      <c r="I605" s="1130"/>
      <c r="J605" s="1130"/>
      <c r="K605" s="1130"/>
      <c r="L605" s="1130"/>
      <c r="M605" s="1130"/>
      <c r="N605" s="1130"/>
      <c r="O605" s="1130"/>
      <c r="P605" s="1130"/>
      <c r="Q605" s="1130"/>
      <c r="R605" s="1130"/>
      <c r="S605" s="1130"/>
      <c r="T605" s="1130"/>
      <c r="U605" s="1130"/>
      <c r="V605" s="1130"/>
      <c r="W605" s="1130"/>
      <c r="X605" s="1130"/>
      <c r="Y605" s="1130"/>
      <c r="Z605" s="1130"/>
    </row>
    <row r="606" spans="1:26" ht="15.75" customHeight="1">
      <c r="A606" s="1129"/>
      <c r="B606" s="1130"/>
      <c r="C606" s="1130"/>
      <c r="D606" s="1130"/>
      <c r="E606" s="1130"/>
      <c r="F606" s="1130"/>
      <c r="G606" s="1130"/>
      <c r="H606" s="1130"/>
      <c r="I606" s="1130"/>
      <c r="J606" s="1130"/>
      <c r="K606" s="1130"/>
      <c r="L606" s="1130"/>
      <c r="M606" s="1130"/>
      <c r="N606" s="1130"/>
      <c r="O606" s="1130"/>
      <c r="P606" s="1130"/>
      <c r="Q606" s="1130"/>
      <c r="R606" s="1130"/>
      <c r="S606" s="1130"/>
      <c r="T606" s="1130"/>
      <c r="U606" s="1130"/>
      <c r="V606" s="1130"/>
      <c r="W606" s="1130"/>
      <c r="X606" s="1130"/>
      <c r="Y606" s="1130"/>
      <c r="Z606" s="1130"/>
    </row>
    <row r="607" spans="1:26" ht="15.75" customHeight="1">
      <c r="A607" s="1129"/>
      <c r="B607" s="1130"/>
      <c r="C607" s="1130"/>
      <c r="D607" s="1130"/>
      <c r="E607" s="1130"/>
      <c r="F607" s="1130"/>
      <c r="G607" s="1130"/>
      <c r="H607" s="1130"/>
      <c r="I607" s="1130"/>
      <c r="J607" s="1130"/>
      <c r="K607" s="1130"/>
      <c r="L607" s="1130"/>
      <c r="M607" s="1130"/>
      <c r="N607" s="1130"/>
      <c r="O607" s="1130"/>
      <c r="P607" s="1130"/>
      <c r="Q607" s="1130"/>
      <c r="R607" s="1130"/>
      <c r="S607" s="1130"/>
      <c r="T607" s="1130"/>
      <c r="U607" s="1130"/>
      <c r="V607" s="1130"/>
      <c r="W607" s="1130"/>
      <c r="X607" s="1130"/>
      <c r="Y607" s="1130"/>
      <c r="Z607" s="1130"/>
    </row>
    <row r="608" spans="1:26" ht="15.75" customHeight="1">
      <c r="A608" s="1129"/>
      <c r="B608" s="1130"/>
      <c r="C608" s="1130"/>
      <c r="D608" s="1130"/>
      <c r="E608" s="1130"/>
      <c r="F608" s="1130"/>
      <c r="G608" s="1130"/>
      <c r="H608" s="1130"/>
      <c r="I608" s="1130"/>
      <c r="J608" s="1130"/>
      <c r="K608" s="1130"/>
      <c r="L608" s="1130"/>
      <c r="M608" s="1130"/>
      <c r="N608" s="1130"/>
      <c r="O608" s="1130"/>
      <c r="P608" s="1130"/>
      <c r="Q608" s="1130"/>
      <c r="R608" s="1130"/>
      <c r="S608" s="1130"/>
      <c r="T608" s="1130"/>
      <c r="U608" s="1130"/>
      <c r="V608" s="1130"/>
      <c r="W608" s="1130"/>
      <c r="X608" s="1130"/>
      <c r="Y608" s="1130"/>
      <c r="Z608" s="1130"/>
    </row>
    <row r="609" spans="1:26" ht="15.75" customHeight="1">
      <c r="A609" s="1129"/>
      <c r="B609" s="1130"/>
      <c r="C609" s="1130"/>
      <c r="D609" s="1130"/>
      <c r="E609" s="1130"/>
      <c r="F609" s="1130"/>
      <c r="G609" s="1130"/>
      <c r="H609" s="1130"/>
      <c r="I609" s="1130"/>
      <c r="J609" s="1130"/>
      <c r="K609" s="1130"/>
      <c r="L609" s="1130"/>
      <c r="M609" s="1130"/>
      <c r="N609" s="1130"/>
      <c r="O609" s="1130"/>
      <c r="P609" s="1130"/>
      <c r="Q609" s="1130"/>
      <c r="R609" s="1130"/>
      <c r="S609" s="1130"/>
      <c r="T609" s="1130"/>
      <c r="U609" s="1130"/>
      <c r="V609" s="1130"/>
      <c r="W609" s="1130"/>
      <c r="X609" s="1130"/>
      <c r="Y609" s="1130"/>
      <c r="Z609" s="1130"/>
    </row>
    <row r="610" spans="1:26" ht="15.75" customHeight="1">
      <c r="A610" s="1129"/>
      <c r="B610" s="1130"/>
      <c r="C610" s="1130"/>
      <c r="D610" s="1130"/>
      <c r="E610" s="1130"/>
      <c r="F610" s="1130"/>
      <c r="G610" s="1130"/>
      <c r="H610" s="1130"/>
      <c r="I610" s="1130"/>
      <c r="J610" s="1130"/>
      <c r="K610" s="1130"/>
      <c r="L610" s="1130"/>
      <c r="M610" s="1130"/>
      <c r="N610" s="1130"/>
      <c r="O610" s="1130"/>
      <c r="P610" s="1130"/>
      <c r="Q610" s="1130"/>
      <c r="R610" s="1130"/>
      <c r="S610" s="1130"/>
      <c r="T610" s="1130"/>
      <c r="U610" s="1130"/>
      <c r="V610" s="1130"/>
      <c r="W610" s="1130"/>
      <c r="X610" s="1130"/>
      <c r="Y610" s="1130"/>
      <c r="Z610" s="1130"/>
    </row>
    <row r="611" spans="1:26" ht="15.75" customHeight="1">
      <c r="A611" s="1129"/>
      <c r="B611" s="1130"/>
      <c r="C611" s="1130"/>
      <c r="D611" s="1130"/>
      <c r="E611" s="1130"/>
      <c r="F611" s="1130"/>
      <c r="G611" s="1130"/>
      <c r="H611" s="1130"/>
      <c r="I611" s="1130"/>
      <c r="J611" s="1130"/>
      <c r="K611" s="1130"/>
      <c r="L611" s="1130"/>
      <c r="M611" s="1130"/>
      <c r="N611" s="1130"/>
      <c r="O611" s="1130"/>
      <c r="P611" s="1130"/>
      <c r="Q611" s="1130"/>
      <c r="R611" s="1130"/>
      <c r="S611" s="1130"/>
      <c r="T611" s="1130"/>
      <c r="U611" s="1130"/>
      <c r="V611" s="1130"/>
      <c r="W611" s="1130"/>
      <c r="X611" s="1130"/>
      <c r="Y611" s="1130"/>
      <c r="Z611" s="1130"/>
    </row>
    <row r="612" spans="1:26" ht="15.75" customHeight="1">
      <c r="A612" s="1129"/>
      <c r="B612" s="1130"/>
      <c r="C612" s="1130"/>
      <c r="D612" s="1130"/>
      <c r="E612" s="1130"/>
      <c r="F612" s="1130"/>
      <c r="G612" s="1130"/>
      <c r="H612" s="1130"/>
      <c r="I612" s="1130"/>
      <c r="J612" s="1130"/>
      <c r="K612" s="1130"/>
      <c r="L612" s="1130"/>
      <c r="M612" s="1130"/>
      <c r="N612" s="1130"/>
      <c r="O612" s="1130"/>
      <c r="P612" s="1130"/>
      <c r="Q612" s="1130"/>
      <c r="R612" s="1130"/>
      <c r="S612" s="1130"/>
      <c r="T612" s="1130"/>
      <c r="U612" s="1130"/>
      <c r="V612" s="1130"/>
      <c r="W612" s="1130"/>
      <c r="X612" s="1130"/>
      <c r="Y612" s="1130"/>
      <c r="Z612" s="1130"/>
    </row>
    <row r="613" spans="1:26" ht="15.75" customHeight="1">
      <c r="A613" s="1129"/>
      <c r="B613" s="1130"/>
      <c r="C613" s="1130"/>
      <c r="D613" s="1130"/>
      <c r="E613" s="1130"/>
      <c r="F613" s="1130"/>
      <c r="G613" s="1130"/>
      <c r="H613" s="1130"/>
      <c r="I613" s="1130"/>
      <c r="J613" s="1130"/>
      <c r="K613" s="1130"/>
      <c r="L613" s="1130"/>
      <c r="M613" s="1130"/>
      <c r="N613" s="1130"/>
      <c r="O613" s="1130"/>
      <c r="P613" s="1130"/>
      <c r="Q613" s="1130"/>
      <c r="R613" s="1130"/>
      <c r="S613" s="1130"/>
      <c r="T613" s="1130"/>
      <c r="U613" s="1130"/>
      <c r="V613" s="1130"/>
      <c r="W613" s="1130"/>
      <c r="X613" s="1130"/>
      <c r="Y613" s="1130"/>
      <c r="Z613" s="1130"/>
    </row>
    <row r="614" spans="1:26" ht="15.75" customHeight="1">
      <c r="A614" s="1129"/>
      <c r="B614" s="1130"/>
      <c r="C614" s="1130"/>
      <c r="D614" s="1130"/>
      <c r="E614" s="1130"/>
      <c r="F614" s="1130"/>
      <c r="G614" s="1130"/>
      <c r="H614" s="1130"/>
      <c r="I614" s="1130"/>
      <c r="J614" s="1130"/>
      <c r="K614" s="1130"/>
      <c r="L614" s="1130"/>
      <c r="M614" s="1130"/>
      <c r="N614" s="1130"/>
      <c r="O614" s="1130"/>
      <c r="P614" s="1130"/>
      <c r="Q614" s="1130"/>
      <c r="R614" s="1130"/>
      <c r="S614" s="1130"/>
      <c r="T614" s="1130"/>
      <c r="U614" s="1130"/>
      <c r="V614" s="1130"/>
      <c r="W614" s="1130"/>
      <c r="X614" s="1130"/>
      <c r="Y614" s="1130"/>
      <c r="Z614" s="1130"/>
    </row>
    <row r="615" spans="1:26" ht="15.75" customHeight="1">
      <c r="A615" s="1129"/>
      <c r="B615" s="1130"/>
      <c r="C615" s="1130"/>
      <c r="D615" s="1130"/>
      <c r="E615" s="1130"/>
      <c r="F615" s="1130"/>
      <c r="G615" s="1130"/>
      <c r="H615" s="1130"/>
      <c r="I615" s="1130"/>
      <c r="J615" s="1130"/>
      <c r="K615" s="1130"/>
      <c r="L615" s="1130"/>
      <c r="M615" s="1130"/>
      <c r="N615" s="1130"/>
      <c r="O615" s="1130"/>
      <c r="P615" s="1130"/>
      <c r="Q615" s="1130"/>
      <c r="R615" s="1130"/>
      <c r="S615" s="1130"/>
      <c r="T615" s="1130"/>
      <c r="U615" s="1130"/>
      <c r="V615" s="1130"/>
      <c r="W615" s="1130"/>
      <c r="X615" s="1130"/>
      <c r="Y615" s="1130"/>
      <c r="Z615" s="1130"/>
    </row>
    <row r="616" spans="1:26" ht="15.75" customHeight="1">
      <c r="A616" s="1129"/>
      <c r="B616" s="1130"/>
      <c r="C616" s="1130"/>
      <c r="D616" s="1130"/>
      <c r="E616" s="1130"/>
      <c r="F616" s="1130"/>
      <c r="G616" s="1130"/>
      <c r="H616" s="1130"/>
      <c r="I616" s="1130"/>
      <c r="J616" s="1130"/>
      <c r="K616" s="1130"/>
      <c r="L616" s="1130"/>
      <c r="M616" s="1130"/>
      <c r="N616" s="1130"/>
      <c r="O616" s="1130"/>
      <c r="P616" s="1130"/>
      <c r="Q616" s="1130"/>
      <c r="R616" s="1130"/>
      <c r="S616" s="1130"/>
      <c r="T616" s="1130"/>
      <c r="U616" s="1130"/>
      <c r="V616" s="1130"/>
      <c r="W616" s="1130"/>
      <c r="X616" s="1130"/>
      <c r="Y616" s="1130"/>
      <c r="Z616" s="1130"/>
    </row>
    <row r="617" spans="1:26" ht="15.75" customHeight="1">
      <c r="A617" s="1129"/>
      <c r="B617" s="1130"/>
      <c r="C617" s="1130"/>
      <c r="D617" s="1130"/>
      <c r="E617" s="1130"/>
      <c r="F617" s="1130"/>
      <c r="G617" s="1130"/>
      <c r="H617" s="1130"/>
      <c r="I617" s="1130"/>
      <c r="J617" s="1130"/>
      <c r="K617" s="1130"/>
      <c r="L617" s="1130"/>
      <c r="M617" s="1130"/>
      <c r="N617" s="1130"/>
      <c r="O617" s="1130"/>
      <c r="P617" s="1130"/>
      <c r="Q617" s="1130"/>
      <c r="R617" s="1130"/>
      <c r="S617" s="1130"/>
      <c r="T617" s="1130"/>
      <c r="U617" s="1130"/>
      <c r="V617" s="1130"/>
      <c r="W617" s="1130"/>
      <c r="X617" s="1130"/>
      <c r="Y617" s="1130"/>
      <c r="Z617" s="1130"/>
    </row>
    <row r="618" spans="1:26" ht="15.75" customHeight="1">
      <c r="A618" s="1129"/>
      <c r="B618" s="1130"/>
      <c r="C618" s="1130"/>
      <c r="D618" s="1130"/>
      <c r="E618" s="1130"/>
      <c r="F618" s="1130"/>
      <c r="G618" s="1130"/>
      <c r="H618" s="1130"/>
      <c r="I618" s="1130"/>
      <c r="J618" s="1130"/>
      <c r="K618" s="1130"/>
      <c r="L618" s="1130"/>
      <c r="M618" s="1130"/>
      <c r="N618" s="1130"/>
      <c r="O618" s="1130"/>
      <c r="P618" s="1130"/>
      <c r="Q618" s="1130"/>
      <c r="R618" s="1130"/>
      <c r="S618" s="1130"/>
      <c r="T618" s="1130"/>
      <c r="U618" s="1130"/>
      <c r="V618" s="1130"/>
      <c r="W618" s="1130"/>
      <c r="X618" s="1130"/>
      <c r="Y618" s="1130"/>
      <c r="Z618" s="1130"/>
    </row>
    <row r="619" spans="1:26" ht="15.75" customHeight="1">
      <c r="A619" s="1129"/>
      <c r="B619" s="1130"/>
      <c r="C619" s="1130"/>
      <c r="D619" s="1130"/>
      <c r="E619" s="1130"/>
      <c r="F619" s="1130"/>
      <c r="G619" s="1130"/>
      <c r="H619" s="1130"/>
      <c r="I619" s="1130"/>
      <c r="J619" s="1130"/>
      <c r="K619" s="1130"/>
      <c r="L619" s="1130"/>
      <c r="M619" s="1130"/>
      <c r="N619" s="1130"/>
      <c r="O619" s="1130"/>
      <c r="P619" s="1130"/>
      <c r="Q619" s="1130"/>
      <c r="R619" s="1130"/>
      <c r="S619" s="1130"/>
      <c r="T619" s="1130"/>
      <c r="U619" s="1130"/>
      <c r="V619" s="1130"/>
      <c r="W619" s="1130"/>
      <c r="X619" s="1130"/>
      <c r="Y619" s="1130"/>
      <c r="Z619" s="1130"/>
    </row>
    <row r="620" spans="1:26" ht="15.75" customHeight="1">
      <c r="A620" s="1129"/>
      <c r="B620" s="1130"/>
      <c r="C620" s="1130"/>
      <c r="D620" s="1130"/>
      <c r="E620" s="1130"/>
      <c r="F620" s="1130"/>
      <c r="G620" s="1130"/>
      <c r="H620" s="1130"/>
      <c r="I620" s="1130"/>
      <c r="J620" s="1130"/>
      <c r="K620" s="1130"/>
      <c r="L620" s="1130"/>
      <c r="M620" s="1130"/>
      <c r="N620" s="1130"/>
      <c r="O620" s="1130"/>
      <c r="P620" s="1130"/>
      <c r="Q620" s="1130"/>
      <c r="R620" s="1130"/>
      <c r="S620" s="1130"/>
      <c r="T620" s="1130"/>
      <c r="U620" s="1130"/>
      <c r="V620" s="1130"/>
      <c r="W620" s="1130"/>
      <c r="X620" s="1130"/>
      <c r="Y620" s="1130"/>
      <c r="Z620" s="1130"/>
    </row>
    <row r="621" spans="1:26" ht="15.75" customHeight="1">
      <c r="A621" s="1129"/>
      <c r="B621" s="1130"/>
      <c r="C621" s="1130"/>
      <c r="D621" s="1130"/>
      <c r="E621" s="1130"/>
      <c r="F621" s="1130"/>
      <c r="G621" s="1130"/>
      <c r="H621" s="1130"/>
      <c r="I621" s="1130"/>
      <c r="J621" s="1130"/>
      <c r="K621" s="1130"/>
      <c r="L621" s="1130"/>
      <c r="M621" s="1130"/>
      <c r="N621" s="1130"/>
      <c r="O621" s="1130"/>
      <c r="P621" s="1130"/>
      <c r="Q621" s="1130"/>
      <c r="R621" s="1130"/>
      <c r="S621" s="1130"/>
      <c r="T621" s="1130"/>
      <c r="U621" s="1130"/>
      <c r="V621" s="1130"/>
      <c r="W621" s="1130"/>
      <c r="X621" s="1130"/>
      <c r="Y621" s="1130"/>
      <c r="Z621" s="1130"/>
    </row>
    <row r="622" spans="1:26" ht="15.75" customHeight="1">
      <c r="A622" s="1129"/>
      <c r="B622" s="1130"/>
      <c r="C622" s="1130"/>
      <c r="D622" s="1130"/>
      <c r="E622" s="1130"/>
      <c r="F622" s="1130"/>
      <c r="G622" s="1130"/>
      <c r="H622" s="1130"/>
      <c r="I622" s="1130"/>
      <c r="J622" s="1130"/>
      <c r="K622" s="1130"/>
      <c r="L622" s="1130"/>
      <c r="M622" s="1130"/>
      <c r="N622" s="1130"/>
      <c r="O622" s="1130"/>
      <c r="P622" s="1130"/>
      <c r="Q622" s="1130"/>
      <c r="R622" s="1130"/>
      <c r="S622" s="1130"/>
      <c r="T622" s="1130"/>
      <c r="U622" s="1130"/>
      <c r="V622" s="1130"/>
      <c r="W622" s="1130"/>
      <c r="X622" s="1130"/>
      <c r="Y622" s="1130"/>
      <c r="Z622" s="1130"/>
    </row>
    <row r="623" spans="1:26" ht="15.75" customHeight="1">
      <c r="A623" s="1129"/>
      <c r="B623" s="1130"/>
      <c r="C623" s="1130"/>
      <c r="D623" s="1130"/>
      <c r="E623" s="1130"/>
      <c r="F623" s="1130"/>
      <c r="G623" s="1130"/>
      <c r="H623" s="1130"/>
      <c r="I623" s="1130"/>
      <c r="J623" s="1130"/>
      <c r="K623" s="1130"/>
      <c r="L623" s="1130"/>
      <c r="M623" s="1130"/>
      <c r="N623" s="1130"/>
      <c r="O623" s="1130"/>
      <c r="P623" s="1130"/>
      <c r="Q623" s="1130"/>
      <c r="R623" s="1130"/>
      <c r="S623" s="1130"/>
      <c r="T623" s="1130"/>
      <c r="U623" s="1130"/>
      <c r="V623" s="1130"/>
      <c r="W623" s="1130"/>
      <c r="X623" s="1130"/>
      <c r="Y623" s="1130"/>
      <c r="Z623" s="1130"/>
    </row>
    <row r="624" spans="1:26" ht="15.75" customHeight="1">
      <c r="A624" s="1129"/>
      <c r="B624" s="1130"/>
      <c r="C624" s="1130"/>
      <c r="D624" s="1130"/>
      <c r="E624" s="1130"/>
      <c r="F624" s="1130"/>
      <c r="G624" s="1130"/>
      <c r="H624" s="1130"/>
      <c r="I624" s="1130"/>
      <c r="J624" s="1130"/>
      <c r="K624" s="1130"/>
      <c r="L624" s="1130"/>
      <c r="M624" s="1130"/>
      <c r="N624" s="1130"/>
      <c r="O624" s="1130"/>
      <c r="P624" s="1130"/>
      <c r="Q624" s="1130"/>
      <c r="R624" s="1130"/>
      <c r="S624" s="1130"/>
      <c r="T624" s="1130"/>
      <c r="U624" s="1130"/>
      <c r="V624" s="1130"/>
      <c r="W624" s="1130"/>
      <c r="X624" s="1130"/>
      <c r="Y624" s="1130"/>
      <c r="Z624" s="1130"/>
    </row>
    <row r="625" spans="1:26" ht="15.75" customHeight="1">
      <c r="A625" s="1129"/>
      <c r="B625" s="1130"/>
      <c r="C625" s="1130"/>
      <c r="D625" s="1130"/>
      <c r="E625" s="1130"/>
      <c r="F625" s="1130"/>
      <c r="G625" s="1130"/>
      <c r="H625" s="1130"/>
      <c r="I625" s="1130"/>
      <c r="J625" s="1130"/>
      <c r="K625" s="1130"/>
      <c r="L625" s="1130"/>
      <c r="M625" s="1130"/>
      <c r="N625" s="1130"/>
      <c r="O625" s="1130"/>
      <c r="P625" s="1130"/>
      <c r="Q625" s="1130"/>
      <c r="R625" s="1130"/>
      <c r="S625" s="1130"/>
      <c r="T625" s="1130"/>
      <c r="U625" s="1130"/>
      <c r="V625" s="1130"/>
      <c r="W625" s="1130"/>
      <c r="X625" s="1130"/>
      <c r="Y625" s="1130"/>
      <c r="Z625" s="1130"/>
    </row>
    <row r="626" spans="1:26" ht="15.75" customHeight="1">
      <c r="A626" s="1129"/>
      <c r="B626" s="1130"/>
      <c r="C626" s="1130"/>
      <c r="D626" s="1130"/>
      <c r="E626" s="1130"/>
      <c r="F626" s="1130"/>
      <c r="G626" s="1130"/>
      <c r="H626" s="1130"/>
      <c r="I626" s="1130"/>
      <c r="J626" s="1130"/>
      <c r="K626" s="1130"/>
      <c r="L626" s="1130"/>
      <c r="M626" s="1130"/>
      <c r="N626" s="1130"/>
      <c r="O626" s="1130"/>
      <c r="P626" s="1130"/>
      <c r="Q626" s="1130"/>
      <c r="R626" s="1130"/>
      <c r="S626" s="1130"/>
      <c r="T626" s="1130"/>
      <c r="U626" s="1130"/>
      <c r="V626" s="1130"/>
      <c r="W626" s="1130"/>
      <c r="X626" s="1130"/>
      <c r="Y626" s="1130"/>
      <c r="Z626" s="1130"/>
    </row>
    <row r="627" spans="1:26" ht="15.75" customHeight="1">
      <c r="A627" s="1129"/>
      <c r="B627" s="1130"/>
      <c r="C627" s="1130"/>
      <c r="D627" s="1130"/>
      <c r="E627" s="1130"/>
      <c r="F627" s="1130"/>
      <c r="G627" s="1130"/>
      <c r="H627" s="1130"/>
      <c r="I627" s="1130"/>
      <c r="J627" s="1130"/>
      <c r="K627" s="1130"/>
      <c r="L627" s="1130"/>
      <c r="M627" s="1130"/>
      <c r="N627" s="1130"/>
      <c r="O627" s="1130"/>
      <c r="P627" s="1130"/>
      <c r="Q627" s="1130"/>
      <c r="R627" s="1130"/>
      <c r="S627" s="1130"/>
      <c r="T627" s="1130"/>
      <c r="U627" s="1130"/>
      <c r="V627" s="1130"/>
      <c r="W627" s="1130"/>
      <c r="X627" s="1130"/>
      <c r="Y627" s="1130"/>
      <c r="Z627" s="1130"/>
    </row>
    <row r="628" spans="1:26" ht="15.75" customHeight="1">
      <c r="A628" s="1129"/>
      <c r="B628" s="1130"/>
      <c r="C628" s="1130"/>
      <c r="D628" s="1130"/>
      <c r="E628" s="1130"/>
      <c r="F628" s="1130"/>
      <c r="G628" s="1130"/>
      <c r="H628" s="1130"/>
      <c r="I628" s="1130"/>
      <c r="J628" s="1130"/>
      <c r="K628" s="1130"/>
      <c r="L628" s="1130"/>
      <c r="M628" s="1130"/>
      <c r="N628" s="1130"/>
      <c r="O628" s="1130"/>
      <c r="P628" s="1130"/>
      <c r="Q628" s="1130"/>
      <c r="R628" s="1130"/>
      <c r="S628" s="1130"/>
      <c r="T628" s="1130"/>
      <c r="U628" s="1130"/>
      <c r="V628" s="1130"/>
      <c r="W628" s="1130"/>
      <c r="X628" s="1130"/>
      <c r="Y628" s="1130"/>
      <c r="Z628" s="1130"/>
    </row>
    <row r="629" spans="1:26" ht="15.75" customHeight="1">
      <c r="A629" s="1129"/>
      <c r="B629" s="1130"/>
      <c r="C629" s="1130"/>
      <c r="D629" s="1130"/>
      <c r="E629" s="1130"/>
      <c r="F629" s="1130"/>
      <c r="G629" s="1130"/>
      <c r="H629" s="1130"/>
      <c r="I629" s="1130"/>
      <c r="J629" s="1130"/>
      <c r="K629" s="1130"/>
      <c r="L629" s="1130"/>
      <c r="M629" s="1130"/>
      <c r="N629" s="1130"/>
      <c r="O629" s="1130"/>
      <c r="P629" s="1130"/>
      <c r="Q629" s="1130"/>
      <c r="R629" s="1130"/>
      <c r="S629" s="1130"/>
      <c r="T629" s="1130"/>
      <c r="U629" s="1130"/>
      <c r="V629" s="1130"/>
      <c r="W629" s="1130"/>
      <c r="X629" s="1130"/>
      <c r="Y629" s="1130"/>
      <c r="Z629" s="1130"/>
    </row>
    <row r="630" spans="1:26" ht="15.75" customHeight="1">
      <c r="A630" s="1129"/>
      <c r="B630" s="1130"/>
      <c r="C630" s="1130"/>
      <c r="D630" s="1130"/>
      <c r="E630" s="1130"/>
      <c r="F630" s="1130"/>
      <c r="G630" s="1130"/>
      <c r="H630" s="1130"/>
      <c r="I630" s="1130"/>
      <c r="J630" s="1130"/>
      <c r="K630" s="1130"/>
      <c r="L630" s="1130"/>
      <c r="M630" s="1130"/>
      <c r="N630" s="1130"/>
      <c r="O630" s="1130"/>
      <c r="P630" s="1130"/>
      <c r="Q630" s="1130"/>
      <c r="R630" s="1130"/>
      <c r="S630" s="1130"/>
      <c r="T630" s="1130"/>
      <c r="U630" s="1130"/>
      <c r="V630" s="1130"/>
      <c r="W630" s="1130"/>
      <c r="X630" s="1130"/>
      <c r="Y630" s="1130"/>
      <c r="Z630" s="1130"/>
    </row>
    <row r="631" spans="1:26" ht="15.75" customHeight="1">
      <c r="A631" s="1129"/>
      <c r="B631" s="1130"/>
      <c r="C631" s="1130"/>
      <c r="D631" s="1130"/>
      <c r="E631" s="1130"/>
      <c r="F631" s="1130"/>
      <c r="G631" s="1130"/>
      <c r="H631" s="1130"/>
      <c r="I631" s="1130"/>
      <c r="J631" s="1130"/>
      <c r="K631" s="1130"/>
      <c r="L631" s="1130"/>
      <c r="M631" s="1130"/>
      <c r="N631" s="1130"/>
      <c r="O631" s="1130"/>
      <c r="P631" s="1130"/>
      <c r="Q631" s="1130"/>
      <c r="R631" s="1130"/>
      <c r="S631" s="1130"/>
      <c r="T631" s="1130"/>
      <c r="U631" s="1130"/>
      <c r="V631" s="1130"/>
      <c r="W631" s="1130"/>
      <c r="X631" s="1130"/>
      <c r="Y631" s="1130"/>
      <c r="Z631" s="1130"/>
    </row>
    <row r="632" spans="1:26" ht="15.75" customHeight="1">
      <c r="A632" s="1129"/>
      <c r="B632" s="1130"/>
      <c r="C632" s="1130"/>
      <c r="D632" s="1130"/>
      <c r="E632" s="1130"/>
      <c r="F632" s="1130"/>
      <c r="G632" s="1130"/>
      <c r="H632" s="1130"/>
      <c r="I632" s="1130"/>
      <c r="J632" s="1130"/>
      <c r="K632" s="1130"/>
      <c r="L632" s="1130"/>
      <c r="M632" s="1130"/>
      <c r="N632" s="1130"/>
      <c r="O632" s="1130"/>
      <c r="P632" s="1130"/>
      <c r="Q632" s="1130"/>
      <c r="R632" s="1130"/>
      <c r="S632" s="1130"/>
      <c r="T632" s="1130"/>
      <c r="U632" s="1130"/>
      <c r="V632" s="1130"/>
      <c r="W632" s="1130"/>
      <c r="X632" s="1130"/>
      <c r="Y632" s="1130"/>
      <c r="Z632" s="1130"/>
    </row>
    <row r="633" spans="1:26" ht="15.75" customHeight="1">
      <c r="A633" s="1129"/>
      <c r="B633" s="1130"/>
      <c r="C633" s="1130"/>
      <c r="D633" s="1130"/>
      <c r="E633" s="1130"/>
      <c r="F633" s="1130"/>
      <c r="G633" s="1130"/>
      <c r="H633" s="1130"/>
      <c r="I633" s="1130"/>
      <c r="J633" s="1130"/>
      <c r="K633" s="1130"/>
      <c r="L633" s="1130"/>
      <c r="M633" s="1130"/>
      <c r="N633" s="1130"/>
      <c r="O633" s="1130"/>
      <c r="P633" s="1130"/>
      <c r="Q633" s="1130"/>
      <c r="R633" s="1130"/>
      <c r="S633" s="1130"/>
      <c r="T633" s="1130"/>
      <c r="U633" s="1130"/>
      <c r="V633" s="1130"/>
      <c r="W633" s="1130"/>
      <c r="X633" s="1130"/>
      <c r="Y633" s="1130"/>
      <c r="Z633" s="1130"/>
    </row>
    <row r="634" spans="1:26" ht="15.75" customHeight="1">
      <c r="A634" s="1129"/>
      <c r="B634" s="1130"/>
      <c r="C634" s="1130"/>
      <c r="D634" s="1130"/>
      <c r="E634" s="1130"/>
      <c r="F634" s="1130"/>
      <c r="G634" s="1130"/>
      <c r="H634" s="1130"/>
      <c r="I634" s="1130"/>
      <c r="J634" s="1130"/>
      <c r="K634" s="1130"/>
      <c r="L634" s="1130"/>
      <c r="M634" s="1130"/>
      <c r="N634" s="1130"/>
      <c r="O634" s="1130"/>
      <c r="P634" s="1130"/>
      <c r="Q634" s="1130"/>
      <c r="R634" s="1130"/>
      <c r="S634" s="1130"/>
      <c r="T634" s="1130"/>
      <c r="U634" s="1130"/>
      <c r="V634" s="1130"/>
      <c r="W634" s="1130"/>
      <c r="X634" s="1130"/>
      <c r="Y634" s="1130"/>
      <c r="Z634" s="1130"/>
    </row>
    <row r="635" spans="1:26" ht="15.75" customHeight="1">
      <c r="A635" s="1129"/>
      <c r="B635" s="1130"/>
      <c r="C635" s="1130"/>
      <c r="D635" s="1130"/>
      <c r="E635" s="1130"/>
      <c r="F635" s="1130"/>
      <c r="G635" s="1130"/>
      <c r="H635" s="1130"/>
      <c r="I635" s="1130"/>
      <c r="J635" s="1130"/>
      <c r="K635" s="1130"/>
      <c r="L635" s="1130"/>
      <c r="M635" s="1130"/>
      <c r="N635" s="1130"/>
      <c r="O635" s="1130"/>
      <c r="P635" s="1130"/>
      <c r="Q635" s="1130"/>
      <c r="R635" s="1130"/>
      <c r="S635" s="1130"/>
      <c r="T635" s="1130"/>
      <c r="U635" s="1130"/>
      <c r="V635" s="1130"/>
      <c r="W635" s="1130"/>
      <c r="X635" s="1130"/>
      <c r="Y635" s="1130"/>
      <c r="Z635" s="1130"/>
    </row>
    <row r="636" spans="1:26" ht="15.75" customHeight="1">
      <c r="A636" s="1129"/>
      <c r="B636" s="1130"/>
      <c r="C636" s="1130"/>
      <c r="D636" s="1130"/>
      <c r="E636" s="1130"/>
      <c r="F636" s="1130"/>
      <c r="G636" s="1130"/>
      <c r="H636" s="1130"/>
      <c r="I636" s="1130"/>
      <c r="J636" s="1130"/>
      <c r="K636" s="1130"/>
      <c r="L636" s="1130"/>
      <c r="M636" s="1130"/>
      <c r="N636" s="1130"/>
      <c r="O636" s="1130"/>
      <c r="P636" s="1130"/>
      <c r="Q636" s="1130"/>
      <c r="R636" s="1130"/>
      <c r="S636" s="1130"/>
      <c r="T636" s="1130"/>
      <c r="U636" s="1130"/>
      <c r="V636" s="1130"/>
      <c r="W636" s="1130"/>
      <c r="X636" s="1130"/>
      <c r="Y636" s="1130"/>
      <c r="Z636" s="1130"/>
    </row>
    <row r="637" spans="1:26" ht="15.75" customHeight="1">
      <c r="A637" s="1129"/>
      <c r="B637" s="1130"/>
      <c r="C637" s="1130"/>
      <c r="D637" s="1130"/>
      <c r="E637" s="1130"/>
      <c r="F637" s="1130"/>
      <c r="G637" s="1130"/>
      <c r="H637" s="1130"/>
      <c r="I637" s="1130"/>
      <c r="J637" s="1130"/>
      <c r="K637" s="1130"/>
      <c r="L637" s="1130"/>
      <c r="M637" s="1130"/>
      <c r="N637" s="1130"/>
      <c r="O637" s="1130"/>
      <c r="P637" s="1130"/>
      <c r="Q637" s="1130"/>
      <c r="R637" s="1130"/>
      <c r="S637" s="1130"/>
      <c r="T637" s="1130"/>
      <c r="U637" s="1130"/>
      <c r="V637" s="1130"/>
      <c r="W637" s="1130"/>
      <c r="X637" s="1130"/>
      <c r="Y637" s="1130"/>
      <c r="Z637" s="1130"/>
    </row>
    <row r="638" spans="1:26" ht="15.75" customHeight="1">
      <c r="A638" s="1129"/>
      <c r="B638" s="1130"/>
      <c r="C638" s="1130"/>
      <c r="D638" s="1130"/>
      <c r="E638" s="1130"/>
      <c r="F638" s="1130"/>
      <c r="G638" s="1130"/>
      <c r="H638" s="1130"/>
      <c r="I638" s="1130"/>
      <c r="J638" s="1130"/>
      <c r="K638" s="1130"/>
      <c r="L638" s="1130"/>
      <c r="M638" s="1130"/>
      <c r="N638" s="1130"/>
      <c r="O638" s="1130"/>
      <c r="P638" s="1130"/>
      <c r="Q638" s="1130"/>
      <c r="R638" s="1130"/>
      <c r="S638" s="1130"/>
      <c r="T638" s="1130"/>
      <c r="U638" s="1130"/>
      <c r="V638" s="1130"/>
      <c r="W638" s="1130"/>
      <c r="X638" s="1130"/>
      <c r="Y638" s="1130"/>
      <c r="Z638" s="1130"/>
    </row>
    <row r="639" spans="1:26" ht="15.75" customHeight="1">
      <c r="A639" s="1129"/>
      <c r="B639" s="1130"/>
      <c r="C639" s="1130"/>
      <c r="D639" s="1130"/>
      <c r="E639" s="1130"/>
      <c r="F639" s="1130"/>
      <c r="G639" s="1130"/>
      <c r="H639" s="1130"/>
      <c r="I639" s="1130"/>
      <c r="J639" s="1130"/>
      <c r="K639" s="1130"/>
      <c r="L639" s="1130"/>
      <c r="M639" s="1130"/>
      <c r="N639" s="1130"/>
      <c r="O639" s="1130"/>
      <c r="P639" s="1130"/>
      <c r="Q639" s="1130"/>
      <c r="R639" s="1130"/>
      <c r="S639" s="1130"/>
      <c r="T639" s="1130"/>
      <c r="U639" s="1130"/>
      <c r="V639" s="1130"/>
      <c r="W639" s="1130"/>
      <c r="X639" s="1130"/>
      <c r="Y639" s="1130"/>
      <c r="Z639" s="1130"/>
    </row>
    <row r="640" spans="1:26" ht="15.75" customHeight="1">
      <c r="A640" s="1129"/>
      <c r="B640" s="1130"/>
      <c r="C640" s="1130"/>
      <c r="D640" s="1130"/>
      <c r="E640" s="1130"/>
      <c r="F640" s="1130"/>
      <c r="G640" s="1130"/>
      <c r="H640" s="1130"/>
      <c r="I640" s="1130"/>
      <c r="J640" s="1130"/>
      <c r="K640" s="1130"/>
      <c r="L640" s="1130"/>
      <c r="M640" s="1130"/>
      <c r="N640" s="1130"/>
      <c r="O640" s="1130"/>
      <c r="P640" s="1130"/>
      <c r="Q640" s="1130"/>
      <c r="R640" s="1130"/>
      <c r="S640" s="1130"/>
      <c r="T640" s="1130"/>
      <c r="U640" s="1130"/>
      <c r="V640" s="1130"/>
      <c r="W640" s="1130"/>
      <c r="X640" s="1130"/>
      <c r="Y640" s="1130"/>
      <c r="Z640" s="1130"/>
    </row>
    <row r="641" spans="1:26" ht="15.75" customHeight="1">
      <c r="A641" s="1129"/>
      <c r="B641" s="1130"/>
      <c r="C641" s="1130"/>
      <c r="D641" s="1130"/>
      <c r="E641" s="1130"/>
      <c r="F641" s="1130"/>
      <c r="G641" s="1130"/>
      <c r="H641" s="1130"/>
      <c r="I641" s="1130"/>
      <c r="J641" s="1130"/>
      <c r="K641" s="1130"/>
      <c r="L641" s="1130"/>
      <c r="M641" s="1130"/>
      <c r="N641" s="1130"/>
      <c r="O641" s="1130"/>
      <c r="P641" s="1130"/>
      <c r="Q641" s="1130"/>
      <c r="R641" s="1130"/>
      <c r="S641" s="1130"/>
      <c r="T641" s="1130"/>
      <c r="U641" s="1130"/>
      <c r="V641" s="1130"/>
      <c r="W641" s="1130"/>
      <c r="X641" s="1130"/>
      <c r="Y641" s="1130"/>
      <c r="Z641" s="1130"/>
    </row>
    <row r="642" spans="1:26" ht="15.75" customHeight="1">
      <c r="A642" s="1129"/>
      <c r="B642" s="1130"/>
      <c r="C642" s="1130"/>
      <c r="D642" s="1130"/>
      <c r="E642" s="1130"/>
      <c r="F642" s="1130"/>
      <c r="G642" s="1130"/>
      <c r="H642" s="1130"/>
      <c r="I642" s="1130"/>
      <c r="J642" s="1130"/>
      <c r="K642" s="1130"/>
      <c r="L642" s="1130"/>
      <c r="M642" s="1130"/>
      <c r="N642" s="1130"/>
      <c r="O642" s="1130"/>
      <c r="P642" s="1130"/>
      <c r="Q642" s="1130"/>
      <c r="R642" s="1130"/>
      <c r="S642" s="1130"/>
      <c r="T642" s="1130"/>
      <c r="U642" s="1130"/>
      <c r="V642" s="1130"/>
      <c r="W642" s="1130"/>
      <c r="X642" s="1130"/>
      <c r="Y642" s="1130"/>
      <c r="Z642" s="1130"/>
    </row>
    <row r="643" spans="1:26" ht="15.75" customHeight="1">
      <c r="A643" s="1129"/>
      <c r="B643" s="1130"/>
      <c r="C643" s="1130"/>
      <c r="D643" s="1130"/>
      <c r="E643" s="1130"/>
      <c r="F643" s="1130"/>
      <c r="G643" s="1130"/>
      <c r="H643" s="1130"/>
      <c r="I643" s="1130"/>
      <c r="J643" s="1130"/>
      <c r="K643" s="1130"/>
      <c r="L643" s="1130"/>
      <c r="M643" s="1130"/>
      <c r="N643" s="1130"/>
      <c r="O643" s="1130"/>
      <c r="P643" s="1130"/>
      <c r="Q643" s="1130"/>
      <c r="R643" s="1130"/>
      <c r="S643" s="1130"/>
      <c r="T643" s="1130"/>
      <c r="U643" s="1130"/>
      <c r="V643" s="1130"/>
      <c r="W643" s="1130"/>
      <c r="X643" s="1130"/>
      <c r="Y643" s="1130"/>
      <c r="Z643" s="1130"/>
    </row>
    <row r="644" spans="1:26" ht="15.75" customHeight="1">
      <c r="A644" s="1129"/>
      <c r="B644" s="1130"/>
      <c r="C644" s="1130"/>
      <c r="D644" s="1130"/>
      <c r="E644" s="1130"/>
      <c r="F644" s="1130"/>
      <c r="G644" s="1130"/>
      <c r="H644" s="1130"/>
      <c r="I644" s="1130"/>
      <c r="J644" s="1130"/>
      <c r="K644" s="1130"/>
      <c r="L644" s="1130"/>
      <c r="M644" s="1130"/>
      <c r="N644" s="1130"/>
      <c r="O644" s="1130"/>
      <c r="P644" s="1130"/>
      <c r="Q644" s="1130"/>
      <c r="R644" s="1130"/>
      <c r="S644" s="1130"/>
      <c r="T644" s="1130"/>
      <c r="U644" s="1130"/>
      <c r="V644" s="1130"/>
      <c r="W644" s="1130"/>
      <c r="X644" s="1130"/>
      <c r="Y644" s="1130"/>
      <c r="Z644" s="1130"/>
    </row>
    <row r="645" spans="1:26" ht="15.75" customHeight="1">
      <c r="A645" s="1129"/>
      <c r="B645" s="1130"/>
      <c r="C645" s="1130"/>
      <c r="D645" s="1130"/>
      <c r="E645" s="1130"/>
      <c r="F645" s="1130"/>
      <c r="G645" s="1130"/>
      <c r="H645" s="1130"/>
      <c r="I645" s="1130"/>
      <c r="J645" s="1130"/>
      <c r="K645" s="1130"/>
      <c r="L645" s="1130"/>
      <c r="M645" s="1130"/>
      <c r="N645" s="1130"/>
      <c r="O645" s="1130"/>
      <c r="P645" s="1130"/>
      <c r="Q645" s="1130"/>
      <c r="R645" s="1130"/>
      <c r="S645" s="1130"/>
      <c r="T645" s="1130"/>
      <c r="U645" s="1130"/>
      <c r="V645" s="1130"/>
      <c r="W645" s="1130"/>
      <c r="X645" s="1130"/>
      <c r="Y645" s="1130"/>
      <c r="Z645" s="1130"/>
    </row>
    <row r="646" spans="1:26" ht="15.75" customHeight="1">
      <c r="A646" s="1129"/>
      <c r="B646" s="1130"/>
      <c r="C646" s="1130"/>
      <c r="D646" s="1130"/>
      <c r="E646" s="1130"/>
      <c r="F646" s="1130"/>
      <c r="G646" s="1130"/>
      <c r="H646" s="1130"/>
      <c r="I646" s="1130"/>
      <c r="J646" s="1130"/>
      <c r="K646" s="1130"/>
      <c r="L646" s="1130"/>
      <c r="M646" s="1130"/>
      <c r="N646" s="1130"/>
      <c r="O646" s="1130"/>
      <c r="P646" s="1130"/>
      <c r="Q646" s="1130"/>
      <c r="R646" s="1130"/>
      <c r="S646" s="1130"/>
      <c r="T646" s="1130"/>
      <c r="U646" s="1130"/>
      <c r="V646" s="1130"/>
      <c r="W646" s="1130"/>
      <c r="X646" s="1130"/>
      <c r="Y646" s="1130"/>
      <c r="Z646" s="1130"/>
    </row>
    <row r="647" spans="1:26" ht="15.75" customHeight="1">
      <c r="A647" s="1129"/>
      <c r="B647" s="1130"/>
      <c r="C647" s="1130"/>
      <c r="D647" s="1130"/>
      <c r="E647" s="1130"/>
      <c r="F647" s="1130"/>
      <c r="G647" s="1130"/>
      <c r="H647" s="1130"/>
      <c r="I647" s="1130"/>
      <c r="J647" s="1130"/>
      <c r="K647" s="1130"/>
      <c r="L647" s="1130"/>
      <c r="M647" s="1130"/>
      <c r="N647" s="1130"/>
      <c r="O647" s="1130"/>
      <c r="P647" s="1130"/>
      <c r="Q647" s="1130"/>
      <c r="R647" s="1130"/>
      <c r="S647" s="1130"/>
      <c r="T647" s="1130"/>
      <c r="U647" s="1130"/>
      <c r="V647" s="1130"/>
      <c r="W647" s="1130"/>
      <c r="X647" s="1130"/>
      <c r="Y647" s="1130"/>
      <c r="Z647" s="1130"/>
    </row>
    <row r="648" spans="1:26" ht="15.75" customHeight="1">
      <c r="A648" s="1129"/>
      <c r="B648" s="1130"/>
      <c r="C648" s="1130"/>
      <c r="D648" s="1130"/>
      <c r="E648" s="1130"/>
      <c r="F648" s="1130"/>
      <c r="G648" s="1130"/>
      <c r="H648" s="1130"/>
      <c r="I648" s="1130"/>
      <c r="J648" s="1130"/>
      <c r="K648" s="1130"/>
      <c r="L648" s="1130"/>
      <c r="M648" s="1130"/>
      <c r="N648" s="1130"/>
      <c r="O648" s="1130"/>
      <c r="P648" s="1130"/>
      <c r="Q648" s="1130"/>
      <c r="R648" s="1130"/>
      <c r="S648" s="1130"/>
      <c r="T648" s="1130"/>
      <c r="U648" s="1130"/>
      <c r="V648" s="1130"/>
      <c r="W648" s="1130"/>
      <c r="X648" s="1130"/>
      <c r="Y648" s="1130"/>
      <c r="Z648" s="1130"/>
    </row>
    <row r="649" spans="1:26" ht="15.75" customHeight="1">
      <c r="A649" s="1129"/>
      <c r="B649" s="1130"/>
      <c r="C649" s="1130"/>
      <c r="D649" s="1130"/>
      <c r="E649" s="1130"/>
      <c r="F649" s="1130"/>
      <c r="G649" s="1130"/>
      <c r="H649" s="1130"/>
      <c r="I649" s="1130"/>
      <c r="J649" s="1130"/>
      <c r="K649" s="1130"/>
      <c r="L649" s="1130"/>
      <c r="M649" s="1130"/>
      <c r="N649" s="1130"/>
      <c r="O649" s="1130"/>
      <c r="P649" s="1130"/>
      <c r="Q649" s="1130"/>
      <c r="R649" s="1130"/>
      <c r="S649" s="1130"/>
      <c r="T649" s="1130"/>
      <c r="U649" s="1130"/>
      <c r="V649" s="1130"/>
      <c r="W649" s="1130"/>
      <c r="X649" s="1130"/>
      <c r="Y649" s="1130"/>
      <c r="Z649" s="1130"/>
    </row>
    <row r="650" spans="1:26" ht="15.75" customHeight="1">
      <c r="A650" s="1129"/>
      <c r="B650" s="1130"/>
      <c r="C650" s="1130"/>
      <c r="D650" s="1130"/>
      <c r="E650" s="1130"/>
      <c r="F650" s="1130"/>
      <c r="G650" s="1130"/>
      <c r="H650" s="1130"/>
      <c r="I650" s="1130"/>
      <c r="J650" s="1130"/>
      <c r="K650" s="1130"/>
      <c r="L650" s="1130"/>
      <c r="M650" s="1130"/>
      <c r="N650" s="1130"/>
      <c r="O650" s="1130"/>
      <c r="P650" s="1130"/>
      <c r="Q650" s="1130"/>
      <c r="R650" s="1130"/>
      <c r="S650" s="1130"/>
      <c r="T650" s="1130"/>
      <c r="U650" s="1130"/>
      <c r="V650" s="1130"/>
      <c r="W650" s="1130"/>
      <c r="X650" s="1130"/>
      <c r="Y650" s="1130"/>
      <c r="Z650" s="1130"/>
    </row>
    <row r="651" spans="1:26" ht="15.75" customHeight="1">
      <c r="A651" s="1129"/>
      <c r="B651" s="1130"/>
      <c r="C651" s="1130"/>
      <c r="D651" s="1130"/>
      <c r="E651" s="1130"/>
      <c r="F651" s="1130"/>
      <c r="G651" s="1130"/>
      <c r="H651" s="1130"/>
      <c r="I651" s="1130"/>
      <c r="J651" s="1130"/>
      <c r="K651" s="1130"/>
      <c r="L651" s="1130"/>
      <c r="M651" s="1130"/>
      <c r="N651" s="1130"/>
      <c r="O651" s="1130"/>
      <c r="P651" s="1130"/>
      <c r="Q651" s="1130"/>
      <c r="R651" s="1130"/>
      <c r="S651" s="1130"/>
      <c r="T651" s="1130"/>
      <c r="U651" s="1130"/>
      <c r="V651" s="1130"/>
      <c r="W651" s="1130"/>
      <c r="X651" s="1130"/>
      <c r="Y651" s="1130"/>
      <c r="Z651" s="1130"/>
    </row>
    <row r="652" spans="1:26" ht="15.75" customHeight="1">
      <c r="A652" s="1129"/>
      <c r="B652" s="1130"/>
      <c r="C652" s="1130"/>
      <c r="D652" s="1130"/>
      <c r="E652" s="1130"/>
      <c r="F652" s="1130"/>
      <c r="G652" s="1130"/>
      <c r="H652" s="1130"/>
      <c r="I652" s="1130"/>
      <c r="J652" s="1130"/>
      <c r="K652" s="1130"/>
      <c r="L652" s="1130"/>
      <c r="M652" s="1130"/>
      <c r="N652" s="1130"/>
      <c r="O652" s="1130"/>
      <c r="P652" s="1130"/>
      <c r="Q652" s="1130"/>
      <c r="R652" s="1130"/>
      <c r="S652" s="1130"/>
      <c r="T652" s="1130"/>
      <c r="U652" s="1130"/>
      <c r="V652" s="1130"/>
      <c r="W652" s="1130"/>
      <c r="X652" s="1130"/>
      <c r="Y652" s="1130"/>
      <c r="Z652" s="1130"/>
    </row>
    <row r="653" spans="1:26" ht="15.75" customHeight="1">
      <c r="A653" s="1129"/>
      <c r="B653" s="1130"/>
      <c r="C653" s="1130"/>
      <c r="D653" s="1130"/>
      <c r="E653" s="1130"/>
      <c r="F653" s="1130"/>
      <c r="G653" s="1130"/>
      <c r="H653" s="1130"/>
      <c r="I653" s="1130"/>
      <c r="J653" s="1130"/>
      <c r="K653" s="1130"/>
      <c r="L653" s="1130"/>
      <c r="M653" s="1130"/>
      <c r="N653" s="1130"/>
      <c r="O653" s="1130"/>
      <c r="P653" s="1130"/>
      <c r="Q653" s="1130"/>
      <c r="R653" s="1130"/>
      <c r="S653" s="1130"/>
      <c r="T653" s="1130"/>
      <c r="U653" s="1130"/>
      <c r="V653" s="1130"/>
      <c r="W653" s="1130"/>
      <c r="X653" s="1130"/>
      <c r="Y653" s="1130"/>
      <c r="Z653" s="1130"/>
    </row>
    <row r="654" spans="1:26" ht="15.75" customHeight="1">
      <c r="A654" s="1129"/>
      <c r="B654" s="1130"/>
      <c r="C654" s="1130"/>
      <c r="D654" s="1130"/>
      <c r="E654" s="1130"/>
      <c r="F654" s="1130"/>
      <c r="G654" s="1130"/>
      <c r="H654" s="1130"/>
      <c r="I654" s="1130"/>
      <c r="J654" s="1130"/>
      <c r="K654" s="1130"/>
      <c r="L654" s="1130"/>
      <c r="M654" s="1130"/>
      <c r="N654" s="1130"/>
      <c r="O654" s="1130"/>
      <c r="P654" s="1130"/>
      <c r="Q654" s="1130"/>
      <c r="R654" s="1130"/>
      <c r="S654" s="1130"/>
      <c r="T654" s="1130"/>
      <c r="U654" s="1130"/>
      <c r="V654" s="1130"/>
      <c r="W654" s="1130"/>
      <c r="X654" s="1130"/>
      <c r="Y654" s="1130"/>
      <c r="Z654" s="1130"/>
    </row>
    <row r="655" spans="1:26" ht="15.75" customHeight="1">
      <c r="A655" s="1129"/>
      <c r="B655" s="1130"/>
      <c r="C655" s="1130"/>
      <c r="D655" s="1130"/>
      <c r="E655" s="1130"/>
      <c r="F655" s="1130"/>
      <c r="G655" s="1130"/>
      <c r="H655" s="1130"/>
      <c r="I655" s="1130"/>
      <c r="J655" s="1130"/>
      <c r="K655" s="1130"/>
      <c r="L655" s="1130"/>
      <c r="M655" s="1130"/>
      <c r="N655" s="1130"/>
      <c r="O655" s="1130"/>
      <c r="P655" s="1130"/>
      <c r="Q655" s="1130"/>
      <c r="R655" s="1130"/>
      <c r="S655" s="1130"/>
      <c r="T655" s="1130"/>
      <c r="U655" s="1130"/>
      <c r="V655" s="1130"/>
      <c r="W655" s="1130"/>
      <c r="X655" s="1130"/>
      <c r="Y655" s="1130"/>
      <c r="Z655" s="1130"/>
    </row>
    <row r="656" spans="1:26" ht="15.75" customHeight="1">
      <c r="A656" s="1129"/>
      <c r="B656" s="1130"/>
      <c r="C656" s="1130"/>
      <c r="D656" s="1130"/>
      <c r="E656" s="1130"/>
      <c r="F656" s="1130"/>
      <c r="G656" s="1130"/>
      <c r="H656" s="1130"/>
      <c r="I656" s="1130"/>
      <c r="J656" s="1130"/>
      <c r="K656" s="1130"/>
      <c r="L656" s="1130"/>
      <c r="M656" s="1130"/>
      <c r="N656" s="1130"/>
      <c r="O656" s="1130"/>
      <c r="P656" s="1130"/>
      <c r="Q656" s="1130"/>
      <c r="R656" s="1130"/>
      <c r="S656" s="1130"/>
      <c r="T656" s="1130"/>
      <c r="U656" s="1130"/>
      <c r="V656" s="1130"/>
      <c r="W656" s="1130"/>
      <c r="X656" s="1130"/>
      <c r="Y656" s="1130"/>
      <c r="Z656" s="1130"/>
    </row>
    <row r="657" spans="1:26" ht="15.75" customHeight="1">
      <c r="A657" s="1129"/>
      <c r="B657" s="1130"/>
      <c r="C657" s="1130"/>
      <c r="D657" s="1130"/>
      <c r="E657" s="1130"/>
      <c r="F657" s="1130"/>
      <c r="G657" s="1130"/>
      <c r="H657" s="1130"/>
      <c r="I657" s="1130"/>
      <c r="J657" s="1130"/>
      <c r="K657" s="1130"/>
      <c r="L657" s="1130"/>
      <c r="M657" s="1130"/>
      <c r="N657" s="1130"/>
      <c r="O657" s="1130"/>
      <c r="P657" s="1130"/>
      <c r="Q657" s="1130"/>
      <c r="R657" s="1130"/>
      <c r="S657" s="1130"/>
      <c r="T657" s="1130"/>
      <c r="U657" s="1130"/>
      <c r="V657" s="1130"/>
      <c r="W657" s="1130"/>
      <c r="X657" s="1130"/>
      <c r="Y657" s="1130"/>
      <c r="Z657" s="1130"/>
    </row>
    <row r="658" spans="1:26" ht="15.75" customHeight="1">
      <c r="A658" s="1129"/>
      <c r="B658" s="1130"/>
      <c r="C658" s="1130"/>
      <c r="D658" s="1130"/>
      <c r="E658" s="1130"/>
      <c r="F658" s="1130"/>
      <c r="G658" s="1130"/>
      <c r="H658" s="1130"/>
      <c r="I658" s="1130"/>
      <c r="J658" s="1130"/>
      <c r="K658" s="1130"/>
      <c r="L658" s="1130"/>
      <c r="M658" s="1130"/>
      <c r="N658" s="1130"/>
      <c r="O658" s="1130"/>
      <c r="P658" s="1130"/>
      <c r="Q658" s="1130"/>
      <c r="R658" s="1130"/>
      <c r="S658" s="1130"/>
      <c r="T658" s="1130"/>
      <c r="U658" s="1130"/>
      <c r="V658" s="1130"/>
      <c r="W658" s="1130"/>
      <c r="X658" s="1130"/>
      <c r="Y658" s="1130"/>
      <c r="Z658" s="1130"/>
    </row>
    <row r="659" spans="1:26" ht="15.75" customHeight="1">
      <c r="A659" s="1129"/>
      <c r="B659" s="1130"/>
      <c r="C659" s="1130"/>
      <c r="D659" s="1130"/>
      <c r="E659" s="1130"/>
      <c r="F659" s="1130"/>
      <c r="G659" s="1130"/>
      <c r="H659" s="1130"/>
      <c r="I659" s="1130"/>
      <c r="J659" s="1130"/>
      <c r="K659" s="1130"/>
      <c r="L659" s="1130"/>
      <c r="M659" s="1130"/>
      <c r="N659" s="1130"/>
      <c r="O659" s="1130"/>
      <c r="P659" s="1130"/>
      <c r="Q659" s="1130"/>
      <c r="R659" s="1130"/>
      <c r="S659" s="1130"/>
      <c r="T659" s="1130"/>
      <c r="U659" s="1130"/>
      <c r="V659" s="1130"/>
      <c r="W659" s="1130"/>
      <c r="X659" s="1130"/>
      <c r="Y659" s="1130"/>
      <c r="Z659" s="1130"/>
    </row>
    <row r="660" spans="1:26" ht="15.75" customHeight="1">
      <c r="A660" s="1129"/>
      <c r="B660" s="1130"/>
      <c r="C660" s="1130"/>
      <c r="D660" s="1130"/>
      <c r="E660" s="1130"/>
      <c r="F660" s="1130"/>
      <c r="G660" s="1130"/>
      <c r="H660" s="1130"/>
      <c r="I660" s="1130"/>
      <c r="J660" s="1130"/>
      <c r="K660" s="1130"/>
      <c r="L660" s="1130"/>
      <c r="M660" s="1130"/>
      <c r="N660" s="1130"/>
      <c r="O660" s="1130"/>
      <c r="P660" s="1130"/>
      <c r="Q660" s="1130"/>
      <c r="R660" s="1130"/>
      <c r="S660" s="1130"/>
      <c r="T660" s="1130"/>
      <c r="U660" s="1130"/>
      <c r="V660" s="1130"/>
      <c r="W660" s="1130"/>
      <c r="X660" s="1130"/>
      <c r="Y660" s="1130"/>
      <c r="Z660" s="1130"/>
    </row>
    <row r="661" spans="1:26" ht="15.75" customHeight="1">
      <c r="A661" s="1129"/>
      <c r="B661" s="1130"/>
      <c r="C661" s="1130"/>
      <c r="D661" s="1130"/>
      <c r="E661" s="1130"/>
      <c r="F661" s="1130"/>
      <c r="G661" s="1130"/>
      <c r="H661" s="1130"/>
      <c r="I661" s="1130"/>
      <c r="J661" s="1130"/>
      <c r="K661" s="1130"/>
      <c r="L661" s="1130"/>
      <c r="M661" s="1130"/>
      <c r="N661" s="1130"/>
      <c r="O661" s="1130"/>
      <c r="P661" s="1130"/>
      <c r="Q661" s="1130"/>
      <c r="R661" s="1130"/>
      <c r="S661" s="1130"/>
      <c r="T661" s="1130"/>
      <c r="U661" s="1130"/>
      <c r="V661" s="1130"/>
      <c r="W661" s="1130"/>
      <c r="X661" s="1130"/>
      <c r="Y661" s="1130"/>
      <c r="Z661" s="1130"/>
    </row>
    <row r="662" spans="1:26" ht="15.75" customHeight="1">
      <c r="A662" s="1129"/>
      <c r="B662" s="1130"/>
      <c r="C662" s="1130"/>
      <c r="D662" s="1130"/>
      <c r="E662" s="1130"/>
      <c r="F662" s="1130"/>
      <c r="G662" s="1130"/>
      <c r="H662" s="1130"/>
      <c r="I662" s="1130"/>
      <c r="J662" s="1130"/>
      <c r="K662" s="1130"/>
      <c r="L662" s="1130"/>
      <c r="M662" s="1130"/>
      <c r="N662" s="1130"/>
      <c r="O662" s="1130"/>
      <c r="P662" s="1130"/>
      <c r="Q662" s="1130"/>
      <c r="R662" s="1130"/>
      <c r="S662" s="1130"/>
      <c r="T662" s="1130"/>
      <c r="U662" s="1130"/>
      <c r="V662" s="1130"/>
      <c r="W662" s="1130"/>
      <c r="X662" s="1130"/>
      <c r="Y662" s="1130"/>
      <c r="Z662" s="1130"/>
    </row>
    <row r="663" spans="1:26" ht="15.75" customHeight="1">
      <c r="A663" s="1129"/>
      <c r="B663" s="1130"/>
      <c r="C663" s="1130"/>
      <c r="D663" s="1130"/>
      <c r="E663" s="1130"/>
      <c r="F663" s="1130"/>
      <c r="G663" s="1130"/>
      <c r="H663" s="1130"/>
      <c r="I663" s="1130"/>
      <c r="J663" s="1130"/>
      <c r="K663" s="1130"/>
      <c r="L663" s="1130"/>
      <c r="M663" s="1130"/>
      <c r="N663" s="1130"/>
      <c r="O663" s="1130"/>
      <c r="P663" s="1130"/>
      <c r="Q663" s="1130"/>
      <c r="R663" s="1130"/>
      <c r="S663" s="1130"/>
      <c r="T663" s="1130"/>
      <c r="U663" s="1130"/>
      <c r="V663" s="1130"/>
      <c r="W663" s="1130"/>
      <c r="X663" s="1130"/>
      <c r="Y663" s="1130"/>
      <c r="Z663" s="1130"/>
    </row>
    <row r="664" spans="1:26" ht="15.75" customHeight="1">
      <c r="A664" s="1129"/>
      <c r="B664" s="1130"/>
      <c r="C664" s="1130"/>
      <c r="D664" s="1130"/>
      <c r="E664" s="1130"/>
      <c r="F664" s="1130"/>
      <c r="G664" s="1130"/>
      <c r="H664" s="1130"/>
      <c r="I664" s="1130"/>
      <c r="J664" s="1130"/>
      <c r="K664" s="1130"/>
      <c r="L664" s="1130"/>
      <c r="M664" s="1130"/>
      <c r="N664" s="1130"/>
      <c r="O664" s="1130"/>
      <c r="P664" s="1130"/>
      <c r="Q664" s="1130"/>
      <c r="R664" s="1130"/>
      <c r="S664" s="1130"/>
      <c r="T664" s="1130"/>
      <c r="U664" s="1130"/>
      <c r="V664" s="1130"/>
      <c r="W664" s="1130"/>
      <c r="X664" s="1130"/>
      <c r="Y664" s="1130"/>
      <c r="Z664" s="1130"/>
    </row>
    <row r="665" spans="1:26" ht="15.75" customHeight="1">
      <c r="A665" s="1129"/>
      <c r="B665" s="1130"/>
      <c r="C665" s="1130"/>
      <c r="D665" s="1130"/>
      <c r="E665" s="1130"/>
      <c r="F665" s="1130"/>
      <c r="G665" s="1130"/>
      <c r="H665" s="1130"/>
      <c r="I665" s="1130"/>
      <c r="J665" s="1130"/>
      <c r="K665" s="1130"/>
      <c r="L665" s="1130"/>
      <c r="M665" s="1130"/>
      <c r="N665" s="1130"/>
      <c r="O665" s="1130"/>
      <c r="P665" s="1130"/>
      <c r="Q665" s="1130"/>
      <c r="R665" s="1130"/>
      <c r="S665" s="1130"/>
      <c r="T665" s="1130"/>
      <c r="U665" s="1130"/>
      <c r="V665" s="1130"/>
      <c r="W665" s="1130"/>
      <c r="X665" s="1130"/>
      <c r="Y665" s="1130"/>
      <c r="Z665" s="1130"/>
    </row>
    <row r="666" spans="1:26" ht="15.75" customHeight="1">
      <c r="A666" s="1129"/>
      <c r="B666" s="1130"/>
      <c r="C666" s="1130"/>
      <c r="D666" s="1130"/>
      <c r="E666" s="1130"/>
      <c r="F666" s="1130"/>
      <c r="G666" s="1130"/>
      <c r="H666" s="1130"/>
      <c r="I666" s="1130"/>
      <c r="J666" s="1130"/>
      <c r="K666" s="1130"/>
      <c r="L666" s="1130"/>
      <c r="M666" s="1130"/>
      <c r="N666" s="1130"/>
      <c r="O666" s="1130"/>
      <c r="P666" s="1130"/>
      <c r="Q666" s="1130"/>
      <c r="R666" s="1130"/>
      <c r="S666" s="1130"/>
      <c r="T666" s="1130"/>
      <c r="U666" s="1130"/>
      <c r="V666" s="1130"/>
      <c r="W666" s="1130"/>
      <c r="X666" s="1130"/>
      <c r="Y666" s="1130"/>
      <c r="Z666" s="1130"/>
    </row>
    <row r="667" spans="1:26" ht="15.75" customHeight="1">
      <c r="A667" s="1129"/>
      <c r="B667" s="1130"/>
      <c r="C667" s="1130"/>
      <c r="D667" s="1130"/>
      <c r="E667" s="1130"/>
      <c r="F667" s="1130"/>
      <c r="G667" s="1130"/>
      <c r="H667" s="1130"/>
      <c r="I667" s="1130"/>
      <c r="J667" s="1130"/>
      <c r="K667" s="1130"/>
      <c r="L667" s="1130"/>
      <c r="M667" s="1130"/>
      <c r="N667" s="1130"/>
      <c r="O667" s="1130"/>
      <c r="P667" s="1130"/>
      <c r="Q667" s="1130"/>
      <c r="R667" s="1130"/>
      <c r="S667" s="1130"/>
      <c r="T667" s="1130"/>
      <c r="U667" s="1130"/>
      <c r="V667" s="1130"/>
      <c r="W667" s="1130"/>
      <c r="X667" s="1130"/>
      <c r="Y667" s="1130"/>
      <c r="Z667" s="1130"/>
    </row>
    <row r="668" spans="1:26" ht="15.75" customHeight="1">
      <c r="A668" s="1129"/>
      <c r="B668" s="1130"/>
      <c r="C668" s="1130"/>
      <c r="D668" s="1130"/>
      <c r="E668" s="1130"/>
      <c r="F668" s="1130"/>
      <c r="G668" s="1130"/>
      <c r="H668" s="1130"/>
      <c r="I668" s="1130"/>
      <c r="J668" s="1130"/>
      <c r="K668" s="1130"/>
      <c r="L668" s="1130"/>
      <c r="M668" s="1130"/>
      <c r="N668" s="1130"/>
      <c r="O668" s="1130"/>
      <c r="P668" s="1130"/>
      <c r="Q668" s="1130"/>
      <c r="R668" s="1130"/>
      <c r="S668" s="1130"/>
      <c r="T668" s="1130"/>
      <c r="U668" s="1130"/>
      <c r="V668" s="1130"/>
      <c r="W668" s="1130"/>
      <c r="X668" s="1130"/>
      <c r="Y668" s="1130"/>
      <c r="Z668" s="1130"/>
    </row>
    <row r="669" spans="1:26" ht="15.75" customHeight="1">
      <c r="A669" s="1129"/>
      <c r="B669" s="1130"/>
      <c r="C669" s="1130"/>
      <c r="D669" s="1130"/>
      <c r="E669" s="1130"/>
      <c r="F669" s="1130"/>
      <c r="G669" s="1130"/>
      <c r="H669" s="1130"/>
      <c r="I669" s="1130"/>
      <c r="J669" s="1130"/>
      <c r="K669" s="1130"/>
      <c r="L669" s="1130"/>
      <c r="M669" s="1130"/>
      <c r="N669" s="1130"/>
      <c r="O669" s="1130"/>
      <c r="P669" s="1130"/>
      <c r="Q669" s="1130"/>
      <c r="R669" s="1130"/>
      <c r="S669" s="1130"/>
      <c r="T669" s="1130"/>
      <c r="U669" s="1130"/>
      <c r="V669" s="1130"/>
      <c r="W669" s="1130"/>
      <c r="X669" s="1130"/>
      <c r="Y669" s="1130"/>
      <c r="Z669" s="1130"/>
    </row>
    <row r="670" spans="1:26" ht="15.75" customHeight="1">
      <c r="A670" s="1129"/>
      <c r="B670" s="1130"/>
      <c r="C670" s="1130"/>
      <c r="D670" s="1130"/>
      <c r="E670" s="1130"/>
      <c r="F670" s="1130"/>
      <c r="G670" s="1130"/>
      <c r="H670" s="1130"/>
      <c r="I670" s="1130"/>
      <c r="J670" s="1130"/>
      <c r="K670" s="1130"/>
      <c r="L670" s="1130"/>
      <c r="M670" s="1130"/>
      <c r="N670" s="1130"/>
      <c r="O670" s="1130"/>
      <c r="P670" s="1130"/>
      <c r="Q670" s="1130"/>
      <c r="R670" s="1130"/>
      <c r="S670" s="1130"/>
      <c r="T670" s="1130"/>
      <c r="U670" s="1130"/>
      <c r="V670" s="1130"/>
      <c r="W670" s="1130"/>
      <c r="X670" s="1130"/>
      <c r="Y670" s="1130"/>
      <c r="Z670" s="1130"/>
    </row>
    <row r="671" spans="1:26" ht="15.75" customHeight="1">
      <c r="A671" s="1129"/>
      <c r="B671" s="1130"/>
      <c r="C671" s="1130"/>
      <c r="D671" s="1130"/>
      <c r="E671" s="1130"/>
      <c r="F671" s="1130"/>
      <c r="G671" s="1130"/>
      <c r="H671" s="1130"/>
      <c r="I671" s="1130"/>
      <c r="J671" s="1130"/>
      <c r="K671" s="1130"/>
      <c r="L671" s="1130"/>
      <c r="M671" s="1130"/>
      <c r="N671" s="1130"/>
      <c r="O671" s="1130"/>
      <c r="P671" s="1130"/>
      <c r="Q671" s="1130"/>
      <c r="R671" s="1130"/>
      <c r="S671" s="1130"/>
      <c r="T671" s="1130"/>
      <c r="U671" s="1130"/>
      <c r="V671" s="1130"/>
      <c r="W671" s="1130"/>
      <c r="X671" s="1130"/>
      <c r="Y671" s="1130"/>
      <c r="Z671" s="1130"/>
    </row>
    <row r="672" spans="1:26" ht="15.75" customHeight="1">
      <c r="A672" s="1129"/>
      <c r="B672" s="1130"/>
      <c r="C672" s="1130"/>
      <c r="D672" s="1130"/>
      <c r="E672" s="1130"/>
      <c r="F672" s="1130"/>
      <c r="G672" s="1130"/>
      <c r="H672" s="1130"/>
      <c r="I672" s="1130"/>
      <c r="J672" s="1130"/>
      <c r="K672" s="1130"/>
      <c r="L672" s="1130"/>
      <c r="M672" s="1130"/>
      <c r="N672" s="1130"/>
      <c r="O672" s="1130"/>
      <c r="P672" s="1130"/>
      <c r="Q672" s="1130"/>
      <c r="R672" s="1130"/>
      <c r="S672" s="1130"/>
      <c r="T672" s="1130"/>
      <c r="U672" s="1130"/>
      <c r="V672" s="1130"/>
      <c r="W672" s="1130"/>
      <c r="X672" s="1130"/>
      <c r="Y672" s="1130"/>
      <c r="Z672" s="1130"/>
    </row>
    <row r="673" spans="1:26" ht="15.75" customHeight="1">
      <c r="A673" s="1129"/>
      <c r="B673" s="1130"/>
      <c r="C673" s="1130"/>
      <c r="D673" s="1130"/>
      <c r="E673" s="1130"/>
      <c r="F673" s="1130"/>
      <c r="G673" s="1130"/>
      <c r="H673" s="1130"/>
      <c r="I673" s="1130"/>
      <c r="J673" s="1130"/>
      <c r="K673" s="1130"/>
      <c r="L673" s="1130"/>
      <c r="M673" s="1130"/>
      <c r="N673" s="1130"/>
      <c r="O673" s="1130"/>
      <c r="P673" s="1130"/>
      <c r="Q673" s="1130"/>
      <c r="R673" s="1130"/>
      <c r="S673" s="1130"/>
      <c r="T673" s="1130"/>
      <c r="U673" s="1130"/>
      <c r="V673" s="1130"/>
      <c r="W673" s="1130"/>
      <c r="X673" s="1130"/>
      <c r="Y673" s="1130"/>
      <c r="Z673" s="1130"/>
    </row>
    <row r="674" spans="1:26" ht="15.75" customHeight="1">
      <c r="A674" s="1129"/>
      <c r="B674" s="1130"/>
      <c r="C674" s="1130"/>
      <c r="D674" s="1130"/>
      <c r="E674" s="1130"/>
      <c r="F674" s="1130"/>
      <c r="G674" s="1130"/>
      <c r="H674" s="1130"/>
      <c r="I674" s="1130"/>
      <c r="J674" s="1130"/>
      <c r="K674" s="1130"/>
      <c r="L674" s="1130"/>
      <c r="M674" s="1130"/>
      <c r="N674" s="1130"/>
      <c r="O674" s="1130"/>
      <c r="P674" s="1130"/>
      <c r="Q674" s="1130"/>
      <c r="R674" s="1130"/>
      <c r="S674" s="1130"/>
      <c r="T674" s="1130"/>
      <c r="U674" s="1130"/>
      <c r="V674" s="1130"/>
      <c r="W674" s="1130"/>
      <c r="X674" s="1130"/>
      <c r="Y674" s="1130"/>
      <c r="Z674" s="1130"/>
    </row>
    <row r="675" spans="1:26" ht="15.75" customHeight="1">
      <c r="A675" s="1129"/>
      <c r="B675" s="1130"/>
      <c r="C675" s="1130"/>
      <c r="D675" s="1130"/>
      <c r="E675" s="1130"/>
      <c r="F675" s="1130"/>
      <c r="G675" s="1130"/>
      <c r="H675" s="1130"/>
      <c r="I675" s="1130"/>
      <c r="J675" s="1130"/>
      <c r="K675" s="1130"/>
      <c r="L675" s="1130"/>
      <c r="M675" s="1130"/>
      <c r="N675" s="1130"/>
      <c r="O675" s="1130"/>
      <c r="P675" s="1130"/>
      <c r="Q675" s="1130"/>
      <c r="R675" s="1130"/>
      <c r="S675" s="1130"/>
      <c r="T675" s="1130"/>
      <c r="U675" s="1130"/>
      <c r="V675" s="1130"/>
      <c r="W675" s="1130"/>
      <c r="X675" s="1130"/>
      <c r="Y675" s="1130"/>
      <c r="Z675" s="1130"/>
    </row>
    <row r="676" spans="1:26" ht="15.75" customHeight="1">
      <c r="A676" s="1129"/>
      <c r="B676" s="1130"/>
      <c r="C676" s="1130"/>
      <c r="D676" s="1130"/>
      <c r="E676" s="1130"/>
      <c r="F676" s="1130"/>
      <c r="G676" s="1130"/>
      <c r="H676" s="1130"/>
      <c r="I676" s="1130"/>
      <c r="J676" s="1130"/>
      <c r="K676" s="1130"/>
      <c r="L676" s="1130"/>
      <c r="M676" s="1130"/>
      <c r="N676" s="1130"/>
      <c r="O676" s="1130"/>
      <c r="P676" s="1130"/>
      <c r="Q676" s="1130"/>
      <c r="R676" s="1130"/>
      <c r="S676" s="1130"/>
      <c r="T676" s="1130"/>
      <c r="U676" s="1130"/>
      <c r="V676" s="1130"/>
      <c r="W676" s="1130"/>
      <c r="X676" s="1130"/>
      <c r="Y676" s="1130"/>
      <c r="Z676" s="1130"/>
    </row>
    <row r="677" spans="1:26" ht="15.75" customHeight="1">
      <c r="A677" s="1129"/>
      <c r="B677" s="1130"/>
      <c r="C677" s="1130"/>
      <c r="D677" s="1130"/>
      <c r="E677" s="1130"/>
      <c r="F677" s="1130"/>
      <c r="G677" s="1130"/>
      <c r="H677" s="1130"/>
      <c r="I677" s="1130"/>
      <c r="J677" s="1130"/>
      <c r="K677" s="1130"/>
      <c r="L677" s="1130"/>
      <c r="M677" s="1130"/>
      <c r="N677" s="1130"/>
      <c r="O677" s="1130"/>
      <c r="P677" s="1130"/>
      <c r="Q677" s="1130"/>
      <c r="R677" s="1130"/>
      <c r="S677" s="1130"/>
      <c r="T677" s="1130"/>
      <c r="U677" s="1130"/>
      <c r="V677" s="1130"/>
      <c r="W677" s="1130"/>
      <c r="X677" s="1130"/>
      <c r="Y677" s="1130"/>
      <c r="Z677" s="1130"/>
    </row>
    <row r="678" spans="1:26" ht="15.75" customHeight="1">
      <c r="A678" s="1129"/>
      <c r="B678" s="1130"/>
      <c r="C678" s="1130"/>
      <c r="D678" s="1130"/>
      <c r="E678" s="1130"/>
      <c r="F678" s="1130"/>
      <c r="G678" s="1130"/>
      <c r="H678" s="1130"/>
      <c r="I678" s="1130"/>
      <c r="J678" s="1130"/>
      <c r="K678" s="1130"/>
      <c r="L678" s="1130"/>
      <c r="M678" s="1130"/>
      <c r="N678" s="1130"/>
      <c r="O678" s="1130"/>
      <c r="P678" s="1130"/>
      <c r="Q678" s="1130"/>
      <c r="R678" s="1130"/>
      <c r="S678" s="1130"/>
      <c r="T678" s="1130"/>
      <c r="U678" s="1130"/>
      <c r="V678" s="1130"/>
      <c r="W678" s="1130"/>
      <c r="X678" s="1130"/>
      <c r="Y678" s="1130"/>
      <c r="Z678" s="1130"/>
    </row>
    <row r="679" spans="1:26" ht="15.75" customHeight="1">
      <c r="A679" s="1129"/>
      <c r="B679" s="1130"/>
      <c r="C679" s="1130"/>
      <c r="D679" s="1130"/>
      <c r="E679" s="1130"/>
      <c r="F679" s="1130"/>
      <c r="G679" s="1130"/>
      <c r="H679" s="1130"/>
      <c r="I679" s="1130"/>
      <c r="J679" s="1130"/>
      <c r="K679" s="1130"/>
      <c r="L679" s="1130"/>
      <c r="M679" s="1130"/>
      <c r="N679" s="1130"/>
      <c r="O679" s="1130"/>
      <c r="P679" s="1130"/>
      <c r="Q679" s="1130"/>
      <c r="R679" s="1130"/>
      <c r="S679" s="1130"/>
      <c r="T679" s="1130"/>
      <c r="U679" s="1130"/>
      <c r="V679" s="1130"/>
      <c r="W679" s="1130"/>
      <c r="X679" s="1130"/>
      <c r="Y679" s="1130"/>
      <c r="Z679" s="1130"/>
    </row>
    <row r="680" spans="1:26" ht="15.75" customHeight="1">
      <c r="A680" s="1129"/>
      <c r="B680" s="1130"/>
      <c r="C680" s="1130"/>
      <c r="D680" s="1130"/>
      <c r="E680" s="1130"/>
      <c r="F680" s="1130"/>
      <c r="G680" s="1130"/>
      <c r="H680" s="1130"/>
      <c r="I680" s="1130"/>
      <c r="J680" s="1130"/>
      <c r="K680" s="1130"/>
      <c r="L680" s="1130"/>
      <c r="M680" s="1130"/>
      <c r="N680" s="1130"/>
      <c r="O680" s="1130"/>
      <c r="P680" s="1130"/>
      <c r="Q680" s="1130"/>
      <c r="R680" s="1130"/>
      <c r="S680" s="1130"/>
      <c r="T680" s="1130"/>
      <c r="U680" s="1130"/>
      <c r="V680" s="1130"/>
      <c r="W680" s="1130"/>
      <c r="X680" s="1130"/>
      <c r="Y680" s="1130"/>
      <c r="Z680" s="1130"/>
    </row>
    <row r="681" spans="1:26" ht="15.75" customHeight="1">
      <c r="A681" s="1129"/>
      <c r="B681" s="1130"/>
      <c r="C681" s="1130"/>
      <c r="D681" s="1130"/>
      <c r="E681" s="1130"/>
      <c r="F681" s="1130"/>
      <c r="G681" s="1130"/>
      <c r="H681" s="1130"/>
      <c r="I681" s="1130"/>
      <c r="J681" s="1130"/>
      <c r="K681" s="1130"/>
      <c r="L681" s="1130"/>
      <c r="M681" s="1130"/>
      <c r="N681" s="1130"/>
      <c r="O681" s="1130"/>
      <c r="P681" s="1130"/>
      <c r="Q681" s="1130"/>
      <c r="R681" s="1130"/>
      <c r="S681" s="1130"/>
      <c r="T681" s="1130"/>
      <c r="U681" s="1130"/>
      <c r="V681" s="1130"/>
      <c r="W681" s="1130"/>
      <c r="X681" s="1130"/>
      <c r="Y681" s="1130"/>
      <c r="Z681" s="1130"/>
    </row>
    <row r="682" spans="1:26" ht="15.75" customHeight="1">
      <c r="A682" s="1129"/>
      <c r="B682" s="1130"/>
      <c r="C682" s="1130"/>
      <c r="D682" s="1130"/>
      <c r="E682" s="1130"/>
      <c r="F682" s="1130"/>
      <c r="G682" s="1130"/>
      <c r="H682" s="1130"/>
      <c r="I682" s="1130"/>
      <c r="J682" s="1130"/>
      <c r="K682" s="1130"/>
      <c r="L682" s="1130"/>
      <c r="M682" s="1130"/>
      <c r="N682" s="1130"/>
      <c r="O682" s="1130"/>
      <c r="P682" s="1130"/>
      <c r="Q682" s="1130"/>
      <c r="R682" s="1130"/>
      <c r="S682" s="1130"/>
      <c r="T682" s="1130"/>
      <c r="U682" s="1130"/>
      <c r="V682" s="1130"/>
      <c r="W682" s="1130"/>
      <c r="X682" s="1130"/>
      <c r="Y682" s="1130"/>
      <c r="Z682" s="1130"/>
    </row>
    <row r="683" spans="1:26" ht="15.75" customHeight="1">
      <c r="A683" s="1129"/>
      <c r="B683" s="1130"/>
      <c r="C683" s="1130"/>
      <c r="D683" s="1130"/>
      <c r="E683" s="1130"/>
      <c r="F683" s="1130"/>
      <c r="G683" s="1130"/>
      <c r="H683" s="1130"/>
      <c r="I683" s="1130"/>
      <c r="J683" s="1130"/>
      <c r="K683" s="1130"/>
      <c r="L683" s="1130"/>
      <c r="M683" s="1130"/>
      <c r="N683" s="1130"/>
      <c r="O683" s="1130"/>
      <c r="P683" s="1130"/>
      <c r="Q683" s="1130"/>
      <c r="R683" s="1130"/>
      <c r="S683" s="1130"/>
      <c r="T683" s="1130"/>
      <c r="U683" s="1130"/>
      <c r="V683" s="1130"/>
      <c r="W683" s="1130"/>
      <c r="X683" s="1130"/>
      <c r="Y683" s="1130"/>
      <c r="Z683" s="1130"/>
    </row>
    <row r="684" spans="1:26" ht="15.75" customHeight="1">
      <c r="A684" s="1129"/>
      <c r="B684" s="1130"/>
      <c r="C684" s="1130"/>
      <c r="D684" s="1130"/>
      <c r="E684" s="1130"/>
      <c r="F684" s="1130"/>
      <c r="G684" s="1130"/>
      <c r="H684" s="1130"/>
      <c r="I684" s="1130"/>
      <c r="J684" s="1130"/>
      <c r="K684" s="1130"/>
      <c r="L684" s="1130"/>
      <c r="M684" s="1130"/>
      <c r="N684" s="1130"/>
      <c r="O684" s="1130"/>
      <c r="P684" s="1130"/>
      <c r="Q684" s="1130"/>
      <c r="R684" s="1130"/>
      <c r="S684" s="1130"/>
      <c r="T684" s="1130"/>
      <c r="U684" s="1130"/>
      <c r="V684" s="1130"/>
      <c r="W684" s="1130"/>
      <c r="X684" s="1130"/>
      <c r="Y684" s="1130"/>
      <c r="Z684" s="1130"/>
    </row>
    <row r="685" spans="1:26" ht="15.75" customHeight="1">
      <c r="A685" s="1129"/>
      <c r="B685" s="1130"/>
      <c r="C685" s="1130"/>
      <c r="D685" s="1130"/>
      <c r="E685" s="1130"/>
      <c r="F685" s="1130"/>
      <c r="G685" s="1130"/>
      <c r="H685" s="1130"/>
      <c r="I685" s="1130"/>
      <c r="J685" s="1130"/>
      <c r="K685" s="1130"/>
      <c r="L685" s="1130"/>
      <c r="M685" s="1130"/>
      <c r="N685" s="1130"/>
      <c r="O685" s="1130"/>
      <c r="P685" s="1130"/>
      <c r="Q685" s="1130"/>
      <c r="R685" s="1130"/>
      <c r="S685" s="1130"/>
      <c r="T685" s="1130"/>
      <c r="U685" s="1130"/>
      <c r="V685" s="1130"/>
      <c r="W685" s="1130"/>
      <c r="X685" s="1130"/>
      <c r="Y685" s="1130"/>
      <c r="Z685" s="1130"/>
    </row>
    <row r="686" spans="1:26" ht="15.75" customHeight="1">
      <c r="A686" s="1129"/>
      <c r="B686" s="1130"/>
      <c r="C686" s="1130"/>
      <c r="D686" s="1130"/>
      <c r="E686" s="1130"/>
      <c r="F686" s="1130"/>
      <c r="G686" s="1130"/>
      <c r="H686" s="1130"/>
      <c r="I686" s="1130"/>
      <c r="J686" s="1130"/>
      <c r="K686" s="1130"/>
      <c r="L686" s="1130"/>
      <c r="M686" s="1130"/>
      <c r="N686" s="1130"/>
      <c r="O686" s="1130"/>
      <c r="P686" s="1130"/>
      <c r="Q686" s="1130"/>
      <c r="R686" s="1130"/>
      <c r="S686" s="1130"/>
      <c r="T686" s="1130"/>
      <c r="U686" s="1130"/>
      <c r="V686" s="1130"/>
      <c r="W686" s="1130"/>
      <c r="X686" s="1130"/>
      <c r="Y686" s="1130"/>
      <c r="Z686" s="1130"/>
    </row>
    <row r="687" spans="1:26" ht="15.75" customHeight="1">
      <c r="A687" s="1129"/>
      <c r="B687" s="1130"/>
      <c r="C687" s="1130"/>
      <c r="D687" s="1130"/>
      <c r="E687" s="1130"/>
      <c r="F687" s="1130"/>
      <c r="G687" s="1130"/>
      <c r="H687" s="1130"/>
      <c r="I687" s="1130"/>
      <c r="J687" s="1130"/>
      <c r="K687" s="1130"/>
      <c r="L687" s="1130"/>
      <c r="M687" s="1130"/>
      <c r="N687" s="1130"/>
      <c r="O687" s="1130"/>
      <c r="P687" s="1130"/>
      <c r="Q687" s="1130"/>
      <c r="R687" s="1130"/>
      <c r="S687" s="1130"/>
      <c r="T687" s="1130"/>
      <c r="U687" s="1130"/>
      <c r="V687" s="1130"/>
      <c r="W687" s="1130"/>
      <c r="X687" s="1130"/>
      <c r="Y687" s="1130"/>
      <c r="Z687" s="1130"/>
    </row>
    <row r="688" spans="1:26" ht="15.75" customHeight="1">
      <c r="A688" s="1129"/>
      <c r="B688" s="1130"/>
      <c r="C688" s="1130"/>
      <c r="D688" s="1130"/>
      <c r="E688" s="1130"/>
      <c r="F688" s="1130"/>
      <c r="G688" s="1130"/>
      <c r="H688" s="1130"/>
      <c r="I688" s="1130"/>
      <c r="J688" s="1130"/>
      <c r="K688" s="1130"/>
      <c r="L688" s="1130"/>
      <c r="M688" s="1130"/>
      <c r="N688" s="1130"/>
      <c r="O688" s="1130"/>
      <c r="P688" s="1130"/>
      <c r="Q688" s="1130"/>
      <c r="R688" s="1130"/>
      <c r="S688" s="1130"/>
      <c r="T688" s="1130"/>
      <c r="U688" s="1130"/>
      <c r="V688" s="1130"/>
      <c r="W688" s="1130"/>
      <c r="X688" s="1130"/>
      <c r="Y688" s="1130"/>
      <c r="Z688" s="1130"/>
    </row>
    <row r="689" spans="1:26" ht="15.75" customHeight="1">
      <c r="A689" s="1129"/>
      <c r="B689" s="1130"/>
      <c r="C689" s="1130"/>
      <c r="D689" s="1130"/>
      <c r="E689" s="1130"/>
      <c r="F689" s="1130"/>
      <c r="G689" s="1130"/>
      <c r="H689" s="1130"/>
      <c r="I689" s="1130"/>
      <c r="J689" s="1130"/>
      <c r="K689" s="1130"/>
      <c r="L689" s="1130"/>
      <c r="M689" s="1130"/>
      <c r="N689" s="1130"/>
      <c r="O689" s="1130"/>
      <c r="P689" s="1130"/>
      <c r="Q689" s="1130"/>
      <c r="R689" s="1130"/>
      <c r="S689" s="1130"/>
      <c r="T689" s="1130"/>
      <c r="U689" s="1130"/>
      <c r="V689" s="1130"/>
      <c r="W689" s="1130"/>
      <c r="X689" s="1130"/>
      <c r="Y689" s="1130"/>
      <c r="Z689" s="1130"/>
    </row>
    <row r="690" spans="1:26" ht="15.75" customHeight="1">
      <c r="A690" s="1129"/>
      <c r="B690" s="1130"/>
      <c r="C690" s="1130"/>
      <c r="D690" s="1130"/>
      <c r="E690" s="1130"/>
      <c r="F690" s="1130"/>
      <c r="G690" s="1130"/>
      <c r="H690" s="1130"/>
      <c r="I690" s="1130"/>
      <c r="J690" s="1130"/>
      <c r="K690" s="1130"/>
      <c r="L690" s="1130"/>
      <c r="M690" s="1130"/>
      <c r="N690" s="1130"/>
      <c r="O690" s="1130"/>
      <c r="P690" s="1130"/>
      <c r="Q690" s="1130"/>
      <c r="R690" s="1130"/>
      <c r="S690" s="1130"/>
      <c r="T690" s="1130"/>
      <c r="U690" s="1130"/>
      <c r="V690" s="1130"/>
      <c r="W690" s="1130"/>
      <c r="X690" s="1130"/>
      <c r="Y690" s="1130"/>
      <c r="Z690" s="1130"/>
    </row>
    <row r="691" spans="1:26" ht="15.75" customHeight="1">
      <c r="A691" s="1129"/>
      <c r="B691" s="1130"/>
      <c r="C691" s="1130"/>
      <c r="D691" s="1130"/>
      <c r="E691" s="1130"/>
      <c r="F691" s="1130"/>
      <c r="G691" s="1130"/>
      <c r="H691" s="1130"/>
      <c r="I691" s="1130"/>
      <c r="J691" s="1130"/>
      <c r="K691" s="1130"/>
      <c r="L691" s="1130"/>
      <c r="M691" s="1130"/>
      <c r="N691" s="1130"/>
      <c r="O691" s="1130"/>
      <c r="P691" s="1130"/>
      <c r="Q691" s="1130"/>
      <c r="R691" s="1130"/>
      <c r="S691" s="1130"/>
      <c r="T691" s="1130"/>
      <c r="U691" s="1130"/>
      <c r="V691" s="1130"/>
      <c r="W691" s="1130"/>
      <c r="X691" s="1130"/>
      <c r="Y691" s="1130"/>
      <c r="Z691" s="1130"/>
    </row>
    <row r="692" spans="1:26" ht="15.75" customHeight="1">
      <c r="A692" s="1129"/>
      <c r="B692" s="1130"/>
      <c r="C692" s="1130"/>
      <c r="D692" s="1130"/>
      <c r="E692" s="1130"/>
      <c r="F692" s="1130"/>
      <c r="G692" s="1130"/>
      <c r="H692" s="1130"/>
      <c r="I692" s="1130"/>
      <c r="J692" s="1130"/>
      <c r="K692" s="1130"/>
      <c r="L692" s="1130"/>
      <c r="M692" s="1130"/>
      <c r="N692" s="1130"/>
      <c r="O692" s="1130"/>
      <c r="P692" s="1130"/>
      <c r="Q692" s="1130"/>
      <c r="R692" s="1130"/>
      <c r="S692" s="1130"/>
      <c r="T692" s="1130"/>
      <c r="U692" s="1130"/>
      <c r="V692" s="1130"/>
      <c r="W692" s="1130"/>
      <c r="X692" s="1130"/>
      <c r="Y692" s="1130"/>
      <c r="Z692" s="1130"/>
    </row>
    <row r="693" spans="1:26" ht="15.75" customHeight="1">
      <c r="A693" s="1129"/>
      <c r="B693" s="1130"/>
      <c r="C693" s="1130"/>
      <c r="D693" s="1130"/>
      <c r="E693" s="1130"/>
      <c r="F693" s="1130"/>
      <c r="G693" s="1130"/>
      <c r="H693" s="1130"/>
      <c r="I693" s="1130"/>
      <c r="J693" s="1130"/>
      <c r="K693" s="1130"/>
      <c r="L693" s="1130"/>
      <c r="M693" s="1130"/>
      <c r="N693" s="1130"/>
      <c r="O693" s="1130"/>
      <c r="P693" s="1130"/>
      <c r="Q693" s="1130"/>
      <c r="R693" s="1130"/>
      <c r="S693" s="1130"/>
      <c r="T693" s="1130"/>
      <c r="U693" s="1130"/>
      <c r="V693" s="1130"/>
      <c r="W693" s="1130"/>
      <c r="X693" s="1130"/>
      <c r="Y693" s="1130"/>
      <c r="Z693" s="1130"/>
    </row>
    <row r="694" spans="1:26" ht="15.75" customHeight="1">
      <c r="A694" s="1129"/>
      <c r="B694" s="1130"/>
      <c r="C694" s="1130"/>
      <c r="D694" s="1130"/>
      <c r="E694" s="1130"/>
      <c r="F694" s="1130"/>
      <c r="G694" s="1130"/>
      <c r="H694" s="1130"/>
      <c r="I694" s="1130"/>
      <c r="J694" s="1130"/>
      <c r="K694" s="1130"/>
      <c r="L694" s="1130"/>
      <c r="M694" s="1130"/>
      <c r="N694" s="1130"/>
      <c r="O694" s="1130"/>
      <c r="P694" s="1130"/>
      <c r="Q694" s="1130"/>
      <c r="R694" s="1130"/>
      <c r="S694" s="1130"/>
      <c r="T694" s="1130"/>
      <c r="U694" s="1130"/>
      <c r="V694" s="1130"/>
      <c r="W694" s="1130"/>
      <c r="X694" s="1130"/>
      <c r="Y694" s="1130"/>
      <c r="Z694" s="1130"/>
    </row>
    <row r="695" spans="1:26" ht="15.75" customHeight="1">
      <c r="A695" s="1129"/>
      <c r="B695" s="1130"/>
      <c r="C695" s="1130"/>
      <c r="D695" s="1130"/>
      <c r="E695" s="1130"/>
      <c r="F695" s="1130"/>
      <c r="G695" s="1130"/>
      <c r="H695" s="1130"/>
      <c r="I695" s="1130"/>
      <c r="J695" s="1130"/>
      <c r="K695" s="1130"/>
      <c r="L695" s="1130"/>
      <c r="M695" s="1130"/>
      <c r="N695" s="1130"/>
      <c r="O695" s="1130"/>
      <c r="P695" s="1130"/>
      <c r="Q695" s="1130"/>
      <c r="R695" s="1130"/>
      <c r="S695" s="1130"/>
      <c r="T695" s="1130"/>
      <c r="U695" s="1130"/>
      <c r="V695" s="1130"/>
      <c r="W695" s="1130"/>
      <c r="X695" s="1130"/>
      <c r="Y695" s="1130"/>
      <c r="Z695" s="1130"/>
    </row>
    <row r="696" spans="1:26" ht="15.75" customHeight="1">
      <c r="A696" s="1129"/>
      <c r="B696" s="1130"/>
      <c r="C696" s="1130"/>
      <c r="D696" s="1130"/>
      <c r="E696" s="1130"/>
      <c r="F696" s="1130"/>
      <c r="G696" s="1130"/>
      <c r="H696" s="1130"/>
      <c r="I696" s="1130"/>
      <c r="J696" s="1130"/>
      <c r="K696" s="1130"/>
      <c r="L696" s="1130"/>
      <c r="M696" s="1130"/>
      <c r="N696" s="1130"/>
      <c r="O696" s="1130"/>
      <c r="P696" s="1130"/>
      <c r="Q696" s="1130"/>
      <c r="R696" s="1130"/>
      <c r="S696" s="1130"/>
      <c r="T696" s="1130"/>
      <c r="U696" s="1130"/>
      <c r="V696" s="1130"/>
      <c r="W696" s="1130"/>
      <c r="X696" s="1130"/>
      <c r="Y696" s="1130"/>
      <c r="Z696" s="1130"/>
    </row>
    <row r="697" spans="1:26" ht="15.75" customHeight="1">
      <c r="A697" s="1129"/>
      <c r="B697" s="1130"/>
      <c r="C697" s="1130"/>
      <c r="D697" s="1130"/>
      <c r="E697" s="1130"/>
      <c r="F697" s="1130"/>
      <c r="G697" s="1130"/>
      <c r="H697" s="1130"/>
      <c r="I697" s="1130"/>
      <c r="J697" s="1130"/>
      <c r="K697" s="1130"/>
      <c r="L697" s="1130"/>
      <c r="M697" s="1130"/>
      <c r="N697" s="1130"/>
      <c r="O697" s="1130"/>
      <c r="P697" s="1130"/>
      <c r="Q697" s="1130"/>
      <c r="R697" s="1130"/>
      <c r="S697" s="1130"/>
      <c r="T697" s="1130"/>
      <c r="U697" s="1130"/>
      <c r="V697" s="1130"/>
      <c r="W697" s="1130"/>
      <c r="X697" s="1130"/>
      <c r="Y697" s="1130"/>
      <c r="Z697" s="1130"/>
    </row>
    <row r="698" spans="1:26" ht="15.75" customHeight="1">
      <c r="A698" s="1129"/>
      <c r="B698" s="1130"/>
      <c r="C698" s="1130"/>
      <c r="D698" s="1130"/>
      <c r="E698" s="1130"/>
      <c r="F698" s="1130"/>
      <c r="G698" s="1130"/>
      <c r="H698" s="1130"/>
      <c r="I698" s="1130"/>
      <c r="J698" s="1130"/>
      <c r="K698" s="1130"/>
      <c r="L698" s="1130"/>
      <c r="M698" s="1130"/>
      <c r="N698" s="1130"/>
      <c r="O698" s="1130"/>
      <c r="P698" s="1130"/>
      <c r="Q698" s="1130"/>
      <c r="R698" s="1130"/>
      <c r="S698" s="1130"/>
      <c r="T698" s="1130"/>
      <c r="U698" s="1130"/>
      <c r="V698" s="1130"/>
      <c r="W698" s="1130"/>
      <c r="X698" s="1130"/>
      <c r="Y698" s="1130"/>
      <c r="Z698" s="1130"/>
    </row>
    <row r="699" spans="1:26" ht="15.75" customHeight="1">
      <c r="A699" s="1129"/>
      <c r="B699" s="1130"/>
      <c r="C699" s="1130"/>
      <c r="D699" s="1130"/>
      <c r="E699" s="1130"/>
      <c r="F699" s="1130"/>
      <c r="G699" s="1130"/>
      <c r="H699" s="1130"/>
      <c r="I699" s="1130"/>
      <c r="J699" s="1130"/>
      <c r="K699" s="1130"/>
      <c r="L699" s="1130"/>
      <c r="M699" s="1130"/>
      <c r="N699" s="1130"/>
      <c r="O699" s="1130"/>
      <c r="P699" s="1130"/>
      <c r="Q699" s="1130"/>
      <c r="R699" s="1130"/>
      <c r="S699" s="1130"/>
      <c r="T699" s="1130"/>
      <c r="U699" s="1130"/>
      <c r="V699" s="1130"/>
      <c r="W699" s="1130"/>
      <c r="X699" s="1130"/>
      <c r="Y699" s="1130"/>
      <c r="Z699" s="1130"/>
    </row>
    <row r="700" spans="1:26" ht="15.75" customHeight="1">
      <c r="A700" s="1129"/>
      <c r="B700" s="1130"/>
      <c r="C700" s="1130"/>
      <c r="D700" s="1130"/>
      <c r="E700" s="1130"/>
      <c r="F700" s="1130"/>
      <c r="G700" s="1130"/>
      <c r="H700" s="1130"/>
      <c r="I700" s="1130"/>
      <c r="J700" s="1130"/>
      <c r="K700" s="1130"/>
      <c r="L700" s="1130"/>
      <c r="M700" s="1130"/>
      <c r="N700" s="1130"/>
      <c r="O700" s="1130"/>
      <c r="P700" s="1130"/>
      <c r="Q700" s="1130"/>
      <c r="R700" s="1130"/>
      <c r="S700" s="1130"/>
      <c r="T700" s="1130"/>
      <c r="U700" s="1130"/>
      <c r="V700" s="1130"/>
      <c r="W700" s="1130"/>
      <c r="X700" s="1130"/>
      <c r="Y700" s="1130"/>
      <c r="Z700" s="1130"/>
    </row>
    <row r="701" spans="1:26" ht="15.75" customHeight="1">
      <c r="A701" s="1129"/>
      <c r="B701" s="1130"/>
      <c r="C701" s="1130"/>
      <c r="D701" s="1130"/>
      <c r="E701" s="1130"/>
      <c r="F701" s="1130"/>
      <c r="G701" s="1130"/>
      <c r="H701" s="1130"/>
      <c r="I701" s="1130"/>
      <c r="J701" s="1130"/>
      <c r="K701" s="1130"/>
      <c r="L701" s="1130"/>
      <c r="M701" s="1130"/>
      <c r="N701" s="1130"/>
      <c r="O701" s="1130"/>
      <c r="P701" s="1130"/>
      <c r="Q701" s="1130"/>
      <c r="R701" s="1130"/>
      <c r="S701" s="1130"/>
      <c r="T701" s="1130"/>
      <c r="U701" s="1130"/>
      <c r="V701" s="1130"/>
      <c r="W701" s="1130"/>
      <c r="X701" s="1130"/>
      <c r="Y701" s="1130"/>
      <c r="Z701" s="1130"/>
    </row>
    <row r="702" spans="1:26" ht="15.75" customHeight="1">
      <c r="A702" s="1129"/>
      <c r="B702" s="1130"/>
      <c r="C702" s="1130"/>
      <c r="D702" s="1130"/>
      <c r="E702" s="1130"/>
      <c r="F702" s="1130"/>
      <c r="G702" s="1130"/>
      <c r="H702" s="1130"/>
      <c r="I702" s="1130"/>
      <c r="J702" s="1130"/>
      <c r="K702" s="1130"/>
      <c r="L702" s="1130"/>
      <c r="M702" s="1130"/>
      <c r="N702" s="1130"/>
      <c r="O702" s="1130"/>
      <c r="P702" s="1130"/>
      <c r="Q702" s="1130"/>
      <c r="R702" s="1130"/>
      <c r="S702" s="1130"/>
      <c r="T702" s="1130"/>
      <c r="U702" s="1130"/>
      <c r="V702" s="1130"/>
      <c r="W702" s="1130"/>
      <c r="X702" s="1130"/>
      <c r="Y702" s="1130"/>
      <c r="Z702" s="1130"/>
    </row>
    <row r="703" spans="1:26" ht="15.75" customHeight="1">
      <c r="A703" s="1129"/>
      <c r="B703" s="1130"/>
      <c r="C703" s="1130"/>
      <c r="D703" s="1130"/>
      <c r="E703" s="1130"/>
      <c r="F703" s="1130"/>
      <c r="G703" s="1130"/>
      <c r="H703" s="1130"/>
      <c r="I703" s="1130"/>
      <c r="J703" s="1130"/>
      <c r="K703" s="1130"/>
      <c r="L703" s="1130"/>
      <c r="M703" s="1130"/>
      <c r="N703" s="1130"/>
      <c r="O703" s="1130"/>
      <c r="P703" s="1130"/>
      <c r="Q703" s="1130"/>
      <c r="R703" s="1130"/>
      <c r="S703" s="1130"/>
      <c r="T703" s="1130"/>
      <c r="U703" s="1130"/>
      <c r="V703" s="1130"/>
      <c r="W703" s="1130"/>
      <c r="X703" s="1130"/>
      <c r="Y703" s="1130"/>
      <c r="Z703" s="1130"/>
    </row>
    <row r="704" spans="1:26" ht="15.75" customHeight="1">
      <c r="A704" s="1129"/>
      <c r="B704" s="1130"/>
      <c r="C704" s="1130"/>
      <c r="D704" s="1130"/>
      <c r="E704" s="1130"/>
      <c r="F704" s="1130"/>
      <c r="G704" s="1130"/>
      <c r="H704" s="1130"/>
      <c r="I704" s="1130"/>
      <c r="J704" s="1130"/>
      <c r="K704" s="1130"/>
      <c r="L704" s="1130"/>
      <c r="M704" s="1130"/>
      <c r="N704" s="1130"/>
      <c r="O704" s="1130"/>
      <c r="P704" s="1130"/>
      <c r="Q704" s="1130"/>
      <c r="R704" s="1130"/>
      <c r="S704" s="1130"/>
      <c r="T704" s="1130"/>
      <c r="U704" s="1130"/>
      <c r="V704" s="1130"/>
      <c r="W704" s="1130"/>
      <c r="X704" s="1130"/>
      <c r="Y704" s="1130"/>
      <c r="Z704" s="1130"/>
    </row>
    <row r="705" spans="1:26" ht="15.75" customHeight="1">
      <c r="A705" s="1129"/>
      <c r="B705" s="1130"/>
      <c r="C705" s="1130"/>
      <c r="D705" s="1130"/>
      <c r="E705" s="1130"/>
      <c r="F705" s="1130"/>
      <c r="G705" s="1130"/>
      <c r="H705" s="1130"/>
      <c r="I705" s="1130"/>
      <c r="J705" s="1130"/>
      <c r="K705" s="1130"/>
      <c r="L705" s="1130"/>
      <c r="M705" s="1130"/>
      <c r="N705" s="1130"/>
      <c r="O705" s="1130"/>
      <c r="P705" s="1130"/>
      <c r="Q705" s="1130"/>
      <c r="R705" s="1130"/>
      <c r="S705" s="1130"/>
      <c r="T705" s="1130"/>
      <c r="U705" s="1130"/>
      <c r="V705" s="1130"/>
      <c r="W705" s="1130"/>
      <c r="X705" s="1130"/>
      <c r="Y705" s="1130"/>
      <c r="Z705" s="1130"/>
    </row>
    <row r="706" spans="1:26" ht="15.75" customHeight="1">
      <c r="A706" s="1129"/>
      <c r="B706" s="1130"/>
      <c r="C706" s="1130"/>
      <c r="D706" s="1130"/>
      <c r="E706" s="1130"/>
      <c r="F706" s="1130"/>
      <c r="G706" s="1130"/>
      <c r="H706" s="1130"/>
      <c r="I706" s="1130"/>
      <c r="J706" s="1130"/>
      <c r="K706" s="1130"/>
      <c r="L706" s="1130"/>
      <c r="M706" s="1130"/>
      <c r="N706" s="1130"/>
      <c r="O706" s="1130"/>
      <c r="P706" s="1130"/>
      <c r="Q706" s="1130"/>
      <c r="R706" s="1130"/>
      <c r="S706" s="1130"/>
      <c r="T706" s="1130"/>
      <c r="U706" s="1130"/>
      <c r="V706" s="1130"/>
      <c r="W706" s="1130"/>
      <c r="X706" s="1130"/>
      <c r="Y706" s="1130"/>
      <c r="Z706" s="1130"/>
    </row>
    <row r="707" spans="1:26" ht="15.75" customHeight="1">
      <c r="A707" s="1129"/>
      <c r="B707" s="1130"/>
      <c r="C707" s="1130"/>
      <c r="D707" s="1130"/>
      <c r="E707" s="1130"/>
      <c r="F707" s="1130"/>
      <c r="G707" s="1130"/>
      <c r="H707" s="1130"/>
      <c r="I707" s="1130"/>
      <c r="J707" s="1130"/>
      <c r="K707" s="1130"/>
      <c r="L707" s="1130"/>
      <c r="M707" s="1130"/>
      <c r="N707" s="1130"/>
      <c r="O707" s="1130"/>
      <c r="P707" s="1130"/>
      <c r="Q707" s="1130"/>
      <c r="R707" s="1130"/>
      <c r="S707" s="1130"/>
      <c r="T707" s="1130"/>
      <c r="U707" s="1130"/>
      <c r="V707" s="1130"/>
      <c r="W707" s="1130"/>
      <c r="X707" s="1130"/>
      <c r="Y707" s="1130"/>
      <c r="Z707" s="1130"/>
    </row>
    <row r="708" spans="1:26" ht="15.75" customHeight="1">
      <c r="A708" s="1129"/>
      <c r="B708" s="1130"/>
      <c r="C708" s="1130"/>
      <c r="D708" s="1130"/>
      <c r="E708" s="1130"/>
      <c r="F708" s="1130"/>
      <c r="G708" s="1130"/>
      <c r="H708" s="1130"/>
      <c r="I708" s="1130"/>
      <c r="J708" s="1130"/>
      <c r="K708" s="1130"/>
      <c r="L708" s="1130"/>
      <c r="M708" s="1130"/>
      <c r="N708" s="1130"/>
      <c r="O708" s="1130"/>
      <c r="P708" s="1130"/>
      <c r="Q708" s="1130"/>
      <c r="R708" s="1130"/>
      <c r="S708" s="1130"/>
      <c r="T708" s="1130"/>
      <c r="U708" s="1130"/>
      <c r="V708" s="1130"/>
      <c r="W708" s="1130"/>
      <c r="X708" s="1130"/>
      <c r="Y708" s="1130"/>
      <c r="Z708" s="1130"/>
    </row>
    <row r="709" spans="1:26" ht="15.75" customHeight="1">
      <c r="A709" s="1129"/>
      <c r="B709" s="1130"/>
      <c r="C709" s="1130"/>
      <c r="D709" s="1130"/>
      <c r="E709" s="1130"/>
      <c r="F709" s="1130"/>
      <c r="G709" s="1130"/>
      <c r="H709" s="1130"/>
      <c r="I709" s="1130"/>
      <c r="J709" s="1130"/>
      <c r="K709" s="1130"/>
      <c r="L709" s="1130"/>
      <c r="M709" s="1130"/>
      <c r="N709" s="1130"/>
      <c r="O709" s="1130"/>
      <c r="P709" s="1130"/>
      <c r="Q709" s="1130"/>
      <c r="R709" s="1130"/>
      <c r="S709" s="1130"/>
      <c r="T709" s="1130"/>
      <c r="U709" s="1130"/>
      <c r="V709" s="1130"/>
      <c r="W709" s="1130"/>
      <c r="X709" s="1130"/>
      <c r="Y709" s="1130"/>
      <c r="Z709" s="1130"/>
    </row>
    <row r="710" spans="1:26" ht="15.75" customHeight="1">
      <c r="A710" s="1129"/>
      <c r="B710" s="1130"/>
      <c r="C710" s="1130"/>
      <c r="D710" s="1130"/>
      <c r="E710" s="1130"/>
      <c r="F710" s="1130"/>
      <c r="G710" s="1130"/>
      <c r="H710" s="1130"/>
      <c r="I710" s="1130"/>
      <c r="J710" s="1130"/>
      <c r="K710" s="1130"/>
      <c r="L710" s="1130"/>
      <c r="M710" s="1130"/>
      <c r="N710" s="1130"/>
      <c r="O710" s="1130"/>
      <c r="P710" s="1130"/>
      <c r="Q710" s="1130"/>
      <c r="R710" s="1130"/>
      <c r="S710" s="1130"/>
      <c r="T710" s="1130"/>
      <c r="U710" s="1130"/>
      <c r="V710" s="1130"/>
      <c r="W710" s="1130"/>
      <c r="X710" s="1130"/>
      <c r="Y710" s="1130"/>
      <c r="Z710" s="1130"/>
    </row>
    <row r="711" spans="1:26" ht="15.75" customHeight="1">
      <c r="A711" s="1129"/>
      <c r="B711" s="1130"/>
      <c r="C711" s="1130"/>
      <c r="D711" s="1130"/>
      <c r="E711" s="1130"/>
      <c r="F711" s="1130"/>
      <c r="G711" s="1130"/>
      <c r="H711" s="1130"/>
      <c r="I711" s="1130"/>
      <c r="J711" s="1130"/>
      <c r="K711" s="1130"/>
      <c r="L711" s="1130"/>
      <c r="M711" s="1130"/>
      <c r="N711" s="1130"/>
      <c r="O711" s="1130"/>
      <c r="P711" s="1130"/>
      <c r="Q711" s="1130"/>
      <c r="R711" s="1130"/>
      <c r="S711" s="1130"/>
      <c r="T711" s="1130"/>
      <c r="U711" s="1130"/>
      <c r="V711" s="1130"/>
      <c r="W711" s="1130"/>
      <c r="X711" s="1130"/>
      <c r="Y711" s="1130"/>
      <c r="Z711" s="1130"/>
    </row>
    <row r="712" spans="1:26" ht="15.75" customHeight="1">
      <c r="A712" s="1129"/>
      <c r="B712" s="1130"/>
      <c r="C712" s="1130"/>
      <c r="D712" s="1130"/>
      <c r="E712" s="1130"/>
      <c r="F712" s="1130"/>
      <c r="G712" s="1130"/>
      <c r="H712" s="1130"/>
      <c r="I712" s="1130"/>
      <c r="J712" s="1130"/>
      <c r="K712" s="1130"/>
      <c r="L712" s="1130"/>
      <c r="M712" s="1130"/>
      <c r="N712" s="1130"/>
      <c r="O712" s="1130"/>
      <c r="P712" s="1130"/>
      <c r="Q712" s="1130"/>
      <c r="R712" s="1130"/>
      <c r="S712" s="1130"/>
      <c r="T712" s="1130"/>
      <c r="U712" s="1130"/>
      <c r="V712" s="1130"/>
      <c r="W712" s="1130"/>
      <c r="X712" s="1130"/>
      <c r="Y712" s="1130"/>
      <c r="Z712" s="1130"/>
    </row>
    <row r="713" spans="1:26" ht="15.75" customHeight="1">
      <c r="A713" s="1129"/>
      <c r="B713" s="1130"/>
      <c r="C713" s="1130"/>
      <c r="D713" s="1130"/>
      <c r="E713" s="1130"/>
      <c r="F713" s="1130"/>
      <c r="G713" s="1130"/>
      <c r="H713" s="1130"/>
      <c r="I713" s="1130"/>
      <c r="J713" s="1130"/>
      <c r="K713" s="1130"/>
      <c r="L713" s="1130"/>
      <c r="M713" s="1130"/>
      <c r="N713" s="1130"/>
      <c r="O713" s="1130"/>
      <c r="P713" s="1130"/>
      <c r="Q713" s="1130"/>
      <c r="R713" s="1130"/>
      <c r="S713" s="1130"/>
      <c r="T713" s="1130"/>
      <c r="U713" s="1130"/>
      <c r="V713" s="1130"/>
      <c r="W713" s="1130"/>
      <c r="X713" s="1130"/>
      <c r="Y713" s="1130"/>
      <c r="Z713" s="1130"/>
    </row>
    <row r="714" spans="1:26" ht="15.75" customHeight="1">
      <c r="A714" s="1129"/>
      <c r="B714" s="1130"/>
      <c r="C714" s="1130"/>
      <c r="D714" s="1130"/>
      <c r="E714" s="1130"/>
      <c r="F714" s="1130"/>
      <c r="G714" s="1130"/>
      <c r="H714" s="1130"/>
      <c r="I714" s="1130"/>
      <c r="J714" s="1130"/>
      <c r="K714" s="1130"/>
      <c r="L714" s="1130"/>
      <c r="M714" s="1130"/>
      <c r="N714" s="1130"/>
      <c r="O714" s="1130"/>
      <c r="P714" s="1130"/>
      <c r="Q714" s="1130"/>
      <c r="R714" s="1130"/>
      <c r="S714" s="1130"/>
      <c r="T714" s="1130"/>
      <c r="U714" s="1130"/>
      <c r="V714" s="1130"/>
      <c r="W714" s="1130"/>
      <c r="X714" s="1130"/>
      <c r="Y714" s="1130"/>
      <c r="Z714" s="1130"/>
    </row>
    <row r="715" spans="1:26" ht="15.75" customHeight="1">
      <c r="A715" s="1129"/>
      <c r="B715" s="1130"/>
      <c r="C715" s="1130"/>
      <c r="D715" s="1130"/>
      <c r="E715" s="1130"/>
      <c r="F715" s="1130"/>
      <c r="G715" s="1130"/>
      <c r="H715" s="1130"/>
      <c r="I715" s="1130"/>
      <c r="J715" s="1130"/>
      <c r="K715" s="1130"/>
      <c r="L715" s="1130"/>
      <c r="M715" s="1130"/>
      <c r="N715" s="1130"/>
      <c r="O715" s="1130"/>
      <c r="P715" s="1130"/>
      <c r="Q715" s="1130"/>
      <c r="R715" s="1130"/>
      <c r="S715" s="1130"/>
      <c r="T715" s="1130"/>
      <c r="U715" s="1130"/>
      <c r="V715" s="1130"/>
      <c r="W715" s="1130"/>
      <c r="X715" s="1130"/>
      <c r="Y715" s="1130"/>
      <c r="Z715" s="1130"/>
    </row>
    <row r="716" spans="1:26" ht="15.75" customHeight="1">
      <c r="A716" s="1129"/>
      <c r="B716" s="1130"/>
      <c r="C716" s="1130"/>
      <c r="D716" s="1130"/>
      <c r="E716" s="1130"/>
      <c r="F716" s="1130"/>
      <c r="G716" s="1130"/>
      <c r="H716" s="1130"/>
      <c r="I716" s="1130"/>
      <c r="J716" s="1130"/>
      <c r="K716" s="1130"/>
      <c r="L716" s="1130"/>
      <c r="M716" s="1130"/>
      <c r="N716" s="1130"/>
      <c r="O716" s="1130"/>
      <c r="P716" s="1130"/>
      <c r="Q716" s="1130"/>
      <c r="R716" s="1130"/>
      <c r="S716" s="1130"/>
      <c r="T716" s="1130"/>
      <c r="U716" s="1130"/>
      <c r="V716" s="1130"/>
      <c r="W716" s="1130"/>
      <c r="X716" s="1130"/>
      <c r="Y716" s="1130"/>
      <c r="Z716" s="1130"/>
    </row>
    <row r="717" spans="1:26" ht="15.75" customHeight="1">
      <c r="A717" s="1129"/>
      <c r="B717" s="1130"/>
      <c r="C717" s="1130"/>
      <c r="D717" s="1130"/>
      <c r="E717" s="1130"/>
      <c r="F717" s="1130"/>
      <c r="G717" s="1130"/>
      <c r="H717" s="1130"/>
      <c r="I717" s="1130"/>
      <c r="J717" s="1130"/>
      <c r="K717" s="1130"/>
      <c r="L717" s="1130"/>
      <c r="M717" s="1130"/>
      <c r="N717" s="1130"/>
      <c r="O717" s="1130"/>
      <c r="P717" s="1130"/>
      <c r="Q717" s="1130"/>
      <c r="R717" s="1130"/>
      <c r="S717" s="1130"/>
      <c r="T717" s="1130"/>
      <c r="U717" s="1130"/>
      <c r="V717" s="1130"/>
      <c r="W717" s="1130"/>
      <c r="X717" s="1130"/>
      <c r="Y717" s="1130"/>
      <c r="Z717" s="1130"/>
    </row>
    <row r="718" spans="1:26" ht="15.75" customHeight="1">
      <c r="A718" s="1129"/>
      <c r="B718" s="1130"/>
      <c r="C718" s="1130"/>
      <c r="D718" s="1130"/>
      <c r="E718" s="1130"/>
      <c r="F718" s="1130"/>
      <c r="G718" s="1130"/>
      <c r="H718" s="1130"/>
      <c r="I718" s="1130"/>
      <c r="J718" s="1130"/>
      <c r="K718" s="1130"/>
      <c r="L718" s="1130"/>
      <c r="M718" s="1130"/>
      <c r="N718" s="1130"/>
      <c r="O718" s="1130"/>
      <c r="P718" s="1130"/>
      <c r="Q718" s="1130"/>
      <c r="R718" s="1130"/>
      <c r="S718" s="1130"/>
      <c r="T718" s="1130"/>
      <c r="U718" s="1130"/>
      <c r="V718" s="1130"/>
      <c r="W718" s="1130"/>
      <c r="X718" s="1130"/>
      <c r="Y718" s="1130"/>
      <c r="Z718" s="1130"/>
    </row>
    <row r="719" spans="1:26" ht="15.75" customHeight="1">
      <c r="A719" s="1129"/>
      <c r="B719" s="1130"/>
      <c r="C719" s="1130"/>
      <c r="D719" s="1130"/>
      <c r="E719" s="1130"/>
      <c r="F719" s="1130"/>
      <c r="G719" s="1130"/>
      <c r="H719" s="1130"/>
      <c r="I719" s="1130"/>
      <c r="J719" s="1130"/>
      <c r="K719" s="1130"/>
      <c r="L719" s="1130"/>
      <c r="M719" s="1130"/>
      <c r="N719" s="1130"/>
      <c r="O719" s="1130"/>
      <c r="P719" s="1130"/>
      <c r="Q719" s="1130"/>
      <c r="R719" s="1130"/>
      <c r="S719" s="1130"/>
      <c r="T719" s="1130"/>
      <c r="U719" s="1130"/>
      <c r="V719" s="1130"/>
      <c r="W719" s="1130"/>
      <c r="X719" s="1130"/>
      <c r="Y719" s="1130"/>
      <c r="Z719" s="1130"/>
    </row>
    <row r="720" spans="1:26" ht="15.75" customHeight="1">
      <c r="A720" s="1129"/>
      <c r="B720" s="1130"/>
      <c r="C720" s="1130"/>
      <c r="D720" s="1130"/>
      <c r="E720" s="1130"/>
      <c r="F720" s="1130"/>
      <c r="G720" s="1130"/>
      <c r="H720" s="1130"/>
      <c r="I720" s="1130"/>
      <c r="J720" s="1130"/>
      <c r="K720" s="1130"/>
      <c r="L720" s="1130"/>
      <c r="M720" s="1130"/>
      <c r="N720" s="1130"/>
      <c r="O720" s="1130"/>
      <c r="P720" s="1130"/>
      <c r="Q720" s="1130"/>
      <c r="R720" s="1130"/>
      <c r="S720" s="1130"/>
      <c r="T720" s="1130"/>
      <c r="U720" s="1130"/>
      <c r="V720" s="1130"/>
      <c r="W720" s="1130"/>
      <c r="X720" s="1130"/>
      <c r="Y720" s="1130"/>
      <c r="Z720" s="1130"/>
    </row>
    <row r="721" spans="1:26" ht="15.75" customHeight="1">
      <c r="A721" s="1129"/>
      <c r="B721" s="1130"/>
      <c r="C721" s="1130"/>
      <c r="D721" s="1130"/>
      <c r="E721" s="1130"/>
      <c r="F721" s="1130"/>
      <c r="G721" s="1130"/>
      <c r="H721" s="1130"/>
      <c r="I721" s="1130"/>
      <c r="J721" s="1130"/>
      <c r="K721" s="1130"/>
      <c r="L721" s="1130"/>
      <c r="M721" s="1130"/>
      <c r="N721" s="1130"/>
      <c r="O721" s="1130"/>
      <c r="P721" s="1130"/>
      <c r="Q721" s="1130"/>
      <c r="R721" s="1130"/>
      <c r="S721" s="1130"/>
      <c r="T721" s="1130"/>
      <c r="U721" s="1130"/>
      <c r="V721" s="1130"/>
      <c r="W721" s="1130"/>
      <c r="X721" s="1130"/>
      <c r="Y721" s="1130"/>
      <c r="Z721" s="1130"/>
    </row>
    <row r="722" spans="1:26" ht="15.75" customHeight="1">
      <c r="A722" s="1129"/>
      <c r="B722" s="1130"/>
      <c r="C722" s="1130"/>
      <c r="D722" s="1130"/>
      <c r="E722" s="1130"/>
      <c r="F722" s="1130"/>
      <c r="G722" s="1130"/>
      <c r="H722" s="1130"/>
      <c r="I722" s="1130"/>
      <c r="J722" s="1130"/>
      <c r="K722" s="1130"/>
      <c r="L722" s="1130"/>
      <c r="M722" s="1130"/>
      <c r="N722" s="1130"/>
      <c r="O722" s="1130"/>
      <c r="P722" s="1130"/>
      <c r="Q722" s="1130"/>
      <c r="R722" s="1130"/>
      <c r="S722" s="1130"/>
      <c r="T722" s="1130"/>
      <c r="U722" s="1130"/>
      <c r="V722" s="1130"/>
      <c r="W722" s="1130"/>
      <c r="X722" s="1130"/>
      <c r="Y722" s="1130"/>
      <c r="Z722" s="1130"/>
    </row>
    <row r="723" spans="1:26" ht="15.75" customHeight="1">
      <c r="A723" s="1129"/>
      <c r="B723" s="1130"/>
      <c r="C723" s="1130"/>
      <c r="D723" s="1130"/>
      <c r="E723" s="1130"/>
      <c r="F723" s="1130"/>
      <c r="G723" s="1130"/>
      <c r="H723" s="1130"/>
      <c r="I723" s="1130"/>
      <c r="J723" s="1130"/>
      <c r="K723" s="1130"/>
      <c r="L723" s="1130"/>
      <c r="M723" s="1130"/>
      <c r="N723" s="1130"/>
      <c r="O723" s="1130"/>
      <c r="P723" s="1130"/>
      <c r="Q723" s="1130"/>
      <c r="R723" s="1130"/>
      <c r="S723" s="1130"/>
      <c r="T723" s="1130"/>
      <c r="U723" s="1130"/>
      <c r="V723" s="1130"/>
      <c r="W723" s="1130"/>
      <c r="X723" s="1130"/>
      <c r="Y723" s="1130"/>
      <c r="Z723" s="1130"/>
    </row>
    <row r="724" spans="1:26" ht="15.75" customHeight="1">
      <c r="A724" s="1129"/>
      <c r="B724" s="1130"/>
      <c r="C724" s="1130"/>
      <c r="D724" s="1130"/>
      <c r="E724" s="1130"/>
      <c r="F724" s="1130"/>
      <c r="G724" s="1130"/>
      <c r="H724" s="1130"/>
      <c r="I724" s="1130"/>
      <c r="J724" s="1130"/>
      <c r="K724" s="1130"/>
      <c r="L724" s="1130"/>
      <c r="M724" s="1130"/>
      <c r="N724" s="1130"/>
      <c r="O724" s="1130"/>
      <c r="P724" s="1130"/>
      <c r="Q724" s="1130"/>
      <c r="R724" s="1130"/>
      <c r="S724" s="1130"/>
      <c r="T724" s="1130"/>
      <c r="U724" s="1130"/>
      <c r="V724" s="1130"/>
      <c r="W724" s="1130"/>
      <c r="X724" s="1130"/>
      <c r="Y724" s="1130"/>
      <c r="Z724" s="1130"/>
    </row>
    <row r="725" spans="1:26" ht="15.75" customHeight="1">
      <c r="A725" s="1129"/>
      <c r="B725" s="1130"/>
      <c r="C725" s="1130"/>
      <c r="D725" s="1130"/>
      <c r="E725" s="1130"/>
      <c r="F725" s="1130"/>
      <c r="G725" s="1130"/>
      <c r="H725" s="1130"/>
      <c r="I725" s="1130"/>
      <c r="J725" s="1130"/>
      <c r="K725" s="1130"/>
      <c r="L725" s="1130"/>
      <c r="M725" s="1130"/>
      <c r="N725" s="1130"/>
      <c r="O725" s="1130"/>
      <c r="P725" s="1130"/>
      <c r="Q725" s="1130"/>
      <c r="R725" s="1130"/>
      <c r="S725" s="1130"/>
      <c r="T725" s="1130"/>
      <c r="U725" s="1130"/>
      <c r="V725" s="1130"/>
      <c r="W725" s="1130"/>
      <c r="X725" s="1130"/>
      <c r="Y725" s="1130"/>
      <c r="Z725" s="1130"/>
    </row>
    <row r="726" spans="1:26" ht="15.75" customHeight="1">
      <c r="A726" s="1129"/>
      <c r="B726" s="1130"/>
      <c r="C726" s="1130"/>
      <c r="D726" s="1130"/>
      <c r="E726" s="1130"/>
      <c r="F726" s="1130"/>
      <c r="G726" s="1130"/>
      <c r="H726" s="1130"/>
      <c r="I726" s="1130"/>
      <c r="J726" s="1130"/>
      <c r="K726" s="1130"/>
      <c r="L726" s="1130"/>
      <c r="M726" s="1130"/>
      <c r="N726" s="1130"/>
      <c r="O726" s="1130"/>
      <c r="P726" s="1130"/>
      <c r="Q726" s="1130"/>
      <c r="R726" s="1130"/>
      <c r="S726" s="1130"/>
      <c r="T726" s="1130"/>
      <c r="U726" s="1130"/>
      <c r="V726" s="1130"/>
      <c r="W726" s="1130"/>
      <c r="X726" s="1130"/>
      <c r="Y726" s="1130"/>
      <c r="Z726" s="1130"/>
    </row>
    <row r="727" spans="1:26" ht="15.75" customHeight="1">
      <c r="A727" s="1129"/>
      <c r="B727" s="1130"/>
      <c r="C727" s="1130"/>
      <c r="D727" s="1130"/>
      <c r="E727" s="1130"/>
      <c r="F727" s="1130"/>
      <c r="G727" s="1130"/>
      <c r="H727" s="1130"/>
      <c r="I727" s="1130"/>
      <c r="J727" s="1130"/>
      <c r="K727" s="1130"/>
      <c r="L727" s="1130"/>
      <c r="M727" s="1130"/>
      <c r="N727" s="1130"/>
      <c r="O727" s="1130"/>
      <c r="P727" s="1130"/>
      <c r="Q727" s="1130"/>
      <c r="R727" s="1130"/>
      <c r="S727" s="1130"/>
      <c r="T727" s="1130"/>
      <c r="U727" s="1130"/>
      <c r="V727" s="1130"/>
      <c r="W727" s="1130"/>
      <c r="X727" s="1130"/>
      <c r="Y727" s="1130"/>
      <c r="Z727" s="1130"/>
    </row>
    <row r="728" spans="1:26" ht="15.75" customHeight="1">
      <c r="A728" s="1129"/>
      <c r="B728" s="1130"/>
      <c r="C728" s="1130"/>
      <c r="D728" s="1130"/>
      <c r="E728" s="1130"/>
      <c r="F728" s="1130"/>
      <c r="G728" s="1130"/>
      <c r="H728" s="1130"/>
      <c r="I728" s="1130"/>
      <c r="J728" s="1130"/>
      <c r="K728" s="1130"/>
      <c r="L728" s="1130"/>
      <c r="M728" s="1130"/>
      <c r="N728" s="1130"/>
      <c r="O728" s="1130"/>
      <c r="P728" s="1130"/>
      <c r="Q728" s="1130"/>
      <c r="R728" s="1130"/>
      <c r="S728" s="1130"/>
      <c r="T728" s="1130"/>
      <c r="U728" s="1130"/>
      <c r="V728" s="1130"/>
      <c r="W728" s="1130"/>
      <c r="X728" s="1130"/>
      <c r="Y728" s="1130"/>
      <c r="Z728" s="1130"/>
    </row>
    <row r="729" spans="1:26" ht="15.75" customHeight="1">
      <c r="A729" s="1129"/>
      <c r="B729" s="1130"/>
      <c r="C729" s="1130"/>
      <c r="D729" s="1130"/>
      <c r="E729" s="1130"/>
      <c r="F729" s="1130"/>
      <c r="G729" s="1130"/>
      <c r="H729" s="1130"/>
      <c r="I729" s="1130"/>
      <c r="J729" s="1130"/>
      <c r="K729" s="1130"/>
      <c r="L729" s="1130"/>
      <c r="M729" s="1130"/>
      <c r="N729" s="1130"/>
      <c r="O729" s="1130"/>
      <c r="P729" s="1130"/>
      <c r="Q729" s="1130"/>
      <c r="R729" s="1130"/>
      <c r="S729" s="1130"/>
      <c r="T729" s="1130"/>
      <c r="U729" s="1130"/>
      <c r="V729" s="1130"/>
      <c r="W729" s="1130"/>
      <c r="X729" s="1130"/>
      <c r="Y729" s="1130"/>
      <c r="Z729" s="1130"/>
    </row>
    <row r="730" spans="1:26" ht="15.75" customHeight="1">
      <c r="A730" s="1129"/>
      <c r="B730" s="1130"/>
      <c r="C730" s="1130"/>
      <c r="D730" s="1130"/>
      <c r="E730" s="1130"/>
      <c r="F730" s="1130"/>
      <c r="G730" s="1130"/>
      <c r="H730" s="1130"/>
      <c r="I730" s="1130"/>
      <c r="J730" s="1130"/>
      <c r="K730" s="1130"/>
      <c r="L730" s="1130"/>
      <c r="M730" s="1130"/>
      <c r="N730" s="1130"/>
      <c r="O730" s="1130"/>
      <c r="P730" s="1130"/>
      <c r="Q730" s="1130"/>
      <c r="R730" s="1130"/>
      <c r="S730" s="1130"/>
      <c r="T730" s="1130"/>
      <c r="U730" s="1130"/>
      <c r="V730" s="1130"/>
      <c r="W730" s="1130"/>
      <c r="X730" s="1130"/>
      <c r="Y730" s="1130"/>
      <c r="Z730" s="1130"/>
    </row>
    <row r="731" spans="1:26" ht="15.75" customHeight="1">
      <c r="A731" s="1129"/>
      <c r="B731" s="1130"/>
      <c r="C731" s="1130"/>
      <c r="D731" s="1130"/>
      <c r="E731" s="1130"/>
      <c r="F731" s="1130"/>
      <c r="G731" s="1130"/>
      <c r="H731" s="1130"/>
      <c r="I731" s="1130"/>
      <c r="J731" s="1130"/>
      <c r="K731" s="1130"/>
      <c r="L731" s="1130"/>
      <c r="M731" s="1130"/>
      <c r="N731" s="1130"/>
      <c r="O731" s="1130"/>
      <c r="P731" s="1130"/>
      <c r="Q731" s="1130"/>
      <c r="R731" s="1130"/>
      <c r="S731" s="1130"/>
      <c r="T731" s="1130"/>
      <c r="U731" s="1130"/>
      <c r="V731" s="1130"/>
      <c r="W731" s="1130"/>
      <c r="X731" s="1130"/>
      <c r="Y731" s="1130"/>
      <c r="Z731" s="1130"/>
    </row>
    <row r="732" spans="1:26" ht="15.75" customHeight="1">
      <c r="A732" s="1129"/>
      <c r="B732" s="1130"/>
      <c r="C732" s="1130"/>
      <c r="D732" s="1130"/>
      <c r="E732" s="1130"/>
      <c r="F732" s="1130"/>
      <c r="G732" s="1130"/>
      <c r="H732" s="1130"/>
      <c r="I732" s="1130"/>
      <c r="J732" s="1130"/>
      <c r="K732" s="1130"/>
      <c r="L732" s="1130"/>
      <c r="M732" s="1130"/>
      <c r="N732" s="1130"/>
      <c r="O732" s="1130"/>
      <c r="P732" s="1130"/>
      <c r="Q732" s="1130"/>
      <c r="R732" s="1130"/>
      <c r="S732" s="1130"/>
      <c r="T732" s="1130"/>
      <c r="U732" s="1130"/>
      <c r="V732" s="1130"/>
      <c r="W732" s="1130"/>
      <c r="X732" s="1130"/>
      <c r="Y732" s="1130"/>
      <c r="Z732" s="1130"/>
    </row>
    <row r="733" spans="1:26" ht="15.75" customHeight="1">
      <c r="A733" s="1129"/>
      <c r="B733" s="1130"/>
      <c r="C733" s="1130"/>
      <c r="D733" s="1130"/>
      <c r="E733" s="1130"/>
      <c r="F733" s="1130"/>
      <c r="G733" s="1130"/>
      <c r="H733" s="1130"/>
      <c r="I733" s="1130"/>
      <c r="J733" s="1130"/>
      <c r="K733" s="1130"/>
      <c r="L733" s="1130"/>
      <c r="M733" s="1130"/>
      <c r="N733" s="1130"/>
      <c r="O733" s="1130"/>
      <c r="P733" s="1130"/>
      <c r="Q733" s="1130"/>
      <c r="R733" s="1130"/>
      <c r="S733" s="1130"/>
      <c r="T733" s="1130"/>
      <c r="U733" s="1130"/>
      <c r="V733" s="1130"/>
      <c r="W733" s="1130"/>
      <c r="X733" s="1130"/>
      <c r="Y733" s="1130"/>
      <c r="Z733" s="1130"/>
    </row>
    <row r="734" spans="1:26" ht="15.75" customHeight="1">
      <c r="A734" s="1129"/>
      <c r="B734" s="1130"/>
      <c r="C734" s="1130"/>
      <c r="D734" s="1130"/>
      <c r="E734" s="1130"/>
      <c r="F734" s="1130"/>
      <c r="G734" s="1130"/>
      <c r="H734" s="1130"/>
      <c r="I734" s="1130"/>
      <c r="J734" s="1130"/>
      <c r="K734" s="1130"/>
      <c r="L734" s="1130"/>
      <c r="M734" s="1130"/>
      <c r="N734" s="1130"/>
      <c r="O734" s="1130"/>
      <c r="P734" s="1130"/>
      <c r="Q734" s="1130"/>
      <c r="R734" s="1130"/>
      <c r="S734" s="1130"/>
      <c r="T734" s="1130"/>
      <c r="U734" s="1130"/>
      <c r="V734" s="1130"/>
      <c r="W734" s="1130"/>
      <c r="X734" s="1130"/>
      <c r="Y734" s="1130"/>
      <c r="Z734" s="1130"/>
    </row>
    <row r="735" spans="1:26" ht="15.75" customHeight="1">
      <c r="A735" s="1129"/>
      <c r="B735" s="1130"/>
      <c r="C735" s="1130"/>
      <c r="D735" s="1130"/>
      <c r="E735" s="1130"/>
      <c r="F735" s="1130"/>
      <c r="G735" s="1130"/>
      <c r="H735" s="1130"/>
      <c r="I735" s="1130"/>
      <c r="J735" s="1130"/>
      <c r="K735" s="1130"/>
      <c r="L735" s="1130"/>
      <c r="M735" s="1130"/>
      <c r="N735" s="1130"/>
      <c r="O735" s="1130"/>
      <c r="P735" s="1130"/>
      <c r="Q735" s="1130"/>
      <c r="R735" s="1130"/>
      <c r="S735" s="1130"/>
      <c r="T735" s="1130"/>
      <c r="U735" s="1130"/>
      <c r="V735" s="1130"/>
      <c r="W735" s="1130"/>
      <c r="X735" s="1130"/>
      <c r="Y735" s="1130"/>
      <c r="Z735" s="1130"/>
    </row>
    <row r="736" spans="1:26" ht="15.75" customHeight="1">
      <c r="A736" s="1129"/>
      <c r="B736" s="1130"/>
      <c r="C736" s="1130"/>
      <c r="D736" s="1130"/>
      <c r="E736" s="1130"/>
      <c r="F736" s="1130"/>
      <c r="G736" s="1130"/>
      <c r="H736" s="1130"/>
      <c r="I736" s="1130"/>
      <c r="J736" s="1130"/>
      <c r="K736" s="1130"/>
      <c r="L736" s="1130"/>
      <c r="M736" s="1130"/>
      <c r="N736" s="1130"/>
      <c r="O736" s="1130"/>
      <c r="P736" s="1130"/>
      <c r="Q736" s="1130"/>
      <c r="R736" s="1130"/>
      <c r="S736" s="1130"/>
      <c r="T736" s="1130"/>
      <c r="U736" s="1130"/>
      <c r="V736" s="1130"/>
      <c r="W736" s="1130"/>
      <c r="X736" s="1130"/>
      <c r="Y736" s="1130"/>
      <c r="Z736" s="1130"/>
    </row>
    <row r="737" spans="1:26" ht="15.75" customHeight="1">
      <c r="A737" s="1129"/>
      <c r="B737" s="1130"/>
      <c r="C737" s="1130"/>
      <c r="D737" s="1130"/>
      <c r="E737" s="1130"/>
      <c r="F737" s="1130"/>
      <c r="G737" s="1130"/>
      <c r="H737" s="1130"/>
      <c r="I737" s="1130"/>
      <c r="J737" s="1130"/>
      <c r="K737" s="1130"/>
      <c r="L737" s="1130"/>
      <c r="M737" s="1130"/>
      <c r="N737" s="1130"/>
      <c r="O737" s="1130"/>
      <c r="P737" s="1130"/>
      <c r="Q737" s="1130"/>
      <c r="R737" s="1130"/>
      <c r="S737" s="1130"/>
      <c r="T737" s="1130"/>
      <c r="U737" s="1130"/>
      <c r="V737" s="1130"/>
      <c r="W737" s="1130"/>
      <c r="X737" s="1130"/>
      <c r="Y737" s="1130"/>
      <c r="Z737" s="1130"/>
    </row>
    <row r="738" spans="1:26" ht="15.75" customHeight="1">
      <c r="A738" s="1129"/>
      <c r="B738" s="1130"/>
      <c r="C738" s="1130"/>
      <c r="D738" s="1130"/>
      <c r="E738" s="1130"/>
      <c r="F738" s="1130"/>
      <c r="G738" s="1130"/>
      <c r="H738" s="1130"/>
      <c r="I738" s="1130"/>
      <c r="J738" s="1130"/>
      <c r="K738" s="1130"/>
      <c r="L738" s="1130"/>
      <c r="M738" s="1130"/>
      <c r="N738" s="1130"/>
      <c r="O738" s="1130"/>
      <c r="P738" s="1130"/>
      <c r="Q738" s="1130"/>
      <c r="R738" s="1130"/>
      <c r="S738" s="1130"/>
      <c r="T738" s="1130"/>
      <c r="U738" s="1130"/>
      <c r="V738" s="1130"/>
      <c r="W738" s="1130"/>
      <c r="X738" s="1130"/>
      <c r="Y738" s="1130"/>
      <c r="Z738" s="1130"/>
    </row>
    <row r="739" spans="1:26" ht="15.75" customHeight="1">
      <c r="A739" s="1129"/>
      <c r="B739" s="1130"/>
      <c r="C739" s="1130"/>
      <c r="D739" s="1130"/>
      <c r="E739" s="1130"/>
      <c r="F739" s="1130"/>
      <c r="G739" s="1130"/>
      <c r="H739" s="1130"/>
      <c r="I739" s="1130"/>
      <c r="J739" s="1130"/>
      <c r="K739" s="1130"/>
      <c r="L739" s="1130"/>
      <c r="M739" s="1130"/>
      <c r="N739" s="1130"/>
      <c r="O739" s="1130"/>
      <c r="P739" s="1130"/>
      <c r="Q739" s="1130"/>
      <c r="R739" s="1130"/>
      <c r="S739" s="1130"/>
      <c r="T739" s="1130"/>
      <c r="U739" s="1130"/>
      <c r="V739" s="1130"/>
      <c r="W739" s="1130"/>
      <c r="X739" s="1130"/>
      <c r="Y739" s="1130"/>
      <c r="Z739" s="1130"/>
    </row>
    <row r="740" spans="1:26" ht="15.75" customHeight="1">
      <c r="A740" s="1129"/>
      <c r="B740" s="1130"/>
      <c r="C740" s="1130"/>
      <c r="D740" s="1130"/>
      <c r="E740" s="1130"/>
      <c r="F740" s="1130"/>
      <c r="G740" s="1130"/>
      <c r="H740" s="1130"/>
      <c r="I740" s="1130"/>
      <c r="J740" s="1130"/>
      <c r="K740" s="1130"/>
      <c r="L740" s="1130"/>
      <c r="M740" s="1130"/>
      <c r="N740" s="1130"/>
      <c r="O740" s="1130"/>
      <c r="P740" s="1130"/>
      <c r="Q740" s="1130"/>
      <c r="R740" s="1130"/>
      <c r="S740" s="1130"/>
      <c r="T740" s="1130"/>
      <c r="U740" s="1130"/>
      <c r="V740" s="1130"/>
      <c r="W740" s="1130"/>
      <c r="X740" s="1130"/>
      <c r="Y740" s="1130"/>
      <c r="Z740" s="1130"/>
    </row>
    <row r="741" spans="1:26" ht="15.75" customHeight="1">
      <c r="A741" s="1129"/>
      <c r="B741" s="1130"/>
      <c r="C741" s="1130"/>
      <c r="D741" s="1130"/>
      <c r="E741" s="1130"/>
      <c r="F741" s="1130"/>
      <c r="G741" s="1130"/>
      <c r="H741" s="1130"/>
      <c r="I741" s="1130"/>
      <c r="J741" s="1130"/>
      <c r="K741" s="1130"/>
      <c r="L741" s="1130"/>
      <c r="M741" s="1130"/>
      <c r="N741" s="1130"/>
      <c r="O741" s="1130"/>
      <c r="P741" s="1130"/>
      <c r="Q741" s="1130"/>
      <c r="R741" s="1130"/>
      <c r="S741" s="1130"/>
      <c r="T741" s="1130"/>
      <c r="U741" s="1130"/>
      <c r="V741" s="1130"/>
      <c r="W741" s="1130"/>
      <c r="X741" s="1130"/>
      <c r="Y741" s="1130"/>
      <c r="Z741" s="1130"/>
    </row>
    <row r="742" spans="1:26" ht="15.75" customHeight="1">
      <c r="A742" s="1129"/>
      <c r="B742" s="1130"/>
      <c r="C742" s="1130"/>
      <c r="D742" s="1130"/>
      <c r="E742" s="1130"/>
      <c r="F742" s="1130"/>
      <c r="G742" s="1130"/>
      <c r="H742" s="1130"/>
      <c r="I742" s="1130"/>
      <c r="J742" s="1130"/>
      <c r="K742" s="1130"/>
      <c r="L742" s="1130"/>
      <c r="M742" s="1130"/>
      <c r="N742" s="1130"/>
      <c r="O742" s="1130"/>
      <c r="P742" s="1130"/>
      <c r="Q742" s="1130"/>
      <c r="R742" s="1130"/>
      <c r="S742" s="1130"/>
      <c r="T742" s="1130"/>
      <c r="U742" s="1130"/>
      <c r="V742" s="1130"/>
      <c r="W742" s="1130"/>
      <c r="X742" s="1130"/>
      <c r="Y742" s="1130"/>
      <c r="Z742" s="1130"/>
    </row>
    <row r="743" spans="1:26" ht="15.75" customHeight="1">
      <c r="A743" s="1129"/>
      <c r="B743" s="1130"/>
      <c r="C743" s="1130"/>
      <c r="D743" s="1130"/>
      <c r="E743" s="1130"/>
      <c r="F743" s="1130"/>
      <c r="G743" s="1130"/>
      <c r="H743" s="1130"/>
      <c r="I743" s="1130"/>
      <c r="J743" s="1130"/>
      <c r="K743" s="1130"/>
      <c r="L743" s="1130"/>
      <c r="M743" s="1130"/>
      <c r="N743" s="1130"/>
      <c r="O743" s="1130"/>
      <c r="P743" s="1130"/>
      <c r="Q743" s="1130"/>
      <c r="R743" s="1130"/>
      <c r="S743" s="1130"/>
      <c r="T743" s="1130"/>
      <c r="U743" s="1130"/>
      <c r="V743" s="1130"/>
      <c r="W743" s="1130"/>
      <c r="X743" s="1130"/>
      <c r="Y743" s="1130"/>
      <c r="Z743" s="1130"/>
    </row>
    <row r="744" spans="1:26" ht="15.75" customHeight="1">
      <c r="A744" s="1129"/>
      <c r="B744" s="1130"/>
      <c r="C744" s="1130"/>
      <c r="D744" s="1130"/>
      <c r="E744" s="1130"/>
      <c r="F744" s="1130"/>
      <c r="G744" s="1130"/>
      <c r="H744" s="1130"/>
      <c r="I744" s="1130"/>
      <c r="J744" s="1130"/>
      <c r="K744" s="1130"/>
      <c r="L744" s="1130"/>
      <c r="M744" s="1130"/>
      <c r="N744" s="1130"/>
      <c r="O744" s="1130"/>
      <c r="P744" s="1130"/>
      <c r="Q744" s="1130"/>
      <c r="R744" s="1130"/>
      <c r="S744" s="1130"/>
      <c r="T744" s="1130"/>
      <c r="U744" s="1130"/>
      <c r="V744" s="1130"/>
      <c r="W744" s="1130"/>
      <c r="X744" s="1130"/>
      <c r="Y744" s="1130"/>
      <c r="Z744" s="1130"/>
    </row>
    <row r="745" spans="1:26" ht="15.75" customHeight="1">
      <c r="A745" s="1129"/>
      <c r="B745" s="1130"/>
      <c r="C745" s="1130"/>
      <c r="D745" s="1130"/>
      <c r="E745" s="1130"/>
      <c r="F745" s="1130"/>
      <c r="G745" s="1130"/>
      <c r="H745" s="1130"/>
      <c r="I745" s="1130"/>
      <c r="J745" s="1130"/>
      <c r="K745" s="1130"/>
      <c r="L745" s="1130"/>
      <c r="M745" s="1130"/>
      <c r="N745" s="1130"/>
      <c r="O745" s="1130"/>
      <c r="P745" s="1130"/>
      <c r="Q745" s="1130"/>
      <c r="R745" s="1130"/>
      <c r="S745" s="1130"/>
      <c r="T745" s="1130"/>
      <c r="U745" s="1130"/>
      <c r="V745" s="1130"/>
      <c r="W745" s="1130"/>
      <c r="X745" s="1130"/>
      <c r="Y745" s="1130"/>
      <c r="Z745" s="1130"/>
    </row>
    <row r="746" spans="1:26" ht="15.75" customHeight="1">
      <c r="A746" s="1129"/>
      <c r="B746" s="1130"/>
      <c r="C746" s="1130"/>
      <c r="D746" s="1130"/>
      <c r="E746" s="1130"/>
      <c r="F746" s="1130"/>
      <c r="G746" s="1130"/>
      <c r="H746" s="1130"/>
      <c r="I746" s="1130"/>
      <c r="J746" s="1130"/>
      <c r="K746" s="1130"/>
      <c r="L746" s="1130"/>
      <c r="M746" s="1130"/>
      <c r="N746" s="1130"/>
      <c r="O746" s="1130"/>
      <c r="P746" s="1130"/>
      <c r="Q746" s="1130"/>
      <c r="R746" s="1130"/>
      <c r="S746" s="1130"/>
      <c r="T746" s="1130"/>
      <c r="U746" s="1130"/>
      <c r="V746" s="1130"/>
      <c r="W746" s="1130"/>
      <c r="X746" s="1130"/>
      <c r="Y746" s="1130"/>
      <c r="Z746" s="1130"/>
    </row>
    <row r="747" spans="1:26" ht="15.75" customHeight="1">
      <c r="A747" s="1129"/>
      <c r="B747" s="1130"/>
      <c r="C747" s="1130"/>
      <c r="D747" s="1130"/>
      <c r="E747" s="1130"/>
      <c r="F747" s="1130"/>
      <c r="G747" s="1130"/>
      <c r="H747" s="1130"/>
      <c r="I747" s="1130"/>
      <c r="J747" s="1130"/>
      <c r="K747" s="1130"/>
      <c r="L747" s="1130"/>
      <c r="M747" s="1130"/>
      <c r="N747" s="1130"/>
      <c r="O747" s="1130"/>
      <c r="P747" s="1130"/>
      <c r="Q747" s="1130"/>
      <c r="R747" s="1130"/>
      <c r="S747" s="1130"/>
      <c r="T747" s="1130"/>
      <c r="U747" s="1130"/>
      <c r="V747" s="1130"/>
      <c r="W747" s="1130"/>
      <c r="X747" s="1130"/>
      <c r="Y747" s="1130"/>
      <c r="Z747" s="1130"/>
    </row>
    <row r="748" spans="1:26" ht="15.75" customHeight="1">
      <c r="A748" s="1129"/>
      <c r="B748" s="1130"/>
      <c r="C748" s="1130"/>
      <c r="D748" s="1130"/>
      <c r="E748" s="1130"/>
      <c r="F748" s="1130"/>
      <c r="G748" s="1130"/>
      <c r="H748" s="1130"/>
      <c r="I748" s="1130"/>
      <c r="J748" s="1130"/>
      <c r="K748" s="1130"/>
      <c r="L748" s="1130"/>
      <c r="M748" s="1130"/>
      <c r="N748" s="1130"/>
      <c r="O748" s="1130"/>
      <c r="P748" s="1130"/>
      <c r="Q748" s="1130"/>
      <c r="R748" s="1130"/>
      <c r="S748" s="1130"/>
      <c r="T748" s="1130"/>
      <c r="U748" s="1130"/>
      <c r="V748" s="1130"/>
      <c r="W748" s="1130"/>
      <c r="X748" s="1130"/>
      <c r="Y748" s="1130"/>
      <c r="Z748" s="1130"/>
    </row>
    <row r="749" spans="1:26" ht="15.75" customHeight="1">
      <c r="A749" s="1129"/>
      <c r="B749" s="1130"/>
      <c r="C749" s="1130"/>
      <c r="D749" s="1130"/>
      <c r="E749" s="1130"/>
      <c r="F749" s="1130"/>
      <c r="G749" s="1130"/>
      <c r="H749" s="1130"/>
      <c r="I749" s="1130"/>
      <c r="J749" s="1130"/>
      <c r="K749" s="1130"/>
      <c r="L749" s="1130"/>
      <c r="M749" s="1130"/>
      <c r="N749" s="1130"/>
      <c r="O749" s="1130"/>
      <c r="P749" s="1130"/>
      <c r="Q749" s="1130"/>
      <c r="R749" s="1130"/>
      <c r="S749" s="1130"/>
      <c r="T749" s="1130"/>
      <c r="U749" s="1130"/>
      <c r="V749" s="1130"/>
      <c r="W749" s="1130"/>
      <c r="X749" s="1130"/>
      <c r="Y749" s="1130"/>
      <c r="Z749" s="1130"/>
    </row>
    <row r="750" spans="1:26" ht="15.75" customHeight="1">
      <c r="A750" s="1129"/>
      <c r="B750" s="1130"/>
      <c r="C750" s="1130"/>
      <c r="D750" s="1130"/>
      <c r="E750" s="1130"/>
      <c r="F750" s="1130"/>
      <c r="G750" s="1130"/>
      <c r="H750" s="1130"/>
      <c r="I750" s="1130"/>
      <c r="J750" s="1130"/>
      <c r="K750" s="1130"/>
      <c r="L750" s="1130"/>
      <c r="M750" s="1130"/>
      <c r="N750" s="1130"/>
      <c r="O750" s="1130"/>
      <c r="P750" s="1130"/>
      <c r="Q750" s="1130"/>
      <c r="R750" s="1130"/>
      <c r="S750" s="1130"/>
      <c r="T750" s="1130"/>
      <c r="U750" s="1130"/>
      <c r="V750" s="1130"/>
      <c r="W750" s="1130"/>
      <c r="X750" s="1130"/>
      <c r="Y750" s="1130"/>
      <c r="Z750" s="1130"/>
    </row>
    <row r="751" spans="1:26" ht="15.75" customHeight="1">
      <c r="A751" s="1129"/>
      <c r="B751" s="1130"/>
      <c r="C751" s="1130"/>
      <c r="D751" s="1130"/>
      <c r="E751" s="1130"/>
      <c r="F751" s="1130"/>
      <c r="G751" s="1130"/>
      <c r="H751" s="1130"/>
      <c r="I751" s="1130"/>
      <c r="J751" s="1130"/>
      <c r="K751" s="1130"/>
      <c r="L751" s="1130"/>
      <c r="M751" s="1130"/>
      <c r="N751" s="1130"/>
      <c r="O751" s="1130"/>
      <c r="P751" s="1130"/>
      <c r="Q751" s="1130"/>
      <c r="R751" s="1130"/>
      <c r="S751" s="1130"/>
      <c r="T751" s="1130"/>
      <c r="U751" s="1130"/>
      <c r="V751" s="1130"/>
      <c r="W751" s="1130"/>
      <c r="X751" s="1130"/>
      <c r="Y751" s="1130"/>
      <c r="Z751" s="1130"/>
    </row>
    <row r="752" spans="1:26" ht="15.75" customHeight="1">
      <c r="A752" s="1129"/>
      <c r="B752" s="1130"/>
      <c r="C752" s="1130"/>
      <c r="D752" s="1130"/>
      <c r="E752" s="1130"/>
      <c r="F752" s="1130"/>
      <c r="G752" s="1130"/>
      <c r="H752" s="1130"/>
      <c r="I752" s="1130"/>
      <c r="J752" s="1130"/>
      <c r="K752" s="1130"/>
      <c r="L752" s="1130"/>
      <c r="M752" s="1130"/>
      <c r="N752" s="1130"/>
      <c r="O752" s="1130"/>
      <c r="P752" s="1130"/>
      <c r="Q752" s="1130"/>
      <c r="R752" s="1130"/>
      <c r="S752" s="1130"/>
      <c r="T752" s="1130"/>
      <c r="U752" s="1130"/>
      <c r="V752" s="1130"/>
      <c r="W752" s="1130"/>
      <c r="X752" s="1130"/>
      <c r="Y752" s="1130"/>
      <c r="Z752" s="1130"/>
    </row>
    <row r="753" spans="1:26" ht="15.75" customHeight="1">
      <c r="A753" s="1129"/>
      <c r="B753" s="1130"/>
      <c r="C753" s="1130"/>
      <c r="D753" s="1130"/>
      <c r="E753" s="1130"/>
      <c r="F753" s="1130"/>
      <c r="G753" s="1130"/>
      <c r="H753" s="1130"/>
      <c r="I753" s="1130"/>
      <c r="J753" s="1130"/>
      <c r="K753" s="1130"/>
      <c r="L753" s="1130"/>
      <c r="M753" s="1130"/>
      <c r="N753" s="1130"/>
      <c r="O753" s="1130"/>
      <c r="P753" s="1130"/>
      <c r="Q753" s="1130"/>
      <c r="R753" s="1130"/>
      <c r="S753" s="1130"/>
      <c r="T753" s="1130"/>
      <c r="U753" s="1130"/>
      <c r="V753" s="1130"/>
      <c r="W753" s="1130"/>
      <c r="X753" s="1130"/>
      <c r="Y753" s="1130"/>
      <c r="Z753" s="1130"/>
    </row>
    <row r="754" spans="1:26" ht="15.75" customHeight="1">
      <c r="A754" s="1129"/>
      <c r="B754" s="1130"/>
      <c r="C754" s="1130"/>
      <c r="D754" s="1130"/>
      <c r="E754" s="1130"/>
      <c r="F754" s="1130"/>
      <c r="G754" s="1130"/>
      <c r="H754" s="1130"/>
      <c r="I754" s="1130"/>
      <c r="J754" s="1130"/>
      <c r="K754" s="1130"/>
      <c r="L754" s="1130"/>
      <c r="M754" s="1130"/>
      <c r="N754" s="1130"/>
      <c r="O754" s="1130"/>
      <c r="P754" s="1130"/>
      <c r="Q754" s="1130"/>
      <c r="R754" s="1130"/>
      <c r="S754" s="1130"/>
      <c r="T754" s="1130"/>
      <c r="U754" s="1130"/>
      <c r="V754" s="1130"/>
      <c r="W754" s="1130"/>
      <c r="X754" s="1130"/>
      <c r="Y754" s="1130"/>
      <c r="Z754" s="1130"/>
    </row>
    <row r="755" spans="1:26" ht="15.75" customHeight="1">
      <c r="A755" s="1129"/>
      <c r="B755" s="1130"/>
      <c r="C755" s="1130"/>
      <c r="D755" s="1130"/>
      <c r="E755" s="1130"/>
      <c r="F755" s="1130"/>
      <c r="G755" s="1130"/>
      <c r="H755" s="1130"/>
      <c r="I755" s="1130"/>
      <c r="J755" s="1130"/>
      <c r="K755" s="1130"/>
      <c r="L755" s="1130"/>
      <c r="M755" s="1130"/>
      <c r="N755" s="1130"/>
      <c r="O755" s="1130"/>
      <c r="P755" s="1130"/>
      <c r="Q755" s="1130"/>
      <c r="R755" s="1130"/>
      <c r="S755" s="1130"/>
      <c r="T755" s="1130"/>
      <c r="U755" s="1130"/>
      <c r="V755" s="1130"/>
      <c r="W755" s="1130"/>
      <c r="X755" s="1130"/>
      <c r="Y755" s="1130"/>
      <c r="Z755" s="1130"/>
    </row>
    <row r="756" spans="1:26" ht="15.75" customHeight="1">
      <c r="A756" s="1129"/>
      <c r="B756" s="1130"/>
      <c r="C756" s="1130"/>
      <c r="D756" s="1130"/>
      <c r="E756" s="1130"/>
      <c r="F756" s="1130"/>
      <c r="G756" s="1130"/>
      <c r="H756" s="1130"/>
      <c r="I756" s="1130"/>
      <c r="J756" s="1130"/>
      <c r="K756" s="1130"/>
      <c r="L756" s="1130"/>
      <c r="M756" s="1130"/>
      <c r="N756" s="1130"/>
      <c r="O756" s="1130"/>
      <c r="P756" s="1130"/>
      <c r="Q756" s="1130"/>
      <c r="R756" s="1130"/>
      <c r="S756" s="1130"/>
      <c r="T756" s="1130"/>
      <c r="U756" s="1130"/>
      <c r="V756" s="1130"/>
      <c r="W756" s="1130"/>
      <c r="X756" s="1130"/>
      <c r="Y756" s="1130"/>
      <c r="Z756" s="1130"/>
    </row>
    <row r="757" spans="1:26" ht="15.75" customHeight="1">
      <c r="A757" s="1129"/>
      <c r="B757" s="1130"/>
      <c r="C757" s="1130"/>
      <c r="D757" s="1130"/>
      <c r="E757" s="1130"/>
      <c r="F757" s="1130"/>
      <c r="G757" s="1130"/>
      <c r="H757" s="1130"/>
      <c r="I757" s="1130"/>
      <c r="J757" s="1130"/>
      <c r="K757" s="1130"/>
      <c r="L757" s="1130"/>
      <c r="M757" s="1130"/>
      <c r="N757" s="1130"/>
      <c r="O757" s="1130"/>
      <c r="P757" s="1130"/>
      <c r="Q757" s="1130"/>
      <c r="R757" s="1130"/>
      <c r="S757" s="1130"/>
      <c r="T757" s="1130"/>
      <c r="U757" s="1130"/>
      <c r="V757" s="1130"/>
      <c r="W757" s="1130"/>
      <c r="X757" s="1130"/>
      <c r="Y757" s="1130"/>
      <c r="Z757" s="1130"/>
    </row>
    <row r="758" spans="1:26" ht="15.75" customHeight="1">
      <c r="A758" s="1129"/>
      <c r="B758" s="1130"/>
      <c r="C758" s="1130"/>
      <c r="D758" s="1130"/>
      <c r="E758" s="1130"/>
      <c r="F758" s="1130"/>
      <c r="G758" s="1130"/>
      <c r="H758" s="1130"/>
      <c r="I758" s="1130"/>
      <c r="J758" s="1130"/>
      <c r="K758" s="1130"/>
      <c r="L758" s="1130"/>
      <c r="M758" s="1130"/>
      <c r="N758" s="1130"/>
      <c r="O758" s="1130"/>
      <c r="P758" s="1130"/>
      <c r="Q758" s="1130"/>
      <c r="R758" s="1130"/>
      <c r="S758" s="1130"/>
      <c r="T758" s="1130"/>
      <c r="U758" s="1130"/>
      <c r="V758" s="1130"/>
      <c r="W758" s="1130"/>
      <c r="X758" s="1130"/>
      <c r="Y758" s="1130"/>
      <c r="Z758" s="1130"/>
    </row>
    <row r="759" spans="1:26" ht="15.75" customHeight="1">
      <c r="A759" s="1129"/>
      <c r="B759" s="1130"/>
      <c r="C759" s="1130"/>
      <c r="D759" s="1130"/>
      <c r="E759" s="1130"/>
      <c r="F759" s="1130"/>
      <c r="G759" s="1130"/>
      <c r="H759" s="1130"/>
      <c r="I759" s="1130"/>
      <c r="J759" s="1130"/>
      <c r="K759" s="1130"/>
      <c r="L759" s="1130"/>
      <c r="M759" s="1130"/>
      <c r="N759" s="1130"/>
      <c r="O759" s="1130"/>
      <c r="P759" s="1130"/>
      <c r="Q759" s="1130"/>
      <c r="R759" s="1130"/>
      <c r="S759" s="1130"/>
      <c r="T759" s="1130"/>
      <c r="U759" s="1130"/>
      <c r="V759" s="1130"/>
      <c r="W759" s="1130"/>
      <c r="X759" s="1130"/>
      <c r="Y759" s="1130"/>
      <c r="Z759" s="1130"/>
    </row>
    <row r="760" spans="1:26" ht="15.75" customHeight="1">
      <c r="A760" s="1129"/>
      <c r="B760" s="1130"/>
      <c r="C760" s="1130"/>
      <c r="D760" s="1130"/>
      <c r="E760" s="1130"/>
      <c r="F760" s="1130"/>
      <c r="G760" s="1130"/>
      <c r="H760" s="1130"/>
      <c r="I760" s="1130"/>
      <c r="J760" s="1130"/>
      <c r="K760" s="1130"/>
      <c r="L760" s="1130"/>
      <c r="M760" s="1130"/>
      <c r="N760" s="1130"/>
      <c r="O760" s="1130"/>
      <c r="P760" s="1130"/>
      <c r="Q760" s="1130"/>
      <c r="R760" s="1130"/>
      <c r="S760" s="1130"/>
      <c r="T760" s="1130"/>
      <c r="U760" s="1130"/>
      <c r="V760" s="1130"/>
      <c r="W760" s="1130"/>
      <c r="X760" s="1130"/>
      <c r="Y760" s="1130"/>
      <c r="Z760" s="1130"/>
    </row>
    <row r="761" spans="1:26" ht="15.75" customHeight="1">
      <c r="A761" s="1129"/>
      <c r="B761" s="1130"/>
      <c r="C761" s="1130"/>
      <c r="D761" s="1130"/>
      <c r="E761" s="1130"/>
      <c r="F761" s="1130"/>
      <c r="G761" s="1130"/>
      <c r="H761" s="1130"/>
      <c r="I761" s="1130"/>
      <c r="J761" s="1130"/>
      <c r="K761" s="1130"/>
      <c r="L761" s="1130"/>
      <c r="M761" s="1130"/>
      <c r="N761" s="1130"/>
      <c r="O761" s="1130"/>
      <c r="P761" s="1130"/>
      <c r="Q761" s="1130"/>
      <c r="R761" s="1130"/>
      <c r="S761" s="1130"/>
      <c r="T761" s="1130"/>
      <c r="U761" s="1130"/>
      <c r="V761" s="1130"/>
      <c r="W761" s="1130"/>
      <c r="X761" s="1130"/>
      <c r="Y761" s="1130"/>
      <c r="Z761" s="1130"/>
    </row>
    <row r="762" spans="1:26" ht="15.75" customHeight="1">
      <c r="A762" s="1129"/>
      <c r="B762" s="1130"/>
      <c r="C762" s="1130"/>
      <c r="D762" s="1130"/>
      <c r="E762" s="1130"/>
      <c r="F762" s="1130"/>
      <c r="G762" s="1130"/>
      <c r="H762" s="1130"/>
      <c r="I762" s="1130"/>
      <c r="J762" s="1130"/>
      <c r="K762" s="1130"/>
      <c r="L762" s="1130"/>
      <c r="M762" s="1130"/>
      <c r="N762" s="1130"/>
      <c r="O762" s="1130"/>
      <c r="P762" s="1130"/>
      <c r="Q762" s="1130"/>
      <c r="R762" s="1130"/>
      <c r="S762" s="1130"/>
      <c r="T762" s="1130"/>
      <c r="U762" s="1130"/>
      <c r="V762" s="1130"/>
      <c r="W762" s="1130"/>
      <c r="X762" s="1130"/>
      <c r="Y762" s="1130"/>
      <c r="Z762" s="1130"/>
    </row>
    <row r="763" spans="1:26" ht="15.75" customHeight="1">
      <c r="A763" s="1129"/>
      <c r="B763" s="1130"/>
      <c r="C763" s="1130"/>
      <c r="D763" s="1130"/>
      <c r="E763" s="1130"/>
      <c r="F763" s="1130"/>
      <c r="G763" s="1130"/>
      <c r="H763" s="1130"/>
      <c r="I763" s="1130"/>
      <c r="J763" s="1130"/>
      <c r="K763" s="1130"/>
      <c r="L763" s="1130"/>
      <c r="M763" s="1130"/>
      <c r="N763" s="1130"/>
      <c r="O763" s="1130"/>
      <c r="P763" s="1130"/>
      <c r="Q763" s="1130"/>
      <c r="R763" s="1130"/>
      <c r="S763" s="1130"/>
      <c r="T763" s="1130"/>
      <c r="U763" s="1130"/>
      <c r="V763" s="1130"/>
      <c r="W763" s="1130"/>
      <c r="X763" s="1130"/>
      <c r="Y763" s="1130"/>
      <c r="Z763" s="1130"/>
    </row>
    <row r="764" spans="1:26" ht="15.75" customHeight="1">
      <c r="A764" s="1129"/>
      <c r="B764" s="1130"/>
      <c r="C764" s="1130"/>
      <c r="D764" s="1130"/>
      <c r="E764" s="1130"/>
      <c r="F764" s="1130"/>
      <c r="G764" s="1130"/>
      <c r="H764" s="1130"/>
      <c r="I764" s="1130"/>
      <c r="J764" s="1130"/>
      <c r="K764" s="1130"/>
      <c r="L764" s="1130"/>
      <c r="M764" s="1130"/>
      <c r="N764" s="1130"/>
      <c r="O764" s="1130"/>
      <c r="P764" s="1130"/>
      <c r="Q764" s="1130"/>
      <c r="R764" s="1130"/>
      <c r="S764" s="1130"/>
      <c r="T764" s="1130"/>
      <c r="U764" s="1130"/>
      <c r="V764" s="1130"/>
      <c r="W764" s="1130"/>
      <c r="X764" s="1130"/>
      <c r="Y764" s="1130"/>
      <c r="Z764" s="1130"/>
    </row>
    <row r="765" spans="1:26" ht="15.75" customHeight="1">
      <c r="A765" s="1129"/>
      <c r="B765" s="1130"/>
      <c r="C765" s="1130"/>
      <c r="D765" s="1130"/>
      <c r="E765" s="1130"/>
      <c r="F765" s="1130"/>
      <c r="G765" s="1130"/>
      <c r="H765" s="1130"/>
      <c r="I765" s="1130"/>
      <c r="J765" s="1130"/>
      <c r="K765" s="1130"/>
      <c r="L765" s="1130"/>
      <c r="M765" s="1130"/>
      <c r="N765" s="1130"/>
      <c r="O765" s="1130"/>
      <c r="P765" s="1130"/>
      <c r="Q765" s="1130"/>
      <c r="R765" s="1130"/>
      <c r="S765" s="1130"/>
      <c r="T765" s="1130"/>
      <c r="U765" s="1130"/>
      <c r="V765" s="1130"/>
      <c r="W765" s="1130"/>
      <c r="X765" s="1130"/>
      <c r="Y765" s="1130"/>
      <c r="Z765" s="1130"/>
    </row>
    <row r="766" spans="1:26" ht="15.75" customHeight="1">
      <c r="A766" s="1129"/>
      <c r="B766" s="1130"/>
      <c r="C766" s="1130"/>
      <c r="D766" s="1130"/>
      <c r="E766" s="1130"/>
      <c r="F766" s="1130"/>
      <c r="G766" s="1130"/>
      <c r="H766" s="1130"/>
      <c r="I766" s="1130"/>
      <c r="J766" s="1130"/>
      <c r="K766" s="1130"/>
      <c r="L766" s="1130"/>
      <c r="M766" s="1130"/>
      <c r="N766" s="1130"/>
      <c r="O766" s="1130"/>
      <c r="P766" s="1130"/>
      <c r="Q766" s="1130"/>
      <c r="R766" s="1130"/>
      <c r="S766" s="1130"/>
      <c r="T766" s="1130"/>
      <c r="U766" s="1130"/>
      <c r="V766" s="1130"/>
      <c r="W766" s="1130"/>
      <c r="X766" s="1130"/>
      <c r="Y766" s="1130"/>
      <c r="Z766" s="1130"/>
    </row>
    <row r="767" spans="1:26" ht="15.75" customHeight="1">
      <c r="A767" s="1129"/>
      <c r="B767" s="1130"/>
      <c r="C767" s="1130"/>
      <c r="D767" s="1130"/>
      <c r="E767" s="1130"/>
      <c r="F767" s="1130"/>
      <c r="G767" s="1130"/>
      <c r="H767" s="1130"/>
      <c r="I767" s="1130"/>
      <c r="J767" s="1130"/>
      <c r="K767" s="1130"/>
      <c r="L767" s="1130"/>
      <c r="M767" s="1130"/>
      <c r="N767" s="1130"/>
      <c r="O767" s="1130"/>
      <c r="P767" s="1130"/>
      <c r="Q767" s="1130"/>
      <c r="R767" s="1130"/>
      <c r="S767" s="1130"/>
      <c r="T767" s="1130"/>
      <c r="U767" s="1130"/>
      <c r="V767" s="1130"/>
      <c r="W767" s="1130"/>
      <c r="X767" s="1130"/>
      <c r="Y767" s="1130"/>
      <c r="Z767" s="1130"/>
    </row>
    <row r="768" spans="1:26" ht="15.75" customHeight="1">
      <c r="A768" s="1129"/>
      <c r="B768" s="1130"/>
      <c r="C768" s="1130"/>
      <c r="D768" s="1130"/>
      <c r="E768" s="1130"/>
      <c r="F768" s="1130"/>
      <c r="G768" s="1130"/>
      <c r="H768" s="1130"/>
      <c r="I768" s="1130"/>
      <c r="J768" s="1130"/>
      <c r="K768" s="1130"/>
      <c r="L768" s="1130"/>
      <c r="M768" s="1130"/>
      <c r="N768" s="1130"/>
      <c r="O768" s="1130"/>
      <c r="P768" s="1130"/>
      <c r="Q768" s="1130"/>
      <c r="R768" s="1130"/>
      <c r="S768" s="1130"/>
      <c r="T768" s="1130"/>
      <c r="U768" s="1130"/>
      <c r="V768" s="1130"/>
      <c r="W768" s="1130"/>
      <c r="X768" s="1130"/>
      <c r="Y768" s="1130"/>
      <c r="Z768" s="1130"/>
    </row>
    <row r="769" spans="1:26" ht="15.75" customHeight="1">
      <c r="A769" s="1129"/>
      <c r="B769" s="1130"/>
      <c r="C769" s="1130"/>
      <c r="D769" s="1130"/>
      <c r="E769" s="1130"/>
      <c r="F769" s="1130"/>
      <c r="G769" s="1130"/>
      <c r="H769" s="1130"/>
      <c r="I769" s="1130"/>
      <c r="J769" s="1130"/>
      <c r="K769" s="1130"/>
      <c r="L769" s="1130"/>
      <c r="M769" s="1130"/>
      <c r="N769" s="1130"/>
      <c r="O769" s="1130"/>
      <c r="P769" s="1130"/>
      <c r="Q769" s="1130"/>
      <c r="R769" s="1130"/>
      <c r="S769" s="1130"/>
      <c r="T769" s="1130"/>
      <c r="U769" s="1130"/>
      <c r="V769" s="1130"/>
      <c r="W769" s="1130"/>
      <c r="X769" s="1130"/>
      <c r="Y769" s="1130"/>
      <c r="Z769" s="1130"/>
    </row>
    <row r="770" spans="1:26" ht="15.75" customHeight="1">
      <c r="A770" s="1129"/>
      <c r="B770" s="1130"/>
      <c r="C770" s="1130"/>
      <c r="D770" s="1130"/>
      <c r="E770" s="1130"/>
      <c r="F770" s="1130"/>
      <c r="G770" s="1130"/>
      <c r="H770" s="1130"/>
      <c r="I770" s="1130"/>
      <c r="J770" s="1130"/>
      <c r="K770" s="1130"/>
      <c r="L770" s="1130"/>
      <c r="M770" s="1130"/>
      <c r="N770" s="1130"/>
      <c r="O770" s="1130"/>
      <c r="P770" s="1130"/>
      <c r="Q770" s="1130"/>
      <c r="R770" s="1130"/>
      <c r="S770" s="1130"/>
      <c r="T770" s="1130"/>
      <c r="U770" s="1130"/>
      <c r="V770" s="1130"/>
      <c r="W770" s="1130"/>
      <c r="X770" s="1130"/>
      <c r="Y770" s="1130"/>
      <c r="Z770" s="1130"/>
    </row>
    <row r="771" spans="1:26" ht="15.75" customHeight="1">
      <c r="A771" s="1129"/>
      <c r="B771" s="1130"/>
      <c r="C771" s="1130"/>
      <c r="D771" s="1130"/>
      <c r="E771" s="1130"/>
      <c r="F771" s="1130"/>
      <c r="G771" s="1130"/>
      <c r="H771" s="1130"/>
      <c r="I771" s="1130"/>
      <c r="J771" s="1130"/>
      <c r="K771" s="1130"/>
      <c r="L771" s="1130"/>
      <c r="M771" s="1130"/>
      <c r="N771" s="1130"/>
      <c r="O771" s="1130"/>
      <c r="P771" s="1130"/>
      <c r="Q771" s="1130"/>
      <c r="R771" s="1130"/>
      <c r="S771" s="1130"/>
      <c r="T771" s="1130"/>
      <c r="U771" s="1130"/>
      <c r="V771" s="1130"/>
      <c r="W771" s="1130"/>
      <c r="X771" s="1130"/>
      <c r="Y771" s="1130"/>
      <c r="Z771" s="1130"/>
    </row>
    <row r="772" spans="1:26" ht="15.75" customHeight="1">
      <c r="A772" s="1129"/>
      <c r="B772" s="1130"/>
      <c r="C772" s="1130"/>
      <c r="D772" s="1130"/>
      <c r="E772" s="1130"/>
      <c r="F772" s="1130"/>
      <c r="G772" s="1130"/>
      <c r="H772" s="1130"/>
      <c r="I772" s="1130"/>
      <c r="J772" s="1130"/>
      <c r="K772" s="1130"/>
      <c r="L772" s="1130"/>
      <c r="M772" s="1130"/>
      <c r="N772" s="1130"/>
      <c r="O772" s="1130"/>
      <c r="P772" s="1130"/>
      <c r="Q772" s="1130"/>
      <c r="R772" s="1130"/>
      <c r="S772" s="1130"/>
      <c r="T772" s="1130"/>
      <c r="U772" s="1130"/>
      <c r="V772" s="1130"/>
      <c r="W772" s="1130"/>
      <c r="X772" s="1130"/>
      <c r="Y772" s="1130"/>
      <c r="Z772" s="1130"/>
    </row>
    <row r="773" spans="1:26" ht="15.75" customHeight="1">
      <c r="A773" s="1129"/>
      <c r="B773" s="1130"/>
      <c r="C773" s="1130"/>
      <c r="D773" s="1130"/>
      <c r="E773" s="1130"/>
      <c r="F773" s="1130"/>
      <c r="G773" s="1130"/>
      <c r="H773" s="1130"/>
      <c r="I773" s="1130"/>
      <c r="J773" s="1130"/>
      <c r="K773" s="1130"/>
      <c r="L773" s="1130"/>
      <c r="M773" s="1130"/>
      <c r="N773" s="1130"/>
      <c r="O773" s="1130"/>
      <c r="P773" s="1130"/>
      <c r="Q773" s="1130"/>
      <c r="R773" s="1130"/>
      <c r="S773" s="1130"/>
      <c r="T773" s="1130"/>
      <c r="U773" s="1130"/>
      <c r="V773" s="1130"/>
      <c r="W773" s="1130"/>
      <c r="X773" s="1130"/>
      <c r="Y773" s="1130"/>
      <c r="Z773" s="1130"/>
    </row>
    <row r="774" spans="1:26" ht="15.75" customHeight="1">
      <c r="A774" s="1129"/>
      <c r="B774" s="1130"/>
      <c r="C774" s="1130"/>
      <c r="D774" s="1130"/>
      <c r="E774" s="1130"/>
      <c r="F774" s="1130"/>
      <c r="G774" s="1130"/>
      <c r="H774" s="1130"/>
      <c r="I774" s="1130"/>
      <c r="J774" s="1130"/>
      <c r="K774" s="1130"/>
      <c r="L774" s="1130"/>
      <c r="M774" s="1130"/>
      <c r="N774" s="1130"/>
      <c r="O774" s="1130"/>
      <c r="P774" s="1130"/>
      <c r="Q774" s="1130"/>
      <c r="R774" s="1130"/>
      <c r="S774" s="1130"/>
      <c r="T774" s="1130"/>
      <c r="U774" s="1130"/>
      <c r="V774" s="1130"/>
      <c r="W774" s="1130"/>
      <c r="X774" s="1130"/>
      <c r="Y774" s="1130"/>
      <c r="Z774" s="1130"/>
    </row>
    <row r="775" spans="1:26" ht="15.75" customHeight="1">
      <c r="A775" s="1129"/>
      <c r="B775" s="1130"/>
      <c r="C775" s="1130"/>
      <c r="D775" s="1130"/>
      <c r="E775" s="1130"/>
      <c r="F775" s="1130"/>
      <c r="G775" s="1130"/>
      <c r="H775" s="1130"/>
      <c r="I775" s="1130"/>
      <c r="J775" s="1130"/>
      <c r="K775" s="1130"/>
      <c r="L775" s="1130"/>
      <c r="M775" s="1130"/>
      <c r="N775" s="1130"/>
      <c r="O775" s="1130"/>
      <c r="P775" s="1130"/>
      <c r="Q775" s="1130"/>
      <c r="R775" s="1130"/>
      <c r="S775" s="1130"/>
      <c r="T775" s="1130"/>
      <c r="U775" s="1130"/>
      <c r="V775" s="1130"/>
      <c r="W775" s="1130"/>
      <c r="X775" s="1130"/>
      <c r="Y775" s="1130"/>
      <c r="Z775" s="1130"/>
    </row>
    <row r="776" spans="1:26" ht="15.75" customHeight="1">
      <c r="A776" s="1129"/>
      <c r="B776" s="1130"/>
      <c r="C776" s="1130"/>
      <c r="D776" s="1130"/>
      <c r="E776" s="1130"/>
      <c r="F776" s="1130"/>
      <c r="G776" s="1130"/>
      <c r="H776" s="1130"/>
      <c r="I776" s="1130"/>
      <c r="J776" s="1130"/>
      <c r="K776" s="1130"/>
      <c r="L776" s="1130"/>
      <c r="M776" s="1130"/>
      <c r="N776" s="1130"/>
      <c r="O776" s="1130"/>
      <c r="P776" s="1130"/>
      <c r="Q776" s="1130"/>
      <c r="R776" s="1130"/>
      <c r="S776" s="1130"/>
      <c r="T776" s="1130"/>
      <c r="U776" s="1130"/>
      <c r="V776" s="1130"/>
      <c r="W776" s="1130"/>
      <c r="X776" s="1130"/>
      <c r="Y776" s="1130"/>
      <c r="Z776" s="1130"/>
    </row>
    <row r="777" spans="1:26" ht="15.75" customHeight="1">
      <c r="A777" s="1129"/>
      <c r="B777" s="1130"/>
      <c r="C777" s="1130"/>
      <c r="D777" s="1130"/>
      <c r="E777" s="1130"/>
      <c r="F777" s="1130"/>
      <c r="G777" s="1130"/>
      <c r="H777" s="1130"/>
      <c r="I777" s="1130"/>
      <c r="J777" s="1130"/>
      <c r="K777" s="1130"/>
      <c r="L777" s="1130"/>
      <c r="M777" s="1130"/>
      <c r="N777" s="1130"/>
      <c r="O777" s="1130"/>
      <c r="P777" s="1130"/>
      <c r="Q777" s="1130"/>
      <c r="R777" s="1130"/>
      <c r="S777" s="1130"/>
      <c r="T777" s="1130"/>
      <c r="U777" s="1130"/>
      <c r="V777" s="1130"/>
      <c r="W777" s="1130"/>
      <c r="X777" s="1130"/>
      <c r="Y777" s="1130"/>
      <c r="Z777" s="1130"/>
    </row>
    <row r="778" spans="1:26" ht="15.75" customHeight="1">
      <c r="A778" s="1129"/>
      <c r="B778" s="1130"/>
      <c r="C778" s="1130"/>
      <c r="D778" s="1130"/>
      <c r="E778" s="1130"/>
      <c r="F778" s="1130"/>
      <c r="G778" s="1130"/>
      <c r="H778" s="1130"/>
      <c r="I778" s="1130"/>
      <c r="J778" s="1130"/>
      <c r="K778" s="1130"/>
      <c r="L778" s="1130"/>
      <c r="M778" s="1130"/>
      <c r="N778" s="1130"/>
      <c r="O778" s="1130"/>
      <c r="P778" s="1130"/>
      <c r="Q778" s="1130"/>
      <c r="R778" s="1130"/>
      <c r="S778" s="1130"/>
      <c r="T778" s="1130"/>
      <c r="U778" s="1130"/>
      <c r="V778" s="1130"/>
      <c r="W778" s="1130"/>
      <c r="X778" s="1130"/>
      <c r="Y778" s="1130"/>
      <c r="Z778" s="1130"/>
    </row>
    <row r="779" spans="1:26" ht="15.75" customHeight="1">
      <c r="A779" s="1129"/>
      <c r="B779" s="1130"/>
      <c r="C779" s="1130"/>
      <c r="D779" s="1130"/>
      <c r="E779" s="1130"/>
      <c r="F779" s="1130"/>
      <c r="G779" s="1130"/>
      <c r="H779" s="1130"/>
      <c r="I779" s="1130"/>
      <c r="J779" s="1130"/>
      <c r="K779" s="1130"/>
      <c r="L779" s="1130"/>
      <c r="M779" s="1130"/>
      <c r="N779" s="1130"/>
      <c r="O779" s="1130"/>
      <c r="P779" s="1130"/>
      <c r="Q779" s="1130"/>
      <c r="R779" s="1130"/>
      <c r="S779" s="1130"/>
      <c r="T779" s="1130"/>
      <c r="U779" s="1130"/>
      <c r="V779" s="1130"/>
      <c r="W779" s="1130"/>
      <c r="X779" s="1130"/>
      <c r="Y779" s="1130"/>
      <c r="Z779" s="1130"/>
    </row>
    <row r="780" spans="1:26" ht="15.75" customHeight="1">
      <c r="A780" s="1129"/>
      <c r="B780" s="1130"/>
      <c r="C780" s="1130"/>
      <c r="D780" s="1130"/>
      <c r="E780" s="1130"/>
      <c r="F780" s="1130"/>
      <c r="G780" s="1130"/>
      <c r="H780" s="1130"/>
      <c r="I780" s="1130"/>
      <c r="J780" s="1130"/>
      <c r="K780" s="1130"/>
      <c r="L780" s="1130"/>
      <c r="M780" s="1130"/>
      <c r="N780" s="1130"/>
      <c r="O780" s="1130"/>
      <c r="P780" s="1130"/>
      <c r="Q780" s="1130"/>
      <c r="R780" s="1130"/>
      <c r="S780" s="1130"/>
      <c r="T780" s="1130"/>
      <c r="U780" s="1130"/>
      <c r="V780" s="1130"/>
      <c r="W780" s="1130"/>
      <c r="X780" s="1130"/>
      <c r="Y780" s="1130"/>
      <c r="Z780" s="1130"/>
    </row>
    <row r="781" spans="1:26" ht="15.75" customHeight="1">
      <c r="A781" s="1129"/>
      <c r="B781" s="1130"/>
      <c r="C781" s="1130"/>
      <c r="D781" s="1130"/>
      <c r="E781" s="1130"/>
      <c r="F781" s="1130"/>
      <c r="G781" s="1130"/>
      <c r="H781" s="1130"/>
      <c r="I781" s="1130"/>
      <c r="J781" s="1130"/>
      <c r="K781" s="1130"/>
      <c r="L781" s="1130"/>
      <c r="M781" s="1130"/>
      <c r="N781" s="1130"/>
      <c r="O781" s="1130"/>
      <c r="P781" s="1130"/>
      <c r="Q781" s="1130"/>
      <c r="R781" s="1130"/>
      <c r="S781" s="1130"/>
      <c r="T781" s="1130"/>
      <c r="U781" s="1130"/>
      <c r="V781" s="1130"/>
      <c r="W781" s="1130"/>
      <c r="X781" s="1130"/>
      <c r="Y781" s="1130"/>
      <c r="Z781" s="1130"/>
    </row>
    <row r="782" spans="1:26" ht="15.75" customHeight="1">
      <c r="A782" s="1129"/>
      <c r="B782" s="1130"/>
      <c r="C782" s="1130"/>
      <c r="D782" s="1130"/>
      <c r="E782" s="1130"/>
      <c r="F782" s="1130"/>
      <c r="G782" s="1130"/>
      <c r="H782" s="1130"/>
      <c r="I782" s="1130"/>
      <c r="J782" s="1130"/>
      <c r="K782" s="1130"/>
      <c r="L782" s="1130"/>
      <c r="M782" s="1130"/>
      <c r="N782" s="1130"/>
      <c r="O782" s="1130"/>
      <c r="P782" s="1130"/>
      <c r="Q782" s="1130"/>
      <c r="R782" s="1130"/>
      <c r="S782" s="1130"/>
      <c r="T782" s="1130"/>
      <c r="U782" s="1130"/>
      <c r="V782" s="1130"/>
      <c r="W782" s="1130"/>
      <c r="X782" s="1130"/>
      <c r="Y782" s="1130"/>
      <c r="Z782" s="1130"/>
    </row>
    <row r="783" spans="1:26" ht="15.75" customHeight="1">
      <c r="A783" s="1129"/>
      <c r="B783" s="1130"/>
      <c r="C783" s="1130"/>
      <c r="D783" s="1130"/>
      <c r="E783" s="1130"/>
      <c r="F783" s="1130"/>
      <c r="G783" s="1130"/>
      <c r="H783" s="1130"/>
      <c r="I783" s="1130"/>
      <c r="J783" s="1130"/>
      <c r="K783" s="1130"/>
      <c r="L783" s="1130"/>
      <c r="M783" s="1130"/>
      <c r="N783" s="1130"/>
      <c r="O783" s="1130"/>
      <c r="P783" s="1130"/>
      <c r="Q783" s="1130"/>
      <c r="R783" s="1130"/>
      <c r="S783" s="1130"/>
      <c r="T783" s="1130"/>
      <c r="U783" s="1130"/>
      <c r="V783" s="1130"/>
      <c r="W783" s="1130"/>
      <c r="X783" s="1130"/>
      <c r="Y783" s="1130"/>
      <c r="Z783" s="1130"/>
    </row>
    <row r="784" spans="1:26" ht="15.75" customHeight="1">
      <c r="A784" s="1129"/>
      <c r="B784" s="1130"/>
      <c r="C784" s="1130"/>
      <c r="D784" s="1130"/>
      <c r="E784" s="1130"/>
      <c r="F784" s="1130"/>
      <c r="G784" s="1130"/>
      <c r="H784" s="1130"/>
      <c r="I784" s="1130"/>
      <c r="J784" s="1130"/>
      <c r="K784" s="1130"/>
      <c r="L784" s="1130"/>
      <c r="M784" s="1130"/>
      <c r="N784" s="1130"/>
      <c r="O784" s="1130"/>
      <c r="P784" s="1130"/>
      <c r="Q784" s="1130"/>
      <c r="R784" s="1130"/>
      <c r="S784" s="1130"/>
      <c r="T784" s="1130"/>
      <c r="U784" s="1130"/>
      <c r="V784" s="1130"/>
      <c r="W784" s="1130"/>
      <c r="X784" s="1130"/>
      <c r="Y784" s="1130"/>
      <c r="Z784" s="1130"/>
    </row>
    <row r="785" spans="1:26" ht="15.75" customHeight="1">
      <c r="A785" s="1129"/>
      <c r="B785" s="1130"/>
      <c r="C785" s="1130"/>
      <c r="D785" s="1130"/>
      <c r="E785" s="1130"/>
      <c r="F785" s="1130"/>
      <c r="G785" s="1130"/>
      <c r="H785" s="1130"/>
      <c r="I785" s="1130"/>
      <c r="J785" s="1130"/>
      <c r="K785" s="1130"/>
      <c r="L785" s="1130"/>
      <c r="M785" s="1130"/>
      <c r="N785" s="1130"/>
      <c r="O785" s="1130"/>
      <c r="P785" s="1130"/>
      <c r="Q785" s="1130"/>
      <c r="R785" s="1130"/>
      <c r="S785" s="1130"/>
      <c r="T785" s="1130"/>
      <c r="U785" s="1130"/>
      <c r="V785" s="1130"/>
      <c r="W785" s="1130"/>
      <c r="X785" s="1130"/>
      <c r="Y785" s="1130"/>
      <c r="Z785" s="1130"/>
    </row>
    <row r="786" spans="1:26" ht="15.75" customHeight="1">
      <c r="A786" s="1129"/>
      <c r="B786" s="1130"/>
      <c r="C786" s="1130"/>
      <c r="D786" s="1130"/>
      <c r="E786" s="1130"/>
      <c r="F786" s="1130"/>
      <c r="G786" s="1130"/>
      <c r="H786" s="1130"/>
      <c r="I786" s="1130"/>
      <c r="J786" s="1130"/>
      <c r="K786" s="1130"/>
      <c r="L786" s="1130"/>
      <c r="M786" s="1130"/>
      <c r="N786" s="1130"/>
      <c r="O786" s="1130"/>
      <c r="P786" s="1130"/>
      <c r="Q786" s="1130"/>
      <c r="R786" s="1130"/>
      <c r="S786" s="1130"/>
      <c r="T786" s="1130"/>
      <c r="U786" s="1130"/>
      <c r="V786" s="1130"/>
      <c r="W786" s="1130"/>
      <c r="X786" s="1130"/>
      <c r="Y786" s="1130"/>
      <c r="Z786" s="1130"/>
    </row>
    <row r="787" spans="1:26" ht="15.75" customHeight="1">
      <c r="A787" s="1129"/>
      <c r="B787" s="1130"/>
      <c r="C787" s="1130"/>
      <c r="D787" s="1130"/>
      <c r="E787" s="1130"/>
      <c r="F787" s="1130"/>
      <c r="G787" s="1130"/>
      <c r="H787" s="1130"/>
      <c r="I787" s="1130"/>
      <c r="J787" s="1130"/>
      <c r="K787" s="1130"/>
      <c r="L787" s="1130"/>
      <c r="M787" s="1130"/>
      <c r="N787" s="1130"/>
      <c r="O787" s="1130"/>
      <c r="P787" s="1130"/>
      <c r="Q787" s="1130"/>
      <c r="R787" s="1130"/>
      <c r="S787" s="1130"/>
      <c r="T787" s="1130"/>
      <c r="U787" s="1130"/>
      <c r="V787" s="1130"/>
      <c r="W787" s="1130"/>
      <c r="X787" s="1130"/>
      <c r="Y787" s="1130"/>
      <c r="Z787" s="1130"/>
    </row>
    <row r="788" spans="1:26" ht="15.75" customHeight="1">
      <c r="A788" s="1129"/>
      <c r="B788" s="1130"/>
      <c r="C788" s="1130"/>
      <c r="D788" s="1130"/>
      <c r="E788" s="1130"/>
      <c r="F788" s="1130"/>
      <c r="G788" s="1130"/>
      <c r="H788" s="1130"/>
      <c r="I788" s="1130"/>
      <c r="J788" s="1130"/>
      <c r="K788" s="1130"/>
      <c r="L788" s="1130"/>
      <c r="M788" s="1130"/>
      <c r="N788" s="1130"/>
      <c r="O788" s="1130"/>
      <c r="P788" s="1130"/>
      <c r="Q788" s="1130"/>
      <c r="R788" s="1130"/>
      <c r="S788" s="1130"/>
      <c r="T788" s="1130"/>
      <c r="U788" s="1130"/>
      <c r="V788" s="1130"/>
      <c r="W788" s="1130"/>
      <c r="X788" s="1130"/>
      <c r="Y788" s="1130"/>
      <c r="Z788" s="1130"/>
    </row>
    <row r="789" spans="1:26" ht="15.75" customHeight="1">
      <c r="A789" s="1129"/>
      <c r="B789" s="1130"/>
      <c r="C789" s="1130"/>
      <c r="D789" s="1130"/>
      <c r="E789" s="1130"/>
      <c r="F789" s="1130"/>
      <c r="G789" s="1130"/>
      <c r="H789" s="1130"/>
      <c r="I789" s="1130"/>
      <c r="J789" s="1130"/>
      <c r="K789" s="1130"/>
      <c r="L789" s="1130"/>
      <c r="M789" s="1130"/>
      <c r="N789" s="1130"/>
      <c r="O789" s="1130"/>
      <c r="P789" s="1130"/>
      <c r="Q789" s="1130"/>
      <c r="R789" s="1130"/>
      <c r="S789" s="1130"/>
      <c r="T789" s="1130"/>
      <c r="U789" s="1130"/>
      <c r="V789" s="1130"/>
      <c r="W789" s="1130"/>
      <c r="X789" s="1130"/>
      <c r="Y789" s="1130"/>
      <c r="Z789" s="1130"/>
    </row>
    <row r="790" spans="1:26" ht="15.75" customHeight="1">
      <c r="A790" s="1129"/>
      <c r="B790" s="1130"/>
      <c r="C790" s="1130"/>
      <c r="D790" s="1130"/>
      <c r="E790" s="1130"/>
      <c r="F790" s="1130"/>
      <c r="G790" s="1130"/>
      <c r="H790" s="1130"/>
      <c r="I790" s="1130"/>
      <c r="J790" s="1130"/>
      <c r="K790" s="1130"/>
      <c r="L790" s="1130"/>
      <c r="M790" s="1130"/>
      <c r="N790" s="1130"/>
      <c r="O790" s="1130"/>
      <c r="P790" s="1130"/>
      <c r="Q790" s="1130"/>
      <c r="R790" s="1130"/>
      <c r="S790" s="1130"/>
      <c r="T790" s="1130"/>
      <c r="U790" s="1130"/>
      <c r="V790" s="1130"/>
      <c r="W790" s="1130"/>
      <c r="X790" s="1130"/>
      <c r="Y790" s="1130"/>
      <c r="Z790" s="1130"/>
    </row>
    <row r="791" spans="1:26" ht="15.75" customHeight="1">
      <c r="A791" s="1129"/>
      <c r="B791" s="1130"/>
      <c r="C791" s="1130"/>
      <c r="D791" s="1130"/>
      <c r="E791" s="1130"/>
      <c r="F791" s="1130"/>
      <c r="G791" s="1130"/>
      <c r="H791" s="1130"/>
      <c r="I791" s="1130"/>
      <c r="J791" s="1130"/>
      <c r="K791" s="1130"/>
      <c r="L791" s="1130"/>
      <c r="M791" s="1130"/>
      <c r="N791" s="1130"/>
      <c r="O791" s="1130"/>
      <c r="P791" s="1130"/>
      <c r="Q791" s="1130"/>
      <c r="R791" s="1130"/>
      <c r="S791" s="1130"/>
      <c r="T791" s="1130"/>
      <c r="U791" s="1130"/>
      <c r="V791" s="1130"/>
      <c r="W791" s="1130"/>
      <c r="X791" s="1130"/>
      <c r="Y791" s="1130"/>
      <c r="Z791" s="1130"/>
    </row>
    <row r="792" spans="1:26" ht="15.75" customHeight="1">
      <c r="A792" s="1129"/>
      <c r="B792" s="1130"/>
      <c r="C792" s="1130"/>
      <c r="D792" s="1130"/>
      <c r="E792" s="1130"/>
      <c r="F792" s="1130"/>
      <c r="G792" s="1130"/>
      <c r="H792" s="1130"/>
      <c r="I792" s="1130"/>
      <c r="J792" s="1130"/>
      <c r="K792" s="1130"/>
      <c r="L792" s="1130"/>
      <c r="M792" s="1130"/>
      <c r="N792" s="1130"/>
      <c r="O792" s="1130"/>
      <c r="P792" s="1130"/>
      <c r="Q792" s="1130"/>
      <c r="R792" s="1130"/>
      <c r="S792" s="1130"/>
      <c r="T792" s="1130"/>
      <c r="U792" s="1130"/>
      <c r="V792" s="1130"/>
      <c r="W792" s="1130"/>
      <c r="X792" s="1130"/>
      <c r="Y792" s="1130"/>
      <c r="Z792" s="1130"/>
    </row>
    <row r="793" spans="1:26" ht="15.75" customHeight="1">
      <c r="A793" s="1129"/>
      <c r="B793" s="1130"/>
      <c r="C793" s="1130"/>
      <c r="D793" s="1130"/>
      <c r="E793" s="1130"/>
      <c r="F793" s="1130"/>
      <c r="G793" s="1130"/>
      <c r="H793" s="1130"/>
      <c r="I793" s="1130"/>
      <c r="J793" s="1130"/>
      <c r="K793" s="1130"/>
      <c r="L793" s="1130"/>
      <c r="M793" s="1130"/>
      <c r="N793" s="1130"/>
      <c r="O793" s="1130"/>
      <c r="P793" s="1130"/>
      <c r="Q793" s="1130"/>
      <c r="R793" s="1130"/>
      <c r="S793" s="1130"/>
      <c r="T793" s="1130"/>
      <c r="U793" s="1130"/>
      <c r="V793" s="1130"/>
      <c r="W793" s="1130"/>
      <c r="X793" s="1130"/>
      <c r="Y793" s="1130"/>
      <c r="Z793" s="1130"/>
    </row>
    <row r="794" spans="1:26" ht="15.75" customHeight="1">
      <c r="A794" s="1129"/>
      <c r="B794" s="1130"/>
      <c r="C794" s="1130"/>
      <c r="D794" s="1130"/>
      <c r="E794" s="1130"/>
      <c r="F794" s="1130"/>
      <c r="G794" s="1130"/>
      <c r="H794" s="1130"/>
      <c r="I794" s="1130"/>
      <c r="J794" s="1130"/>
      <c r="K794" s="1130"/>
      <c r="L794" s="1130"/>
      <c r="M794" s="1130"/>
      <c r="N794" s="1130"/>
      <c r="O794" s="1130"/>
      <c r="P794" s="1130"/>
      <c r="Q794" s="1130"/>
      <c r="R794" s="1130"/>
      <c r="S794" s="1130"/>
      <c r="T794" s="1130"/>
      <c r="U794" s="1130"/>
      <c r="V794" s="1130"/>
      <c r="W794" s="1130"/>
      <c r="X794" s="1130"/>
      <c r="Y794" s="1130"/>
      <c r="Z794" s="1130"/>
    </row>
    <row r="795" spans="1:26" ht="15.75" customHeight="1">
      <c r="A795" s="1129"/>
      <c r="B795" s="1130"/>
      <c r="C795" s="1130"/>
      <c r="D795" s="1130"/>
      <c r="E795" s="1130"/>
      <c r="F795" s="1130"/>
      <c r="G795" s="1130"/>
      <c r="H795" s="1130"/>
      <c r="I795" s="1130"/>
      <c r="J795" s="1130"/>
      <c r="K795" s="1130"/>
      <c r="L795" s="1130"/>
      <c r="M795" s="1130"/>
      <c r="N795" s="1130"/>
      <c r="O795" s="1130"/>
      <c r="P795" s="1130"/>
      <c r="Q795" s="1130"/>
      <c r="R795" s="1130"/>
      <c r="S795" s="1130"/>
      <c r="T795" s="1130"/>
      <c r="U795" s="1130"/>
      <c r="V795" s="1130"/>
      <c r="W795" s="1130"/>
      <c r="X795" s="1130"/>
      <c r="Y795" s="1130"/>
      <c r="Z795" s="1130"/>
    </row>
    <row r="796" spans="1:26" ht="15.75" customHeight="1">
      <c r="A796" s="1129"/>
      <c r="B796" s="1130"/>
      <c r="C796" s="1130"/>
      <c r="D796" s="1130"/>
      <c r="E796" s="1130"/>
      <c r="F796" s="1130"/>
      <c r="G796" s="1130"/>
      <c r="H796" s="1130"/>
      <c r="I796" s="1130"/>
      <c r="J796" s="1130"/>
      <c r="K796" s="1130"/>
      <c r="L796" s="1130"/>
      <c r="M796" s="1130"/>
      <c r="N796" s="1130"/>
      <c r="O796" s="1130"/>
      <c r="P796" s="1130"/>
      <c r="Q796" s="1130"/>
      <c r="R796" s="1130"/>
      <c r="S796" s="1130"/>
      <c r="T796" s="1130"/>
      <c r="U796" s="1130"/>
      <c r="V796" s="1130"/>
      <c r="W796" s="1130"/>
      <c r="X796" s="1130"/>
      <c r="Y796" s="1130"/>
      <c r="Z796" s="1130"/>
    </row>
    <row r="797" spans="1:26" ht="15.75" customHeight="1">
      <c r="A797" s="1129"/>
      <c r="B797" s="1130"/>
      <c r="C797" s="1130"/>
      <c r="D797" s="1130"/>
      <c r="E797" s="1130"/>
      <c r="F797" s="1130"/>
      <c r="G797" s="1130"/>
      <c r="H797" s="1130"/>
      <c r="I797" s="1130"/>
      <c r="J797" s="1130"/>
      <c r="K797" s="1130"/>
      <c r="L797" s="1130"/>
      <c r="M797" s="1130"/>
      <c r="N797" s="1130"/>
      <c r="O797" s="1130"/>
      <c r="P797" s="1130"/>
      <c r="Q797" s="1130"/>
      <c r="R797" s="1130"/>
      <c r="S797" s="1130"/>
      <c r="T797" s="1130"/>
      <c r="U797" s="1130"/>
      <c r="V797" s="1130"/>
      <c r="W797" s="1130"/>
      <c r="X797" s="1130"/>
      <c r="Y797" s="1130"/>
      <c r="Z797" s="1130"/>
    </row>
    <row r="798" spans="1:26" ht="15.75" customHeight="1">
      <c r="A798" s="1129"/>
      <c r="B798" s="1130"/>
      <c r="C798" s="1130"/>
      <c r="D798" s="1130"/>
      <c r="E798" s="1130"/>
      <c r="F798" s="1130"/>
      <c r="G798" s="1130"/>
      <c r="H798" s="1130"/>
      <c r="I798" s="1130"/>
      <c r="J798" s="1130"/>
      <c r="K798" s="1130"/>
      <c r="L798" s="1130"/>
      <c r="M798" s="1130"/>
      <c r="N798" s="1130"/>
      <c r="O798" s="1130"/>
      <c r="P798" s="1130"/>
      <c r="Q798" s="1130"/>
      <c r="R798" s="1130"/>
      <c r="S798" s="1130"/>
      <c r="T798" s="1130"/>
      <c r="U798" s="1130"/>
      <c r="V798" s="1130"/>
      <c r="W798" s="1130"/>
      <c r="X798" s="1130"/>
      <c r="Y798" s="1130"/>
      <c r="Z798" s="1130"/>
    </row>
    <row r="799" spans="1:26" ht="15.75" customHeight="1">
      <c r="A799" s="1129"/>
      <c r="B799" s="1130"/>
      <c r="C799" s="1130"/>
      <c r="D799" s="1130"/>
      <c r="E799" s="1130"/>
      <c r="F799" s="1130"/>
      <c r="G799" s="1130"/>
      <c r="H799" s="1130"/>
      <c r="I799" s="1130"/>
      <c r="J799" s="1130"/>
      <c r="K799" s="1130"/>
      <c r="L799" s="1130"/>
      <c r="M799" s="1130"/>
      <c r="N799" s="1130"/>
      <c r="O799" s="1130"/>
      <c r="P799" s="1130"/>
      <c r="Q799" s="1130"/>
      <c r="R799" s="1130"/>
      <c r="S799" s="1130"/>
      <c r="T799" s="1130"/>
      <c r="U799" s="1130"/>
      <c r="V799" s="1130"/>
      <c r="W799" s="1130"/>
      <c r="X799" s="1130"/>
      <c r="Y799" s="1130"/>
      <c r="Z799" s="1130"/>
    </row>
    <row r="800" spans="1:26" ht="15.75" customHeight="1">
      <c r="A800" s="1129"/>
      <c r="B800" s="1130"/>
      <c r="C800" s="1130"/>
      <c r="D800" s="1130"/>
      <c r="E800" s="1130"/>
      <c r="F800" s="1130"/>
      <c r="G800" s="1130"/>
      <c r="H800" s="1130"/>
      <c r="I800" s="1130"/>
      <c r="J800" s="1130"/>
      <c r="K800" s="1130"/>
      <c r="L800" s="1130"/>
      <c r="M800" s="1130"/>
      <c r="N800" s="1130"/>
      <c r="O800" s="1130"/>
      <c r="P800" s="1130"/>
      <c r="Q800" s="1130"/>
      <c r="R800" s="1130"/>
      <c r="S800" s="1130"/>
      <c r="T800" s="1130"/>
      <c r="U800" s="1130"/>
      <c r="V800" s="1130"/>
      <c r="W800" s="1130"/>
      <c r="X800" s="1130"/>
      <c r="Y800" s="1130"/>
      <c r="Z800" s="1130"/>
    </row>
    <row r="801" spans="1:26" ht="15.75" customHeight="1">
      <c r="A801" s="1129"/>
      <c r="B801" s="1130"/>
      <c r="C801" s="1130"/>
      <c r="D801" s="1130"/>
      <c r="E801" s="1130"/>
      <c r="F801" s="1130"/>
      <c r="G801" s="1130"/>
      <c r="H801" s="1130"/>
      <c r="I801" s="1130"/>
      <c r="J801" s="1130"/>
      <c r="K801" s="1130"/>
      <c r="L801" s="1130"/>
      <c r="M801" s="1130"/>
      <c r="N801" s="1130"/>
      <c r="O801" s="1130"/>
      <c r="P801" s="1130"/>
      <c r="Q801" s="1130"/>
      <c r="R801" s="1130"/>
      <c r="S801" s="1130"/>
      <c r="T801" s="1130"/>
      <c r="U801" s="1130"/>
      <c r="V801" s="1130"/>
      <c r="W801" s="1130"/>
      <c r="X801" s="1130"/>
      <c r="Y801" s="1130"/>
      <c r="Z801" s="1130"/>
    </row>
    <row r="802" spans="1:26" ht="15.75" customHeight="1">
      <c r="A802" s="1129"/>
      <c r="B802" s="1130"/>
      <c r="C802" s="1130"/>
      <c r="D802" s="1130"/>
      <c r="E802" s="1130"/>
      <c r="F802" s="1130"/>
      <c r="G802" s="1130"/>
      <c r="H802" s="1130"/>
      <c r="I802" s="1130"/>
      <c r="J802" s="1130"/>
      <c r="K802" s="1130"/>
      <c r="L802" s="1130"/>
      <c r="M802" s="1130"/>
      <c r="N802" s="1130"/>
      <c r="O802" s="1130"/>
      <c r="P802" s="1130"/>
      <c r="Q802" s="1130"/>
      <c r="R802" s="1130"/>
      <c r="S802" s="1130"/>
      <c r="T802" s="1130"/>
      <c r="U802" s="1130"/>
      <c r="V802" s="1130"/>
      <c r="W802" s="1130"/>
      <c r="X802" s="1130"/>
      <c r="Y802" s="1130"/>
      <c r="Z802" s="1130"/>
    </row>
    <row r="803" spans="1:26" ht="15.75" customHeight="1">
      <c r="A803" s="1129"/>
      <c r="B803" s="1130"/>
      <c r="C803" s="1130"/>
      <c r="D803" s="1130"/>
      <c r="E803" s="1130"/>
      <c r="F803" s="1130"/>
      <c r="G803" s="1130"/>
      <c r="H803" s="1130"/>
      <c r="I803" s="1130"/>
      <c r="J803" s="1130"/>
      <c r="K803" s="1130"/>
      <c r="L803" s="1130"/>
      <c r="M803" s="1130"/>
      <c r="N803" s="1130"/>
      <c r="O803" s="1130"/>
      <c r="P803" s="1130"/>
      <c r="Q803" s="1130"/>
      <c r="R803" s="1130"/>
      <c r="S803" s="1130"/>
      <c r="T803" s="1130"/>
      <c r="U803" s="1130"/>
      <c r="V803" s="1130"/>
      <c r="W803" s="1130"/>
      <c r="X803" s="1130"/>
      <c r="Y803" s="1130"/>
      <c r="Z803" s="1130"/>
    </row>
    <row r="804" spans="1:26" ht="15.75" customHeight="1">
      <c r="A804" s="1129"/>
      <c r="B804" s="1130"/>
      <c r="C804" s="1130"/>
      <c r="D804" s="1130"/>
      <c r="E804" s="1130"/>
      <c r="F804" s="1130"/>
      <c r="G804" s="1130"/>
      <c r="H804" s="1130"/>
      <c r="I804" s="1130"/>
      <c r="J804" s="1130"/>
      <c r="K804" s="1130"/>
      <c r="L804" s="1130"/>
      <c r="M804" s="1130"/>
      <c r="N804" s="1130"/>
      <c r="O804" s="1130"/>
      <c r="P804" s="1130"/>
      <c r="Q804" s="1130"/>
      <c r="R804" s="1130"/>
      <c r="S804" s="1130"/>
      <c r="T804" s="1130"/>
      <c r="U804" s="1130"/>
      <c r="V804" s="1130"/>
      <c r="W804" s="1130"/>
      <c r="X804" s="1130"/>
      <c r="Y804" s="1130"/>
      <c r="Z804" s="1130"/>
    </row>
    <row r="805" spans="1:26" ht="15.75" customHeight="1">
      <c r="A805" s="1129"/>
      <c r="B805" s="1130"/>
      <c r="C805" s="1130"/>
      <c r="D805" s="1130"/>
      <c r="E805" s="1130"/>
      <c r="F805" s="1130"/>
      <c r="G805" s="1130"/>
      <c r="H805" s="1130"/>
      <c r="I805" s="1130"/>
      <c r="J805" s="1130"/>
      <c r="K805" s="1130"/>
      <c r="L805" s="1130"/>
      <c r="M805" s="1130"/>
      <c r="N805" s="1130"/>
      <c r="O805" s="1130"/>
      <c r="P805" s="1130"/>
      <c r="Q805" s="1130"/>
      <c r="R805" s="1130"/>
      <c r="S805" s="1130"/>
      <c r="T805" s="1130"/>
      <c r="U805" s="1130"/>
      <c r="V805" s="1130"/>
      <c r="W805" s="1130"/>
      <c r="X805" s="1130"/>
      <c r="Y805" s="1130"/>
      <c r="Z805" s="1130"/>
    </row>
    <row r="806" spans="1:26" ht="15.75" customHeight="1">
      <c r="A806" s="1129"/>
      <c r="B806" s="1130"/>
      <c r="C806" s="1130"/>
      <c r="D806" s="1130"/>
      <c r="E806" s="1130"/>
      <c r="F806" s="1130"/>
      <c r="G806" s="1130"/>
      <c r="H806" s="1130"/>
      <c r="I806" s="1130"/>
      <c r="J806" s="1130"/>
      <c r="K806" s="1130"/>
      <c r="L806" s="1130"/>
      <c r="M806" s="1130"/>
      <c r="N806" s="1130"/>
      <c r="O806" s="1130"/>
      <c r="P806" s="1130"/>
      <c r="Q806" s="1130"/>
      <c r="R806" s="1130"/>
      <c r="S806" s="1130"/>
      <c r="T806" s="1130"/>
      <c r="U806" s="1130"/>
      <c r="V806" s="1130"/>
      <c r="W806" s="1130"/>
      <c r="X806" s="1130"/>
      <c r="Y806" s="1130"/>
      <c r="Z806" s="1130"/>
    </row>
    <row r="807" spans="1:26" ht="15.75" customHeight="1">
      <c r="A807" s="1129"/>
      <c r="B807" s="1130"/>
      <c r="C807" s="1130"/>
      <c r="D807" s="1130"/>
      <c r="E807" s="1130"/>
      <c r="F807" s="1130"/>
      <c r="G807" s="1130"/>
      <c r="H807" s="1130"/>
      <c r="I807" s="1130"/>
      <c r="J807" s="1130"/>
      <c r="K807" s="1130"/>
      <c r="L807" s="1130"/>
      <c r="M807" s="1130"/>
      <c r="N807" s="1130"/>
      <c r="O807" s="1130"/>
      <c r="P807" s="1130"/>
      <c r="Q807" s="1130"/>
      <c r="R807" s="1130"/>
      <c r="S807" s="1130"/>
      <c r="T807" s="1130"/>
      <c r="U807" s="1130"/>
      <c r="V807" s="1130"/>
      <c r="W807" s="1130"/>
      <c r="X807" s="1130"/>
      <c r="Y807" s="1130"/>
      <c r="Z807" s="1130"/>
    </row>
    <row r="808" spans="1:26" ht="15.75" customHeight="1">
      <c r="A808" s="1129"/>
      <c r="B808" s="1130"/>
      <c r="C808" s="1130"/>
      <c r="D808" s="1130"/>
      <c r="E808" s="1130"/>
      <c r="F808" s="1130"/>
      <c r="G808" s="1130"/>
      <c r="H808" s="1130"/>
      <c r="I808" s="1130"/>
      <c r="J808" s="1130"/>
      <c r="K808" s="1130"/>
      <c r="L808" s="1130"/>
      <c r="M808" s="1130"/>
      <c r="N808" s="1130"/>
      <c r="O808" s="1130"/>
      <c r="P808" s="1130"/>
      <c r="Q808" s="1130"/>
      <c r="R808" s="1130"/>
      <c r="S808" s="1130"/>
      <c r="T808" s="1130"/>
      <c r="U808" s="1130"/>
      <c r="V808" s="1130"/>
      <c r="W808" s="1130"/>
      <c r="X808" s="1130"/>
      <c r="Y808" s="1130"/>
      <c r="Z808" s="1130"/>
    </row>
    <row r="809" spans="1:26" ht="15.75" customHeight="1">
      <c r="A809" s="1129"/>
      <c r="B809" s="1130"/>
      <c r="C809" s="1130"/>
      <c r="D809" s="1130"/>
      <c r="E809" s="1130"/>
      <c r="F809" s="1130"/>
      <c r="G809" s="1130"/>
      <c r="H809" s="1130"/>
      <c r="I809" s="1130"/>
      <c r="J809" s="1130"/>
      <c r="K809" s="1130"/>
      <c r="L809" s="1130"/>
      <c r="M809" s="1130"/>
      <c r="N809" s="1130"/>
      <c r="O809" s="1130"/>
      <c r="P809" s="1130"/>
      <c r="Q809" s="1130"/>
      <c r="R809" s="1130"/>
      <c r="S809" s="1130"/>
      <c r="T809" s="1130"/>
      <c r="U809" s="1130"/>
      <c r="V809" s="1130"/>
      <c r="W809" s="1130"/>
      <c r="X809" s="1130"/>
      <c r="Y809" s="1130"/>
      <c r="Z809" s="1130"/>
    </row>
    <row r="810" spans="1:26" ht="15.75" customHeight="1">
      <c r="A810" s="1129"/>
      <c r="B810" s="1130"/>
      <c r="C810" s="1130"/>
      <c r="D810" s="1130"/>
      <c r="E810" s="1130"/>
      <c r="F810" s="1130"/>
      <c r="G810" s="1130"/>
      <c r="H810" s="1130"/>
      <c r="I810" s="1130"/>
      <c r="J810" s="1130"/>
      <c r="K810" s="1130"/>
      <c r="L810" s="1130"/>
      <c r="M810" s="1130"/>
      <c r="N810" s="1130"/>
      <c r="O810" s="1130"/>
      <c r="P810" s="1130"/>
      <c r="Q810" s="1130"/>
      <c r="R810" s="1130"/>
      <c r="S810" s="1130"/>
      <c r="T810" s="1130"/>
      <c r="U810" s="1130"/>
      <c r="V810" s="1130"/>
      <c r="W810" s="1130"/>
      <c r="X810" s="1130"/>
      <c r="Y810" s="1130"/>
      <c r="Z810" s="1130"/>
    </row>
    <row r="811" spans="1:26" ht="15.75" customHeight="1">
      <c r="A811" s="1129"/>
      <c r="B811" s="1130"/>
      <c r="C811" s="1130"/>
      <c r="D811" s="1130"/>
      <c r="E811" s="1130"/>
      <c r="F811" s="1130"/>
      <c r="G811" s="1130"/>
      <c r="H811" s="1130"/>
      <c r="I811" s="1130"/>
      <c r="J811" s="1130"/>
      <c r="K811" s="1130"/>
      <c r="L811" s="1130"/>
      <c r="M811" s="1130"/>
      <c r="N811" s="1130"/>
      <c r="O811" s="1130"/>
      <c r="P811" s="1130"/>
      <c r="Q811" s="1130"/>
      <c r="R811" s="1130"/>
      <c r="S811" s="1130"/>
      <c r="T811" s="1130"/>
      <c r="U811" s="1130"/>
      <c r="V811" s="1130"/>
      <c r="W811" s="1130"/>
      <c r="X811" s="1130"/>
      <c r="Y811" s="1130"/>
      <c r="Z811" s="1130"/>
    </row>
    <row r="812" spans="1:26" ht="15.75" customHeight="1">
      <c r="A812" s="1129"/>
      <c r="B812" s="1130"/>
      <c r="C812" s="1130"/>
      <c r="D812" s="1130"/>
      <c r="E812" s="1130"/>
      <c r="F812" s="1130"/>
      <c r="G812" s="1130"/>
      <c r="H812" s="1130"/>
      <c r="I812" s="1130"/>
      <c r="J812" s="1130"/>
      <c r="K812" s="1130"/>
      <c r="L812" s="1130"/>
      <c r="M812" s="1130"/>
      <c r="N812" s="1130"/>
      <c r="O812" s="1130"/>
      <c r="P812" s="1130"/>
      <c r="Q812" s="1130"/>
      <c r="R812" s="1130"/>
      <c r="S812" s="1130"/>
      <c r="T812" s="1130"/>
      <c r="U812" s="1130"/>
      <c r="V812" s="1130"/>
      <c r="W812" s="1130"/>
      <c r="X812" s="1130"/>
      <c r="Y812" s="1130"/>
      <c r="Z812" s="1130"/>
    </row>
    <row r="813" spans="1:26" ht="15.75" customHeight="1">
      <c r="A813" s="1129"/>
      <c r="B813" s="1130"/>
      <c r="C813" s="1130"/>
      <c r="D813" s="1130"/>
      <c r="E813" s="1130"/>
      <c r="F813" s="1130"/>
      <c r="G813" s="1130"/>
      <c r="H813" s="1130"/>
      <c r="I813" s="1130"/>
      <c r="J813" s="1130"/>
      <c r="K813" s="1130"/>
      <c r="L813" s="1130"/>
      <c r="M813" s="1130"/>
      <c r="N813" s="1130"/>
      <c r="O813" s="1130"/>
      <c r="P813" s="1130"/>
      <c r="Q813" s="1130"/>
      <c r="R813" s="1130"/>
      <c r="S813" s="1130"/>
      <c r="T813" s="1130"/>
      <c r="U813" s="1130"/>
      <c r="V813" s="1130"/>
      <c r="W813" s="1130"/>
      <c r="X813" s="1130"/>
      <c r="Y813" s="1130"/>
      <c r="Z813" s="1130"/>
    </row>
    <row r="814" spans="1:26" ht="15.75" customHeight="1">
      <c r="A814" s="1129"/>
      <c r="B814" s="1130"/>
      <c r="C814" s="1130"/>
      <c r="D814" s="1130"/>
      <c r="E814" s="1130"/>
      <c r="F814" s="1130"/>
      <c r="G814" s="1130"/>
      <c r="H814" s="1130"/>
      <c r="I814" s="1130"/>
      <c r="J814" s="1130"/>
      <c r="K814" s="1130"/>
      <c r="L814" s="1130"/>
      <c r="M814" s="1130"/>
      <c r="N814" s="1130"/>
      <c r="O814" s="1130"/>
      <c r="P814" s="1130"/>
      <c r="Q814" s="1130"/>
      <c r="R814" s="1130"/>
      <c r="S814" s="1130"/>
      <c r="T814" s="1130"/>
      <c r="U814" s="1130"/>
      <c r="V814" s="1130"/>
      <c r="W814" s="1130"/>
      <c r="X814" s="1130"/>
      <c r="Y814" s="1130"/>
      <c r="Z814" s="1130"/>
    </row>
    <row r="815" spans="1:26" ht="15.75" customHeight="1">
      <c r="A815" s="1129"/>
      <c r="B815" s="1130"/>
      <c r="C815" s="1130"/>
      <c r="D815" s="1130"/>
      <c r="E815" s="1130"/>
      <c r="F815" s="1130"/>
      <c r="G815" s="1130"/>
      <c r="H815" s="1130"/>
      <c r="I815" s="1130"/>
      <c r="J815" s="1130"/>
      <c r="K815" s="1130"/>
      <c r="L815" s="1130"/>
      <c r="M815" s="1130"/>
      <c r="N815" s="1130"/>
      <c r="O815" s="1130"/>
      <c r="P815" s="1130"/>
      <c r="Q815" s="1130"/>
      <c r="R815" s="1130"/>
      <c r="S815" s="1130"/>
      <c r="T815" s="1130"/>
      <c r="U815" s="1130"/>
      <c r="V815" s="1130"/>
      <c r="W815" s="1130"/>
      <c r="X815" s="1130"/>
      <c r="Y815" s="1130"/>
      <c r="Z815" s="1130"/>
    </row>
    <row r="816" spans="1:26" ht="15.75" customHeight="1">
      <c r="A816" s="1129"/>
      <c r="B816" s="1130"/>
      <c r="C816" s="1130"/>
      <c r="D816" s="1130"/>
      <c r="E816" s="1130"/>
      <c r="F816" s="1130"/>
      <c r="G816" s="1130"/>
      <c r="H816" s="1130"/>
      <c r="I816" s="1130"/>
      <c r="J816" s="1130"/>
      <c r="K816" s="1130"/>
      <c r="L816" s="1130"/>
      <c r="M816" s="1130"/>
      <c r="N816" s="1130"/>
      <c r="O816" s="1130"/>
      <c r="P816" s="1130"/>
      <c r="Q816" s="1130"/>
      <c r="R816" s="1130"/>
      <c r="S816" s="1130"/>
      <c r="T816" s="1130"/>
      <c r="U816" s="1130"/>
      <c r="V816" s="1130"/>
      <c r="W816" s="1130"/>
      <c r="X816" s="1130"/>
      <c r="Y816" s="1130"/>
      <c r="Z816" s="1130"/>
    </row>
    <row r="817" spans="1:26" ht="15.75" customHeight="1">
      <c r="A817" s="1129"/>
      <c r="B817" s="1130"/>
      <c r="C817" s="1130"/>
      <c r="D817" s="1130"/>
      <c r="E817" s="1130"/>
      <c r="F817" s="1130"/>
      <c r="G817" s="1130"/>
      <c r="H817" s="1130"/>
      <c r="I817" s="1130"/>
      <c r="J817" s="1130"/>
      <c r="K817" s="1130"/>
      <c r="L817" s="1130"/>
      <c r="M817" s="1130"/>
      <c r="N817" s="1130"/>
      <c r="O817" s="1130"/>
      <c r="P817" s="1130"/>
      <c r="Q817" s="1130"/>
      <c r="R817" s="1130"/>
      <c r="S817" s="1130"/>
      <c r="T817" s="1130"/>
      <c r="U817" s="1130"/>
      <c r="V817" s="1130"/>
      <c r="W817" s="1130"/>
      <c r="X817" s="1130"/>
      <c r="Y817" s="1130"/>
      <c r="Z817" s="1130"/>
    </row>
    <row r="818" spans="1:26" ht="15.75" customHeight="1">
      <c r="A818" s="1129"/>
      <c r="B818" s="1130"/>
      <c r="C818" s="1130"/>
      <c r="D818" s="1130"/>
      <c r="E818" s="1130"/>
      <c r="F818" s="1130"/>
      <c r="G818" s="1130"/>
      <c r="H818" s="1130"/>
      <c r="I818" s="1130"/>
      <c r="J818" s="1130"/>
      <c r="K818" s="1130"/>
      <c r="L818" s="1130"/>
      <c r="M818" s="1130"/>
      <c r="N818" s="1130"/>
      <c r="O818" s="1130"/>
      <c r="P818" s="1130"/>
      <c r="Q818" s="1130"/>
      <c r="R818" s="1130"/>
      <c r="S818" s="1130"/>
      <c r="T818" s="1130"/>
      <c r="U818" s="1130"/>
      <c r="V818" s="1130"/>
      <c r="W818" s="1130"/>
      <c r="X818" s="1130"/>
      <c r="Y818" s="1130"/>
      <c r="Z818" s="1130"/>
    </row>
    <row r="819" spans="1:26" ht="15.75" customHeight="1">
      <c r="A819" s="1129"/>
      <c r="B819" s="1130"/>
      <c r="C819" s="1130"/>
      <c r="D819" s="1130"/>
      <c r="E819" s="1130"/>
      <c r="F819" s="1130"/>
      <c r="G819" s="1130"/>
      <c r="H819" s="1130"/>
      <c r="I819" s="1130"/>
      <c r="J819" s="1130"/>
      <c r="K819" s="1130"/>
      <c r="L819" s="1130"/>
      <c r="M819" s="1130"/>
      <c r="N819" s="1130"/>
      <c r="O819" s="1130"/>
      <c r="P819" s="1130"/>
      <c r="Q819" s="1130"/>
      <c r="R819" s="1130"/>
      <c r="S819" s="1130"/>
      <c r="T819" s="1130"/>
      <c r="U819" s="1130"/>
      <c r="V819" s="1130"/>
      <c r="W819" s="1130"/>
      <c r="X819" s="1130"/>
      <c r="Y819" s="1130"/>
      <c r="Z819" s="1130"/>
    </row>
    <row r="820" spans="1:26" ht="15.75" customHeight="1">
      <c r="A820" s="1129"/>
      <c r="B820" s="1130"/>
      <c r="C820" s="1130"/>
      <c r="D820" s="1130"/>
      <c r="E820" s="1130"/>
      <c r="F820" s="1130"/>
      <c r="G820" s="1130"/>
      <c r="H820" s="1130"/>
      <c r="I820" s="1130"/>
      <c r="J820" s="1130"/>
      <c r="K820" s="1130"/>
      <c r="L820" s="1130"/>
      <c r="M820" s="1130"/>
      <c r="N820" s="1130"/>
      <c r="O820" s="1130"/>
      <c r="P820" s="1130"/>
      <c r="Q820" s="1130"/>
      <c r="R820" s="1130"/>
      <c r="S820" s="1130"/>
      <c r="T820" s="1130"/>
      <c r="U820" s="1130"/>
      <c r="V820" s="1130"/>
      <c r="W820" s="1130"/>
      <c r="X820" s="1130"/>
      <c r="Y820" s="1130"/>
      <c r="Z820" s="1130"/>
    </row>
    <row r="821" spans="1:26" ht="15.75" customHeight="1">
      <c r="A821" s="1129"/>
      <c r="B821" s="1130"/>
      <c r="C821" s="1130"/>
      <c r="D821" s="1130"/>
      <c r="E821" s="1130"/>
      <c r="F821" s="1130"/>
      <c r="G821" s="1130"/>
      <c r="H821" s="1130"/>
      <c r="I821" s="1130"/>
      <c r="J821" s="1130"/>
      <c r="K821" s="1130"/>
      <c r="L821" s="1130"/>
      <c r="M821" s="1130"/>
      <c r="N821" s="1130"/>
      <c r="O821" s="1130"/>
      <c r="P821" s="1130"/>
      <c r="Q821" s="1130"/>
      <c r="R821" s="1130"/>
      <c r="S821" s="1130"/>
      <c r="T821" s="1130"/>
      <c r="U821" s="1130"/>
      <c r="V821" s="1130"/>
      <c r="W821" s="1130"/>
      <c r="X821" s="1130"/>
      <c r="Y821" s="1130"/>
      <c r="Z821" s="1130"/>
    </row>
    <row r="822" spans="1:26" ht="15.75" customHeight="1">
      <c r="A822" s="1129"/>
      <c r="B822" s="1130"/>
      <c r="C822" s="1130"/>
      <c r="D822" s="1130"/>
      <c r="E822" s="1130"/>
      <c r="F822" s="1130"/>
      <c r="G822" s="1130"/>
      <c r="H822" s="1130"/>
      <c r="I822" s="1130"/>
      <c r="J822" s="1130"/>
      <c r="K822" s="1130"/>
      <c r="L822" s="1130"/>
      <c r="M822" s="1130"/>
      <c r="N822" s="1130"/>
      <c r="O822" s="1130"/>
      <c r="P822" s="1130"/>
      <c r="Q822" s="1130"/>
      <c r="R822" s="1130"/>
      <c r="S822" s="1130"/>
      <c r="T822" s="1130"/>
      <c r="U822" s="1130"/>
      <c r="V822" s="1130"/>
      <c r="W822" s="1130"/>
      <c r="X822" s="1130"/>
      <c r="Y822" s="1130"/>
      <c r="Z822" s="1130"/>
    </row>
    <row r="823" spans="1:26" ht="15.75" customHeight="1">
      <c r="A823" s="1129"/>
      <c r="B823" s="1130"/>
      <c r="C823" s="1130"/>
      <c r="D823" s="1130"/>
      <c r="E823" s="1130"/>
      <c r="F823" s="1130"/>
      <c r="G823" s="1130"/>
      <c r="H823" s="1130"/>
      <c r="I823" s="1130"/>
      <c r="J823" s="1130"/>
      <c r="K823" s="1130"/>
      <c r="L823" s="1130"/>
      <c r="M823" s="1130"/>
      <c r="N823" s="1130"/>
      <c r="O823" s="1130"/>
      <c r="P823" s="1130"/>
      <c r="Q823" s="1130"/>
      <c r="R823" s="1130"/>
      <c r="S823" s="1130"/>
      <c r="T823" s="1130"/>
      <c r="U823" s="1130"/>
      <c r="V823" s="1130"/>
      <c r="W823" s="1130"/>
      <c r="X823" s="1130"/>
      <c r="Y823" s="1130"/>
      <c r="Z823" s="1130"/>
    </row>
    <row r="824" spans="1:26" ht="15.75" customHeight="1">
      <c r="A824" s="1129"/>
      <c r="B824" s="1130"/>
      <c r="C824" s="1130"/>
      <c r="D824" s="1130"/>
      <c r="E824" s="1130"/>
      <c r="F824" s="1130"/>
      <c r="G824" s="1130"/>
      <c r="H824" s="1130"/>
      <c r="I824" s="1130"/>
      <c r="J824" s="1130"/>
      <c r="K824" s="1130"/>
      <c r="L824" s="1130"/>
      <c r="M824" s="1130"/>
      <c r="N824" s="1130"/>
      <c r="O824" s="1130"/>
      <c r="P824" s="1130"/>
      <c r="Q824" s="1130"/>
      <c r="R824" s="1130"/>
      <c r="S824" s="1130"/>
      <c r="T824" s="1130"/>
      <c r="U824" s="1130"/>
      <c r="V824" s="1130"/>
      <c r="W824" s="1130"/>
      <c r="X824" s="1130"/>
      <c r="Y824" s="1130"/>
      <c r="Z824" s="1130"/>
    </row>
    <row r="825" spans="1:26" ht="15.75" customHeight="1">
      <c r="A825" s="1129"/>
      <c r="B825" s="1130"/>
      <c r="C825" s="1130"/>
      <c r="D825" s="1130"/>
      <c r="E825" s="1130"/>
      <c r="F825" s="1130"/>
      <c r="G825" s="1130"/>
      <c r="H825" s="1130"/>
      <c r="I825" s="1130"/>
      <c r="J825" s="1130"/>
      <c r="K825" s="1130"/>
      <c r="L825" s="1130"/>
      <c r="M825" s="1130"/>
      <c r="N825" s="1130"/>
      <c r="O825" s="1130"/>
      <c r="P825" s="1130"/>
      <c r="Q825" s="1130"/>
      <c r="R825" s="1130"/>
      <c r="S825" s="1130"/>
      <c r="T825" s="1130"/>
      <c r="U825" s="1130"/>
      <c r="V825" s="1130"/>
      <c r="W825" s="1130"/>
      <c r="X825" s="1130"/>
      <c r="Y825" s="1130"/>
      <c r="Z825" s="1130"/>
    </row>
    <row r="826" spans="1:26" ht="15.75" customHeight="1">
      <c r="A826" s="1129"/>
      <c r="B826" s="1130"/>
      <c r="C826" s="1130"/>
      <c r="D826" s="1130"/>
      <c r="E826" s="1130"/>
      <c r="F826" s="1130"/>
      <c r="G826" s="1130"/>
      <c r="H826" s="1130"/>
      <c r="I826" s="1130"/>
      <c r="J826" s="1130"/>
      <c r="K826" s="1130"/>
      <c r="L826" s="1130"/>
      <c r="M826" s="1130"/>
      <c r="N826" s="1130"/>
      <c r="O826" s="1130"/>
      <c r="P826" s="1130"/>
      <c r="Q826" s="1130"/>
      <c r="R826" s="1130"/>
      <c r="S826" s="1130"/>
      <c r="T826" s="1130"/>
      <c r="U826" s="1130"/>
      <c r="V826" s="1130"/>
      <c r="W826" s="1130"/>
      <c r="X826" s="1130"/>
      <c r="Y826" s="1130"/>
      <c r="Z826" s="1130"/>
    </row>
    <row r="827" spans="1:26" ht="15.75" customHeight="1">
      <c r="A827" s="1129"/>
      <c r="B827" s="1130"/>
      <c r="C827" s="1130"/>
      <c r="D827" s="1130"/>
      <c r="E827" s="1130"/>
      <c r="F827" s="1130"/>
      <c r="G827" s="1130"/>
      <c r="H827" s="1130"/>
      <c r="I827" s="1130"/>
      <c r="J827" s="1130"/>
      <c r="K827" s="1130"/>
      <c r="L827" s="1130"/>
      <c r="M827" s="1130"/>
      <c r="N827" s="1130"/>
      <c r="O827" s="1130"/>
      <c r="P827" s="1130"/>
      <c r="Q827" s="1130"/>
      <c r="R827" s="1130"/>
      <c r="S827" s="1130"/>
      <c r="T827" s="1130"/>
      <c r="U827" s="1130"/>
      <c r="V827" s="1130"/>
      <c r="W827" s="1130"/>
      <c r="X827" s="1130"/>
      <c r="Y827" s="1130"/>
      <c r="Z827" s="1130"/>
    </row>
    <row r="828" spans="1:26" ht="15.75" customHeight="1">
      <c r="A828" s="1129"/>
      <c r="B828" s="1130"/>
      <c r="C828" s="1130"/>
      <c r="D828" s="1130"/>
      <c r="E828" s="1130"/>
      <c r="F828" s="1130"/>
      <c r="G828" s="1130"/>
      <c r="H828" s="1130"/>
      <c r="I828" s="1130"/>
      <c r="J828" s="1130"/>
      <c r="K828" s="1130"/>
      <c r="L828" s="1130"/>
      <c r="M828" s="1130"/>
      <c r="N828" s="1130"/>
      <c r="O828" s="1130"/>
      <c r="P828" s="1130"/>
      <c r="Q828" s="1130"/>
      <c r="R828" s="1130"/>
      <c r="S828" s="1130"/>
      <c r="T828" s="1130"/>
      <c r="U828" s="1130"/>
      <c r="V828" s="1130"/>
      <c r="W828" s="1130"/>
      <c r="X828" s="1130"/>
      <c r="Y828" s="1130"/>
      <c r="Z828" s="1130"/>
    </row>
    <row r="829" spans="1:26" ht="15.75" customHeight="1">
      <c r="A829" s="1129"/>
      <c r="B829" s="1130"/>
      <c r="C829" s="1130"/>
      <c r="D829" s="1130"/>
      <c r="E829" s="1130"/>
      <c r="F829" s="1130"/>
      <c r="G829" s="1130"/>
      <c r="H829" s="1130"/>
      <c r="I829" s="1130"/>
      <c r="J829" s="1130"/>
      <c r="K829" s="1130"/>
      <c r="L829" s="1130"/>
      <c r="M829" s="1130"/>
      <c r="N829" s="1130"/>
      <c r="O829" s="1130"/>
      <c r="P829" s="1130"/>
      <c r="Q829" s="1130"/>
      <c r="R829" s="1130"/>
      <c r="S829" s="1130"/>
      <c r="T829" s="1130"/>
      <c r="U829" s="1130"/>
      <c r="V829" s="1130"/>
      <c r="W829" s="1130"/>
      <c r="X829" s="1130"/>
      <c r="Y829" s="1130"/>
      <c r="Z829" s="1130"/>
    </row>
    <row r="830" spans="1:26" ht="15.75" customHeight="1">
      <c r="A830" s="1129"/>
      <c r="B830" s="1130"/>
      <c r="C830" s="1130"/>
      <c r="D830" s="1130"/>
      <c r="E830" s="1130"/>
      <c r="F830" s="1130"/>
      <c r="G830" s="1130"/>
      <c r="H830" s="1130"/>
      <c r="I830" s="1130"/>
      <c r="J830" s="1130"/>
      <c r="K830" s="1130"/>
      <c r="L830" s="1130"/>
      <c r="M830" s="1130"/>
      <c r="N830" s="1130"/>
      <c r="O830" s="1130"/>
      <c r="P830" s="1130"/>
      <c r="Q830" s="1130"/>
      <c r="R830" s="1130"/>
      <c r="S830" s="1130"/>
      <c r="T830" s="1130"/>
      <c r="U830" s="1130"/>
      <c r="V830" s="1130"/>
      <c r="W830" s="1130"/>
      <c r="X830" s="1130"/>
      <c r="Y830" s="1130"/>
      <c r="Z830" s="1130"/>
    </row>
    <row r="831" spans="1:26" ht="15.75" customHeight="1">
      <c r="A831" s="1129"/>
      <c r="B831" s="1130"/>
      <c r="C831" s="1130"/>
      <c r="D831" s="1130"/>
      <c r="E831" s="1130"/>
      <c r="F831" s="1130"/>
      <c r="G831" s="1130"/>
      <c r="H831" s="1130"/>
      <c r="I831" s="1130"/>
      <c r="J831" s="1130"/>
      <c r="K831" s="1130"/>
      <c r="L831" s="1130"/>
      <c r="M831" s="1130"/>
      <c r="N831" s="1130"/>
      <c r="O831" s="1130"/>
      <c r="P831" s="1130"/>
      <c r="Q831" s="1130"/>
      <c r="R831" s="1130"/>
      <c r="S831" s="1130"/>
      <c r="T831" s="1130"/>
      <c r="U831" s="1130"/>
      <c r="V831" s="1130"/>
      <c r="W831" s="1130"/>
      <c r="X831" s="1130"/>
      <c r="Y831" s="1130"/>
      <c r="Z831" s="1130"/>
    </row>
    <row r="832" spans="1:26" ht="15.75" customHeight="1">
      <c r="A832" s="1129"/>
      <c r="B832" s="1130"/>
      <c r="C832" s="1130"/>
      <c r="D832" s="1130"/>
      <c r="E832" s="1130"/>
      <c r="F832" s="1130"/>
      <c r="G832" s="1130"/>
      <c r="H832" s="1130"/>
      <c r="I832" s="1130"/>
      <c r="J832" s="1130"/>
      <c r="K832" s="1130"/>
      <c r="L832" s="1130"/>
      <c r="M832" s="1130"/>
      <c r="N832" s="1130"/>
      <c r="O832" s="1130"/>
      <c r="P832" s="1130"/>
      <c r="Q832" s="1130"/>
      <c r="R832" s="1130"/>
      <c r="S832" s="1130"/>
      <c r="T832" s="1130"/>
      <c r="U832" s="1130"/>
      <c r="V832" s="1130"/>
      <c r="W832" s="1130"/>
      <c r="X832" s="1130"/>
      <c r="Y832" s="1130"/>
      <c r="Z832" s="1130"/>
    </row>
    <row r="833" spans="1:26" ht="15.75" customHeight="1">
      <c r="A833" s="1129"/>
      <c r="B833" s="1130"/>
      <c r="C833" s="1130"/>
      <c r="D833" s="1130"/>
      <c r="E833" s="1130"/>
      <c r="F833" s="1130"/>
      <c r="G833" s="1130"/>
      <c r="H833" s="1130"/>
      <c r="I833" s="1130"/>
      <c r="J833" s="1130"/>
      <c r="K833" s="1130"/>
      <c r="L833" s="1130"/>
      <c r="M833" s="1130"/>
      <c r="N833" s="1130"/>
      <c r="O833" s="1130"/>
      <c r="P833" s="1130"/>
      <c r="Q833" s="1130"/>
      <c r="R833" s="1130"/>
      <c r="S833" s="1130"/>
      <c r="T833" s="1130"/>
      <c r="U833" s="1130"/>
      <c r="V833" s="1130"/>
      <c r="W833" s="1130"/>
      <c r="X833" s="1130"/>
      <c r="Y833" s="1130"/>
      <c r="Z833" s="1130"/>
    </row>
    <row r="834" spans="1:26" ht="15.75" customHeight="1">
      <c r="A834" s="1129"/>
      <c r="B834" s="1130"/>
      <c r="C834" s="1130"/>
      <c r="D834" s="1130"/>
      <c r="E834" s="1130"/>
      <c r="F834" s="1130"/>
      <c r="G834" s="1130"/>
      <c r="H834" s="1130"/>
      <c r="I834" s="1130"/>
      <c r="J834" s="1130"/>
      <c r="K834" s="1130"/>
      <c r="L834" s="1130"/>
      <c r="M834" s="1130"/>
      <c r="N834" s="1130"/>
      <c r="O834" s="1130"/>
      <c r="P834" s="1130"/>
      <c r="Q834" s="1130"/>
      <c r="R834" s="1130"/>
      <c r="S834" s="1130"/>
      <c r="T834" s="1130"/>
      <c r="U834" s="1130"/>
      <c r="V834" s="1130"/>
      <c r="W834" s="1130"/>
      <c r="X834" s="1130"/>
      <c r="Y834" s="1130"/>
      <c r="Z834" s="1130"/>
    </row>
    <row r="835" spans="1:26" ht="15.75" customHeight="1">
      <c r="A835" s="1129"/>
      <c r="B835" s="1130"/>
      <c r="C835" s="1130"/>
      <c r="D835" s="1130"/>
      <c r="E835" s="1130"/>
      <c r="F835" s="1130"/>
      <c r="G835" s="1130"/>
      <c r="H835" s="1130"/>
      <c r="I835" s="1130"/>
      <c r="J835" s="1130"/>
      <c r="K835" s="1130"/>
      <c r="L835" s="1130"/>
      <c r="M835" s="1130"/>
      <c r="N835" s="1130"/>
      <c r="O835" s="1130"/>
      <c r="P835" s="1130"/>
      <c r="Q835" s="1130"/>
      <c r="R835" s="1130"/>
      <c r="S835" s="1130"/>
      <c r="T835" s="1130"/>
      <c r="U835" s="1130"/>
      <c r="V835" s="1130"/>
      <c r="W835" s="1130"/>
      <c r="X835" s="1130"/>
      <c r="Y835" s="1130"/>
      <c r="Z835" s="1130"/>
    </row>
    <row r="836" spans="1:26" ht="15.75" customHeight="1">
      <c r="A836" s="1129"/>
      <c r="B836" s="1130"/>
      <c r="C836" s="1130"/>
      <c r="D836" s="1130"/>
      <c r="E836" s="1130"/>
      <c r="F836" s="1130"/>
      <c r="G836" s="1130"/>
      <c r="H836" s="1130"/>
      <c r="I836" s="1130"/>
      <c r="J836" s="1130"/>
      <c r="K836" s="1130"/>
      <c r="L836" s="1130"/>
      <c r="M836" s="1130"/>
      <c r="N836" s="1130"/>
      <c r="O836" s="1130"/>
      <c r="P836" s="1130"/>
      <c r="Q836" s="1130"/>
      <c r="R836" s="1130"/>
      <c r="S836" s="1130"/>
      <c r="T836" s="1130"/>
      <c r="U836" s="1130"/>
      <c r="V836" s="1130"/>
      <c r="W836" s="1130"/>
      <c r="X836" s="1130"/>
      <c r="Y836" s="1130"/>
      <c r="Z836" s="1130"/>
    </row>
    <row r="837" spans="1:26" ht="15.75" customHeight="1">
      <c r="A837" s="1129"/>
      <c r="B837" s="1130"/>
      <c r="C837" s="1130"/>
      <c r="D837" s="1130"/>
      <c r="E837" s="1130"/>
      <c r="F837" s="1130"/>
      <c r="G837" s="1130"/>
      <c r="H837" s="1130"/>
      <c r="I837" s="1130"/>
      <c r="J837" s="1130"/>
      <c r="K837" s="1130"/>
      <c r="L837" s="1130"/>
      <c r="M837" s="1130"/>
      <c r="N837" s="1130"/>
      <c r="O837" s="1130"/>
      <c r="P837" s="1130"/>
      <c r="Q837" s="1130"/>
      <c r="R837" s="1130"/>
      <c r="S837" s="1130"/>
      <c r="T837" s="1130"/>
      <c r="U837" s="1130"/>
      <c r="V837" s="1130"/>
      <c r="W837" s="1130"/>
      <c r="X837" s="1130"/>
      <c r="Y837" s="1130"/>
      <c r="Z837" s="1130"/>
    </row>
    <row r="838" spans="1:26" ht="15.75" customHeight="1">
      <c r="A838" s="1129"/>
      <c r="B838" s="1130"/>
      <c r="C838" s="1130"/>
      <c r="D838" s="1130"/>
      <c r="E838" s="1130"/>
      <c r="F838" s="1130"/>
      <c r="G838" s="1130"/>
      <c r="H838" s="1130"/>
      <c r="I838" s="1130"/>
      <c r="J838" s="1130"/>
      <c r="K838" s="1130"/>
      <c r="L838" s="1130"/>
      <c r="M838" s="1130"/>
      <c r="N838" s="1130"/>
      <c r="O838" s="1130"/>
      <c r="P838" s="1130"/>
      <c r="Q838" s="1130"/>
      <c r="R838" s="1130"/>
      <c r="S838" s="1130"/>
      <c r="T838" s="1130"/>
      <c r="U838" s="1130"/>
      <c r="V838" s="1130"/>
      <c r="W838" s="1130"/>
      <c r="X838" s="1130"/>
      <c r="Y838" s="1130"/>
      <c r="Z838" s="1130"/>
    </row>
    <row r="839" spans="1:26" ht="15.75" customHeight="1">
      <c r="A839" s="1129"/>
      <c r="B839" s="1130"/>
      <c r="C839" s="1130"/>
      <c r="D839" s="1130"/>
      <c r="E839" s="1130"/>
      <c r="F839" s="1130"/>
      <c r="G839" s="1130"/>
      <c r="H839" s="1130"/>
      <c r="I839" s="1130"/>
      <c r="J839" s="1130"/>
      <c r="K839" s="1130"/>
      <c r="L839" s="1130"/>
      <c r="M839" s="1130"/>
      <c r="N839" s="1130"/>
      <c r="O839" s="1130"/>
      <c r="P839" s="1130"/>
      <c r="Q839" s="1130"/>
      <c r="R839" s="1130"/>
      <c r="S839" s="1130"/>
      <c r="T839" s="1130"/>
      <c r="U839" s="1130"/>
      <c r="V839" s="1130"/>
      <c r="W839" s="1130"/>
      <c r="X839" s="1130"/>
      <c r="Y839" s="1130"/>
      <c r="Z839" s="1130"/>
    </row>
    <row r="840" spans="1:26" ht="15.75" customHeight="1">
      <c r="A840" s="1129"/>
      <c r="B840" s="1130"/>
      <c r="C840" s="1130"/>
      <c r="D840" s="1130"/>
      <c r="E840" s="1130"/>
      <c r="F840" s="1130"/>
      <c r="G840" s="1130"/>
      <c r="H840" s="1130"/>
      <c r="I840" s="1130"/>
      <c r="J840" s="1130"/>
      <c r="K840" s="1130"/>
      <c r="L840" s="1130"/>
      <c r="M840" s="1130"/>
      <c r="N840" s="1130"/>
      <c r="O840" s="1130"/>
      <c r="P840" s="1130"/>
      <c r="Q840" s="1130"/>
      <c r="R840" s="1130"/>
      <c r="S840" s="1130"/>
      <c r="T840" s="1130"/>
      <c r="U840" s="1130"/>
      <c r="V840" s="1130"/>
      <c r="W840" s="1130"/>
      <c r="X840" s="1130"/>
      <c r="Y840" s="1130"/>
      <c r="Z840" s="1130"/>
    </row>
    <row r="841" spans="1:26" ht="15.75" customHeight="1">
      <c r="A841" s="1129"/>
      <c r="B841" s="1130"/>
      <c r="C841" s="1130"/>
      <c r="D841" s="1130"/>
      <c r="E841" s="1130"/>
      <c r="F841" s="1130"/>
      <c r="G841" s="1130"/>
      <c r="H841" s="1130"/>
      <c r="I841" s="1130"/>
      <c r="J841" s="1130"/>
      <c r="K841" s="1130"/>
      <c r="L841" s="1130"/>
      <c r="M841" s="1130"/>
      <c r="N841" s="1130"/>
      <c r="O841" s="1130"/>
      <c r="P841" s="1130"/>
      <c r="Q841" s="1130"/>
      <c r="R841" s="1130"/>
      <c r="S841" s="1130"/>
      <c r="T841" s="1130"/>
      <c r="U841" s="1130"/>
      <c r="V841" s="1130"/>
      <c r="W841" s="1130"/>
      <c r="X841" s="1130"/>
      <c r="Y841" s="1130"/>
      <c r="Z841" s="1130"/>
    </row>
    <row r="842" spans="1:26" ht="15.75" customHeight="1">
      <c r="A842" s="1129"/>
      <c r="B842" s="1130"/>
      <c r="C842" s="1130"/>
      <c r="D842" s="1130"/>
      <c r="E842" s="1130"/>
      <c r="F842" s="1130"/>
      <c r="G842" s="1130"/>
      <c r="H842" s="1130"/>
      <c r="I842" s="1130"/>
      <c r="J842" s="1130"/>
      <c r="K842" s="1130"/>
      <c r="L842" s="1130"/>
      <c r="M842" s="1130"/>
      <c r="N842" s="1130"/>
      <c r="O842" s="1130"/>
      <c r="P842" s="1130"/>
      <c r="Q842" s="1130"/>
      <c r="R842" s="1130"/>
      <c r="S842" s="1130"/>
      <c r="T842" s="1130"/>
      <c r="U842" s="1130"/>
      <c r="V842" s="1130"/>
      <c r="W842" s="1130"/>
      <c r="X842" s="1130"/>
      <c r="Y842" s="1130"/>
      <c r="Z842" s="1130"/>
    </row>
    <row r="843" spans="1:26" ht="15.75" customHeight="1">
      <c r="A843" s="1129"/>
      <c r="B843" s="1130"/>
      <c r="C843" s="1130"/>
      <c r="D843" s="1130"/>
      <c r="E843" s="1130"/>
      <c r="F843" s="1130"/>
      <c r="G843" s="1130"/>
      <c r="H843" s="1130"/>
      <c r="I843" s="1130"/>
      <c r="J843" s="1130"/>
      <c r="K843" s="1130"/>
      <c r="L843" s="1130"/>
      <c r="M843" s="1130"/>
      <c r="N843" s="1130"/>
      <c r="O843" s="1130"/>
      <c r="P843" s="1130"/>
      <c r="Q843" s="1130"/>
      <c r="R843" s="1130"/>
      <c r="S843" s="1130"/>
      <c r="T843" s="1130"/>
      <c r="U843" s="1130"/>
      <c r="V843" s="1130"/>
      <c r="W843" s="1130"/>
      <c r="X843" s="1130"/>
      <c r="Y843" s="1130"/>
      <c r="Z843" s="1130"/>
    </row>
    <row r="844" spans="1:26" ht="15.75" customHeight="1">
      <c r="A844" s="1129"/>
      <c r="B844" s="1130"/>
      <c r="C844" s="1130"/>
      <c r="D844" s="1130"/>
      <c r="E844" s="1130"/>
      <c r="F844" s="1130"/>
      <c r="G844" s="1130"/>
      <c r="H844" s="1130"/>
      <c r="I844" s="1130"/>
      <c r="J844" s="1130"/>
      <c r="K844" s="1130"/>
      <c r="L844" s="1130"/>
      <c r="M844" s="1130"/>
      <c r="N844" s="1130"/>
      <c r="O844" s="1130"/>
      <c r="P844" s="1130"/>
      <c r="Q844" s="1130"/>
      <c r="R844" s="1130"/>
      <c r="S844" s="1130"/>
      <c r="T844" s="1130"/>
      <c r="U844" s="1130"/>
      <c r="V844" s="1130"/>
      <c r="W844" s="1130"/>
      <c r="X844" s="1130"/>
      <c r="Y844" s="1130"/>
      <c r="Z844" s="1130"/>
    </row>
    <row r="845" spans="1:26" ht="15.75" customHeight="1">
      <c r="A845" s="1129"/>
      <c r="B845" s="1130"/>
      <c r="C845" s="1130"/>
      <c r="D845" s="1130"/>
      <c r="E845" s="1130"/>
      <c r="F845" s="1130"/>
      <c r="G845" s="1130"/>
      <c r="H845" s="1130"/>
      <c r="I845" s="1130"/>
      <c r="J845" s="1130"/>
      <c r="K845" s="1130"/>
      <c r="L845" s="1130"/>
      <c r="M845" s="1130"/>
      <c r="N845" s="1130"/>
      <c r="O845" s="1130"/>
      <c r="P845" s="1130"/>
      <c r="Q845" s="1130"/>
      <c r="R845" s="1130"/>
      <c r="S845" s="1130"/>
      <c r="T845" s="1130"/>
      <c r="U845" s="1130"/>
      <c r="V845" s="1130"/>
      <c r="W845" s="1130"/>
      <c r="X845" s="1130"/>
      <c r="Y845" s="1130"/>
      <c r="Z845" s="1130"/>
    </row>
    <row r="846" spans="1:26" ht="15.75" customHeight="1">
      <c r="A846" s="1129"/>
      <c r="B846" s="1130"/>
      <c r="C846" s="1130"/>
      <c r="D846" s="1130"/>
      <c r="E846" s="1130"/>
      <c r="F846" s="1130"/>
      <c r="G846" s="1130"/>
      <c r="H846" s="1130"/>
      <c r="I846" s="1130"/>
      <c r="J846" s="1130"/>
      <c r="K846" s="1130"/>
      <c r="L846" s="1130"/>
      <c r="M846" s="1130"/>
      <c r="N846" s="1130"/>
      <c r="O846" s="1130"/>
      <c r="P846" s="1130"/>
      <c r="Q846" s="1130"/>
      <c r="R846" s="1130"/>
      <c r="S846" s="1130"/>
      <c r="T846" s="1130"/>
      <c r="U846" s="1130"/>
      <c r="V846" s="1130"/>
      <c r="W846" s="1130"/>
      <c r="X846" s="1130"/>
      <c r="Y846" s="1130"/>
      <c r="Z846" s="1130"/>
    </row>
    <row r="847" spans="1:26" ht="15.75" customHeight="1">
      <c r="A847" s="1129"/>
      <c r="B847" s="1130"/>
      <c r="C847" s="1130"/>
      <c r="D847" s="1130"/>
      <c r="E847" s="1130"/>
      <c r="F847" s="1130"/>
      <c r="G847" s="1130"/>
      <c r="H847" s="1130"/>
      <c r="I847" s="1130"/>
      <c r="J847" s="1130"/>
      <c r="K847" s="1130"/>
      <c r="L847" s="1130"/>
      <c r="M847" s="1130"/>
      <c r="N847" s="1130"/>
      <c r="O847" s="1130"/>
      <c r="P847" s="1130"/>
      <c r="Q847" s="1130"/>
      <c r="R847" s="1130"/>
      <c r="S847" s="1130"/>
      <c r="T847" s="1130"/>
      <c r="U847" s="1130"/>
      <c r="V847" s="1130"/>
      <c r="W847" s="1130"/>
      <c r="X847" s="1130"/>
      <c r="Y847" s="1130"/>
      <c r="Z847" s="1130"/>
    </row>
    <row r="848" spans="1:26" ht="15.75" customHeight="1">
      <c r="A848" s="1129"/>
      <c r="B848" s="1130"/>
      <c r="C848" s="1130"/>
      <c r="D848" s="1130"/>
      <c r="E848" s="1130"/>
      <c r="F848" s="1130"/>
      <c r="G848" s="1130"/>
      <c r="H848" s="1130"/>
      <c r="I848" s="1130"/>
      <c r="J848" s="1130"/>
      <c r="K848" s="1130"/>
      <c r="L848" s="1130"/>
      <c r="M848" s="1130"/>
      <c r="N848" s="1130"/>
      <c r="O848" s="1130"/>
      <c r="P848" s="1130"/>
      <c r="Q848" s="1130"/>
      <c r="R848" s="1130"/>
      <c r="S848" s="1130"/>
      <c r="T848" s="1130"/>
      <c r="U848" s="1130"/>
      <c r="V848" s="1130"/>
      <c r="W848" s="1130"/>
      <c r="X848" s="1130"/>
      <c r="Y848" s="1130"/>
      <c r="Z848" s="1130"/>
    </row>
    <row r="849" spans="1:26" ht="15.75" customHeight="1">
      <c r="A849" s="1129"/>
      <c r="B849" s="1130"/>
      <c r="C849" s="1130"/>
      <c r="D849" s="1130"/>
      <c r="E849" s="1130"/>
      <c r="F849" s="1130"/>
      <c r="G849" s="1130"/>
      <c r="H849" s="1130"/>
      <c r="I849" s="1130"/>
      <c r="J849" s="1130"/>
      <c r="K849" s="1130"/>
      <c r="L849" s="1130"/>
      <c r="M849" s="1130"/>
      <c r="N849" s="1130"/>
      <c r="O849" s="1130"/>
      <c r="P849" s="1130"/>
      <c r="Q849" s="1130"/>
      <c r="R849" s="1130"/>
      <c r="S849" s="1130"/>
      <c r="T849" s="1130"/>
      <c r="U849" s="1130"/>
      <c r="V849" s="1130"/>
      <c r="W849" s="1130"/>
      <c r="X849" s="1130"/>
      <c r="Y849" s="1130"/>
      <c r="Z849" s="1130"/>
    </row>
    <row r="850" spans="1:26" ht="15.75" customHeight="1">
      <c r="A850" s="1129"/>
      <c r="B850" s="1130"/>
      <c r="C850" s="1130"/>
      <c r="D850" s="1130"/>
      <c r="E850" s="1130"/>
      <c r="F850" s="1130"/>
      <c r="G850" s="1130"/>
      <c r="H850" s="1130"/>
      <c r="I850" s="1130"/>
      <c r="J850" s="1130"/>
      <c r="K850" s="1130"/>
      <c r="L850" s="1130"/>
      <c r="M850" s="1130"/>
      <c r="N850" s="1130"/>
      <c r="O850" s="1130"/>
      <c r="P850" s="1130"/>
      <c r="Q850" s="1130"/>
      <c r="R850" s="1130"/>
      <c r="S850" s="1130"/>
      <c r="T850" s="1130"/>
      <c r="U850" s="1130"/>
      <c r="V850" s="1130"/>
      <c r="W850" s="1130"/>
      <c r="X850" s="1130"/>
      <c r="Y850" s="1130"/>
      <c r="Z850" s="1130"/>
    </row>
    <row r="851" spans="1:26" ht="15.75" customHeight="1">
      <c r="A851" s="1129"/>
      <c r="B851" s="1130"/>
      <c r="C851" s="1130"/>
      <c r="D851" s="1130"/>
      <c r="E851" s="1130"/>
      <c r="F851" s="1130"/>
      <c r="G851" s="1130"/>
      <c r="H851" s="1130"/>
      <c r="I851" s="1130"/>
      <c r="J851" s="1130"/>
      <c r="K851" s="1130"/>
      <c r="L851" s="1130"/>
      <c r="M851" s="1130"/>
      <c r="N851" s="1130"/>
      <c r="O851" s="1130"/>
      <c r="P851" s="1130"/>
      <c r="Q851" s="1130"/>
      <c r="R851" s="1130"/>
      <c r="S851" s="1130"/>
      <c r="T851" s="1130"/>
      <c r="U851" s="1130"/>
      <c r="V851" s="1130"/>
      <c r="W851" s="1130"/>
      <c r="X851" s="1130"/>
      <c r="Y851" s="1130"/>
      <c r="Z851" s="1130"/>
    </row>
    <row r="852" spans="1:26" ht="15.75" customHeight="1">
      <c r="A852" s="1129"/>
      <c r="B852" s="1130"/>
      <c r="C852" s="1130"/>
      <c r="D852" s="1130"/>
      <c r="E852" s="1130"/>
      <c r="F852" s="1130"/>
      <c r="G852" s="1130"/>
      <c r="H852" s="1130"/>
      <c r="I852" s="1130"/>
      <c r="J852" s="1130"/>
      <c r="K852" s="1130"/>
      <c r="L852" s="1130"/>
      <c r="M852" s="1130"/>
      <c r="N852" s="1130"/>
      <c r="O852" s="1130"/>
      <c r="P852" s="1130"/>
      <c r="Q852" s="1130"/>
      <c r="R852" s="1130"/>
      <c r="S852" s="1130"/>
      <c r="T852" s="1130"/>
      <c r="U852" s="1130"/>
      <c r="V852" s="1130"/>
      <c r="W852" s="1130"/>
      <c r="X852" s="1130"/>
      <c r="Y852" s="1130"/>
      <c r="Z852" s="1130"/>
    </row>
    <row r="853" spans="1:26" ht="15.75" customHeight="1">
      <c r="A853" s="1129"/>
      <c r="B853" s="1130"/>
      <c r="C853" s="1130"/>
      <c r="D853" s="1130"/>
      <c r="E853" s="1130"/>
      <c r="F853" s="1130"/>
      <c r="G853" s="1130"/>
      <c r="H853" s="1130"/>
      <c r="I853" s="1130"/>
      <c r="J853" s="1130"/>
      <c r="K853" s="1130"/>
      <c r="L853" s="1130"/>
      <c r="M853" s="1130"/>
      <c r="N853" s="1130"/>
      <c r="O853" s="1130"/>
      <c r="P853" s="1130"/>
      <c r="Q853" s="1130"/>
      <c r="R853" s="1130"/>
      <c r="S853" s="1130"/>
      <c r="T853" s="1130"/>
      <c r="U853" s="1130"/>
      <c r="V853" s="1130"/>
      <c r="W853" s="1130"/>
      <c r="X853" s="1130"/>
      <c r="Y853" s="1130"/>
      <c r="Z853" s="1130"/>
    </row>
    <row r="854" spans="1:26" ht="15.75" customHeight="1">
      <c r="A854" s="1129"/>
      <c r="B854" s="1130"/>
      <c r="C854" s="1130"/>
      <c r="D854" s="1130"/>
      <c r="E854" s="1130"/>
      <c r="F854" s="1130"/>
      <c r="G854" s="1130"/>
      <c r="H854" s="1130"/>
      <c r="I854" s="1130"/>
      <c r="J854" s="1130"/>
      <c r="K854" s="1130"/>
      <c r="L854" s="1130"/>
      <c r="M854" s="1130"/>
      <c r="N854" s="1130"/>
      <c r="O854" s="1130"/>
      <c r="P854" s="1130"/>
      <c r="Q854" s="1130"/>
      <c r="R854" s="1130"/>
      <c r="S854" s="1130"/>
      <c r="T854" s="1130"/>
      <c r="U854" s="1130"/>
      <c r="V854" s="1130"/>
      <c r="W854" s="1130"/>
      <c r="X854" s="1130"/>
      <c r="Y854" s="1130"/>
      <c r="Z854" s="1130"/>
    </row>
    <row r="855" spans="1:26" ht="15.75" customHeight="1">
      <c r="A855" s="1129"/>
      <c r="B855" s="1130"/>
      <c r="C855" s="1130"/>
      <c r="D855" s="1130"/>
      <c r="E855" s="1130"/>
      <c r="F855" s="1130"/>
      <c r="G855" s="1130"/>
      <c r="H855" s="1130"/>
      <c r="I855" s="1130"/>
      <c r="J855" s="1130"/>
      <c r="K855" s="1130"/>
      <c r="L855" s="1130"/>
      <c r="M855" s="1130"/>
      <c r="N855" s="1130"/>
      <c r="O855" s="1130"/>
      <c r="P855" s="1130"/>
      <c r="Q855" s="1130"/>
      <c r="R855" s="1130"/>
      <c r="S855" s="1130"/>
      <c r="T855" s="1130"/>
      <c r="U855" s="1130"/>
      <c r="V855" s="1130"/>
      <c r="W855" s="1130"/>
      <c r="X855" s="1130"/>
      <c r="Y855" s="1130"/>
      <c r="Z855" s="1130"/>
    </row>
    <row r="856" spans="1:26" ht="15.75" customHeight="1">
      <c r="A856" s="1129"/>
      <c r="B856" s="1130"/>
      <c r="C856" s="1130"/>
      <c r="D856" s="1130"/>
      <c r="E856" s="1130"/>
      <c r="F856" s="1130"/>
      <c r="G856" s="1130"/>
      <c r="H856" s="1130"/>
      <c r="I856" s="1130"/>
      <c r="J856" s="1130"/>
      <c r="K856" s="1130"/>
      <c r="L856" s="1130"/>
      <c r="M856" s="1130"/>
      <c r="N856" s="1130"/>
      <c r="O856" s="1130"/>
      <c r="P856" s="1130"/>
      <c r="Q856" s="1130"/>
      <c r="R856" s="1130"/>
      <c r="S856" s="1130"/>
      <c r="T856" s="1130"/>
      <c r="U856" s="1130"/>
      <c r="V856" s="1130"/>
      <c r="W856" s="1130"/>
      <c r="X856" s="1130"/>
      <c r="Y856" s="1130"/>
      <c r="Z856" s="1130"/>
    </row>
    <row r="857" spans="1:26" ht="15.75" customHeight="1">
      <c r="A857" s="1129"/>
      <c r="B857" s="1130"/>
      <c r="C857" s="1130"/>
      <c r="D857" s="1130"/>
      <c r="E857" s="1130"/>
      <c r="F857" s="1130"/>
      <c r="G857" s="1130"/>
      <c r="H857" s="1130"/>
      <c r="I857" s="1130"/>
      <c r="J857" s="1130"/>
      <c r="K857" s="1130"/>
      <c r="L857" s="1130"/>
      <c r="M857" s="1130"/>
      <c r="N857" s="1130"/>
      <c r="O857" s="1130"/>
      <c r="P857" s="1130"/>
      <c r="Q857" s="1130"/>
      <c r="R857" s="1130"/>
      <c r="S857" s="1130"/>
      <c r="T857" s="1130"/>
      <c r="U857" s="1130"/>
      <c r="V857" s="1130"/>
      <c r="W857" s="1130"/>
      <c r="X857" s="1130"/>
      <c r="Y857" s="1130"/>
      <c r="Z857" s="1130"/>
    </row>
    <row r="858" spans="1:26" ht="15.75" customHeight="1">
      <c r="A858" s="1129"/>
      <c r="B858" s="1130"/>
      <c r="C858" s="1130"/>
      <c r="D858" s="1130"/>
      <c r="E858" s="1130"/>
      <c r="F858" s="1130"/>
      <c r="G858" s="1130"/>
      <c r="H858" s="1130"/>
      <c r="I858" s="1130"/>
      <c r="J858" s="1130"/>
      <c r="K858" s="1130"/>
      <c r="L858" s="1130"/>
      <c r="M858" s="1130"/>
      <c r="N858" s="1130"/>
      <c r="O858" s="1130"/>
      <c r="P858" s="1130"/>
      <c r="Q858" s="1130"/>
      <c r="R858" s="1130"/>
      <c r="S858" s="1130"/>
      <c r="T858" s="1130"/>
      <c r="U858" s="1130"/>
      <c r="V858" s="1130"/>
      <c r="W858" s="1130"/>
      <c r="X858" s="1130"/>
      <c r="Y858" s="1130"/>
      <c r="Z858" s="1130"/>
    </row>
    <row r="859" spans="1:26" ht="15.75" customHeight="1">
      <c r="A859" s="1129"/>
      <c r="B859" s="1130"/>
      <c r="C859" s="1130"/>
      <c r="D859" s="1130"/>
      <c r="E859" s="1130"/>
      <c r="F859" s="1130"/>
      <c r="G859" s="1130"/>
      <c r="H859" s="1130"/>
      <c r="I859" s="1130"/>
      <c r="J859" s="1130"/>
      <c r="K859" s="1130"/>
      <c r="L859" s="1130"/>
      <c r="M859" s="1130"/>
      <c r="N859" s="1130"/>
      <c r="O859" s="1130"/>
      <c r="P859" s="1130"/>
      <c r="Q859" s="1130"/>
      <c r="R859" s="1130"/>
      <c r="S859" s="1130"/>
      <c r="T859" s="1130"/>
      <c r="U859" s="1130"/>
      <c r="V859" s="1130"/>
      <c r="W859" s="1130"/>
      <c r="X859" s="1130"/>
      <c r="Y859" s="1130"/>
      <c r="Z859" s="1130"/>
    </row>
    <row r="860" spans="1:26" ht="15.75" customHeight="1">
      <c r="A860" s="1129"/>
      <c r="B860" s="1130"/>
      <c r="C860" s="1130"/>
      <c r="D860" s="1130"/>
      <c r="E860" s="1130"/>
      <c r="F860" s="1130"/>
      <c r="G860" s="1130"/>
      <c r="H860" s="1130"/>
      <c r="I860" s="1130"/>
      <c r="J860" s="1130"/>
      <c r="K860" s="1130"/>
      <c r="L860" s="1130"/>
      <c r="M860" s="1130"/>
      <c r="N860" s="1130"/>
      <c r="O860" s="1130"/>
      <c r="P860" s="1130"/>
      <c r="Q860" s="1130"/>
      <c r="R860" s="1130"/>
      <c r="S860" s="1130"/>
      <c r="T860" s="1130"/>
      <c r="U860" s="1130"/>
      <c r="V860" s="1130"/>
      <c r="W860" s="1130"/>
      <c r="X860" s="1130"/>
      <c r="Y860" s="1130"/>
      <c r="Z860" s="1130"/>
    </row>
    <row r="861" spans="1:26" ht="15.75" customHeight="1">
      <c r="A861" s="1129"/>
      <c r="B861" s="1130"/>
      <c r="C861" s="1130"/>
      <c r="D861" s="1130"/>
      <c r="E861" s="1130"/>
      <c r="F861" s="1130"/>
      <c r="G861" s="1130"/>
      <c r="H861" s="1130"/>
      <c r="I861" s="1130"/>
      <c r="J861" s="1130"/>
      <c r="K861" s="1130"/>
      <c r="L861" s="1130"/>
      <c r="M861" s="1130"/>
      <c r="N861" s="1130"/>
      <c r="O861" s="1130"/>
      <c r="P861" s="1130"/>
      <c r="Q861" s="1130"/>
      <c r="R861" s="1130"/>
      <c r="S861" s="1130"/>
      <c r="T861" s="1130"/>
      <c r="U861" s="1130"/>
      <c r="V861" s="1130"/>
      <c r="W861" s="1130"/>
      <c r="X861" s="1130"/>
      <c r="Y861" s="1130"/>
      <c r="Z861" s="1130"/>
    </row>
    <row r="862" spans="1:26" ht="15.75" customHeight="1">
      <c r="A862" s="1129"/>
      <c r="B862" s="1130"/>
      <c r="C862" s="1130"/>
      <c r="D862" s="1130"/>
      <c r="E862" s="1130"/>
      <c r="F862" s="1130"/>
      <c r="G862" s="1130"/>
      <c r="H862" s="1130"/>
      <c r="I862" s="1130"/>
      <c r="J862" s="1130"/>
      <c r="K862" s="1130"/>
      <c r="L862" s="1130"/>
      <c r="M862" s="1130"/>
      <c r="N862" s="1130"/>
      <c r="O862" s="1130"/>
      <c r="P862" s="1130"/>
      <c r="Q862" s="1130"/>
      <c r="R862" s="1130"/>
      <c r="S862" s="1130"/>
      <c r="T862" s="1130"/>
      <c r="U862" s="1130"/>
      <c r="V862" s="1130"/>
      <c r="W862" s="1130"/>
      <c r="X862" s="1130"/>
      <c r="Y862" s="1130"/>
      <c r="Z862" s="1130"/>
    </row>
    <row r="863" spans="1:26" ht="15.75" customHeight="1">
      <c r="A863" s="1129"/>
      <c r="B863" s="1130"/>
      <c r="C863" s="1130"/>
      <c r="D863" s="1130"/>
      <c r="E863" s="1130"/>
      <c r="F863" s="1130"/>
      <c r="G863" s="1130"/>
      <c r="H863" s="1130"/>
      <c r="I863" s="1130"/>
      <c r="J863" s="1130"/>
      <c r="K863" s="1130"/>
      <c r="L863" s="1130"/>
      <c r="M863" s="1130"/>
      <c r="N863" s="1130"/>
      <c r="O863" s="1130"/>
      <c r="P863" s="1130"/>
      <c r="Q863" s="1130"/>
      <c r="R863" s="1130"/>
      <c r="S863" s="1130"/>
      <c r="T863" s="1130"/>
      <c r="U863" s="1130"/>
      <c r="V863" s="1130"/>
      <c r="W863" s="1130"/>
      <c r="X863" s="1130"/>
      <c r="Y863" s="1130"/>
      <c r="Z863" s="1130"/>
    </row>
    <row r="864" spans="1:26" ht="15.75" customHeight="1">
      <c r="A864" s="1129"/>
      <c r="B864" s="1130"/>
      <c r="C864" s="1130"/>
      <c r="D864" s="1130"/>
      <c r="E864" s="1130"/>
      <c r="F864" s="1130"/>
      <c r="G864" s="1130"/>
      <c r="H864" s="1130"/>
      <c r="I864" s="1130"/>
      <c r="J864" s="1130"/>
      <c r="K864" s="1130"/>
      <c r="L864" s="1130"/>
      <c r="M864" s="1130"/>
      <c r="N864" s="1130"/>
      <c r="O864" s="1130"/>
      <c r="P864" s="1130"/>
      <c r="Q864" s="1130"/>
      <c r="R864" s="1130"/>
      <c r="S864" s="1130"/>
      <c r="T864" s="1130"/>
      <c r="U864" s="1130"/>
      <c r="V864" s="1130"/>
      <c r="W864" s="1130"/>
      <c r="X864" s="1130"/>
      <c r="Y864" s="1130"/>
      <c r="Z864" s="1130"/>
    </row>
    <row r="865" spans="1:26" ht="15.75" customHeight="1">
      <c r="A865" s="1129"/>
      <c r="B865" s="1130"/>
      <c r="C865" s="1130"/>
      <c r="D865" s="1130"/>
      <c r="E865" s="1130"/>
      <c r="F865" s="1130"/>
      <c r="G865" s="1130"/>
      <c r="H865" s="1130"/>
      <c r="I865" s="1130"/>
      <c r="J865" s="1130"/>
      <c r="K865" s="1130"/>
      <c r="L865" s="1130"/>
      <c r="M865" s="1130"/>
      <c r="N865" s="1130"/>
      <c r="O865" s="1130"/>
      <c r="P865" s="1130"/>
      <c r="Q865" s="1130"/>
      <c r="R865" s="1130"/>
      <c r="S865" s="1130"/>
      <c r="T865" s="1130"/>
      <c r="U865" s="1130"/>
      <c r="V865" s="1130"/>
      <c r="W865" s="1130"/>
      <c r="X865" s="1130"/>
      <c r="Y865" s="1130"/>
      <c r="Z865" s="1130"/>
    </row>
    <row r="866" spans="1:26" ht="15.75" customHeight="1">
      <c r="A866" s="1129"/>
      <c r="B866" s="1130"/>
      <c r="C866" s="1130"/>
      <c r="D866" s="1130"/>
      <c r="E866" s="1130"/>
      <c r="F866" s="1130"/>
      <c r="G866" s="1130"/>
      <c r="H866" s="1130"/>
      <c r="I866" s="1130"/>
      <c r="J866" s="1130"/>
      <c r="K866" s="1130"/>
      <c r="L866" s="1130"/>
      <c r="M866" s="1130"/>
      <c r="N866" s="1130"/>
      <c r="O866" s="1130"/>
      <c r="P866" s="1130"/>
      <c r="Q866" s="1130"/>
      <c r="R866" s="1130"/>
      <c r="S866" s="1130"/>
      <c r="T866" s="1130"/>
      <c r="U866" s="1130"/>
      <c r="V866" s="1130"/>
      <c r="W866" s="1130"/>
      <c r="X866" s="1130"/>
      <c r="Y866" s="1130"/>
      <c r="Z866" s="1130"/>
    </row>
    <row r="867" spans="1:26" ht="15.75" customHeight="1">
      <c r="A867" s="1129"/>
      <c r="B867" s="1130"/>
      <c r="C867" s="1130"/>
      <c r="D867" s="1130"/>
      <c r="E867" s="1130"/>
      <c r="F867" s="1130"/>
      <c r="G867" s="1130"/>
      <c r="H867" s="1130"/>
      <c r="I867" s="1130"/>
      <c r="J867" s="1130"/>
      <c r="K867" s="1130"/>
      <c r="L867" s="1130"/>
      <c r="M867" s="1130"/>
      <c r="N867" s="1130"/>
      <c r="O867" s="1130"/>
      <c r="P867" s="1130"/>
      <c r="Q867" s="1130"/>
      <c r="R867" s="1130"/>
      <c r="S867" s="1130"/>
      <c r="T867" s="1130"/>
      <c r="U867" s="1130"/>
      <c r="V867" s="1130"/>
      <c r="W867" s="1130"/>
      <c r="X867" s="1130"/>
      <c r="Y867" s="1130"/>
      <c r="Z867" s="1130"/>
    </row>
    <row r="868" spans="1:26" ht="15.75" customHeight="1">
      <c r="A868" s="1129"/>
      <c r="B868" s="1130"/>
      <c r="C868" s="1130"/>
      <c r="D868" s="1130"/>
      <c r="E868" s="1130"/>
      <c r="F868" s="1130"/>
      <c r="G868" s="1130"/>
      <c r="H868" s="1130"/>
      <c r="I868" s="1130"/>
      <c r="J868" s="1130"/>
      <c r="K868" s="1130"/>
      <c r="L868" s="1130"/>
      <c r="M868" s="1130"/>
      <c r="N868" s="1130"/>
      <c r="O868" s="1130"/>
      <c r="P868" s="1130"/>
      <c r="Q868" s="1130"/>
      <c r="R868" s="1130"/>
      <c r="S868" s="1130"/>
      <c r="T868" s="1130"/>
      <c r="U868" s="1130"/>
      <c r="V868" s="1130"/>
      <c r="W868" s="1130"/>
      <c r="X868" s="1130"/>
      <c r="Y868" s="1130"/>
      <c r="Z868" s="1130"/>
    </row>
    <row r="869" spans="1:26" ht="15.75" customHeight="1">
      <c r="A869" s="1129"/>
      <c r="B869" s="1130"/>
      <c r="C869" s="1130"/>
      <c r="D869" s="1130"/>
      <c r="E869" s="1130"/>
      <c r="F869" s="1130"/>
      <c r="G869" s="1130"/>
      <c r="H869" s="1130"/>
      <c r="I869" s="1130"/>
      <c r="J869" s="1130"/>
      <c r="K869" s="1130"/>
      <c r="L869" s="1130"/>
      <c r="M869" s="1130"/>
      <c r="N869" s="1130"/>
      <c r="O869" s="1130"/>
      <c r="P869" s="1130"/>
      <c r="Q869" s="1130"/>
      <c r="R869" s="1130"/>
      <c r="S869" s="1130"/>
      <c r="T869" s="1130"/>
      <c r="U869" s="1130"/>
      <c r="V869" s="1130"/>
      <c r="W869" s="1130"/>
      <c r="X869" s="1130"/>
      <c r="Y869" s="1130"/>
      <c r="Z869" s="1130"/>
    </row>
    <row r="870" spans="1:26" ht="15.75" customHeight="1">
      <c r="A870" s="1129"/>
      <c r="B870" s="1130"/>
      <c r="C870" s="1130"/>
      <c r="D870" s="1130"/>
      <c r="E870" s="1130"/>
      <c r="F870" s="1130"/>
      <c r="G870" s="1130"/>
      <c r="H870" s="1130"/>
      <c r="I870" s="1130"/>
      <c r="J870" s="1130"/>
      <c r="K870" s="1130"/>
      <c r="L870" s="1130"/>
      <c r="M870" s="1130"/>
      <c r="N870" s="1130"/>
      <c r="O870" s="1130"/>
      <c r="P870" s="1130"/>
      <c r="Q870" s="1130"/>
      <c r="R870" s="1130"/>
      <c r="S870" s="1130"/>
      <c r="T870" s="1130"/>
      <c r="U870" s="1130"/>
      <c r="V870" s="1130"/>
      <c r="W870" s="1130"/>
      <c r="X870" s="1130"/>
      <c r="Y870" s="1130"/>
      <c r="Z870" s="1130"/>
    </row>
    <row r="871" spans="1:26" ht="15.75" customHeight="1">
      <c r="A871" s="1129"/>
      <c r="B871" s="1130"/>
      <c r="C871" s="1130"/>
      <c r="D871" s="1130"/>
      <c r="E871" s="1130"/>
      <c r="F871" s="1130"/>
      <c r="G871" s="1130"/>
      <c r="H871" s="1130"/>
      <c r="I871" s="1130"/>
      <c r="J871" s="1130"/>
      <c r="K871" s="1130"/>
      <c r="L871" s="1130"/>
      <c r="M871" s="1130"/>
      <c r="N871" s="1130"/>
      <c r="O871" s="1130"/>
      <c r="P871" s="1130"/>
      <c r="Q871" s="1130"/>
      <c r="R871" s="1130"/>
      <c r="S871" s="1130"/>
      <c r="T871" s="1130"/>
      <c r="U871" s="1130"/>
      <c r="V871" s="1130"/>
      <c r="W871" s="1130"/>
      <c r="X871" s="1130"/>
      <c r="Y871" s="1130"/>
      <c r="Z871" s="1130"/>
    </row>
    <row r="872" spans="1:26" ht="15.75" customHeight="1">
      <c r="A872" s="1129"/>
      <c r="B872" s="1130"/>
      <c r="C872" s="1130"/>
      <c r="D872" s="1130"/>
      <c r="E872" s="1130"/>
      <c r="F872" s="1130"/>
      <c r="G872" s="1130"/>
      <c r="H872" s="1130"/>
      <c r="I872" s="1130"/>
      <c r="J872" s="1130"/>
      <c r="K872" s="1130"/>
      <c r="L872" s="1130"/>
      <c r="M872" s="1130"/>
      <c r="N872" s="1130"/>
      <c r="O872" s="1130"/>
      <c r="P872" s="1130"/>
      <c r="Q872" s="1130"/>
      <c r="R872" s="1130"/>
      <c r="S872" s="1130"/>
      <c r="T872" s="1130"/>
      <c r="U872" s="1130"/>
      <c r="V872" s="1130"/>
      <c r="W872" s="1130"/>
      <c r="X872" s="1130"/>
      <c r="Y872" s="1130"/>
      <c r="Z872" s="1130"/>
    </row>
    <row r="873" spans="1:26" ht="15.75" customHeight="1">
      <c r="A873" s="1129"/>
      <c r="B873" s="1130"/>
      <c r="C873" s="1130"/>
      <c r="D873" s="1130"/>
      <c r="E873" s="1130"/>
      <c r="F873" s="1130"/>
      <c r="G873" s="1130"/>
      <c r="H873" s="1130"/>
      <c r="I873" s="1130"/>
      <c r="J873" s="1130"/>
      <c r="K873" s="1130"/>
      <c r="L873" s="1130"/>
      <c r="M873" s="1130"/>
      <c r="N873" s="1130"/>
      <c r="O873" s="1130"/>
      <c r="P873" s="1130"/>
      <c r="Q873" s="1130"/>
      <c r="R873" s="1130"/>
      <c r="S873" s="1130"/>
      <c r="T873" s="1130"/>
      <c r="U873" s="1130"/>
      <c r="V873" s="1130"/>
      <c r="W873" s="1130"/>
      <c r="X873" s="1130"/>
      <c r="Y873" s="1130"/>
      <c r="Z873" s="1130"/>
    </row>
    <row r="874" spans="1:26" ht="15.75" customHeight="1">
      <c r="A874" s="1129"/>
      <c r="B874" s="1130"/>
      <c r="C874" s="1130"/>
      <c r="D874" s="1130"/>
      <c r="E874" s="1130"/>
      <c r="F874" s="1130"/>
      <c r="G874" s="1130"/>
      <c r="H874" s="1130"/>
      <c r="I874" s="1130"/>
      <c r="J874" s="1130"/>
      <c r="K874" s="1130"/>
      <c r="L874" s="1130"/>
      <c r="M874" s="1130"/>
      <c r="N874" s="1130"/>
      <c r="O874" s="1130"/>
      <c r="P874" s="1130"/>
      <c r="Q874" s="1130"/>
      <c r="R874" s="1130"/>
      <c r="S874" s="1130"/>
      <c r="T874" s="1130"/>
      <c r="U874" s="1130"/>
      <c r="V874" s="1130"/>
      <c r="W874" s="1130"/>
      <c r="X874" s="1130"/>
      <c r="Y874" s="1130"/>
      <c r="Z874" s="1130"/>
    </row>
    <row r="875" spans="1:26" ht="15.75" customHeight="1">
      <c r="A875" s="1129"/>
      <c r="B875" s="1130"/>
      <c r="C875" s="1130"/>
      <c r="D875" s="1130"/>
      <c r="E875" s="1130"/>
      <c r="F875" s="1130"/>
      <c r="G875" s="1130"/>
      <c r="H875" s="1130"/>
      <c r="I875" s="1130"/>
      <c r="J875" s="1130"/>
      <c r="K875" s="1130"/>
      <c r="L875" s="1130"/>
      <c r="M875" s="1130"/>
      <c r="N875" s="1130"/>
      <c r="O875" s="1130"/>
      <c r="P875" s="1130"/>
      <c r="Q875" s="1130"/>
      <c r="R875" s="1130"/>
      <c r="S875" s="1130"/>
      <c r="T875" s="1130"/>
      <c r="U875" s="1130"/>
      <c r="V875" s="1130"/>
      <c r="W875" s="1130"/>
      <c r="X875" s="1130"/>
      <c r="Y875" s="1130"/>
      <c r="Z875" s="1130"/>
    </row>
    <row r="876" spans="1:26" ht="15.75" customHeight="1">
      <c r="A876" s="1129"/>
      <c r="B876" s="1130"/>
      <c r="C876" s="1130"/>
      <c r="D876" s="1130"/>
      <c r="E876" s="1130"/>
      <c r="F876" s="1130"/>
      <c r="G876" s="1130"/>
      <c r="H876" s="1130"/>
      <c r="I876" s="1130"/>
      <c r="J876" s="1130"/>
      <c r="K876" s="1130"/>
      <c r="L876" s="1130"/>
      <c r="M876" s="1130"/>
      <c r="N876" s="1130"/>
      <c r="O876" s="1130"/>
      <c r="P876" s="1130"/>
      <c r="Q876" s="1130"/>
      <c r="R876" s="1130"/>
      <c r="S876" s="1130"/>
      <c r="T876" s="1130"/>
      <c r="U876" s="1130"/>
      <c r="V876" s="1130"/>
      <c r="W876" s="1130"/>
      <c r="X876" s="1130"/>
      <c r="Y876" s="1130"/>
      <c r="Z876" s="1130"/>
    </row>
    <row r="877" spans="1:26" ht="15.75" customHeight="1">
      <c r="A877" s="1129"/>
      <c r="B877" s="1130"/>
      <c r="C877" s="1130"/>
      <c r="D877" s="1130"/>
      <c r="E877" s="1130"/>
      <c r="F877" s="1130"/>
      <c r="G877" s="1130"/>
      <c r="H877" s="1130"/>
      <c r="I877" s="1130"/>
      <c r="J877" s="1130"/>
      <c r="K877" s="1130"/>
      <c r="L877" s="1130"/>
      <c r="M877" s="1130"/>
      <c r="N877" s="1130"/>
      <c r="O877" s="1130"/>
      <c r="P877" s="1130"/>
      <c r="Q877" s="1130"/>
      <c r="R877" s="1130"/>
      <c r="S877" s="1130"/>
      <c r="T877" s="1130"/>
      <c r="U877" s="1130"/>
      <c r="V877" s="1130"/>
      <c r="W877" s="1130"/>
      <c r="X877" s="1130"/>
      <c r="Y877" s="1130"/>
      <c r="Z877" s="1130"/>
    </row>
    <row r="878" spans="1:26" ht="15.75" customHeight="1">
      <c r="A878" s="1129"/>
      <c r="B878" s="1130"/>
      <c r="C878" s="1130"/>
      <c r="D878" s="1130"/>
      <c r="E878" s="1130"/>
      <c r="F878" s="1130"/>
      <c r="G878" s="1130"/>
      <c r="H878" s="1130"/>
      <c r="I878" s="1130"/>
      <c r="J878" s="1130"/>
      <c r="K878" s="1130"/>
      <c r="L878" s="1130"/>
      <c r="M878" s="1130"/>
      <c r="N878" s="1130"/>
      <c r="O878" s="1130"/>
      <c r="P878" s="1130"/>
      <c r="Q878" s="1130"/>
      <c r="R878" s="1130"/>
      <c r="S878" s="1130"/>
      <c r="T878" s="1130"/>
      <c r="U878" s="1130"/>
      <c r="V878" s="1130"/>
      <c r="W878" s="1130"/>
      <c r="X878" s="1130"/>
      <c r="Y878" s="1130"/>
      <c r="Z878" s="1130"/>
    </row>
    <row r="879" spans="1:26" ht="15.75" customHeight="1">
      <c r="A879" s="1129"/>
      <c r="B879" s="1130"/>
      <c r="C879" s="1130"/>
      <c r="D879" s="1130"/>
      <c r="E879" s="1130"/>
      <c r="F879" s="1130"/>
      <c r="G879" s="1130"/>
      <c r="H879" s="1130"/>
      <c r="I879" s="1130"/>
      <c r="J879" s="1130"/>
      <c r="K879" s="1130"/>
      <c r="L879" s="1130"/>
      <c r="M879" s="1130"/>
      <c r="N879" s="1130"/>
      <c r="O879" s="1130"/>
      <c r="P879" s="1130"/>
      <c r="Q879" s="1130"/>
      <c r="R879" s="1130"/>
      <c r="S879" s="1130"/>
      <c r="T879" s="1130"/>
      <c r="U879" s="1130"/>
      <c r="V879" s="1130"/>
      <c r="W879" s="1130"/>
      <c r="X879" s="1130"/>
      <c r="Y879" s="1130"/>
      <c r="Z879" s="1130"/>
    </row>
    <row r="880" spans="1:26" ht="15.75" customHeight="1">
      <c r="A880" s="1129"/>
      <c r="B880" s="1130"/>
      <c r="C880" s="1130"/>
      <c r="D880" s="1130"/>
      <c r="E880" s="1130"/>
      <c r="F880" s="1130"/>
      <c r="G880" s="1130"/>
      <c r="H880" s="1130"/>
      <c r="I880" s="1130"/>
      <c r="J880" s="1130"/>
      <c r="K880" s="1130"/>
      <c r="L880" s="1130"/>
      <c r="M880" s="1130"/>
      <c r="N880" s="1130"/>
      <c r="O880" s="1130"/>
      <c r="P880" s="1130"/>
      <c r="Q880" s="1130"/>
      <c r="R880" s="1130"/>
      <c r="S880" s="1130"/>
      <c r="T880" s="1130"/>
      <c r="U880" s="1130"/>
      <c r="V880" s="1130"/>
      <c r="W880" s="1130"/>
      <c r="X880" s="1130"/>
      <c r="Y880" s="1130"/>
      <c r="Z880" s="1130"/>
    </row>
    <row r="881" spans="1:26" ht="15.75" customHeight="1">
      <c r="A881" s="1129"/>
      <c r="B881" s="1130"/>
      <c r="C881" s="1130"/>
      <c r="D881" s="1130"/>
      <c r="E881" s="1130"/>
      <c r="F881" s="1130"/>
      <c r="G881" s="1130"/>
      <c r="H881" s="1130"/>
      <c r="I881" s="1130"/>
      <c r="J881" s="1130"/>
      <c r="K881" s="1130"/>
      <c r="L881" s="1130"/>
      <c r="M881" s="1130"/>
      <c r="N881" s="1130"/>
      <c r="O881" s="1130"/>
      <c r="P881" s="1130"/>
      <c r="Q881" s="1130"/>
      <c r="R881" s="1130"/>
      <c r="S881" s="1130"/>
      <c r="T881" s="1130"/>
      <c r="U881" s="1130"/>
      <c r="V881" s="1130"/>
      <c r="W881" s="1130"/>
      <c r="X881" s="1130"/>
      <c r="Y881" s="1130"/>
      <c r="Z881" s="1130"/>
    </row>
    <row r="882" spans="1:26" ht="15.75" customHeight="1">
      <c r="A882" s="1129"/>
      <c r="B882" s="1130"/>
      <c r="C882" s="1130"/>
      <c r="D882" s="1130"/>
      <c r="E882" s="1130"/>
      <c r="F882" s="1130"/>
      <c r="G882" s="1130"/>
      <c r="H882" s="1130"/>
      <c r="I882" s="1130"/>
      <c r="J882" s="1130"/>
      <c r="K882" s="1130"/>
      <c r="L882" s="1130"/>
      <c r="M882" s="1130"/>
      <c r="N882" s="1130"/>
      <c r="O882" s="1130"/>
      <c r="P882" s="1130"/>
      <c r="Q882" s="1130"/>
      <c r="R882" s="1130"/>
      <c r="S882" s="1130"/>
      <c r="T882" s="1130"/>
      <c r="U882" s="1130"/>
      <c r="V882" s="1130"/>
      <c r="W882" s="1130"/>
      <c r="X882" s="1130"/>
      <c r="Y882" s="1130"/>
      <c r="Z882" s="1130"/>
    </row>
    <row r="883" spans="1:26" ht="15.75" customHeight="1">
      <c r="A883" s="1129"/>
      <c r="B883" s="1130"/>
      <c r="C883" s="1130"/>
      <c r="D883" s="1130"/>
      <c r="E883" s="1130"/>
      <c r="F883" s="1130"/>
      <c r="G883" s="1130"/>
      <c r="H883" s="1130"/>
      <c r="I883" s="1130"/>
      <c r="J883" s="1130"/>
      <c r="K883" s="1130"/>
      <c r="L883" s="1130"/>
      <c r="M883" s="1130"/>
      <c r="N883" s="1130"/>
      <c r="O883" s="1130"/>
      <c r="P883" s="1130"/>
      <c r="Q883" s="1130"/>
      <c r="R883" s="1130"/>
      <c r="S883" s="1130"/>
      <c r="T883" s="1130"/>
      <c r="U883" s="1130"/>
      <c r="V883" s="1130"/>
      <c r="W883" s="1130"/>
      <c r="X883" s="1130"/>
      <c r="Y883" s="1130"/>
      <c r="Z883" s="1130"/>
    </row>
    <row r="884" spans="1:26" ht="15.75" customHeight="1">
      <c r="A884" s="1129"/>
      <c r="B884" s="1130"/>
      <c r="C884" s="1130"/>
      <c r="D884" s="1130"/>
      <c r="E884" s="1130"/>
      <c r="F884" s="1130"/>
      <c r="G884" s="1130"/>
      <c r="H884" s="1130"/>
      <c r="I884" s="1130"/>
      <c r="J884" s="1130"/>
      <c r="K884" s="1130"/>
      <c r="L884" s="1130"/>
      <c r="M884" s="1130"/>
      <c r="N884" s="1130"/>
      <c r="O884" s="1130"/>
      <c r="P884" s="1130"/>
      <c r="Q884" s="1130"/>
      <c r="R884" s="1130"/>
      <c r="S884" s="1130"/>
      <c r="T884" s="1130"/>
      <c r="U884" s="1130"/>
      <c r="V884" s="1130"/>
      <c r="W884" s="1130"/>
      <c r="X884" s="1130"/>
      <c r="Y884" s="1130"/>
      <c r="Z884" s="1130"/>
    </row>
    <row r="885" spans="1:26" ht="15.75" customHeight="1">
      <c r="A885" s="1129"/>
      <c r="B885" s="1130"/>
      <c r="C885" s="1130"/>
      <c r="D885" s="1130"/>
      <c r="E885" s="1130"/>
      <c r="F885" s="1130"/>
      <c r="G885" s="1130"/>
      <c r="H885" s="1130"/>
      <c r="I885" s="1130"/>
      <c r="J885" s="1130"/>
      <c r="K885" s="1130"/>
      <c r="L885" s="1130"/>
      <c r="M885" s="1130"/>
      <c r="N885" s="1130"/>
      <c r="O885" s="1130"/>
      <c r="P885" s="1130"/>
      <c r="Q885" s="1130"/>
      <c r="R885" s="1130"/>
      <c r="S885" s="1130"/>
      <c r="T885" s="1130"/>
      <c r="U885" s="1130"/>
      <c r="V885" s="1130"/>
      <c r="W885" s="1130"/>
      <c r="X885" s="1130"/>
      <c r="Y885" s="1130"/>
      <c r="Z885" s="1130"/>
    </row>
    <row r="886" spans="1:26" ht="15.75" customHeight="1">
      <c r="A886" s="1129"/>
      <c r="B886" s="1130"/>
      <c r="C886" s="1130"/>
      <c r="D886" s="1130"/>
      <c r="E886" s="1130"/>
      <c r="F886" s="1130"/>
      <c r="G886" s="1130"/>
      <c r="H886" s="1130"/>
      <c r="I886" s="1130"/>
      <c r="J886" s="1130"/>
      <c r="K886" s="1130"/>
      <c r="L886" s="1130"/>
      <c r="M886" s="1130"/>
      <c r="N886" s="1130"/>
      <c r="O886" s="1130"/>
      <c r="P886" s="1130"/>
      <c r="Q886" s="1130"/>
      <c r="R886" s="1130"/>
      <c r="S886" s="1130"/>
      <c r="T886" s="1130"/>
      <c r="U886" s="1130"/>
      <c r="V886" s="1130"/>
      <c r="W886" s="1130"/>
      <c r="X886" s="1130"/>
      <c r="Y886" s="1130"/>
      <c r="Z886" s="1130"/>
    </row>
    <row r="887" spans="1:26" ht="15.75" customHeight="1">
      <c r="A887" s="1129"/>
      <c r="B887" s="1130"/>
      <c r="C887" s="1130"/>
      <c r="D887" s="1130"/>
      <c r="E887" s="1130"/>
      <c r="F887" s="1130"/>
      <c r="G887" s="1130"/>
      <c r="H887" s="1130"/>
      <c r="I887" s="1130"/>
      <c r="J887" s="1130"/>
      <c r="K887" s="1130"/>
      <c r="L887" s="1130"/>
      <c r="M887" s="1130"/>
      <c r="N887" s="1130"/>
      <c r="O887" s="1130"/>
      <c r="P887" s="1130"/>
      <c r="Q887" s="1130"/>
      <c r="R887" s="1130"/>
      <c r="S887" s="1130"/>
      <c r="T887" s="1130"/>
      <c r="U887" s="1130"/>
      <c r="V887" s="1130"/>
      <c r="W887" s="1130"/>
      <c r="X887" s="1130"/>
      <c r="Y887" s="1130"/>
      <c r="Z887" s="1130"/>
    </row>
    <row r="888" spans="1:26" ht="15.75" customHeight="1">
      <c r="A888" s="1129"/>
      <c r="B888" s="1130"/>
      <c r="C888" s="1130"/>
      <c r="D888" s="1130"/>
      <c r="E888" s="1130"/>
      <c r="F888" s="1130"/>
      <c r="G888" s="1130"/>
      <c r="H888" s="1130"/>
      <c r="I888" s="1130"/>
      <c r="J888" s="1130"/>
      <c r="K888" s="1130"/>
      <c r="L888" s="1130"/>
      <c r="M888" s="1130"/>
      <c r="N888" s="1130"/>
      <c r="O888" s="1130"/>
      <c r="P888" s="1130"/>
      <c r="Q888" s="1130"/>
      <c r="R888" s="1130"/>
      <c r="S888" s="1130"/>
      <c r="T888" s="1130"/>
      <c r="U888" s="1130"/>
      <c r="V888" s="1130"/>
      <c r="W888" s="1130"/>
      <c r="X888" s="1130"/>
      <c r="Y888" s="1130"/>
      <c r="Z888" s="1130"/>
    </row>
    <row r="889" spans="1:26" ht="15.75" customHeight="1">
      <c r="A889" s="1129"/>
      <c r="B889" s="1130"/>
      <c r="C889" s="1130"/>
      <c r="D889" s="1130"/>
      <c r="E889" s="1130"/>
      <c r="F889" s="1130"/>
      <c r="G889" s="1130"/>
      <c r="H889" s="1130"/>
      <c r="I889" s="1130"/>
      <c r="J889" s="1130"/>
      <c r="K889" s="1130"/>
      <c r="L889" s="1130"/>
      <c r="M889" s="1130"/>
      <c r="N889" s="1130"/>
      <c r="O889" s="1130"/>
      <c r="P889" s="1130"/>
      <c r="Q889" s="1130"/>
      <c r="R889" s="1130"/>
      <c r="S889" s="1130"/>
      <c r="T889" s="1130"/>
      <c r="U889" s="1130"/>
      <c r="V889" s="1130"/>
      <c r="W889" s="1130"/>
      <c r="X889" s="1130"/>
      <c r="Y889" s="1130"/>
      <c r="Z889" s="1130"/>
    </row>
    <row r="890" spans="1:26" ht="15.75" customHeight="1">
      <c r="A890" s="1129"/>
      <c r="B890" s="1130"/>
      <c r="C890" s="1130"/>
      <c r="D890" s="1130"/>
      <c r="E890" s="1130"/>
      <c r="F890" s="1130"/>
      <c r="G890" s="1130"/>
      <c r="H890" s="1130"/>
      <c r="I890" s="1130"/>
      <c r="J890" s="1130"/>
      <c r="K890" s="1130"/>
      <c r="L890" s="1130"/>
      <c r="M890" s="1130"/>
      <c r="N890" s="1130"/>
      <c r="O890" s="1130"/>
      <c r="P890" s="1130"/>
      <c r="Q890" s="1130"/>
      <c r="R890" s="1130"/>
      <c r="S890" s="1130"/>
      <c r="T890" s="1130"/>
      <c r="U890" s="1130"/>
      <c r="V890" s="1130"/>
      <c r="W890" s="1130"/>
      <c r="X890" s="1130"/>
      <c r="Y890" s="1130"/>
      <c r="Z890" s="1130"/>
    </row>
    <row r="891" spans="1:26" ht="15.75" customHeight="1">
      <c r="A891" s="1129"/>
      <c r="B891" s="1130"/>
      <c r="C891" s="1130"/>
      <c r="D891" s="1130"/>
      <c r="E891" s="1130"/>
      <c r="F891" s="1130"/>
      <c r="G891" s="1130"/>
      <c r="H891" s="1130"/>
      <c r="I891" s="1130"/>
      <c r="J891" s="1130"/>
      <c r="K891" s="1130"/>
      <c r="L891" s="1130"/>
      <c r="M891" s="1130"/>
      <c r="N891" s="1130"/>
      <c r="O891" s="1130"/>
      <c r="P891" s="1130"/>
      <c r="Q891" s="1130"/>
      <c r="R891" s="1130"/>
      <c r="S891" s="1130"/>
      <c r="T891" s="1130"/>
      <c r="U891" s="1130"/>
      <c r="V891" s="1130"/>
      <c r="W891" s="1130"/>
      <c r="X891" s="1130"/>
      <c r="Y891" s="1130"/>
      <c r="Z891" s="1130"/>
    </row>
    <row r="892" spans="1:26" ht="15.75" customHeight="1">
      <c r="A892" s="1129"/>
      <c r="B892" s="1130"/>
      <c r="C892" s="1130"/>
      <c r="D892" s="1130"/>
      <c r="E892" s="1130"/>
      <c r="F892" s="1130"/>
      <c r="G892" s="1130"/>
      <c r="H892" s="1130"/>
      <c r="I892" s="1130"/>
      <c r="J892" s="1130"/>
      <c r="K892" s="1130"/>
      <c r="L892" s="1130"/>
      <c r="M892" s="1130"/>
      <c r="N892" s="1130"/>
      <c r="O892" s="1130"/>
      <c r="P892" s="1130"/>
      <c r="Q892" s="1130"/>
      <c r="R892" s="1130"/>
      <c r="S892" s="1130"/>
      <c r="T892" s="1130"/>
      <c r="U892" s="1130"/>
      <c r="V892" s="1130"/>
      <c r="W892" s="1130"/>
      <c r="X892" s="1130"/>
      <c r="Y892" s="1130"/>
      <c r="Z892" s="1130"/>
    </row>
    <row r="893" spans="1:26" ht="15.75" customHeight="1">
      <c r="A893" s="1129"/>
      <c r="B893" s="1130"/>
      <c r="C893" s="1130"/>
      <c r="D893" s="1130"/>
      <c r="E893" s="1130"/>
      <c r="F893" s="1130"/>
      <c r="G893" s="1130"/>
      <c r="H893" s="1130"/>
      <c r="I893" s="1130"/>
      <c r="J893" s="1130"/>
      <c r="K893" s="1130"/>
      <c r="L893" s="1130"/>
      <c r="M893" s="1130"/>
      <c r="N893" s="1130"/>
      <c r="O893" s="1130"/>
      <c r="P893" s="1130"/>
      <c r="Q893" s="1130"/>
      <c r="R893" s="1130"/>
      <c r="S893" s="1130"/>
      <c r="T893" s="1130"/>
      <c r="U893" s="1130"/>
      <c r="V893" s="1130"/>
      <c r="W893" s="1130"/>
      <c r="X893" s="1130"/>
      <c r="Y893" s="1130"/>
      <c r="Z893" s="1130"/>
    </row>
    <row r="894" spans="1:26" ht="15.75" customHeight="1">
      <c r="A894" s="1129"/>
      <c r="B894" s="1130"/>
      <c r="C894" s="1130"/>
      <c r="D894" s="1130"/>
      <c r="E894" s="1130"/>
      <c r="F894" s="1130"/>
      <c r="G894" s="1130"/>
      <c r="H894" s="1130"/>
      <c r="I894" s="1130"/>
      <c r="J894" s="1130"/>
      <c r="K894" s="1130"/>
      <c r="L894" s="1130"/>
      <c r="M894" s="1130"/>
      <c r="N894" s="1130"/>
      <c r="O894" s="1130"/>
      <c r="P894" s="1130"/>
      <c r="Q894" s="1130"/>
      <c r="R894" s="1130"/>
      <c r="S894" s="1130"/>
      <c r="T894" s="1130"/>
      <c r="U894" s="1130"/>
      <c r="V894" s="1130"/>
      <c r="W894" s="1130"/>
      <c r="X894" s="1130"/>
      <c r="Y894" s="1130"/>
      <c r="Z894" s="1130"/>
    </row>
    <row r="895" spans="1:26" ht="15.75" customHeight="1">
      <c r="A895" s="1129"/>
      <c r="B895" s="1130"/>
      <c r="C895" s="1130"/>
      <c r="D895" s="1130"/>
      <c r="E895" s="1130"/>
      <c r="F895" s="1130"/>
      <c r="G895" s="1130"/>
      <c r="H895" s="1130"/>
      <c r="I895" s="1130"/>
      <c r="J895" s="1130"/>
      <c r="K895" s="1130"/>
      <c r="L895" s="1130"/>
      <c r="M895" s="1130"/>
      <c r="N895" s="1130"/>
      <c r="O895" s="1130"/>
      <c r="P895" s="1130"/>
      <c r="Q895" s="1130"/>
      <c r="R895" s="1130"/>
      <c r="S895" s="1130"/>
      <c r="T895" s="1130"/>
      <c r="U895" s="1130"/>
      <c r="V895" s="1130"/>
      <c r="W895" s="1130"/>
      <c r="X895" s="1130"/>
      <c r="Y895" s="1130"/>
      <c r="Z895" s="1130"/>
    </row>
    <row r="896" spans="1:26" ht="15.75" customHeight="1">
      <c r="A896" s="1129"/>
      <c r="B896" s="1130"/>
      <c r="C896" s="1130"/>
      <c r="D896" s="1130"/>
      <c r="E896" s="1130"/>
      <c r="F896" s="1130"/>
      <c r="G896" s="1130"/>
      <c r="H896" s="1130"/>
      <c r="I896" s="1130"/>
      <c r="J896" s="1130"/>
      <c r="K896" s="1130"/>
      <c r="L896" s="1130"/>
      <c r="M896" s="1130"/>
      <c r="N896" s="1130"/>
      <c r="O896" s="1130"/>
      <c r="P896" s="1130"/>
      <c r="Q896" s="1130"/>
      <c r="R896" s="1130"/>
      <c r="S896" s="1130"/>
      <c r="T896" s="1130"/>
      <c r="U896" s="1130"/>
      <c r="V896" s="1130"/>
      <c r="W896" s="1130"/>
      <c r="X896" s="1130"/>
      <c r="Y896" s="1130"/>
      <c r="Z896" s="1130"/>
    </row>
    <row r="897" spans="1:26" ht="15.75" customHeight="1">
      <c r="A897" s="1129"/>
      <c r="B897" s="1130"/>
      <c r="C897" s="1130"/>
      <c r="D897" s="1130"/>
      <c r="E897" s="1130"/>
      <c r="F897" s="1130"/>
      <c r="G897" s="1130"/>
      <c r="H897" s="1130"/>
      <c r="I897" s="1130"/>
      <c r="J897" s="1130"/>
      <c r="K897" s="1130"/>
      <c r="L897" s="1130"/>
      <c r="M897" s="1130"/>
      <c r="N897" s="1130"/>
      <c r="O897" s="1130"/>
      <c r="P897" s="1130"/>
      <c r="Q897" s="1130"/>
      <c r="R897" s="1130"/>
      <c r="S897" s="1130"/>
      <c r="T897" s="1130"/>
      <c r="U897" s="1130"/>
      <c r="V897" s="1130"/>
      <c r="W897" s="1130"/>
      <c r="X897" s="1130"/>
      <c r="Y897" s="1130"/>
      <c r="Z897" s="1130"/>
    </row>
    <row r="898" spans="1:26" ht="15.75" customHeight="1">
      <c r="A898" s="1129"/>
      <c r="B898" s="1130"/>
      <c r="C898" s="1130"/>
      <c r="D898" s="1130"/>
      <c r="E898" s="1130"/>
      <c r="F898" s="1130"/>
      <c r="G898" s="1130"/>
      <c r="H898" s="1130"/>
      <c r="I898" s="1130"/>
      <c r="J898" s="1130"/>
      <c r="K898" s="1130"/>
      <c r="L898" s="1130"/>
      <c r="M898" s="1130"/>
      <c r="N898" s="1130"/>
      <c r="O898" s="1130"/>
      <c r="P898" s="1130"/>
      <c r="Q898" s="1130"/>
      <c r="R898" s="1130"/>
      <c r="S898" s="1130"/>
      <c r="T898" s="1130"/>
      <c r="U898" s="1130"/>
      <c r="V898" s="1130"/>
      <c r="W898" s="1130"/>
      <c r="X898" s="1130"/>
      <c r="Y898" s="1130"/>
      <c r="Z898" s="1130"/>
    </row>
    <row r="899" spans="1:26" ht="15.75" customHeight="1">
      <c r="A899" s="1129"/>
      <c r="B899" s="1130"/>
      <c r="C899" s="1130"/>
      <c r="D899" s="1130"/>
      <c r="E899" s="1130"/>
      <c r="F899" s="1130"/>
      <c r="G899" s="1130"/>
      <c r="H899" s="1130"/>
      <c r="I899" s="1130"/>
      <c r="J899" s="1130"/>
      <c r="K899" s="1130"/>
      <c r="L899" s="1130"/>
      <c r="M899" s="1130"/>
      <c r="N899" s="1130"/>
      <c r="O899" s="1130"/>
      <c r="P899" s="1130"/>
      <c r="Q899" s="1130"/>
      <c r="R899" s="1130"/>
      <c r="S899" s="1130"/>
      <c r="T899" s="1130"/>
      <c r="U899" s="1130"/>
      <c r="V899" s="1130"/>
      <c r="W899" s="1130"/>
      <c r="X899" s="1130"/>
      <c r="Y899" s="1130"/>
      <c r="Z899" s="1130"/>
    </row>
    <row r="900" spans="1:26" ht="15.75" customHeight="1">
      <c r="A900" s="1129"/>
      <c r="B900" s="1130"/>
      <c r="C900" s="1130"/>
      <c r="D900" s="1130"/>
      <c r="E900" s="1130"/>
      <c r="F900" s="1130"/>
      <c r="G900" s="1130"/>
      <c r="H900" s="1130"/>
      <c r="I900" s="1130"/>
      <c r="J900" s="1130"/>
      <c r="K900" s="1130"/>
      <c r="L900" s="1130"/>
      <c r="M900" s="1130"/>
      <c r="N900" s="1130"/>
      <c r="O900" s="1130"/>
      <c r="P900" s="1130"/>
      <c r="Q900" s="1130"/>
      <c r="R900" s="1130"/>
      <c r="S900" s="1130"/>
      <c r="T900" s="1130"/>
      <c r="U900" s="1130"/>
      <c r="V900" s="1130"/>
      <c r="W900" s="1130"/>
      <c r="X900" s="1130"/>
      <c r="Y900" s="1130"/>
      <c r="Z900" s="1130"/>
    </row>
    <row r="901" spans="1:26" ht="15.75" customHeight="1">
      <c r="A901" s="1129"/>
      <c r="B901" s="1130"/>
      <c r="C901" s="1130"/>
      <c r="D901" s="1130"/>
      <c r="E901" s="1130"/>
      <c r="F901" s="1130"/>
      <c r="G901" s="1130"/>
      <c r="H901" s="1130"/>
      <c r="I901" s="1130"/>
      <c r="J901" s="1130"/>
      <c r="K901" s="1130"/>
      <c r="L901" s="1130"/>
      <c r="M901" s="1130"/>
      <c r="N901" s="1130"/>
      <c r="O901" s="1130"/>
      <c r="P901" s="1130"/>
      <c r="Q901" s="1130"/>
      <c r="R901" s="1130"/>
      <c r="S901" s="1130"/>
      <c r="T901" s="1130"/>
      <c r="U901" s="1130"/>
      <c r="V901" s="1130"/>
      <c r="W901" s="1130"/>
      <c r="X901" s="1130"/>
      <c r="Y901" s="1130"/>
      <c r="Z901" s="1130"/>
    </row>
    <row r="902" spans="1:26" ht="15.75" customHeight="1">
      <c r="A902" s="1129"/>
      <c r="B902" s="1130"/>
      <c r="C902" s="1130"/>
      <c r="D902" s="1130"/>
      <c r="E902" s="1130"/>
      <c r="F902" s="1130"/>
      <c r="G902" s="1130"/>
      <c r="H902" s="1130"/>
      <c r="I902" s="1130"/>
      <c r="J902" s="1130"/>
      <c r="K902" s="1130"/>
      <c r="L902" s="1130"/>
      <c r="M902" s="1130"/>
      <c r="N902" s="1130"/>
      <c r="O902" s="1130"/>
      <c r="P902" s="1130"/>
      <c r="Q902" s="1130"/>
      <c r="R902" s="1130"/>
      <c r="S902" s="1130"/>
      <c r="T902" s="1130"/>
      <c r="U902" s="1130"/>
      <c r="V902" s="1130"/>
      <c r="W902" s="1130"/>
      <c r="X902" s="1130"/>
      <c r="Y902" s="1130"/>
      <c r="Z902" s="1130"/>
    </row>
    <row r="903" spans="1:26" ht="15.75" customHeight="1">
      <c r="A903" s="1129"/>
      <c r="B903" s="1130"/>
      <c r="C903" s="1130"/>
      <c r="D903" s="1130"/>
      <c r="E903" s="1130"/>
      <c r="F903" s="1130"/>
      <c r="G903" s="1130"/>
      <c r="H903" s="1130"/>
      <c r="I903" s="1130"/>
      <c r="J903" s="1130"/>
      <c r="K903" s="1130"/>
      <c r="L903" s="1130"/>
      <c r="M903" s="1130"/>
      <c r="N903" s="1130"/>
      <c r="O903" s="1130"/>
      <c r="P903" s="1130"/>
      <c r="Q903" s="1130"/>
      <c r="R903" s="1130"/>
      <c r="S903" s="1130"/>
      <c r="T903" s="1130"/>
      <c r="U903" s="1130"/>
      <c r="V903" s="1130"/>
      <c r="W903" s="1130"/>
      <c r="X903" s="1130"/>
      <c r="Y903" s="1130"/>
      <c r="Z903" s="1130"/>
    </row>
    <row r="904" spans="1:26" ht="15.75" customHeight="1">
      <c r="A904" s="1129"/>
      <c r="B904" s="1130"/>
      <c r="C904" s="1130"/>
      <c r="D904" s="1130"/>
      <c r="E904" s="1130"/>
      <c r="F904" s="1130"/>
      <c r="G904" s="1130"/>
      <c r="H904" s="1130"/>
      <c r="I904" s="1130"/>
      <c r="J904" s="1130"/>
      <c r="K904" s="1130"/>
      <c r="L904" s="1130"/>
      <c r="M904" s="1130"/>
      <c r="N904" s="1130"/>
      <c r="O904" s="1130"/>
      <c r="P904" s="1130"/>
      <c r="Q904" s="1130"/>
      <c r="R904" s="1130"/>
      <c r="S904" s="1130"/>
      <c r="T904" s="1130"/>
      <c r="U904" s="1130"/>
      <c r="V904" s="1130"/>
      <c r="W904" s="1130"/>
      <c r="X904" s="1130"/>
      <c r="Y904" s="1130"/>
      <c r="Z904" s="1130"/>
    </row>
    <row r="905" spans="1:26" ht="15.75" customHeight="1">
      <c r="A905" s="1129"/>
      <c r="B905" s="1130"/>
      <c r="C905" s="1130"/>
      <c r="D905" s="1130"/>
      <c r="E905" s="1130"/>
      <c r="F905" s="1130"/>
      <c r="G905" s="1130"/>
      <c r="H905" s="1130"/>
      <c r="I905" s="1130"/>
      <c r="J905" s="1130"/>
      <c r="K905" s="1130"/>
      <c r="L905" s="1130"/>
      <c r="M905" s="1130"/>
      <c r="N905" s="1130"/>
      <c r="O905" s="1130"/>
      <c r="P905" s="1130"/>
      <c r="Q905" s="1130"/>
      <c r="R905" s="1130"/>
      <c r="S905" s="1130"/>
      <c r="T905" s="1130"/>
      <c r="U905" s="1130"/>
      <c r="V905" s="1130"/>
      <c r="W905" s="1130"/>
      <c r="X905" s="1130"/>
      <c r="Y905" s="1130"/>
      <c r="Z905" s="1130"/>
    </row>
    <row r="906" spans="1:26" ht="15.75" customHeight="1">
      <c r="A906" s="1129"/>
      <c r="B906" s="1130"/>
      <c r="C906" s="1130"/>
      <c r="D906" s="1130"/>
      <c r="E906" s="1130"/>
      <c r="F906" s="1130"/>
      <c r="G906" s="1130"/>
      <c r="H906" s="1130"/>
      <c r="I906" s="1130"/>
      <c r="J906" s="1130"/>
      <c r="K906" s="1130"/>
      <c r="L906" s="1130"/>
      <c r="M906" s="1130"/>
      <c r="N906" s="1130"/>
      <c r="O906" s="1130"/>
      <c r="P906" s="1130"/>
      <c r="Q906" s="1130"/>
      <c r="R906" s="1130"/>
      <c r="S906" s="1130"/>
      <c r="T906" s="1130"/>
      <c r="U906" s="1130"/>
      <c r="V906" s="1130"/>
      <c r="W906" s="1130"/>
      <c r="X906" s="1130"/>
      <c r="Y906" s="1130"/>
      <c r="Z906" s="1130"/>
    </row>
    <row r="907" spans="1:26" ht="15.75" customHeight="1">
      <c r="A907" s="1129"/>
      <c r="B907" s="1130"/>
      <c r="C907" s="1130"/>
      <c r="D907" s="1130"/>
      <c r="E907" s="1130"/>
      <c r="F907" s="1130"/>
      <c r="G907" s="1130"/>
      <c r="H907" s="1130"/>
      <c r="I907" s="1130"/>
      <c r="J907" s="1130"/>
      <c r="K907" s="1130"/>
      <c r="L907" s="1130"/>
      <c r="M907" s="1130"/>
      <c r="N907" s="1130"/>
      <c r="O907" s="1130"/>
      <c r="P907" s="1130"/>
      <c r="Q907" s="1130"/>
      <c r="R907" s="1130"/>
      <c r="S907" s="1130"/>
      <c r="T907" s="1130"/>
      <c r="U907" s="1130"/>
      <c r="V907" s="1130"/>
      <c r="W907" s="1130"/>
      <c r="X907" s="1130"/>
      <c r="Y907" s="1130"/>
      <c r="Z907" s="1130"/>
    </row>
    <row r="908" spans="1:26" ht="15.75" customHeight="1">
      <c r="A908" s="1129"/>
      <c r="B908" s="1130"/>
      <c r="C908" s="1130"/>
      <c r="D908" s="1130"/>
      <c r="E908" s="1130"/>
      <c r="F908" s="1130"/>
      <c r="G908" s="1130"/>
      <c r="H908" s="1130"/>
      <c r="I908" s="1130"/>
      <c r="J908" s="1130"/>
      <c r="K908" s="1130"/>
      <c r="L908" s="1130"/>
      <c r="M908" s="1130"/>
      <c r="N908" s="1130"/>
      <c r="O908" s="1130"/>
      <c r="P908" s="1130"/>
      <c r="Q908" s="1130"/>
      <c r="R908" s="1130"/>
      <c r="S908" s="1130"/>
      <c r="T908" s="1130"/>
      <c r="U908" s="1130"/>
      <c r="V908" s="1130"/>
      <c r="W908" s="1130"/>
      <c r="X908" s="1130"/>
      <c r="Y908" s="1130"/>
      <c r="Z908" s="1130"/>
    </row>
    <row r="909" spans="1:26" ht="15.75" customHeight="1">
      <c r="A909" s="1129"/>
      <c r="B909" s="1130"/>
      <c r="C909" s="1130"/>
      <c r="D909" s="1130"/>
      <c r="E909" s="1130"/>
      <c r="F909" s="1130"/>
      <c r="G909" s="1130"/>
      <c r="H909" s="1130"/>
      <c r="I909" s="1130"/>
      <c r="J909" s="1130"/>
      <c r="K909" s="1130"/>
      <c r="L909" s="1130"/>
      <c r="M909" s="1130"/>
      <c r="N909" s="1130"/>
      <c r="O909" s="1130"/>
      <c r="P909" s="1130"/>
      <c r="Q909" s="1130"/>
      <c r="R909" s="1130"/>
      <c r="S909" s="1130"/>
      <c r="T909" s="1130"/>
      <c r="U909" s="1130"/>
      <c r="V909" s="1130"/>
      <c r="W909" s="1130"/>
      <c r="X909" s="1130"/>
      <c r="Y909" s="1130"/>
      <c r="Z909" s="1130"/>
    </row>
    <row r="910" spans="1:26" ht="15.75" customHeight="1">
      <c r="A910" s="1129"/>
      <c r="B910" s="1130"/>
      <c r="C910" s="1130"/>
      <c r="D910" s="1130"/>
      <c r="E910" s="1130"/>
      <c r="F910" s="1130"/>
      <c r="G910" s="1130"/>
      <c r="H910" s="1130"/>
      <c r="I910" s="1130"/>
      <c r="J910" s="1130"/>
      <c r="K910" s="1130"/>
      <c r="L910" s="1130"/>
      <c r="M910" s="1130"/>
      <c r="N910" s="1130"/>
      <c r="O910" s="1130"/>
      <c r="P910" s="1130"/>
      <c r="Q910" s="1130"/>
      <c r="R910" s="1130"/>
      <c r="S910" s="1130"/>
      <c r="T910" s="1130"/>
      <c r="U910" s="1130"/>
      <c r="V910" s="1130"/>
      <c r="W910" s="1130"/>
      <c r="X910" s="1130"/>
      <c r="Y910" s="1130"/>
      <c r="Z910" s="1130"/>
    </row>
    <row r="911" spans="1:26" ht="15.75" customHeight="1">
      <c r="A911" s="1129"/>
      <c r="B911" s="1130"/>
      <c r="C911" s="1130"/>
      <c r="D911" s="1130"/>
      <c r="E911" s="1130"/>
      <c r="F911" s="1130"/>
      <c r="G911" s="1130"/>
      <c r="H911" s="1130"/>
      <c r="I911" s="1130"/>
      <c r="J911" s="1130"/>
      <c r="K911" s="1130"/>
      <c r="L911" s="1130"/>
      <c r="M911" s="1130"/>
      <c r="N911" s="1130"/>
      <c r="O911" s="1130"/>
      <c r="P911" s="1130"/>
      <c r="Q911" s="1130"/>
      <c r="R911" s="1130"/>
      <c r="S911" s="1130"/>
      <c r="T911" s="1130"/>
      <c r="U911" s="1130"/>
      <c r="V911" s="1130"/>
      <c r="W911" s="1130"/>
      <c r="X911" s="1130"/>
      <c r="Y911" s="1130"/>
      <c r="Z911" s="1130"/>
    </row>
    <row r="912" spans="1:26" ht="15.75" customHeight="1">
      <c r="A912" s="1129"/>
      <c r="B912" s="1130"/>
      <c r="C912" s="1130"/>
      <c r="D912" s="1130"/>
      <c r="E912" s="1130"/>
      <c r="F912" s="1130"/>
      <c r="G912" s="1130"/>
      <c r="H912" s="1130"/>
      <c r="I912" s="1130"/>
      <c r="J912" s="1130"/>
      <c r="K912" s="1130"/>
      <c r="L912" s="1130"/>
      <c r="M912" s="1130"/>
      <c r="N912" s="1130"/>
      <c r="O912" s="1130"/>
      <c r="P912" s="1130"/>
      <c r="Q912" s="1130"/>
      <c r="R912" s="1130"/>
      <c r="S912" s="1130"/>
      <c r="T912" s="1130"/>
      <c r="U912" s="1130"/>
      <c r="V912" s="1130"/>
      <c r="W912" s="1130"/>
      <c r="X912" s="1130"/>
      <c r="Y912" s="1130"/>
      <c r="Z912" s="1130"/>
    </row>
    <row r="913" spans="1:26" ht="15.75" customHeight="1">
      <c r="A913" s="1129"/>
      <c r="B913" s="1130"/>
      <c r="C913" s="1130"/>
      <c r="D913" s="1130"/>
      <c r="E913" s="1130"/>
      <c r="F913" s="1130"/>
      <c r="G913" s="1130"/>
      <c r="H913" s="1130"/>
      <c r="I913" s="1130"/>
      <c r="J913" s="1130"/>
      <c r="K913" s="1130"/>
      <c r="L913" s="1130"/>
      <c r="M913" s="1130"/>
      <c r="N913" s="1130"/>
      <c r="O913" s="1130"/>
      <c r="P913" s="1130"/>
      <c r="Q913" s="1130"/>
      <c r="R913" s="1130"/>
      <c r="S913" s="1130"/>
      <c r="T913" s="1130"/>
      <c r="U913" s="1130"/>
      <c r="V913" s="1130"/>
      <c r="W913" s="1130"/>
      <c r="X913" s="1130"/>
      <c r="Y913" s="1130"/>
      <c r="Z913" s="1130"/>
    </row>
    <row r="914" spans="1:26" ht="15.75" customHeight="1">
      <c r="A914" s="1129"/>
      <c r="B914" s="1130"/>
      <c r="C914" s="1130"/>
      <c r="D914" s="1130"/>
      <c r="E914" s="1130"/>
      <c r="F914" s="1130"/>
      <c r="G914" s="1130"/>
      <c r="H914" s="1130"/>
      <c r="I914" s="1130"/>
      <c r="J914" s="1130"/>
      <c r="K914" s="1130"/>
      <c r="L914" s="1130"/>
      <c r="M914" s="1130"/>
      <c r="N914" s="1130"/>
      <c r="O914" s="1130"/>
      <c r="P914" s="1130"/>
      <c r="Q914" s="1130"/>
      <c r="R914" s="1130"/>
      <c r="S914" s="1130"/>
      <c r="T914" s="1130"/>
      <c r="U914" s="1130"/>
      <c r="V914" s="1130"/>
      <c r="W914" s="1130"/>
      <c r="X914" s="1130"/>
      <c r="Y914" s="1130"/>
      <c r="Z914" s="1130"/>
    </row>
    <row r="915" spans="1:26" ht="15.75" customHeight="1">
      <c r="A915" s="1129"/>
      <c r="B915" s="1130"/>
      <c r="C915" s="1130"/>
      <c r="D915" s="1130"/>
      <c r="E915" s="1130"/>
      <c r="F915" s="1130"/>
      <c r="G915" s="1130"/>
      <c r="H915" s="1130"/>
      <c r="I915" s="1130"/>
      <c r="J915" s="1130"/>
      <c r="K915" s="1130"/>
      <c r="L915" s="1130"/>
      <c r="M915" s="1130"/>
      <c r="N915" s="1130"/>
      <c r="O915" s="1130"/>
      <c r="P915" s="1130"/>
      <c r="Q915" s="1130"/>
      <c r="R915" s="1130"/>
      <c r="S915" s="1130"/>
      <c r="T915" s="1130"/>
      <c r="U915" s="1130"/>
      <c r="V915" s="1130"/>
      <c r="W915" s="1130"/>
      <c r="X915" s="1130"/>
      <c r="Y915" s="1130"/>
      <c r="Z915" s="1130"/>
    </row>
    <row r="916" spans="1:26" ht="15.75" customHeight="1">
      <c r="A916" s="1129"/>
      <c r="B916" s="1130"/>
      <c r="C916" s="1130"/>
      <c r="D916" s="1130"/>
      <c r="E916" s="1130"/>
      <c r="F916" s="1130"/>
      <c r="G916" s="1130"/>
      <c r="H916" s="1130"/>
      <c r="I916" s="1130"/>
      <c r="J916" s="1130"/>
      <c r="K916" s="1130"/>
      <c r="L916" s="1130"/>
      <c r="M916" s="1130"/>
      <c r="N916" s="1130"/>
      <c r="O916" s="1130"/>
      <c r="P916" s="1130"/>
      <c r="Q916" s="1130"/>
      <c r="R916" s="1130"/>
      <c r="S916" s="1130"/>
      <c r="T916" s="1130"/>
      <c r="U916" s="1130"/>
      <c r="V916" s="1130"/>
      <c r="W916" s="1130"/>
      <c r="X916" s="1130"/>
      <c r="Y916" s="1130"/>
      <c r="Z916" s="1130"/>
    </row>
    <row r="917" spans="1:26" ht="15.75" customHeight="1">
      <c r="A917" s="1129"/>
      <c r="B917" s="1130"/>
      <c r="C917" s="1130"/>
      <c r="D917" s="1130"/>
      <c r="E917" s="1130"/>
      <c r="F917" s="1130"/>
      <c r="G917" s="1130"/>
      <c r="H917" s="1130"/>
      <c r="I917" s="1130"/>
      <c r="J917" s="1130"/>
      <c r="K917" s="1130"/>
      <c r="L917" s="1130"/>
      <c r="M917" s="1130"/>
      <c r="N917" s="1130"/>
      <c r="O917" s="1130"/>
      <c r="P917" s="1130"/>
      <c r="Q917" s="1130"/>
      <c r="R917" s="1130"/>
      <c r="S917" s="1130"/>
      <c r="T917" s="1130"/>
      <c r="U917" s="1130"/>
      <c r="V917" s="1130"/>
      <c r="W917" s="1130"/>
      <c r="X917" s="1130"/>
      <c r="Y917" s="1130"/>
      <c r="Z917" s="1130"/>
    </row>
    <row r="918" spans="1:26" ht="15.75" customHeight="1">
      <c r="A918" s="1129"/>
      <c r="B918" s="1130"/>
      <c r="C918" s="1130"/>
      <c r="D918" s="1130"/>
      <c r="E918" s="1130"/>
      <c r="F918" s="1130"/>
      <c r="G918" s="1130"/>
      <c r="H918" s="1130"/>
      <c r="I918" s="1130"/>
      <c r="J918" s="1130"/>
      <c r="K918" s="1130"/>
      <c r="L918" s="1130"/>
      <c r="M918" s="1130"/>
      <c r="N918" s="1130"/>
      <c r="O918" s="1130"/>
      <c r="P918" s="1130"/>
      <c r="Q918" s="1130"/>
      <c r="R918" s="1130"/>
      <c r="S918" s="1130"/>
      <c r="T918" s="1130"/>
      <c r="U918" s="1130"/>
      <c r="V918" s="1130"/>
      <c r="W918" s="1130"/>
      <c r="X918" s="1130"/>
      <c r="Y918" s="1130"/>
      <c r="Z918" s="1130"/>
    </row>
    <row r="919" spans="1:26" ht="15.75" customHeight="1">
      <c r="A919" s="1129"/>
      <c r="B919" s="1130"/>
      <c r="C919" s="1130"/>
      <c r="D919" s="1130"/>
      <c r="E919" s="1130"/>
      <c r="F919" s="1130"/>
      <c r="G919" s="1130"/>
      <c r="H919" s="1130"/>
      <c r="I919" s="1130"/>
      <c r="J919" s="1130"/>
      <c r="K919" s="1130"/>
      <c r="L919" s="1130"/>
      <c r="M919" s="1130"/>
      <c r="N919" s="1130"/>
      <c r="O919" s="1130"/>
      <c r="P919" s="1130"/>
      <c r="Q919" s="1130"/>
      <c r="R919" s="1130"/>
      <c r="S919" s="1130"/>
      <c r="T919" s="1130"/>
      <c r="U919" s="1130"/>
      <c r="V919" s="1130"/>
      <c r="W919" s="1130"/>
      <c r="X919" s="1130"/>
      <c r="Y919" s="1130"/>
      <c r="Z919" s="1130"/>
    </row>
    <row r="920" spans="1:26" ht="15.75" customHeight="1">
      <c r="A920" s="1129"/>
      <c r="B920" s="1130"/>
      <c r="C920" s="1130"/>
      <c r="D920" s="1130"/>
      <c r="E920" s="1130"/>
      <c r="F920" s="1130"/>
      <c r="G920" s="1130"/>
      <c r="H920" s="1130"/>
      <c r="I920" s="1130"/>
      <c r="J920" s="1130"/>
      <c r="K920" s="1130"/>
      <c r="L920" s="1130"/>
      <c r="M920" s="1130"/>
      <c r="N920" s="1130"/>
      <c r="O920" s="1130"/>
      <c r="P920" s="1130"/>
      <c r="Q920" s="1130"/>
      <c r="R920" s="1130"/>
      <c r="S920" s="1130"/>
      <c r="T920" s="1130"/>
      <c r="U920" s="1130"/>
      <c r="V920" s="1130"/>
      <c r="W920" s="1130"/>
      <c r="X920" s="1130"/>
      <c r="Y920" s="1130"/>
      <c r="Z920" s="1130"/>
    </row>
    <row r="921" spans="1:26" ht="15.75" customHeight="1">
      <c r="A921" s="1129"/>
      <c r="B921" s="1130"/>
      <c r="C921" s="1130"/>
      <c r="D921" s="1130"/>
      <c r="E921" s="1130"/>
      <c r="F921" s="1130"/>
      <c r="G921" s="1130"/>
      <c r="H921" s="1130"/>
      <c r="I921" s="1130"/>
      <c r="J921" s="1130"/>
      <c r="K921" s="1130"/>
      <c r="L921" s="1130"/>
      <c r="M921" s="1130"/>
      <c r="N921" s="1130"/>
      <c r="O921" s="1130"/>
      <c r="P921" s="1130"/>
      <c r="Q921" s="1130"/>
      <c r="R921" s="1130"/>
      <c r="S921" s="1130"/>
      <c r="T921" s="1130"/>
      <c r="U921" s="1130"/>
      <c r="V921" s="1130"/>
      <c r="W921" s="1130"/>
      <c r="X921" s="1130"/>
      <c r="Y921" s="1130"/>
      <c r="Z921" s="1130"/>
    </row>
    <row r="922" spans="1:26" ht="15.75" customHeight="1">
      <c r="A922" s="1129"/>
      <c r="B922" s="1130"/>
      <c r="C922" s="1130"/>
      <c r="D922" s="1130"/>
      <c r="E922" s="1130"/>
      <c r="F922" s="1130"/>
      <c r="G922" s="1130"/>
      <c r="H922" s="1130"/>
      <c r="I922" s="1130"/>
      <c r="J922" s="1130"/>
      <c r="K922" s="1130"/>
      <c r="L922" s="1130"/>
      <c r="M922" s="1130"/>
      <c r="N922" s="1130"/>
      <c r="O922" s="1130"/>
      <c r="P922" s="1130"/>
      <c r="Q922" s="1130"/>
      <c r="R922" s="1130"/>
      <c r="S922" s="1130"/>
      <c r="T922" s="1130"/>
      <c r="U922" s="1130"/>
      <c r="V922" s="1130"/>
      <c r="W922" s="1130"/>
      <c r="X922" s="1130"/>
      <c r="Y922" s="1130"/>
      <c r="Z922" s="1130"/>
    </row>
    <row r="923" spans="1:26" ht="15.75" customHeight="1">
      <c r="A923" s="1129"/>
      <c r="B923" s="1130"/>
      <c r="C923" s="1130"/>
      <c r="D923" s="1130"/>
      <c r="E923" s="1130"/>
      <c r="F923" s="1130"/>
      <c r="G923" s="1130"/>
      <c r="H923" s="1130"/>
      <c r="I923" s="1130"/>
      <c r="J923" s="1130"/>
      <c r="K923" s="1130"/>
      <c r="L923" s="1130"/>
      <c r="M923" s="1130"/>
      <c r="N923" s="1130"/>
      <c r="O923" s="1130"/>
      <c r="P923" s="1130"/>
      <c r="Q923" s="1130"/>
      <c r="R923" s="1130"/>
      <c r="S923" s="1130"/>
      <c r="T923" s="1130"/>
      <c r="U923" s="1130"/>
      <c r="V923" s="1130"/>
      <c r="W923" s="1130"/>
      <c r="X923" s="1130"/>
      <c r="Y923" s="1130"/>
      <c r="Z923" s="1130"/>
    </row>
    <row r="924" spans="1:26" ht="15.75" customHeight="1">
      <c r="A924" s="1129"/>
      <c r="B924" s="1130"/>
      <c r="C924" s="1130"/>
      <c r="D924" s="1130"/>
      <c r="E924" s="1130"/>
      <c r="F924" s="1130"/>
      <c r="G924" s="1130"/>
      <c r="H924" s="1130"/>
      <c r="I924" s="1130"/>
      <c r="J924" s="1130"/>
      <c r="K924" s="1130"/>
      <c r="L924" s="1130"/>
      <c r="M924" s="1130"/>
      <c r="N924" s="1130"/>
      <c r="O924" s="1130"/>
      <c r="P924" s="1130"/>
      <c r="Q924" s="1130"/>
      <c r="R924" s="1130"/>
      <c r="S924" s="1130"/>
      <c r="T924" s="1130"/>
      <c r="U924" s="1130"/>
      <c r="V924" s="1130"/>
      <c r="W924" s="1130"/>
      <c r="X924" s="1130"/>
      <c r="Y924" s="1130"/>
      <c r="Z924" s="1130"/>
    </row>
    <row r="925" spans="1:26" ht="15.75" customHeight="1">
      <c r="A925" s="1129"/>
      <c r="B925" s="1130"/>
      <c r="C925" s="1130"/>
      <c r="D925" s="1130"/>
      <c r="E925" s="1130"/>
      <c r="F925" s="1130"/>
      <c r="G925" s="1130"/>
      <c r="H925" s="1130"/>
      <c r="I925" s="1130"/>
      <c r="J925" s="1130"/>
      <c r="K925" s="1130"/>
      <c r="L925" s="1130"/>
      <c r="M925" s="1130"/>
      <c r="N925" s="1130"/>
      <c r="O925" s="1130"/>
      <c r="P925" s="1130"/>
      <c r="Q925" s="1130"/>
      <c r="R925" s="1130"/>
      <c r="S925" s="1130"/>
      <c r="T925" s="1130"/>
      <c r="U925" s="1130"/>
      <c r="V925" s="1130"/>
      <c r="W925" s="1130"/>
      <c r="X925" s="1130"/>
      <c r="Y925" s="1130"/>
      <c r="Z925" s="1130"/>
    </row>
    <row r="926" spans="1:26" ht="15.75" customHeight="1">
      <c r="A926" s="1129"/>
      <c r="B926" s="1130"/>
      <c r="C926" s="1130"/>
      <c r="D926" s="1130"/>
      <c r="E926" s="1130"/>
      <c r="F926" s="1130"/>
      <c r="G926" s="1130"/>
      <c r="H926" s="1130"/>
      <c r="I926" s="1130"/>
      <c r="J926" s="1130"/>
      <c r="K926" s="1130"/>
      <c r="L926" s="1130"/>
      <c r="M926" s="1130"/>
      <c r="N926" s="1130"/>
      <c r="O926" s="1130"/>
      <c r="P926" s="1130"/>
      <c r="Q926" s="1130"/>
      <c r="R926" s="1130"/>
      <c r="S926" s="1130"/>
      <c r="T926" s="1130"/>
      <c r="U926" s="1130"/>
      <c r="V926" s="1130"/>
      <c r="W926" s="1130"/>
      <c r="X926" s="1130"/>
      <c r="Y926" s="1130"/>
      <c r="Z926" s="1130"/>
    </row>
    <row r="927" spans="1:26" ht="15.75" customHeight="1">
      <c r="A927" s="1129"/>
      <c r="B927" s="1130"/>
      <c r="C927" s="1130"/>
      <c r="D927" s="1130"/>
      <c r="E927" s="1130"/>
      <c r="F927" s="1130"/>
      <c r="G927" s="1130"/>
      <c r="H927" s="1130"/>
      <c r="I927" s="1130"/>
      <c r="J927" s="1130"/>
      <c r="K927" s="1130"/>
      <c r="L927" s="1130"/>
      <c r="M927" s="1130"/>
      <c r="N927" s="1130"/>
      <c r="O927" s="1130"/>
      <c r="P927" s="1130"/>
      <c r="Q927" s="1130"/>
      <c r="R927" s="1130"/>
      <c r="S927" s="1130"/>
      <c r="T927" s="1130"/>
      <c r="U927" s="1130"/>
      <c r="V927" s="1130"/>
      <c r="W927" s="1130"/>
      <c r="X927" s="1130"/>
      <c r="Y927" s="1130"/>
      <c r="Z927" s="1130"/>
    </row>
    <row r="928" spans="1:26" ht="15.75" customHeight="1">
      <c r="A928" s="1129"/>
      <c r="B928" s="1130"/>
      <c r="C928" s="1130"/>
      <c r="D928" s="1130"/>
      <c r="E928" s="1130"/>
      <c r="F928" s="1130"/>
      <c r="G928" s="1130"/>
      <c r="H928" s="1130"/>
      <c r="I928" s="1130"/>
      <c r="J928" s="1130"/>
      <c r="K928" s="1130"/>
      <c r="L928" s="1130"/>
      <c r="M928" s="1130"/>
      <c r="N928" s="1130"/>
      <c r="O928" s="1130"/>
      <c r="P928" s="1130"/>
      <c r="Q928" s="1130"/>
      <c r="R928" s="1130"/>
      <c r="S928" s="1130"/>
      <c r="T928" s="1130"/>
      <c r="U928" s="1130"/>
      <c r="V928" s="1130"/>
      <c r="W928" s="1130"/>
      <c r="X928" s="1130"/>
      <c r="Y928" s="1130"/>
      <c r="Z928" s="1130"/>
    </row>
    <row r="929" spans="1:26" ht="15.75" customHeight="1">
      <c r="A929" s="1129"/>
      <c r="B929" s="1130"/>
      <c r="C929" s="1130"/>
      <c r="D929" s="1130"/>
      <c r="E929" s="1130"/>
      <c r="F929" s="1130"/>
      <c r="G929" s="1130"/>
      <c r="H929" s="1130"/>
      <c r="I929" s="1130"/>
      <c r="J929" s="1130"/>
      <c r="K929" s="1130"/>
      <c r="L929" s="1130"/>
      <c r="M929" s="1130"/>
      <c r="N929" s="1130"/>
      <c r="O929" s="1130"/>
      <c r="P929" s="1130"/>
      <c r="Q929" s="1130"/>
      <c r="R929" s="1130"/>
      <c r="S929" s="1130"/>
      <c r="T929" s="1130"/>
      <c r="U929" s="1130"/>
      <c r="V929" s="1130"/>
      <c r="W929" s="1130"/>
      <c r="X929" s="1130"/>
      <c r="Y929" s="1130"/>
      <c r="Z929" s="1130"/>
    </row>
    <row r="930" spans="1:26" ht="15.75" customHeight="1">
      <c r="A930" s="1129"/>
      <c r="B930" s="1130"/>
      <c r="C930" s="1130"/>
      <c r="D930" s="1130"/>
      <c r="E930" s="1130"/>
      <c r="F930" s="1130"/>
      <c r="G930" s="1130"/>
      <c r="H930" s="1130"/>
      <c r="I930" s="1130"/>
      <c r="J930" s="1130"/>
      <c r="K930" s="1130"/>
      <c r="L930" s="1130"/>
      <c r="M930" s="1130"/>
      <c r="N930" s="1130"/>
      <c r="O930" s="1130"/>
      <c r="P930" s="1130"/>
      <c r="Q930" s="1130"/>
      <c r="R930" s="1130"/>
      <c r="S930" s="1130"/>
      <c r="T930" s="1130"/>
      <c r="U930" s="1130"/>
      <c r="V930" s="1130"/>
      <c r="W930" s="1130"/>
      <c r="X930" s="1130"/>
      <c r="Y930" s="1130"/>
      <c r="Z930" s="1130"/>
    </row>
    <row r="931" spans="1:26" ht="15.75" customHeight="1">
      <c r="A931" s="1129"/>
      <c r="B931" s="1130"/>
      <c r="C931" s="1130"/>
      <c r="D931" s="1130"/>
      <c r="E931" s="1130"/>
      <c r="F931" s="1130"/>
      <c r="G931" s="1130"/>
      <c r="H931" s="1130"/>
      <c r="I931" s="1130"/>
      <c r="J931" s="1130"/>
      <c r="K931" s="1130"/>
      <c r="L931" s="1130"/>
      <c r="M931" s="1130"/>
      <c r="N931" s="1130"/>
      <c r="O931" s="1130"/>
      <c r="P931" s="1130"/>
      <c r="Q931" s="1130"/>
      <c r="R931" s="1130"/>
      <c r="S931" s="1130"/>
      <c r="T931" s="1130"/>
      <c r="U931" s="1130"/>
      <c r="V931" s="1130"/>
      <c r="W931" s="1130"/>
      <c r="X931" s="1130"/>
      <c r="Y931" s="1130"/>
      <c r="Z931" s="1130"/>
    </row>
    <row r="932" spans="1:26" ht="15.75" customHeight="1">
      <c r="A932" s="1129"/>
      <c r="B932" s="1130"/>
      <c r="C932" s="1130"/>
      <c r="D932" s="1130"/>
      <c r="E932" s="1130"/>
      <c r="F932" s="1130"/>
      <c r="G932" s="1130"/>
      <c r="H932" s="1130"/>
      <c r="I932" s="1130"/>
      <c r="J932" s="1130"/>
      <c r="K932" s="1130"/>
      <c r="L932" s="1130"/>
      <c r="M932" s="1130"/>
      <c r="N932" s="1130"/>
      <c r="O932" s="1130"/>
      <c r="P932" s="1130"/>
      <c r="Q932" s="1130"/>
      <c r="R932" s="1130"/>
      <c r="S932" s="1130"/>
      <c r="T932" s="1130"/>
      <c r="U932" s="1130"/>
      <c r="V932" s="1130"/>
      <c r="W932" s="1130"/>
      <c r="X932" s="1130"/>
      <c r="Y932" s="1130"/>
      <c r="Z932" s="1130"/>
    </row>
    <row r="933" spans="1:26" ht="15.75" customHeight="1">
      <c r="A933" s="1129"/>
      <c r="B933" s="1130"/>
      <c r="C933" s="1130"/>
      <c r="D933" s="1130"/>
      <c r="E933" s="1130"/>
      <c r="F933" s="1130"/>
      <c r="G933" s="1130"/>
      <c r="H933" s="1130"/>
      <c r="I933" s="1130"/>
      <c r="J933" s="1130"/>
      <c r="K933" s="1130"/>
      <c r="L933" s="1130"/>
      <c r="M933" s="1130"/>
      <c r="N933" s="1130"/>
      <c r="O933" s="1130"/>
      <c r="P933" s="1130"/>
      <c r="Q933" s="1130"/>
      <c r="R933" s="1130"/>
      <c r="S933" s="1130"/>
      <c r="T933" s="1130"/>
      <c r="U933" s="1130"/>
      <c r="V933" s="1130"/>
      <c r="W933" s="1130"/>
      <c r="X933" s="1130"/>
      <c r="Y933" s="1130"/>
      <c r="Z933" s="1130"/>
    </row>
    <row r="934" spans="1:26" ht="15.75" customHeight="1">
      <c r="A934" s="1129"/>
      <c r="B934" s="1130"/>
      <c r="C934" s="1130"/>
      <c r="D934" s="1130"/>
      <c r="E934" s="1130"/>
      <c r="F934" s="1130"/>
      <c r="G934" s="1130"/>
      <c r="H934" s="1130"/>
      <c r="I934" s="1130"/>
      <c r="J934" s="1130"/>
      <c r="K934" s="1130"/>
      <c r="L934" s="1130"/>
      <c r="M934" s="1130"/>
      <c r="N934" s="1130"/>
      <c r="O934" s="1130"/>
      <c r="P934" s="1130"/>
      <c r="Q934" s="1130"/>
      <c r="R934" s="1130"/>
      <c r="S934" s="1130"/>
      <c r="T934" s="1130"/>
      <c r="U934" s="1130"/>
      <c r="V934" s="1130"/>
      <c r="W934" s="1130"/>
      <c r="X934" s="1130"/>
      <c r="Y934" s="1130"/>
      <c r="Z934" s="1130"/>
    </row>
    <row r="935" spans="1:26" ht="15.75" customHeight="1">
      <c r="A935" s="1129"/>
      <c r="B935" s="1130"/>
      <c r="C935" s="1130"/>
      <c r="D935" s="1130"/>
      <c r="E935" s="1130"/>
      <c r="F935" s="1130"/>
      <c r="G935" s="1130"/>
      <c r="H935" s="1130"/>
      <c r="I935" s="1130"/>
      <c r="J935" s="1130"/>
      <c r="K935" s="1130"/>
      <c r="L935" s="1130"/>
      <c r="M935" s="1130"/>
      <c r="N935" s="1130"/>
      <c r="O935" s="1130"/>
      <c r="P935" s="1130"/>
      <c r="Q935" s="1130"/>
      <c r="R935" s="1130"/>
      <c r="S935" s="1130"/>
      <c r="T935" s="1130"/>
      <c r="U935" s="1130"/>
      <c r="V935" s="1130"/>
      <c r="W935" s="1130"/>
      <c r="X935" s="1130"/>
      <c r="Y935" s="1130"/>
      <c r="Z935" s="1130"/>
    </row>
    <row r="936" spans="1:26" ht="15.75" customHeight="1">
      <c r="A936" s="1129"/>
      <c r="B936" s="1130"/>
      <c r="C936" s="1130"/>
      <c r="D936" s="1130"/>
      <c r="E936" s="1130"/>
      <c r="F936" s="1130"/>
      <c r="G936" s="1130"/>
      <c r="H936" s="1130"/>
      <c r="I936" s="1130"/>
      <c r="J936" s="1130"/>
      <c r="K936" s="1130"/>
      <c r="L936" s="1130"/>
      <c r="M936" s="1130"/>
      <c r="N936" s="1130"/>
      <c r="O936" s="1130"/>
      <c r="P936" s="1130"/>
      <c r="Q936" s="1130"/>
      <c r="R936" s="1130"/>
      <c r="S936" s="1130"/>
      <c r="T936" s="1130"/>
      <c r="U936" s="1130"/>
      <c r="V936" s="1130"/>
      <c r="W936" s="1130"/>
      <c r="X936" s="1130"/>
      <c r="Y936" s="1130"/>
      <c r="Z936" s="1130"/>
    </row>
    <row r="937" spans="1:26" ht="15.75" customHeight="1">
      <c r="A937" s="1129"/>
      <c r="B937" s="1130"/>
      <c r="C937" s="1130"/>
      <c r="D937" s="1130"/>
      <c r="E937" s="1130"/>
      <c r="F937" s="1130"/>
      <c r="G937" s="1130"/>
      <c r="H937" s="1130"/>
      <c r="I937" s="1130"/>
      <c r="J937" s="1130"/>
      <c r="K937" s="1130"/>
      <c r="L937" s="1130"/>
      <c r="M937" s="1130"/>
      <c r="N937" s="1130"/>
      <c r="O937" s="1130"/>
      <c r="P937" s="1130"/>
      <c r="Q937" s="1130"/>
      <c r="R937" s="1130"/>
      <c r="S937" s="1130"/>
      <c r="T937" s="1130"/>
      <c r="U937" s="1130"/>
      <c r="V937" s="1130"/>
      <c r="W937" s="1130"/>
      <c r="X937" s="1130"/>
      <c r="Y937" s="1130"/>
      <c r="Z937" s="1130"/>
    </row>
    <row r="938" spans="1:26" ht="15.75" customHeight="1">
      <c r="A938" s="1129"/>
      <c r="B938" s="1130"/>
      <c r="C938" s="1130"/>
      <c r="D938" s="1130"/>
      <c r="E938" s="1130"/>
      <c r="F938" s="1130"/>
      <c r="G938" s="1130"/>
      <c r="H938" s="1130"/>
      <c r="I938" s="1130"/>
      <c r="J938" s="1130"/>
      <c r="K938" s="1130"/>
      <c r="L938" s="1130"/>
      <c r="M938" s="1130"/>
      <c r="N938" s="1130"/>
      <c r="O938" s="1130"/>
      <c r="P938" s="1130"/>
      <c r="Q938" s="1130"/>
      <c r="R938" s="1130"/>
      <c r="S938" s="1130"/>
      <c r="T938" s="1130"/>
      <c r="U938" s="1130"/>
      <c r="V938" s="1130"/>
      <c r="W938" s="1130"/>
      <c r="X938" s="1130"/>
      <c r="Y938" s="1130"/>
      <c r="Z938" s="1130"/>
    </row>
    <row r="939" spans="1:26" ht="15.75" customHeight="1">
      <c r="A939" s="1129"/>
      <c r="B939" s="1130"/>
      <c r="C939" s="1130"/>
      <c r="D939" s="1130"/>
      <c r="E939" s="1130"/>
      <c r="F939" s="1130"/>
      <c r="G939" s="1130"/>
      <c r="H939" s="1130"/>
      <c r="I939" s="1130"/>
      <c r="J939" s="1130"/>
      <c r="K939" s="1130"/>
      <c r="L939" s="1130"/>
      <c r="M939" s="1130"/>
      <c r="N939" s="1130"/>
      <c r="O939" s="1130"/>
      <c r="P939" s="1130"/>
      <c r="Q939" s="1130"/>
      <c r="R939" s="1130"/>
      <c r="S939" s="1130"/>
      <c r="T939" s="1130"/>
      <c r="U939" s="1130"/>
      <c r="V939" s="1130"/>
      <c r="W939" s="1130"/>
      <c r="X939" s="1130"/>
      <c r="Y939" s="1130"/>
      <c r="Z939" s="1130"/>
    </row>
    <row r="940" spans="1:26" ht="15.75" customHeight="1">
      <c r="A940" s="1129"/>
      <c r="B940" s="1130"/>
      <c r="C940" s="1130"/>
      <c r="D940" s="1130"/>
      <c r="E940" s="1130"/>
      <c r="F940" s="1130"/>
      <c r="G940" s="1130"/>
      <c r="H940" s="1130"/>
      <c r="I940" s="1130"/>
      <c r="J940" s="1130"/>
      <c r="K940" s="1130"/>
      <c r="L940" s="1130"/>
      <c r="M940" s="1130"/>
      <c r="N940" s="1130"/>
      <c r="O940" s="1130"/>
      <c r="P940" s="1130"/>
      <c r="Q940" s="1130"/>
      <c r="R940" s="1130"/>
      <c r="S940" s="1130"/>
      <c r="T940" s="1130"/>
      <c r="U940" s="1130"/>
      <c r="V940" s="1130"/>
      <c r="W940" s="1130"/>
      <c r="X940" s="1130"/>
      <c r="Y940" s="1130"/>
      <c r="Z940" s="1130"/>
    </row>
    <row r="941" spans="1:26" ht="15.75" customHeight="1">
      <c r="A941" s="1129"/>
      <c r="B941" s="1130"/>
      <c r="C941" s="1130"/>
      <c r="D941" s="1130"/>
      <c r="E941" s="1130"/>
      <c r="F941" s="1130"/>
      <c r="G941" s="1130"/>
      <c r="H941" s="1130"/>
      <c r="I941" s="1130"/>
      <c r="J941" s="1130"/>
      <c r="K941" s="1130"/>
      <c r="L941" s="1130"/>
      <c r="M941" s="1130"/>
      <c r="N941" s="1130"/>
      <c r="O941" s="1130"/>
      <c r="P941" s="1130"/>
      <c r="Q941" s="1130"/>
      <c r="R941" s="1130"/>
      <c r="S941" s="1130"/>
      <c r="T941" s="1130"/>
      <c r="U941" s="1130"/>
      <c r="V941" s="1130"/>
      <c r="W941" s="1130"/>
      <c r="X941" s="1130"/>
      <c r="Y941" s="1130"/>
      <c r="Z941" s="1130"/>
    </row>
    <row r="942" spans="1:26" ht="15.75" customHeight="1">
      <c r="A942" s="1129"/>
      <c r="B942" s="1130"/>
      <c r="C942" s="1130"/>
      <c r="D942" s="1130"/>
      <c r="E942" s="1130"/>
      <c r="F942" s="1130"/>
      <c r="G942" s="1130"/>
      <c r="H942" s="1130"/>
      <c r="I942" s="1130"/>
      <c r="J942" s="1130"/>
      <c r="K942" s="1130"/>
      <c r="L942" s="1130"/>
      <c r="M942" s="1130"/>
      <c r="N942" s="1130"/>
      <c r="O942" s="1130"/>
      <c r="P942" s="1130"/>
      <c r="Q942" s="1130"/>
      <c r="R942" s="1130"/>
      <c r="S942" s="1130"/>
      <c r="T942" s="1130"/>
      <c r="U942" s="1130"/>
      <c r="V942" s="1130"/>
      <c r="W942" s="1130"/>
      <c r="X942" s="1130"/>
      <c r="Y942" s="1130"/>
      <c r="Z942" s="1130"/>
    </row>
    <row r="943" spans="1:26" ht="15.75" customHeight="1">
      <c r="A943" s="1129"/>
      <c r="B943" s="1130"/>
      <c r="C943" s="1130"/>
      <c r="D943" s="1130"/>
      <c r="E943" s="1130"/>
      <c r="F943" s="1130"/>
      <c r="G943" s="1130"/>
      <c r="H943" s="1130"/>
      <c r="I943" s="1130"/>
      <c r="J943" s="1130"/>
      <c r="K943" s="1130"/>
      <c r="L943" s="1130"/>
      <c r="M943" s="1130"/>
      <c r="N943" s="1130"/>
      <c r="O943" s="1130"/>
      <c r="P943" s="1130"/>
      <c r="Q943" s="1130"/>
      <c r="R943" s="1130"/>
      <c r="S943" s="1130"/>
      <c r="T943" s="1130"/>
      <c r="U943" s="1130"/>
      <c r="V943" s="1130"/>
      <c r="W943" s="1130"/>
      <c r="X943" s="1130"/>
      <c r="Y943" s="1130"/>
      <c r="Z943" s="1130"/>
    </row>
    <row r="944" spans="1:26" ht="15.75" customHeight="1">
      <c r="A944" s="1129"/>
      <c r="B944" s="1130"/>
      <c r="C944" s="1130"/>
      <c r="D944" s="1130"/>
      <c r="E944" s="1130"/>
      <c r="F944" s="1130"/>
      <c r="G944" s="1130"/>
      <c r="H944" s="1130"/>
      <c r="I944" s="1130"/>
      <c r="J944" s="1130"/>
      <c r="K944" s="1130"/>
      <c r="L944" s="1130"/>
      <c r="M944" s="1130"/>
      <c r="N944" s="1130"/>
      <c r="O944" s="1130"/>
      <c r="P944" s="1130"/>
      <c r="Q944" s="1130"/>
      <c r="R944" s="1130"/>
      <c r="S944" s="1130"/>
      <c r="T944" s="1130"/>
      <c r="U944" s="1130"/>
      <c r="V944" s="1130"/>
      <c r="W944" s="1130"/>
      <c r="X944" s="1130"/>
      <c r="Y944" s="1130"/>
      <c r="Z944" s="1130"/>
    </row>
    <row r="945" spans="1:26" ht="15.75" customHeight="1">
      <c r="A945" s="1129"/>
      <c r="B945" s="1130"/>
      <c r="C945" s="1130"/>
      <c r="D945" s="1130"/>
      <c r="E945" s="1130"/>
      <c r="F945" s="1130"/>
      <c r="G945" s="1130"/>
      <c r="H945" s="1130"/>
      <c r="I945" s="1130"/>
      <c r="J945" s="1130"/>
      <c r="K945" s="1130"/>
      <c r="L945" s="1130"/>
      <c r="M945" s="1130"/>
      <c r="N945" s="1130"/>
      <c r="O945" s="1130"/>
      <c r="P945" s="1130"/>
      <c r="Q945" s="1130"/>
      <c r="R945" s="1130"/>
      <c r="S945" s="1130"/>
      <c r="T945" s="1130"/>
      <c r="U945" s="1130"/>
      <c r="V945" s="1130"/>
      <c r="W945" s="1130"/>
      <c r="X945" s="1130"/>
      <c r="Y945" s="1130"/>
      <c r="Z945" s="1130"/>
    </row>
    <row r="946" spans="1:26" ht="15.75" customHeight="1">
      <c r="A946" s="1129"/>
      <c r="B946" s="1130"/>
      <c r="C946" s="1130"/>
      <c r="D946" s="1130"/>
      <c r="E946" s="1130"/>
      <c r="F946" s="1130"/>
      <c r="G946" s="1130"/>
      <c r="H946" s="1130"/>
      <c r="I946" s="1130"/>
      <c r="J946" s="1130"/>
      <c r="K946" s="1130"/>
      <c r="L946" s="1130"/>
      <c r="M946" s="1130"/>
      <c r="N946" s="1130"/>
      <c r="O946" s="1130"/>
      <c r="P946" s="1130"/>
      <c r="Q946" s="1130"/>
      <c r="R946" s="1130"/>
      <c r="S946" s="1130"/>
      <c r="T946" s="1130"/>
      <c r="U946" s="1130"/>
      <c r="V946" s="1130"/>
      <c r="W946" s="1130"/>
      <c r="X946" s="1130"/>
      <c r="Y946" s="1130"/>
      <c r="Z946" s="1130"/>
    </row>
    <row r="947" spans="1:26" ht="15.75" customHeight="1">
      <c r="A947" s="1129"/>
      <c r="B947" s="1130"/>
      <c r="C947" s="1130"/>
      <c r="D947" s="1130"/>
      <c r="E947" s="1130"/>
      <c r="F947" s="1130"/>
      <c r="G947" s="1130"/>
      <c r="H947" s="1130"/>
      <c r="I947" s="1130"/>
      <c r="J947" s="1130"/>
      <c r="K947" s="1130"/>
      <c r="L947" s="1130"/>
      <c r="M947" s="1130"/>
      <c r="N947" s="1130"/>
      <c r="O947" s="1130"/>
      <c r="P947" s="1130"/>
      <c r="Q947" s="1130"/>
      <c r="R947" s="1130"/>
      <c r="S947" s="1130"/>
      <c r="T947" s="1130"/>
      <c r="U947" s="1130"/>
      <c r="V947" s="1130"/>
      <c r="W947" s="1130"/>
      <c r="X947" s="1130"/>
      <c r="Y947" s="1130"/>
      <c r="Z947" s="1130"/>
    </row>
    <row r="948" spans="1:26" ht="15.75" customHeight="1">
      <c r="A948" s="1129"/>
      <c r="B948" s="1130"/>
      <c r="C948" s="1130"/>
      <c r="D948" s="1130"/>
      <c r="E948" s="1130"/>
      <c r="F948" s="1130"/>
      <c r="G948" s="1130"/>
      <c r="H948" s="1130"/>
      <c r="I948" s="1130"/>
      <c r="J948" s="1130"/>
      <c r="K948" s="1130"/>
      <c r="L948" s="1130"/>
      <c r="M948" s="1130"/>
      <c r="N948" s="1130"/>
      <c r="O948" s="1130"/>
      <c r="P948" s="1130"/>
      <c r="Q948" s="1130"/>
      <c r="R948" s="1130"/>
      <c r="S948" s="1130"/>
      <c r="T948" s="1130"/>
      <c r="U948" s="1130"/>
      <c r="V948" s="1130"/>
      <c r="W948" s="1130"/>
      <c r="X948" s="1130"/>
      <c r="Y948" s="1130"/>
      <c r="Z948" s="1130"/>
    </row>
    <row r="949" spans="1:26" ht="15.75" customHeight="1">
      <c r="A949" s="1129"/>
      <c r="B949" s="1130"/>
      <c r="C949" s="1130"/>
      <c r="D949" s="1130"/>
      <c r="E949" s="1130"/>
      <c r="F949" s="1130"/>
      <c r="G949" s="1130"/>
      <c r="H949" s="1130"/>
      <c r="I949" s="1130"/>
      <c r="J949" s="1130"/>
      <c r="K949" s="1130"/>
      <c r="L949" s="1130"/>
      <c r="M949" s="1130"/>
      <c r="N949" s="1130"/>
      <c r="O949" s="1130"/>
      <c r="P949" s="1130"/>
      <c r="Q949" s="1130"/>
      <c r="R949" s="1130"/>
      <c r="S949" s="1130"/>
      <c r="T949" s="1130"/>
      <c r="U949" s="1130"/>
      <c r="V949" s="1130"/>
      <c r="W949" s="1130"/>
      <c r="X949" s="1130"/>
      <c r="Y949" s="1130"/>
      <c r="Z949" s="1130"/>
    </row>
    <row r="950" spans="1:26" ht="15.75" customHeight="1">
      <c r="A950" s="1129"/>
      <c r="B950" s="1130"/>
      <c r="C950" s="1130"/>
      <c r="D950" s="1130"/>
      <c r="E950" s="1130"/>
      <c r="F950" s="1130"/>
      <c r="G950" s="1130"/>
      <c r="H950" s="1130"/>
      <c r="I950" s="1130"/>
      <c r="J950" s="1130"/>
      <c r="K950" s="1130"/>
      <c r="L950" s="1130"/>
      <c r="M950" s="1130"/>
      <c r="N950" s="1130"/>
      <c r="O950" s="1130"/>
      <c r="P950" s="1130"/>
      <c r="Q950" s="1130"/>
      <c r="R950" s="1130"/>
      <c r="S950" s="1130"/>
      <c r="T950" s="1130"/>
      <c r="U950" s="1130"/>
      <c r="V950" s="1130"/>
      <c r="W950" s="1130"/>
      <c r="X950" s="1130"/>
      <c r="Y950" s="1130"/>
      <c r="Z950" s="1130"/>
    </row>
    <row r="951" spans="1:26" ht="15.75" customHeight="1">
      <c r="A951" s="1129"/>
      <c r="B951" s="1130"/>
      <c r="C951" s="1130"/>
      <c r="D951" s="1130"/>
      <c r="E951" s="1130"/>
      <c r="F951" s="1130"/>
      <c r="G951" s="1130"/>
      <c r="H951" s="1130"/>
      <c r="I951" s="1130"/>
      <c r="J951" s="1130"/>
      <c r="K951" s="1130"/>
      <c r="L951" s="1130"/>
      <c r="M951" s="1130"/>
      <c r="N951" s="1130"/>
      <c r="O951" s="1130"/>
      <c r="P951" s="1130"/>
      <c r="Q951" s="1130"/>
      <c r="R951" s="1130"/>
      <c r="S951" s="1130"/>
      <c r="T951" s="1130"/>
      <c r="U951" s="1130"/>
      <c r="V951" s="1130"/>
      <c r="W951" s="1130"/>
      <c r="X951" s="1130"/>
      <c r="Y951" s="1130"/>
      <c r="Z951" s="1130"/>
    </row>
    <row r="952" spans="1:26" ht="15.75" customHeight="1">
      <c r="A952" s="1129"/>
      <c r="B952" s="1130"/>
      <c r="C952" s="1130"/>
      <c r="D952" s="1130"/>
      <c r="E952" s="1130"/>
      <c r="F952" s="1130"/>
      <c r="G952" s="1130"/>
      <c r="H952" s="1130"/>
      <c r="I952" s="1130"/>
      <c r="J952" s="1130"/>
      <c r="K952" s="1130"/>
      <c r="L952" s="1130"/>
      <c r="M952" s="1130"/>
      <c r="N952" s="1130"/>
      <c r="O952" s="1130"/>
      <c r="P952" s="1130"/>
      <c r="Q952" s="1130"/>
      <c r="R952" s="1130"/>
      <c r="S952" s="1130"/>
      <c r="T952" s="1130"/>
      <c r="U952" s="1130"/>
      <c r="V952" s="1130"/>
      <c r="W952" s="1130"/>
      <c r="X952" s="1130"/>
      <c r="Y952" s="1130"/>
      <c r="Z952" s="1130"/>
    </row>
    <row r="953" spans="1:26" ht="15.75" customHeight="1">
      <c r="A953" s="1129"/>
      <c r="B953" s="1130"/>
      <c r="C953" s="1130"/>
      <c r="D953" s="1130"/>
      <c r="E953" s="1130"/>
      <c r="F953" s="1130"/>
      <c r="G953" s="1130"/>
      <c r="H953" s="1130"/>
      <c r="I953" s="1130"/>
      <c r="J953" s="1130"/>
      <c r="K953" s="1130"/>
      <c r="L953" s="1130"/>
      <c r="M953" s="1130"/>
      <c r="N953" s="1130"/>
      <c r="O953" s="1130"/>
      <c r="P953" s="1130"/>
      <c r="Q953" s="1130"/>
      <c r="R953" s="1130"/>
      <c r="S953" s="1130"/>
      <c r="T953" s="1130"/>
      <c r="U953" s="1130"/>
      <c r="V953" s="1130"/>
      <c r="W953" s="1130"/>
      <c r="X953" s="1130"/>
      <c r="Y953" s="1130"/>
      <c r="Z953" s="1130"/>
    </row>
    <row r="954" spans="1:26" ht="15.75" customHeight="1">
      <c r="A954" s="1129"/>
      <c r="B954" s="1130"/>
      <c r="C954" s="1130"/>
      <c r="D954" s="1130"/>
      <c r="E954" s="1130"/>
      <c r="F954" s="1130"/>
      <c r="G954" s="1130"/>
      <c r="H954" s="1130"/>
      <c r="I954" s="1130"/>
      <c r="J954" s="1130"/>
      <c r="K954" s="1130"/>
      <c r="L954" s="1130"/>
      <c r="M954" s="1130"/>
      <c r="N954" s="1130"/>
      <c r="O954" s="1130"/>
      <c r="P954" s="1130"/>
      <c r="Q954" s="1130"/>
      <c r="R954" s="1130"/>
      <c r="S954" s="1130"/>
      <c r="T954" s="1130"/>
      <c r="U954" s="1130"/>
      <c r="V954" s="1130"/>
      <c r="W954" s="1130"/>
      <c r="X954" s="1130"/>
      <c r="Y954" s="1130"/>
      <c r="Z954" s="1130"/>
    </row>
    <row r="955" spans="1:26" ht="15.75" customHeight="1">
      <c r="A955" s="1129"/>
      <c r="B955" s="1130"/>
      <c r="C955" s="1130"/>
      <c r="D955" s="1130"/>
      <c r="E955" s="1130"/>
      <c r="F955" s="1130"/>
      <c r="G955" s="1130"/>
      <c r="H955" s="1130"/>
      <c r="I955" s="1130"/>
      <c r="J955" s="1130"/>
      <c r="K955" s="1130"/>
      <c r="L955" s="1130"/>
      <c r="M955" s="1130"/>
      <c r="N955" s="1130"/>
      <c r="O955" s="1130"/>
      <c r="P955" s="1130"/>
      <c r="Q955" s="1130"/>
      <c r="R955" s="1130"/>
      <c r="S955" s="1130"/>
      <c r="T955" s="1130"/>
      <c r="U955" s="1130"/>
      <c r="V955" s="1130"/>
      <c r="W955" s="1130"/>
      <c r="X955" s="1130"/>
      <c r="Y955" s="1130"/>
      <c r="Z955" s="1130"/>
    </row>
    <row r="956" spans="1:26" ht="15.75" customHeight="1">
      <c r="A956" s="1129"/>
      <c r="B956" s="1130"/>
      <c r="C956" s="1130"/>
      <c r="D956" s="1130"/>
      <c r="E956" s="1130"/>
      <c r="F956" s="1130"/>
      <c r="G956" s="1130"/>
      <c r="H956" s="1130"/>
      <c r="I956" s="1130"/>
      <c r="J956" s="1130"/>
      <c r="K956" s="1130"/>
      <c r="L956" s="1130"/>
      <c r="M956" s="1130"/>
      <c r="N956" s="1130"/>
      <c r="O956" s="1130"/>
      <c r="P956" s="1130"/>
      <c r="Q956" s="1130"/>
      <c r="R956" s="1130"/>
      <c r="S956" s="1130"/>
      <c r="T956" s="1130"/>
      <c r="U956" s="1130"/>
      <c r="V956" s="1130"/>
      <c r="W956" s="1130"/>
      <c r="X956" s="1130"/>
      <c r="Y956" s="1130"/>
      <c r="Z956" s="1130"/>
    </row>
    <row r="957" spans="1:26" ht="15.75" customHeight="1">
      <c r="A957" s="1129"/>
      <c r="B957" s="1130"/>
      <c r="C957" s="1130"/>
      <c r="D957" s="1130"/>
      <c r="E957" s="1130"/>
      <c r="F957" s="1130"/>
      <c r="G957" s="1130"/>
      <c r="H957" s="1130"/>
      <c r="I957" s="1130"/>
      <c r="J957" s="1130"/>
      <c r="K957" s="1130"/>
      <c r="L957" s="1130"/>
      <c r="M957" s="1130"/>
      <c r="N957" s="1130"/>
      <c r="O957" s="1130"/>
      <c r="P957" s="1130"/>
      <c r="Q957" s="1130"/>
      <c r="R957" s="1130"/>
      <c r="S957" s="1130"/>
      <c r="T957" s="1130"/>
      <c r="U957" s="1130"/>
      <c r="V957" s="1130"/>
      <c r="W957" s="1130"/>
      <c r="X957" s="1130"/>
      <c r="Y957" s="1130"/>
      <c r="Z957" s="1130"/>
    </row>
    <row r="958" spans="1:26" ht="15.75" customHeight="1">
      <c r="A958" s="1129"/>
      <c r="B958" s="1130"/>
      <c r="C958" s="1130"/>
      <c r="D958" s="1130"/>
      <c r="E958" s="1130"/>
      <c r="F958" s="1130"/>
      <c r="G958" s="1130"/>
      <c r="H958" s="1130"/>
      <c r="I958" s="1130"/>
      <c r="J958" s="1130"/>
      <c r="K958" s="1130"/>
      <c r="L958" s="1130"/>
      <c r="M958" s="1130"/>
      <c r="N958" s="1130"/>
      <c r="O958" s="1130"/>
      <c r="P958" s="1130"/>
      <c r="Q958" s="1130"/>
      <c r="R958" s="1130"/>
      <c r="S958" s="1130"/>
      <c r="T958" s="1130"/>
      <c r="U958" s="1130"/>
      <c r="V958" s="1130"/>
      <c r="W958" s="1130"/>
      <c r="X958" s="1130"/>
      <c r="Y958" s="1130"/>
      <c r="Z958" s="1130"/>
    </row>
    <row r="959" spans="1:26" ht="15.75" customHeight="1">
      <c r="A959" s="1129"/>
      <c r="B959" s="1130"/>
      <c r="C959" s="1130"/>
      <c r="D959" s="1130"/>
      <c r="E959" s="1130"/>
      <c r="F959" s="1130"/>
      <c r="G959" s="1130"/>
      <c r="H959" s="1130"/>
      <c r="I959" s="1130"/>
      <c r="J959" s="1130"/>
      <c r="K959" s="1130"/>
      <c r="L959" s="1130"/>
      <c r="M959" s="1130"/>
      <c r="N959" s="1130"/>
      <c r="O959" s="1130"/>
      <c r="P959" s="1130"/>
      <c r="Q959" s="1130"/>
      <c r="R959" s="1130"/>
      <c r="S959" s="1130"/>
      <c r="T959" s="1130"/>
      <c r="U959" s="1130"/>
      <c r="V959" s="1130"/>
      <c r="W959" s="1130"/>
      <c r="X959" s="1130"/>
      <c r="Y959" s="1130"/>
      <c r="Z959" s="1130"/>
    </row>
    <row r="960" spans="1:26" ht="15.75" customHeight="1">
      <c r="A960" s="1129"/>
      <c r="B960" s="1130"/>
      <c r="C960" s="1130"/>
      <c r="D960" s="1130"/>
      <c r="E960" s="1130"/>
      <c r="F960" s="1130"/>
      <c r="G960" s="1130"/>
      <c r="H960" s="1130"/>
      <c r="I960" s="1130"/>
      <c r="J960" s="1130"/>
      <c r="K960" s="1130"/>
      <c r="L960" s="1130"/>
      <c r="M960" s="1130"/>
      <c r="N960" s="1130"/>
      <c r="O960" s="1130"/>
      <c r="P960" s="1130"/>
      <c r="Q960" s="1130"/>
      <c r="R960" s="1130"/>
      <c r="S960" s="1130"/>
      <c r="T960" s="1130"/>
      <c r="U960" s="1130"/>
      <c r="V960" s="1130"/>
      <c r="W960" s="1130"/>
      <c r="X960" s="1130"/>
      <c r="Y960" s="1130"/>
      <c r="Z960" s="1130"/>
    </row>
    <row r="961" spans="1:26" ht="15.75" customHeight="1">
      <c r="A961" s="1129"/>
      <c r="B961" s="1130"/>
      <c r="C961" s="1130"/>
      <c r="D961" s="1130"/>
      <c r="E961" s="1130"/>
      <c r="F961" s="1130"/>
      <c r="G961" s="1130"/>
      <c r="H961" s="1130"/>
      <c r="I961" s="1130"/>
      <c r="J961" s="1130"/>
      <c r="K961" s="1130"/>
      <c r="L961" s="1130"/>
      <c r="M961" s="1130"/>
      <c r="N961" s="1130"/>
      <c r="O961" s="1130"/>
      <c r="P961" s="1130"/>
      <c r="Q961" s="1130"/>
      <c r="R961" s="1130"/>
      <c r="S961" s="1130"/>
      <c r="T961" s="1130"/>
      <c r="U961" s="1130"/>
      <c r="V961" s="1130"/>
      <c r="W961" s="1130"/>
      <c r="X961" s="1130"/>
      <c r="Y961" s="1130"/>
      <c r="Z961" s="1130"/>
    </row>
    <row r="962" spans="1:26" ht="15.75" customHeight="1">
      <c r="A962" s="1129"/>
      <c r="B962" s="1130"/>
      <c r="C962" s="1130"/>
      <c r="D962" s="1130"/>
      <c r="E962" s="1130"/>
      <c r="F962" s="1130"/>
      <c r="G962" s="1130"/>
      <c r="H962" s="1130"/>
      <c r="I962" s="1130"/>
      <c r="J962" s="1130"/>
      <c r="K962" s="1130"/>
      <c r="L962" s="1130"/>
      <c r="M962" s="1130"/>
      <c r="N962" s="1130"/>
      <c r="O962" s="1130"/>
      <c r="P962" s="1130"/>
      <c r="Q962" s="1130"/>
      <c r="R962" s="1130"/>
      <c r="S962" s="1130"/>
      <c r="T962" s="1130"/>
      <c r="U962" s="1130"/>
      <c r="V962" s="1130"/>
      <c r="W962" s="1130"/>
      <c r="X962" s="1130"/>
      <c r="Y962" s="1130"/>
      <c r="Z962" s="1130"/>
    </row>
    <row r="963" spans="1:26" ht="15.75" customHeight="1">
      <c r="A963" s="1129"/>
      <c r="B963" s="1130"/>
      <c r="C963" s="1130"/>
      <c r="D963" s="1130"/>
      <c r="E963" s="1130"/>
      <c r="F963" s="1130"/>
      <c r="G963" s="1130"/>
      <c r="H963" s="1130"/>
      <c r="I963" s="1130"/>
      <c r="J963" s="1130"/>
      <c r="K963" s="1130"/>
      <c r="L963" s="1130"/>
      <c r="M963" s="1130"/>
      <c r="N963" s="1130"/>
      <c r="O963" s="1130"/>
      <c r="P963" s="1130"/>
      <c r="Q963" s="1130"/>
      <c r="R963" s="1130"/>
      <c r="S963" s="1130"/>
      <c r="T963" s="1130"/>
      <c r="U963" s="1130"/>
      <c r="V963" s="1130"/>
      <c r="W963" s="1130"/>
      <c r="X963" s="1130"/>
      <c r="Y963" s="1130"/>
      <c r="Z963" s="1130"/>
    </row>
    <row r="964" spans="1:26" ht="15.75" customHeight="1">
      <c r="A964" s="1129"/>
      <c r="B964" s="1130"/>
      <c r="C964" s="1130"/>
      <c r="D964" s="1130"/>
      <c r="E964" s="1130"/>
      <c r="F964" s="1130"/>
      <c r="G964" s="1130"/>
      <c r="H964" s="1130"/>
      <c r="I964" s="1130"/>
      <c r="J964" s="1130"/>
      <c r="K964" s="1130"/>
      <c r="L964" s="1130"/>
      <c r="M964" s="1130"/>
      <c r="N964" s="1130"/>
      <c r="O964" s="1130"/>
      <c r="P964" s="1130"/>
      <c r="Q964" s="1130"/>
      <c r="R964" s="1130"/>
      <c r="S964" s="1130"/>
      <c r="T964" s="1130"/>
      <c r="U964" s="1130"/>
      <c r="V964" s="1130"/>
      <c r="W964" s="1130"/>
      <c r="X964" s="1130"/>
      <c r="Y964" s="1130"/>
      <c r="Z964" s="1130"/>
    </row>
    <row r="965" spans="1:26" ht="15.75" customHeight="1">
      <c r="A965" s="1129"/>
      <c r="B965" s="1130"/>
      <c r="C965" s="1130"/>
      <c r="D965" s="1130"/>
      <c r="E965" s="1130"/>
      <c r="F965" s="1130"/>
      <c r="G965" s="1130"/>
      <c r="H965" s="1130"/>
      <c r="I965" s="1130"/>
      <c r="J965" s="1130"/>
      <c r="K965" s="1130"/>
      <c r="L965" s="1130"/>
      <c r="M965" s="1130"/>
      <c r="N965" s="1130"/>
      <c r="O965" s="1130"/>
      <c r="P965" s="1130"/>
      <c r="Q965" s="1130"/>
      <c r="R965" s="1130"/>
      <c r="S965" s="1130"/>
      <c r="T965" s="1130"/>
      <c r="U965" s="1130"/>
      <c r="V965" s="1130"/>
      <c r="W965" s="1130"/>
      <c r="X965" s="1130"/>
      <c r="Y965" s="1130"/>
      <c r="Z965" s="1130"/>
    </row>
    <row r="966" spans="1:26" ht="15.75" customHeight="1">
      <c r="A966" s="1129"/>
      <c r="B966" s="1130"/>
      <c r="C966" s="1130"/>
      <c r="D966" s="1130"/>
      <c r="E966" s="1130"/>
      <c r="F966" s="1130"/>
      <c r="G966" s="1130"/>
      <c r="H966" s="1130"/>
      <c r="I966" s="1130"/>
      <c r="J966" s="1130"/>
      <c r="K966" s="1130"/>
      <c r="L966" s="1130"/>
      <c r="M966" s="1130"/>
      <c r="N966" s="1130"/>
      <c r="O966" s="1130"/>
      <c r="P966" s="1130"/>
      <c r="Q966" s="1130"/>
      <c r="R966" s="1130"/>
      <c r="S966" s="1130"/>
      <c r="T966" s="1130"/>
      <c r="U966" s="1130"/>
      <c r="V966" s="1130"/>
      <c r="W966" s="1130"/>
      <c r="X966" s="1130"/>
      <c r="Y966" s="1130"/>
      <c r="Z966" s="1130"/>
    </row>
    <row r="967" spans="1:26" ht="15.75" customHeight="1">
      <c r="A967" s="1129"/>
      <c r="B967" s="1130"/>
      <c r="C967" s="1130"/>
      <c r="D967" s="1130"/>
      <c r="E967" s="1130"/>
      <c r="F967" s="1130"/>
      <c r="G967" s="1130"/>
      <c r="H967" s="1130"/>
      <c r="I967" s="1130"/>
      <c r="J967" s="1130"/>
      <c r="K967" s="1130"/>
      <c r="L967" s="1130"/>
      <c r="M967" s="1130"/>
      <c r="N967" s="1130"/>
      <c r="O967" s="1130"/>
      <c r="P967" s="1130"/>
      <c r="Q967" s="1130"/>
      <c r="R967" s="1130"/>
      <c r="S967" s="1130"/>
      <c r="T967" s="1130"/>
      <c r="U967" s="1130"/>
      <c r="V967" s="1130"/>
      <c r="W967" s="1130"/>
      <c r="X967" s="1130"/>
      <c r="Y967" s="1130"/>
      <c r="Z967" s="1130"/>
    </row>
    <row r="968" spans="1:26" ht="15.75" customHeight="1">
      <c r="A968" s="1129"/>
      <c r="B968" s="1130"/>
      <c r="C968" s="1130"/>
      <c r="D968" s="1130"/>
      <c r="E968" s="1130"/>
      <c r="F968" s="1130"/>
      <c r="G968" s="1130"/>
      <c r="H968" s="1130"/>
      <c r="I968" s="1130"/>
      <c r="J968" s="1130"/>
      <c r="K968" s="1130"/>
      <c r="L968" s="1130"/>
      <c r="M968" s="1130"/>
      <c r="N968" s="1130"/>
      <c r="O968" s="1130"/>
      <c r="P968" s="1130"/>
      <c r="Q968" s="1130"/>
      <c r="R968" s="1130"/>
      <c r="S968" s="1130"/>
      <c r="T968" s="1130"/>
      <c r="U968" s="1130"/>
      <c r="V968" s="1130"/>
      <c r="W968" s="1130"/>
      <c r="X968" s="1130"/>
      <c r="Y968" s="1130"/>
      <c r="Z968" s="1130"/>
    </row>
    <row r="969" spans="1:26" ht="15.75" customHeight="1">
      <c r="A969" s="1129"/>
      <c r="B969" s="1130"/>
      <c r="C969" s="1130"/>
      <c r="D969" s="1130"/>
      <c r="E969" s="1130"/>
      <c r="F969" s="1130"/>
      <c r="G969" s="1130"/>
      <c r="H969" s="1130"/>
      <c r="I969" s="1130"/>
      <c r="J969" s="1130"/>
      <c r="K969" s="1130"/>
      <c r="L969" s="1130"/>
      <c r="M969" s="1130"/>
      <c r="N969" s="1130"/>
      <c r="O969" s="1130"/>
      <c r="P969" s="1130"/>
      <c r="Q969" s="1130"/>
      <c r="R969" s="1130"/>
      <c r="S969" s="1130"/>
      <c r="T969" s="1130"/>
      <c r="U969" s="1130"/>
      <c r="V969" s="1130"/>
      <c r="W969" s="1130"/>
      <c r="X969" s="1130"/>
      <c r="Y969" s="1130"/>
      <c r="Z969" s="1130"/>
    </row>
    <row r="970" spans="1:26" ht="15.75" customHeight="1">
      <c r="A970" s="1129"/>
      <c r="B970" s="1130"/>
      <c r="C970" s="1130"/>
      <c r="D970" s="1130"/>
      <c r="E970" s="1130"/>
      <c r="F970" s="1130"/>
      <c r="G970" s="1130"/>
      <c r="H970" s="1130"/>
      <c r="I970" s="1130"/>
      <c r="J970" s="1130"/>
      <c r="K970" s="1130"/>
      <c r="L970" s="1130"/>
      <c r="M970" s="1130"/>
      <c r="N970" s="1130"/>
      <c r="O970" s="1130"/>
      <c r="P970" s="1130"/>
      <c r="Q970" s="1130"/>
      <c r="R970" s="1130"/>
      <c r="S970" s="1130"/>
      <c r="T970" s="1130"/>
      <c r="U970" s="1130"/>
      <c r="V970" s="1130"/>
      <c r="W970" s="1130"/>
      <c r="X970" s="1130"/>
      <c r="Y970" s="1130"/>
      <c r="Z970" s="1130"/>
    </row>
    <row r="971" spans="1:26" ht="15.75" customHeight="1">
      <c r="A971" s="1129"/>
      <c r="B971" s="1130"/>
      <c r="C971" s="1130"/>
      <c r="D971" s="1130"/>
      <c r="E971" s="1130"/>
      <c r="F971" s="1130"/>
      <c r="G971" s="1130"/>
      <c r="H971" s="1130"/>
      <c r="I971" s="1130"/>
      <c r="J971" s="1130"/>
      <c r="K971" s="1130"/>
      <c r="L971" s="1130"/>
      <c r="M971" s="1130"/>
      <c r="N971" s="1130"/>
      <c r="O971" s="1130"/>
      <c r="P971" s="1130"/>
      <c r="Q971" s="1130"/>
      <c r="R971" s="1130"/>
      <c r="S971" s="1130"/>
      <c r="T971" s="1130"/>
      <c r="U971" s="1130"/>
      <c r="V971" s="1130"/>
      <c r="W971" s="1130"/>
      <c r="X971" s="1130"/>
      <c r="Y971" s="1130"/>
      <c r="Z971" s="1130"/>
    </row>
    <row r="972" spans="1:26" ht="15.75" customHeight="1">
      <c r="A972" s="1129"/>
      <c r="B972" s="1130"/>
      <c r="C972" s="1130"/>
      <c r="D972" s="1130"/>
      <c r="E972" s="1130"/>
      <c r="F972" s="1130"/>
      <c r="G972" s="1130"/>
      <c r="H972" s="1130"/>
      <c r="I972" s="1130"/>
      <c r="J972" s="1130"/>
      <c r="K972" s="1130"/>
      <c r="L972" s="1130"/>
      <c r="M972" s="1130"/>
      <c r="N972" s="1130"/>
      <c r="O972" s="1130"/>
      <c r="P972" s="1130"/>
      <c r="Q972" s="1130"/>
      <c r="R972" s="1130"/>
      <c r="S972" s="1130"/>
      <c r="T972" s="1130"/>
      <c r="U972" s="1130"/>
      <c r="V972" s="1130"/>
      <c r="W972" s="1130"/>
      <c r="X972" s="1130"/>
      <c r="Y972" s="1130"/>
      <c r="Z972" s="1130"/>
    </row>
    <row r="973" spans="1:26" ht="15.75" customHeight="1">
      <c r="A973" s="1129"/>
      <c r="B973" s="1130"/>
      <c r="C973" s="1130"/>
      <c r="D973" s="1130"/>
      <c r="E973" s="1130"/>
      <c r="F973" s="1130"/>
      <c r="G973" s="1130"/>
      <c r="H973" s="1130"/>
      <c r="I973" s="1130"/>
      <c r="J973" s="1130"/>
      <c r="K973" s="1130"/>
      <c r="L973" s="1130"/>
      <c r="M973" s="1130"/>
      <c r="N973" s="1130"/>
      <c r="O973" s="1130"/>
      <c r="P973" s="1130"/>
      <c r="Q973" s="1130"/>
      <c r="R973" s="1130"/>
      <c r="S973" s="1130"/>
      <c r="T973" s="1130"/>
      <c r="U973" s="1130"/>
      <c r="V973" s="1130"/>
      <c r="W973" s="1130"/>
      <c r="X973" s="1130"/>
      <c r="Y973" s="1130"/>
      <c r="Z973" s="1130"/>
    </row>
    <row r="974" spans="1:26" ht="15.75" customHeight="1">
      <c r="A974" s="1129"/>
      <c r="B974" s="1130"/>
      <c r="C974" s="1130"/>
      <c r="D974" s="1130"/>
      <c r="E974" s="1130"/>
      <c r="F974" s="1130"/>
      <c r="G974" s="1130"/>
      <c r="H974" s="1130"/>
      <c r="I974" s="1130"/>
      <c r="J974" s="1130"/>
      <c r="K974" s="1130"/>
      <c r="L974" s="1130"/>
      <c r="M974" s="1130"/>
      <c r="N974" s="1130"/>
      <c r="O974" s="1130"/>
      <c r="P974" s="1130"/>
      <c r="Q974" s="1130"/>
      <c r="R974" s="1130"/>
      <c r="S974" s="1130"/>
      <c r="T974" s="1130"/>
      <c r="U974" s="1130"/>
      <c r="V974" s="1130"/>
      <c r="W974" s="1130"/>
      <c r="X974" s="1130"/>
      <c r="Y974" s="1130"/>
      <c r="Z974" s="1130"/>
    </row>
    <row r="975" spans="1:26" ht="15.75" customHeight="1">
      <c r="A975" s="1129"/>
      <c r="B975" s="1130"/>
      <c r="C975" s="1130"/>
      <c r="D975" s="1130"/>
      <c r="E975" s="1130"/>
      <c r="F975" s="1130"/>
      <c r="G975" s="1130"/>
      <c r="H975" s="1130"/>
      <c r="I975" s="1130"/>
      <c r="J975" s="1130"/>
      <c r="K975" s="1130"/>
      <c r="L975" s="1130"/>
      <c r="M975" s="1130"/>
      <c r="N975" s="1130"/>
      <c r="O975" s="1130"/>
      <c r="P975" s="1130"/>
      <c r="Q975" s="1130"/>
      <c r="R975" s="1130"/>
      <c r="S975" s="1130"/>
      <c r="T975" s="1130"/>
      <c r="U975" s="1130"/>
      <c r="V975" s="1130"/>
      <c r="W975" s="1130"/>
      <c r="X975" s="1130"/>
      <c r="Y975" s="1130"/>
      <c r="Z975" s="1130"/>
    </row>
    <row r="976" spans="1:26" ht="15.75" customHeight="1">
      <c r="A976" s="1129"/>
      <c r="B976" s="1130"/>
      <c r="C976" s="1130"/>
      <c r="D976" s="1130"/>
      <c r="E976" s="1130"/>
      <c r="F976" s="1130"/>
      <c r="G976" s="1130"/>
      <c r="H976" s="1130"/>
      <c r="I976" s="1130"/>
      <c r="J976" s="1130"/>
      <c r="K976" s="1130"/>
      <c r="L976" s="1130"/>
      <c r="M976" s="1130"/>
      <c r="N976" s="1130"/>
      <c r="O976" s="1130"/>
      <c r="P976" s="1130"/>
      <c r="Q976" s="1130"/>
      <c r="R976" s="1130"/>
      <c r="S976" s="1130"/>
      <c r="T976" s="1130"/>
      <c r="U976" s="1130"/>
      <c r="V976" s="1130"/>
      <c r="W976" s="1130"/>
      <c r="X976" s="1130"/>
      <c r="Y976" s="1130"/>
      <c r="Z976" s="1130"/>
    </row>
    <row r="977" spans="1:26" ht="15.75" customHeight="1">
      <c r="A977" s="1129"/>
      <c r="B977" s="1130"/>
      <c r="C977" s="1130"/>
      <c r="D977" s="1130"/>
      <c r="E977" s="1130"/>
      <c r="F977" s="1130"/>
      <c r="G977" s="1130"/>
      <c r="H977" s="1130"/>
      <c r="I977" s="1130"/>
      <c r="J977" s="1130"/>
      <c r="K977" s="1130"/>
      <c r="L977" s="1130"/>
      <c r="M977" s="1130"/>
      <c r="N977" s="1130"/>
      <c r="O977" s="1130"/>
      <c r="P977" s="1130"/>
      <c r="Q977" s="1130"/>
      <c r="R977" s="1130"/>
      <c r="S977" s="1130"/>
      <c r="T977" s="1130"/>
      <c r="U977" s="1130"/>
      <c r="V977" s="1130"/>
      <c r="W977" s="1130"/>
      <c r="X977" s="1130"/>
      <c r="Y977" s="1130"/>
      <c r="Z977" s="1130"/>
    </row>
    <row r="978" spans="1:26" ht="15.75" customHeight="1">
      <c r="A978" s="1129"/>
      <c r="B978" s="1130"/>
      <c r="C978" s="1130"/>
      <c r="D978" s="1130"/>
      <c r="E978" s="1130"/>
      <c r="F978" s="1130"/>
      <c r="G978" s="1130"/>
      <c r="H978" s="1130"/>
      <c r="I978" s="1130"/>
      <c r="J978" s="1130"/>
      <c r="K978" s="1130"/>
      <c r="L978" s="1130"/>
      <c r="M978" s="1130"/>
      <c r="N978" s="1130"/>
      <c r="O978" s="1130"/>
      <c r="P978" s="1130"/>
      <c r="Q978" s="1130"/>
      <c r="R978" s="1130"/>
      <c r="S978" s="1130"/>
      <c r="T978" s="1130"/>
      <c r="U978" s="1130"/>
      <c r="V978" s="1130"/>
      <c r="W978" s="1130"/>
      <c r="X978" s="1130"/>
      <c r="Y978" s="1130"/>
      <c r="Z978" s="1130"/>
    </row>
    <row r="979" spans="1:26" ht="15.75" customHeight="1">
      <c r="A979" s="1129"/>
      <c r="B979" s="1130"/>
      <c r="C979" s="1130"/>
      <c r="D979" s="1130"/>
      <c r="E979" s="1130"/>
      <c r="F979" s="1130"/>
      <c r="G979" s="1130"/>
      <c r="H979" s="1130"/>
      <c r="I979" s="1130"/>
      <c r="J979" s="1130"/>
      <c r="K979" s="1130"/>
      <c r="L979" s="1130"/>
      <c r="M979" s="1130"/>
      <c r="N979" s="1130"/>
      <c r="O979" s="1130"/>
      <c r="P979" s="1130"/>
      <c r="Q979" s="1130"/>
      <c r="R979" s="1130"/>
      <c r="S979" s="1130"/>
      <c r="T979" s="1130"/>
      <c r="U979" s="1130"/>
      <c r="V979" s="1130"/>
      <c r="W979" s="1130"/>
      <c r="X979" s="1130"/>
      <c r="Y979" s="1130"/>
      <c r="Z979" s="1130"/>
    </row>
    <row r="980" spans="1:26" ht="15.75" customHeight="1">
      <c r="A980" s="1129"/>
      <c r="B980" s="1130"/>
      <c r="C980" s="1130"/>
      <c r="D980" s="1130"/>
      <c r="E980" s="1130"/>
      <c r="F980" s="1130"/>
      <c r="G980" s="1130"/>
      <c r="H980" s="1130"/>
      <c r="I980" s="1130"/>
      <c r="J980" s="1130"/>
      <c r="K980" s="1130"/>
      <c r="L980" s="1130"/>
      <c r="M980" s="1130"/>
      <c r="N980" s="1130"/>
      <c r="O980" s="1130"/>
      <c r="P980" s="1130"/>
      <c r="Q980" s="1130"/>
      <c r="R980" s="1130"/>
      <c r="S980" s="1130"/>
      <c r="T980" s="1130"/>
      <c r="U980" s="1130"/>
      <c r="V980" s="1130"/>
      <c r="W980" s="1130"/>
      <c r="X980" s="1130"/>
      <c r="Y980" s="1130"/>
      <c r="Z980" s="1130"/>
    </row>
    <row r="981" spans="1:26" ht="15.75" customHeight="1">
      <c r="A981" s="1129"/>
      <c r="B981" s="1130"/>
      <c r="C981" s="1130"/>
      <c r="D981" s="1130"/>
      <c r="E981" s="1130"/>
      <c r="F981" s="1130"/>
      <c r="G981" s="1130"/>
      <c r="H981" s="1130"/>
      <c r="I981" s="1130"/>
      <c r="J981" s="1130"/>
      <c r="K981" s="1130"/>
      <c r="L981" s="1130"/>
      <c r="M981" s="1130"/>
      <c r="N981" s="1130"/>
      <c r="O981" s="1130"/>
      <c r="P981" s="1130"/>
      <c r="Q981" s="1130"/>
      <c r="R981" s="1130"/>
      <c r="S981" s="1130"/>
      <c r="T981" s="1130"/>
      <c r="U981" s="1130"/>
      <c r="V981" s="1130"/>
      <c r="W981" s="1130"/>
      <c r="X981" s="1130"/>
      <c r="Y981" s="1130"/>
      <c r="Z981" s="1130"/>
    </row>
    <row r="982" spans="1:26" ht="15.75" customHeight="1">
      <c r="A982" s="1129"/>
      <c r="B982" s="1130"/>
      <c r="C982" s="1130"/>
      <c r="D982" s="1130"/>
      <c r="E982" s="1130"/>
      <c r="F982" s="1130"/>
      <c r="G982" s="1130"/>
      <c r="H982" s="1130"/>
      <c r="I982" s="1130"/>
      <c r="J982" s="1130"/>
      <c r="K982" s="1130"/>
      <c r="L982" s="1130"/>
      <c r="M982" s="1130"/>
      <c r="N982" s="1130"/>
      <c r="O982" s="1130"/>
      <c r="P982" s="1130"/>
      <c r="Q982" s="1130"/>
      <c r="R982" s="1130"/>
      <c r="S982" s="1130"/>
      <c r="T982" s="1130"/>
      <c r="U982" s="1130"/>
      <c r="V982" s="1130"/>
      <c r="W982" s="1130"/>
      <c r="X982" s="1130"/>
      <c r="Y982" s="1130"/>
      <c r="Z982" s="1130"/>
    </row>
    <row r="983" spans="1:26" ht="15.75" customHeight="1">
      <c r="A983" s="1129"/>
      <c r="B983" s="1130"/>
      <c r="C983" s="1130"/>
      <c r="D983" s="1130"/>
      <c r="E983" s="1130"/>
      <c r="F983" s="1130"/>
      <c r="G983" s="1130"/>
      <c r="H983" s="1130"/>
      <c r="I983" s="1130"/>
      <c r="J983" s="1130"/>
      <c r="K983" s="1130"/>
      <c r="L983" s="1130"/>
      <c r="M983" s="1130"/>
      <c r="N983" s="1130"/>
      <c r="O983" s="1130"/>
      <c r="P983" s="1130"/>
      <c r="Q983" s="1130"/>
      <c r="R983" s="1130"/>
      <c r="S983" s="1130"/>
      <c r="T983" s="1130"/>
      <c r="U983" s="1130"/>
      <c r="V983" s="1130"/>
      <c r="W983" s="1130"/>
      <c r="X983" s="1130"/>
      <c r="Y983" s="1130"/>
      <c r="Z983" s="1130"/>
    </row>
    <row r="984" spans="1:26" ht="15.75" customHeight="1">
      <c r="A984" s="1129"/>
      <c r="B984" s="1130"/>
      <c r="C984" s="1130"/>
      <c r="D984" s="1130"/>
      <c r="E984" s="1130"/>
      <c r="F984" s="1130"/>
      <c r="G984" s="1130"/>
      <c r="H984" s="1130"/>
      <c r="I984" s="1130"/>
      <c r="J984" s="1130"/>
      <c r="K984" s="1130"/>
      <c r="L984" s="1130"/>
      <c r="M984" s="1130"/>
      <c r="N984" s="1130"/>
      <c r="O984" s="1130"/>
      <c r="P984" s="1130"/>
      <c r="Q984" s="1130"/>
      <c r="R984" s="1130"/>
      <c r="S984" s="1130"/>
      <c r="T984" s="1130"/>
      <c r="U984" s="1130"/>
      <c r="V984" s="1130"/>
      <c r="W984" s="1130"/>
      <c r="X984" s="1130"/>
      <c r="Y984" s="1130"/>
      <c r="Z984" s="1130"/>
    </row>
    <row r="985" spans="1:26" ht="15.75" customHeight="1">
      <c r="A985" s="1129"/>
      <c r="B985" s="1130"/>
      <c r="C985" s="1130"/>
      <c r="D985" s="1130"/>
      <c r="E985" s="1130"/>
      <c r="F985" s="1130"/>
      <c r="G985" s="1130"/>
      <c r="H985" s="1130"/>
      <c r="I985" s="1130"/>
      <c r="J985" s="1130"/>
      <c r="K985" s="1130"/>
      <c r="L985" s="1130"/>
      <c r="M985" s="1130"/>
      <c r="N985" s="1130"/>
      <c r="O985" s="1130"/>
      <c r="P985" s="1130"/>
      <c r="Q985" s="1130"/>
      <c r="R985" s="1130"/>
      <c r="S985" s="1130"/>
      <c r="T985" s="1130"/>
      <c r="U985" s="1130"/>
      <c r="V985" s="1130"/>
      <c r="W985" s="1130"/>
      <c r="X985" s="1130"/>
      <c r="Y985" s="1130"/>
      <c r="Z985" s="1130"/>
    </row>
    <row r="986" spans="1:26" ht="15.75" customHeight="1">
      <c r="A986" s="1129"/>
      <c r="B986" s="1130"/>
      <c r="C986" s="1130"/>
      <c r="D986" s="1130"/>
      <c r="E986" s="1130"/>
      <c r="F986" s="1130"/>
      <c r="G986" s="1130"/>
      <c r="H986" s="1130"/>
      <c r="I986" s="1130"/>
      <c r="J986" s="1130"/>
      <c r="K986" s="1130"/>
      <c r="L986" s="1130"/>
      <c r="M986" s="1130"/>
      <c r="N986" s="1130"/>
      <c r="O986" s="1130"/>
      <c r="P986" s="1130"/>
      <c r="Q986" s="1130"/>
      <c r="R986" s="1130"/>
      <c r="S986" s="1130"/>
      <c r="T986" s="1130"/>
      <c r="U986" s="1130"/>
      <c r="V986" s="1130"/>
      <c r="W986" s="1130"/>
      <c r="X986" s="1130"/>
      <c r="Y986" s="1130"/>
      <c r="Z986" s="1130"/>
    </row>
    <row r="987" spans="1:26" ht="15.75" customHeight="1">
      <c r="A987" s="1129"/>
      <c r="B987" s="1130"/>
      <c r="C987" s="1130"/>
      <c r="D987" s="1130"/>
      <c r="E987" s="1130"/>
      <c r="F987" s="1130"/>
      <c r="G987" s="1130"/>
      <c r="H987" s="1130"/>
      <c r="I987" s="1130"/>
      <c r="J987" s="1130"/>
      <c r="K987" s="1130"/>
      <c r="L987" s="1130"/>
      <c r="M987" s="1130"/>
      <c r="N987" s="1130"/>
      <c r="O987" s="1130"/>
      <c r="P987" s="1130"/>
      <c r="Q987" s="1130"/>
      <c r="R987" s="1130"/>
      <c r="S987" s="1130"/>
      <c r="T987" s="1130"/>
      <c r="U987" s="1130"/>
      <c r="V987" s="1130"/>
      <c r="W987" s="1130"/>
      <c r="X987" s="1130"/>
      <c r="Y987" s="1130"/>
      <c r="Z987" s="1130"/>
    </row>
    <row r="988" spans="1:26" ht="15.75" customHeight="1">
      <c r="A988" s="1129"/>
      <c r="B988" s="1130"/>
      <c r="C988" s="1130"/>
      <c r="D988" s="1130"/>
      <c r="E988" s="1130"/>
      <c r="F988" s="1130"/>
      <c r="G988" s="1130"/>
      <c r="H988" s="1130"/>
      <c r="I988" s="1130"/>
      <c r="J988" s="1130"/>
      <c r="K988" s="1130"/>
      <c r="L988" s="1130"/>
      <c r="M988" s="1130"/>
      <c r="N988" s="1130"/>
      <c r="O988" s="1130"/>
      <c r="P988" s="1130"/>
      <c r="Q988" s="1130"/>
      <c r="R988" s="1130"/>
      <c r="S988" s="1130"/>
      <c r="T988" s="1130"/>
      <c r="U988" s="1130"/>
      <c r="V988" s="1130"/>
      <c r="W988" s="1130"/>
      <c r="X988" s="1130"/>
      <c r="Y988" s="1130"/>
      <c r="Z988" s="1130"/>
    </row>
    <row r="989" spans="1:26" ht="15.75" customHeight="1">
      <c r="A989" s="1129"/>
      <c r="B989" s="1130"/>
      <c r="C989" s="1130"/>
      <c r="D989" s="1130"/>
      <c r="E989" s="1130"/>
      <c r="F989" s="1130"/>
      <c r="G989" s="1130"/>
      <c r="H989" s="1130"/>
      <c r="I989" s="1130"/>
      <c r="J989" s="1130"/>
      <c r="K989" s="1130"/>
      <c r="L989" s="1130"/>
      <c r="M989" s="1130"/>
      <c r="N989" s="1130"/>
      <c r="O989" s="1130"/>
      <c r="P989" s="1130"/>
      <c r="Q989" s="1130"/>
      <c r="R989" s="1130"/>
      <c r="S989" s="1130"/>
      <c r="T989" s="1130"/>
      <c r="U989" s="1130"/>
      <c r="V989" s="1130"/>
      <c r="W989" s="1130"/>
      <c r="X989" s="1130"/>
      <c r="Y989" s="1130"/>
      <c r="Z989" s="1130"/>
    </row>
    <row r="990" spans="1:26" ht="15.75" customHeight="1">
      <c r="A990" s="1129"/>
      <c r="B990" s="1130"/>
      <c r="C990" s="1130"/>
      <c r="D990" s="1130"/>
      <c r="E990" s="1130"/>
      <c r="F990" s="1130"/>
      <c r="G990" s="1130"/>
      <c r="H990" s="1130"/>
      <c r="I990" s="1130"/>
      <c r="J990" s="1130"/>
      <c r="K990" s="1130"/>
      <c r="L990" s="1130"/>
      <c r="M990" s="1130"/>
      <c r="N990" s="1130"/>
      <c r="O990" s="1130"/>
      <c r="P990" s="1130"/>
      <c r="Q990" s="1130"/>
      <c r="R990" s="1130"/>
      <c r="S990" s="1130"/>
      <c r="T990" s="1130"/>
      <c r="U990" s="1130"/>
      <c r="V990" s="1130"/>
      <c r="W990" s="1130"/>
      <c r="X990" s="1130"/>
      <c r="Y990" s="1130"/>
      <c r="Z990" s="1130"/>
    </row>
    <row r="991" spans="1:26" ht="15.75" customHeight="1">
      <c r="A991" s="1129"/>
      <c r="B991" s="1130"/>
      <c r="C991" s="1130"/>
      <c r="D991" s="1130"/>
      <c r="E991" s="1130"/>
      <c r="F991" s="1130"/>
      <c r="G991" s="1130"/>
      <c r="H991" s="1130"/>
      <c r="I991" s="1130"/>
      <c r="J991" s="1130"/>
      <c r="K991" s="1130"/>
      <c r="L991" s="1130"/>
      <c r="M991" s="1130"/>
      <c r="N991" s="1130"/>
      <c r="O991" s="1130"/>
      <c r="P991" s="1130"/>
      <c r="Q991" s="1130"/>
      <c r="R991" s="1130"/>
      <c r="S991" s="1130"/>
      <c r="T991" s="1130"/>
      <c r="U991" s="1130"/>
      <c r="V991" s="1130"/>
      <c r="W991" s="1130"/>
      <c r="X991" s="1130"/>
      <c r="Y991" s="1130"/>
      <c r="Z991" s="1130"/>
    </row>
    <row r="992" spans="1:26" ht="15.75" customHeight="1">
      <c r="A992" s="1129"/>
      <c r="B992" s="1130"/>
      <c r="C992" s="1130"/>
      <c r="D992" s="1130"/>
      <c r="E992" s="1130"/>
      <c r="F992" s="1130"/>
      <c r="G992" s="1130"/>
      <c r="H992" s="1130"/>
      <c r="I992" s="1130"/>
      <c r="J992" s="1130"/>
      <c r="K992" s="1130"/>
      <c r="L992" s="1130"/>
      <c r="M992" s="1130"/>
      <c r="N992" s="1130"/>
      <c r="O992" s="1130"/>
      <c r="P992" s="1130"/>
      <c r="Q992" s="1130"/>
      <c r="R992" s="1130"/>
      <c r="S992" s="1130"/>
      <c r="T992" s="1130"/>
      <c r="U992" s="1130"/>
      <c r="V992" s="1130"/>
      <c r="W992" s="1130"/>
      <c r="X992" s="1130"/>
      <c r="Y992" s="1130"/>
      <c r="Z992" s="1130"/>
    </row>
    <row r="993" spans="1:26" ht="15.75" customHeight="1">
      <c r="A993" s="1129"/>
      <c r="B993" s="1130"/>
      <c r="C993" s="1130"/>
      <c r="D993" s="1130"/>
      <c r="E993" s="1130"/>
      <c r="F993" s="1130"/>
      <c r="G993" s="1130"/>
      <c r="H993" s="1130"/>
      <c r="I993" s="1130"/>
      <c r="J993" s="1130"/>
      <c r="K993" s="1130"/>
      <c r="L993" s="1130"/>
      <c r="M993" s="1130"/>
      <c r="N993" s="1130"/>
      <c r="O993" s="1130"/>
      <c r="P993" s="1130"/>
      <c r="Q993" s="1130"/>
      <c r="R993" s="1130"/>
      <c r="S993" s="1130"/>
      <c r="T993" s="1130"/>
      <c r="U993" s="1130"/>
      <c r="V993" s="1130"/>
      <c r="W993" s="1130"/>
      <c r="X993" s="1130"/>
      <c r="Y993" s="1130"/>
      <c r="Z993" s="1130"/>
    </row>
    <row r="994" spans="1:26" ht="15.75" customHeight="1">
      <c r="A994" s="1129"/>
      <c r="B994" s="1130"/>
      <c r="C994" s="1130"/>
      <c r="D994" s="1130"/>
      <c r="E994" s="1130"/>
      <c r="F994" s="1130"/>
      <c r="G994" s="1130"/>
      <c r="H994" s="1130"/>
      <c r="I994" s="1130"/>
      <c r="J994" s="1130"/>
      <c r="K994" s="1130"/>
      <c r="L994" s="1130"/>
      <c r="M994" s="1130"/>
      <c r="N994" s="1130"/>
      <c r="O994" s="1130"/>
      <c r="P994" s="1130"/>
      <c r="Q994" s="1130"/>
      <c r="R994" s="1130"/>
      <c r="S994" s="1130"/>
      <c r="T994" s="1130"/>
      <c r="U994" s="1130"/>
      <c r="V994" s="1130"/>
      <c r="W994" s="1130"/>
      <c r="X994" s="1130"/>
      <c r="Y994" s="1130"/>
      <c r="Z994" s="1130"/>
    </row>
    <row r="995" spans="1:26" ht="15.75" customHeight="1">
      <c r="A995" s="1129"/>
      <c r="B995" s="1130"/>
      <c r="C995" s="1130"/>
      <c r="D995" s="1130"/>
      <c r="E995" s="1130"/>
      <c r="F995" s="1130"/>
      <c r="G995" s="1130"/>
      <c r="H995" s="1130"/>
      <c r="I995" s="1130"/>
      <c r="J995" s="1130"/>
      <c r="K995" s="1130"/>
      <c r="L995" s="1130"/>
      <c r="M995" s="1130"/>
      <c r="N995" s="1130"/>
      <c r="O995" s="1130"/>
      <c r="P995" s="1130"/>
      <c r="Q995" s="1130"/>
      <c r="R995" s="1130"/>
      <c r="S995" s="1130"/>
      <c r="T995" s="1130"/>
      <c r="U995" s="1130"/>
      <c r="V995" s="1130"/>
      <c r="W995" s="1130"/>
      <c r="X995" s="1130"/>
      <c r="Y995" s="1130"/>
      <c r="Z995" s="1130"/>
    </row>
    <row r="996" spans="1:26" ht="15.75" customHeight="1">
      <c r="A996" s="1129"/>
      <c r="B996" s="1130"/>
      <c r="C996" s="1130"/>
      <c r="D996" s="1130"/>
      <c r="E996" s="1130"/>
      <c r="F996" s="1130"/>
      <c r="G996" s="1130"/>
      <c r="H996" s="1130"/>
      <c r="I996" s="1130"/>
      <c r="J996" s="1130"/>
      <c r="K996" s="1130"/>
      <c r="L996" s="1130"/>
      <c r="M996" s="1130"/>
      <c r="N996" s="1130"/>
      <c r="O996" s="1130"/>
      <c r="P996" s="1130"/>
      <c r="Q996" s="1130"/>
      <c r="R996" s="1130"/>
      <c r="S996" s="1130"/>
      <c r="T996" s="1130"/>
      <c r="U996" s="1130"/>
      <c r="V996" s="1130"/>
      <c r="W996" s="1130"/>
      <c r="X996" s="1130"/>
      <c r="Y996" s="1130"/>
      <c r="Z996" s="1130"/>
    </row>
    <row r="997" spans="1:26" ht="15.75" customHeight="1">
      <c r="A997" s="1129"/>
      <c r="B997" s="1130"/>
      <c r="C997" s="1130"/>
      <c r="D997" s="1130"/>
      <c r="E997" s="1130"/>
      <c r="F997" s="1130"/>
      <c r="G997" s="1130"/>
      <c r="H997" s="1130"/>
      <c r="I997" s="1130"/>
      <c r="J997" s="1130"/>
      <c r="K997" s="1130"/>
      <c r="L997" s="1130"/>
      <c r="M997" s="1130"/>
      <c r="N997" s="1130"/>
      <c r="O997" s="1130"/>
      <c r="P997" s="1130"/>
      <c r="Q997" s="1130"/>
      <c r="R997" s="1130"/>
      <c r="S997" s="1130"/>
      <c r="T997" s="1130"/>
      <c r="U997" s="1130"/>
      <c r="V997" s="1130"/>
      <c r="W997" s="1130"/>
      <c r="X997" s="1130"/>
      <c r="Y997" s="1130"/>
      <c r="Z997" s="1130"/>
    </row>
    <row r="998" spans="1:26" ht="15.75" customHeight="1">
      <c r="A998" s="1129"/>
      <c r="B998" s="1130"/>
      <c r="C998" s="1130"/>
      <c r="D998" s="1130"/>
      <c r="E998" s="1130"/>
      <c r="F998" s="1130"/>
      <c r="G998" s="1130"/>
      <c r="H998" s="1130"/>
      <c r="I998" s="1130"/>
      <c r="J998" s="1130"/>
      <c r="K998" s="1130"/>
      <c r="L998" s="1130"/>
      <c r="M998" s="1130"/>
      <c r="N998" s="1130"/>
      <c r="O998" s="1130"/>
      <c r="P998" s="1130"/>
      <c r="Q998" s="1130"/>
      <c r="R998" s="1130"/>
      <c r="S998" s="1130"/>
      <c r="T998" s="1130"/>
      <c r="U998" s="1130"/>
      <c r="V998" s="1130"/>
      <c r="W998" s="1130"/>
      <c r="X998" s="1130"/>
      <c r="Y998" s="1130"/>
      <c r="Z998" s="1130"/>
    </row>
    <row r="999" spans="1:26" ht="15.75" customHeight="1">
      <c r="A999" s="1129"/>
      <c r="B999" s="1130"/>
      <c r="C999" s="1130"/>
      <c r="D999" s="1130"/>
      <c r="E999" s="1130"/>
      <c r="F999" s="1130"/>
      <c r="G999" s="1130"/>
      <c r="H999" s="1130"/>
      <c r="I999" s="1130"/>
      <c r="J999" s="1130"/>
      <c r="K999" s="1130"/>
      <c r="L999" s="1130"/>
      <c r="M999" s="1130"/>
      <c r="N999" s="1130"/>
      <c r="O999" s="1130"/>
      <c r="P999" s="1130"/>
      <c r="Q999" s="1130"/>
      <c r="R999" s="1130"/>
      <c r="S999" s="1130"/>
      <c r="T999" s="1130"/>
      <c r="U999" s="1130"/>
      <c r="V999" s="1130"/>
      <c r="W999" s="1130"/>
      <c r="X999" s="1130"/>
      <c r="Y999" s="1130"/>
      <c r="Z999" s="1130"/>
    </row>
    <row r="1000" spans="1:26" ht="15.75" customHeight="1">
      <c r="A1000" s="1129"/>
      <c r="B1000" s="1130"/>
      <c r="C1000" s="1130"/>
      <c r="D1000" s="1130"/>
      <c r="E1000" s="1130"/>
      <c r="F1000" s="1130"/>
      <c r="G1000" s="1130"/>
      <c r="H1000" s="1130"/>
      <c r="I1000" s="1130"/>
      <c r="J1000" s="1130"/>
      <c r="K1000" s="1130"/>
      <c r="L1000" s="1130"/>
      <c r="M1000" s="1130"/>
      <c r="N1000" s="1130"/>
      <c r="O1000" s="1130"/>
      <c r="P1000" s="1130"/>
      <c r="Q1000" s="1130"/>
      <c r="R1000" s="1130"/>
      <c r="S1000" s="1130"/>
      <c r="T1000" s="1130"/>
      <c r="U1000" s="1130"/>
      <c r="V1000" s="1130"/>
      <c r="W1000" s="1130"/>
      <c r="X1000" s="1130"/>
      <c r="Y1000" s="1130"/>
      <c r="Z1000" s="1130"/>
    </row>
    <row r="1001" spans="1:26" ht="15.75" customHeight="1">
      <c r="A1001" s="1129"/>
      <c r="B1001" s="1130"/>
      <c r="C1001" s="1130"/>
      <c r="D1001" s="1130"/>
      <c r="E1001" s="1130"/>
      <c r="F1001" s="1130"/>
      <c r="G1001" s="1130"/>
      <c r="H1001" s="1130"/>
      <c r="I1001" s="1130"/>
      <c r="J1001" s="1130"/>
      <c r="K1001" s="1130"/>
      <c r="L1001" s="1130"/>
      <c r="M1001" s="1130"/>
      <c r="N1001" s="1130"/>
      <c r="O1001" s="1130"/>
      <c r="P1001" s="1130"/>
      <c r="Q1001" s="1130"/>
      <c r="R1001" s="1130"/>
      <c r="S1001" s="1130"/>
      <c r="T1001" s="1130"/>
      <c r="U1001" s="1130"/>
      <c r="V1001" s="1130"/>
      <c r="W1001" s="1130"/>
      <c r="X1001" s="1130"/>
      <c r="Y1001" s="1130"/>
      <c r="Z1001" s="1130"/>
    </row>
    <row r="1002" spans="1:26" ht="15.75" customHeight="1">
      <c r="A1002" s="1129"/>
      <c r="B1002" s="1130"/>
      <c r="C1002" s="1130"/>
      <c r="D1002" s="1130"/>
      <c r="E1002" s="1130"/>
      <c r="F1002" s="1130"/>
      <c r="G1002" s="1130"/>
      <c r="H1002" s="1130"/>
      <c r="I1002" s="1130"/>
      <c r="J1002" s="1130"/>
      <c r="K1002" s="1130"/>
      <c r="L1002" s="1130"/>
      <c r="M1002" s="1130"/>
      <c r="N1002" s="1130"/>
      <c r="O1002" s="1130"/>
      <c r="P1002" s="1130"/>
      <c r="Q1002" s="1130"/>
      <c r="R1002" s="1130"/>
      <c r="S1002" s="1130"/>
      <c r="T1002" s="1130"/>
      <c r="U1002" s="1130"/>
      <c r="V1002" s="1130"/>
      <c r="W1002" s="1130"/>
      <c r="X1002" s="1130"/>
      <c r="Y1002" s="1130"/>
      <c r="Z1002" s="1130"/>
    </row>
    <row r="1003" spans="1:26" ht="15.75" customHeight="1">
      <c r="A1003" s="1129"/>
      <c r="B1003" s="1130"/>
      <c r="C1003" s="1130"/>
      <c r="D1003" s="1130"/>
      <c r="E1003" s="1130"/>
      <c r="F1003" s="1130"/>
      <c r="G1003" s="1130"/>
      <c r="H1003" s="1130"/>
      <c r="I1003" s="1130"/>
      <c r="J1003" s="1130"/>
      <c r="K1003" s="1130"/>
      <c r="L1003" s="1130"/>
      <c r="M1003" s="1130"/>
      <c r="N1003" s="1130"/>
      <c r="O1003" s="1130"/>
      <c r="P1003" s="1130"/>
      <c r="Q1003" s="1130"/>
      <c r="R1003" s="1130"/>
      <c r="S1003" s="1130"/>
      <c r="T1003" s="1130"/>
      <c r="U1003" s="1130"/>
      <c r="V1003" s="1130"/>
      <c r="W1003" s="1130"/>
      <c r="X1003" s="1130"/>
      <c r="Y1003" s="1130"/>
      <c r="Z1003" s="1130"/>
    </row>
    <row r="1004" spans="1:26" ht="15.75" customHeight="1">
      <c r="A1004" s="1129"/>
      <c r="B1004" s="1130"/>
      <c r="C1004" s="1130"/>
      <c r="D1004" s="1130"/>
      <c r="E1004" s="1130"/>
      <c r="F1004" s="1130"/>
      <c r="G1004" s="1130"/>
      <c r="H1004" s="1130"/>
      <c r="I1004" s="1130"/>
      <c r="J1004" s="1130"/>
      <c r="K1004" s="1130"/>
      <c r="L1004" s="1130"/>
      <c r="M1004" s="1130"/>
      <c r="N1004" s="1130"/>
      <c r="O1004" s="1130"/>
      <c r="P1004" s="1130"/>
      <c r="Q1004" s="1130"/>
      <c r="R1004" s="1130"/>
      <c r="S1004" s="1130"/>
      <c r="T1004" s="1130"/>
      <c r="U1004" s="1130"/>
      <c r="V1004" s="1130"/>
      <c r="W1004" s="1130"/>
      <c r="X1004" s="1130"/>
      <c r="Y1004" s="1130"/>
      <c r="Z1004" s="1130"/>
    </row>
    <row r="1005" spans="1:26" ht="15.75" customHeight="1">
      <c r="A1005" s="1129"/>
      <c r="B1005" s="1130"/>
      <c r="C1005" s="1130"/>
      <c r="D1005" s="1130"/>
      <c r="E1005" s="1130"/>
      <c r="F1005" s="1130"/>
      <c r="G1005" s="1130"/>
      <c r="H1005" s="1130"/>
      <c r="I1005" s="1130"/>
      <c r="J1005" s="1130"/>
      <c r="K1005" s="1130"/>
      <c r="L1005" s="1130"/>
      <c r="M1005" s="1130"/>
      <c r="N1005" s="1130"/>
      <c r="O1005" s="1130"/>
      <c r="P1005" s="1130"/>
      <c r="Q1005" s="1130"/>
      <c r="R1005" s="1130"/>
      <c r="S1005" s="1130"/>
      <c r="T1005" s="1130"/>
      <c r="U1005" s="1130"/>
      <c r="V1005" s="1130"/>
      <c r="W1005" s="1130"/>
      <c r="X1005" s="1130"/>
      <c r="Y1005" s="1130"/>
      <c r="Z1005" s="1130"/>
    </row>
    <row r="1006" spans="1:26" ht="15.75" customHeight="1">
      <c r="A1006" s="1129"/>
      <c r="B1006" s="1130"/>
      <c r="C1006" s="1130"/>
      <c r="D1006" s="1130"/>
      <c r="E1006" s="1130"/>
      <c r="F1006" s="1130"/>
      <c r="G1006" s="1130"/>
      <c r="H1006" s="1130"/>
      <c r="I1006" s="1130"/>
      <c r="J1006" s="1130"/>
      <c r="K1006" s="1130"/>
      <c r="L1006" s="1130"/>
      <c r="M1006" s="1130"/>
      <c r="N1006" s="1130"/>
      <c r="O1006" s="1130"/>
      <c r="P1006" s="1130"/>
      <c r="Q1006" s="1130"/>
      <c r="R1006" s="1130"/>
      <c r="S1006" s="1130"/>
      <c r="T1006" s="1130"/>
      <c r="U1006" s="1130"/>
      <c r="V1006" s="1130"/>
      <c r="W1006" s="1130"/>
      <c r="X1006" s="1130"/>
      <c r="Y1006" s="1130"/>
      <c r="Z1006" s="1130"/>
    </row>
    <row r="1007" spans="1:26" ht="15.75" customHeight="1">
      <c r="A1007" s="1129"/>
      <c r="B1007" s="1130"/>
      <c r="C1007" s="1130"/>
      <c r="D1007" s="1130"/>
      <c r="E1007" s="1130"/>
      <c r="F1007" s="1130"/>
      <c r="G1007" s="1130"/>
      <c r="H1007" s="1130"/>
      <c r="I1007" s="1130"/>
      <c r="J1007" s="1130"/>
      <c r="K1007" s="1130"/>
      <c r="L1007" s="1130"/>
      <c r="M1007" s="1130"/>
      <c r="N1007" s="1130"/>
      <c r="O1007" s="1130"/>
      <c r="P1007" s="1130"/>
      <c r="Q1007" s="1130"/>
      <c r="R1007" s="1130"/>
      <c r="S1007" s="1130"/>
      <c r="T1007" s="1130"/>
      <c r="U1007" s="1130"/>
      <c r="V1007" s="1130"/>
      <c r="W1007" s="1130"/>
      <c r="X1007" s="1130"/>
      <c r="Y1007" s="1130"/>
      <c r="Z1007" s="1130"/>
    </row>
    <row r="1008" spans="1:26" ht="15.75" customHeight="1">
      <c r="A1008" s="1129"/>
      <c r="B1008" s="1130"/>
      <c r="C1008" s="1130"/>
      <c r="D1008" s="1130"/>
      <c r="E1008" s="1130"/>
      <c r="F1008" s="1130"/>
      <c r="G1008" s="1130"/>
      <c r="H1008" s="1130"/>
      <c r="I1008" s="1130"/>
      <c r="J1008" s="1130"/>
      <c r="K1008" s="1130"/>
      <c r="L1008" s="1130"/>
      <c r="M1008" s="1130"/>
      <c r="N1008" s="1130"/>
      <c r="O1008" s="1130"/>
      <c r="P1008" s="1130"/>
      <c r="Q1008" s="1130"/>
      <c r="R1008" s="1130"/>
      <c r="S1008" s="1130"/>
      <c r="T1008" s="1130"/>
      <c r="U1008" s="1130"/>
      <c r="V1008" s="1130"/>
      <c r="W1008" s="1130"/>
      <c r="X1008" s="1130"/>
      <c r="Y1008" s="1130"/>
      <c r="Z1008" s="1130"/>
    </row>
    <row r="1009" spans="1:26" ht="15.75" customHeight="1">
      <c r="A1009" s="1129"/>
      <c r="B1009" s="1130"/>
      <c r="C1009" s="1130"/>
      <c r="D1009" s="1130"/>
      <c r="E1009" s="1130"/>
      <c r="F1009" s="1130"/>
      <c r="G1009" s="1130"/>
      <c r="H1009" s="1130"/>
      <c r="I1009" s="1130"/>
      <c r="J1009" s="1130"/>
      <c r="K1009" s="1130"/>
      <c r="L1009" s="1130"/>
      <c r="M1009" s="1130"/>
      <c r="N1009" s="1130"/>
      <c r="O1009" s="1130"/>
      <c r="P1009" s="1130"/>
      <c r="Q1009" s="1130"/>
      <c r="R1009" s="1130"/>
      <c r="S1009" s="1130"/>
      <c r="T1009" s="1130"/>
      <c r="U1009" s="1130"/>
      <c r="V1009" s="1130"/>
      <c r="W1009" s="1130"/>
      <c r="X1009" s="1130"/>
      <c r="Y1009" s="1130"/>
      <c r="Z1009" s="1130"/>
    </row>
  </sheetData>
  <printOptions horizontalCentered="1"/>
  <pageMargins left="0.7" right="0.7" top="0.71" bottom="0.59" header="0.3" footer="0.16"/>
  <pageSetup paperSize="9" scale="77" fitToHeight="10" orientation="landscape" r:id="rId1"/>
  <rowBreaks count="1" manualBreakCount="1">
    <brk id="41" max="10" man="1"/>
  </row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tabColor rgb="FFFFFF00"/>
    <pageSetUpPr fitToPage="1"/>
  </sheetPr>
  <dimension ref="A1:P40"/>
  <sheetViews>
    <sheetView workbookViewId="0">
      <selection activeCell="H22" sqref="H22"/>
    </sheetView>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3" width="9.109375" style="4"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1337</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c r="A11" s="10">
        <v>1</v>
      </c>
      <c r="B11" s="14" t="s">
        <v>18</v>
      </c>
      <c r="C11" s="12" t="s">
        <v>19</v>
      </c>
      <c r="D11" s="12"/>
      <c r="E11" s="825"/>
      <c r="F11" s="825"/>
      <c r="G11" s="825"/>
      <c r="H11" s="825"/>
      <c r="I11" s="825"/>
      <c r="J11" s="1014"/>
      <c r="K11" s="477"/>
    </row>
    <row r="12" spans="1:16">
      <c r="A12" s="10"/>
      <c r="B12" s="345" t="s">
        <v>808</v>
      </c>
      <c r="C12" s="12"/>
      <c r="D12" s="45">
        <v>1</v>
      </c>
      <c r="E12" s="945"/>
      <c r="F12" s="945"/>
      <c r="G12" s="825"/>
      <c r="H12" s="825">
        <v>1000</v>
      </c>
      <c r="J12" s="825">
        <f>ROUND(D12*H12,2)</f>
        <v>1000</v>
      </c>
      <c r="K12" s="24"/>
    </row>
    <row r="13" spans="1:16">
      <c r="A13" s="10"/>
      <c r="B13" s="14"/>
      <c r="C13" s="12"/>
      <c r="D13" s="12"/>
      <c r="E13" s="825"/>
      <c r="F13" s="825"/>
      <c r="G13" s="825"/>
      <c r="H13" s="825"/>
      <c r="I13" s="1010" t="s">
        <v>20</v>
      </c>
      <c r="J13" s="1010">
        <f>SUM(J12:J12)</f>
        <v>1000</v>
      </c>
      <c r="K13" s="24"/>
    </row>
    <row r="14" spans="1:16" ht="67.2">
      <c r="A14" s="7">
        <f>A11+1</f>
        <v>2</v>
      </c>
      <c r="B14" s="443" t="s">
        <v>782</v>
      </c>
      <c r="C14" s="7" t="s">
        <v>21</v>
      </c>
      <c r="D14" s="7"/>
      <c r="E14" s="912"/>
      <c r="F14" s="912"/>
      <c r="G14" s="912"/>
      <c r="H14" s="912"/>
      <c r="I14" s="912"/>
      <c r="J14" s="912"/>
      <c r="K14" s="1011"/>
      <c r="P14" s="4">
        <f>70*21</f>
        <v>1470</v>
      </c>
    </row>
    <row r="15" spans="1:16" ht="33.6">
      <c r="A15" s="10">
        <v>2.1</v>
      </c>
      <c r="B15" s="343" t="s">
        <v>1338</v>
      </c>
      <c r="C15" s="12"/>
      <c r="D15" s="12">
        <v>1</v>
      </c>
      <c r="E15" s="825">
        <v>28</v>
      </c>
      <c r="F15" s="825"/>
      <c r="G15" s="825"/>
      <c r="H15" s="825">
        <v>260</v>
      </c>
      <c r="I15" s="825">
        <f>E15*H15</f>
        <v>7280</v>
      </c>
      <c r="J15" s="825"/>
      <c r="K15" s="24"/>
      <c r="L15" s="4">
        <v>1075.5</v>
      </c>
    </row>
    <row r="16" spans="1:16">
      <c r="A16" s="14"/>
      <c r="B16" s="14"/>
      <c r="C16" s="12"/>
      <c r="D16" s="12"/>
      <c r="E16" s="825"/>
      <c r="F16" s="825"/>
      <c r="G16" s="825"/>
      <c r="H16" s="825"/>
      <c r="I16" s="1010" t="s">
        <v>20</v>
      </c>
      <c r="J16" s="1010">
        <f>0.7*I15</f>
        <v>5096</v>
      </c>
      <c r="K16" s="24" t="s">
        <v>1339</v>
      </c>
    </row>
    <row r="17" spans="1:15">
      <c r="A17" s="10">
        <v>2.2000000000000002</v>
      </c>
      <c r="B17" s="14" t="s">
        <v>1340</v>
      </c>
      <c r="C17" s="12"/>
      <c r="D17" s="12">
        <v>1</v>
      </c>
      <c r="E17" s="825"/>
      <c r="F17" s="825"/>
      <c r="G17" s="825"/>
      <c r="H17" s="825"/>
      <c r="I17" s="825"/>
      <c r="J17" s="825">
        <f>I15*0.3</f>
        <v>2184</v>
      </c>
      <c r="K17" s="24"/>
    </row>
    <row r="18" spans="1:15">
      <c r="A18" s="10"/>
      <c r="B18" s="345"/>
      <c r="C18" s="12"/>
      <c r="D18" s="45"/>
      <c r="E18" s="14"/>
      <c r="F18" s="14"/>
      <c r="G18" s="14"/>
      <c r="H18" s="14"/>
      <c r="I18" s="1010" t="s">
        <v>20</v>
      </c>
      <c r="J18" s="1010">
        <f>SUM(J17)</f>
        <v>2184</v>
      </c>
      <c r="K18" s="1012" t="s">
        <v>1341</v>
      </c>
    </row>
    <row r="19" spans="1:15" ht="33.6">
      <c r="A19" s="10">
        <v>3</v>
      </c>
      <c r="B19" s="343" t="s">
        <v>2431</v>
      </c>
      <c r="C19" s="12" t="s">
        <v>307</v>
      </c>
      <c r="D19" s="12"/>
      <c r="E19" s="825"/>
      <c r="F19" s="825"/>
      <c r="G19" s="825"/>
      <c r="H19" s="825"/>
      <c r="I19" s="825"/>
      <c r="J19" s="1014"/>
      <c r="K19" s="477"/>
    </row>
    <row r="20" spans="1:15" ht="17.399999999999999">
      <c r="A20" s="10"/>
      <c r="B20" s="14"/>
      <c r="C20" s="12"/>
      <c r="D20" s="12"/>
      <c r="E20" s="825" t="s">
        <v>1342</v>
      </c>
      <c r="F20" s="825"/>
      <c r="G20" s="825"/>
      <c r="H20" s="825"/>
      <c r="I20" s="825"/>
      <c r="J20" s="1014"/>
      <c r="K20" s="477"/>
    </row>
    <row r="21" spans="1:15">
      <c r="A21" s="10"/>
      <c r="B21" s="345" t="s">
        <v>2561</v>
      </c>
      <c r="C21" s="12"/>
      <c r="D21" s="12">
        <v>1</v>
      </c>
      <c r="E21" s="825">
        <f>1.5*1.5</f>
        <v>2.25</v>
      </c>
      <c r="F21" s="825"/>
      <c r="G21" s="825"/>
      <c r="H21" s="825">
        <v>900</v>
      </c>
      <c r="I21" s="825"/>
      <c r="J21" s="969">
        <f>H21/E21</f>
        <v>400</v>
      </c>
      <c r="K21" s="477"/>
    </row>
    <row r="22" spans="1:15">
      <c r="A22" s="10"/>
      <c r="B22" s="14"/>
      <c r="C22" s="12"/>
      <c r="D22" s="12"/>
      <c r="E22" s="825"/>
      <c r="F22" s="825"/>
      <c r="G22" s="825"/>
      <c r="H22" s="825"/>
      <c r="I22" s="1010" t="s">
        <v>20</v>
      </c>
      <c r="J22" s="1010">
        <f>ROUNDUP(SUM(J21:J21),0)</f>
        <v>400</v>
      </c>
      <c r="K22" s="477"/>
    </row>
    <row r="23" spans="1:15">
      <c r="A23" s="10">
        <v>4</v>
      </c>
      <c r="B23" s="14" t="s">
        <v>1417</v>
      </c>
      <c r="C23" s="12" t="s">
        <v>21</v>
      </c>
      <c r="D23" s="12"/>
      <c r="E23" s="825"/>
      <c r="F23" s="825"/>
      <c r="G23" s="825"/>
      <c r="H23" s="825"/>
      <c r="I23" s="825"/>
      <c r="J23" s="1014"/>
      <c r="K23" s="477"/>
    </row>
    <row r="24" spans="1:15">
      <c r="A24" s="10"/>
      <c r="B24" s="14" t="s">
        <v>808</v>
      </c>
      <c r="C24" s="12"/>
      <c r="D24" s="12"/>
      <c r="E24" s="825"/>
      <c r="F24" s="825"/>
      <c r="G24" s="825"/>
      <c r="H24" s="825"/>
      <c r="I24" s="825"/>
      <c r="J24" s="825"/>
      <c r="K24" s="24"/>
    </row>
    <row r="25" spans="1:15">
      <c r="A25" s="10"/>
      <c r="B25" s="345" t="s">
        <v>809</v>
      </c>
      <c r="C25" s="12"/>
      <c r="D25" s="12">
        <f>D21</f>
        <v>1</v>
      </c>
      <c r="E25" s="825"/>
      <c r="F25" s="825">
        <v>0.1</v>
      </c>
      <c r="G25" s="825"/>
      <c r="H25" s="825">
        <f>H21</f>
        <v>900</v>
      </c>
      <c r="I25" s="825"/>
      <c r="J25" s="825">
        <f>F25*H25</f>
        <v>90</v>
      </c>
      <c r="K25" s="477"/>
      <c r="O25" s="4">
        <f>5.83*2</f>
        <v>11.66</v>
      </c>
    </row>
    <row r="26" spans="1:15">
      <c r="A26" s="10"/>
      <c r="B26" s="137"/>
      <c r="C26" s="12"/>
      <c r="D26" s="12"/>
      <c r="E26" s="825"/>
      <c r="F26" s="825"/>
      <c r="G26" s="825"/>
      <c r="H26" s="825"/>
      <c r="I26" s="1010" t="s">
        <v>20</v>
      </c>
      <c r="J26" s="1010">
        <f>SUM(J25:J25)</f>
        <v>90</v>
      </c>
      <c r="K26" s="24"/>
      <c r="L26" s="4">
        <v>11.1</v>
      </c>
    </row>
    <row r="27" spans="1:15">
      <c r="A27" s="10">
        <v>5</v>
      </c>
      <c r="B27" s="14" t="s">
        <v>1344</v>
      </c>
      <c r="C27" s="12" t="s">
        <v>1345</v>
      </c>
      <c r="D27" s="12"/>
      <c r="E27" s="825"/>
      <c r="F27" s="825"/>
      <c r="G27" s="825"/>
      <c r="H27" s="825"/>
      <c r="I27" s="825"/>
      <c r="J27" s="1014"/>
      <c r="K27" s="477"/>
    </row>
    <row r="28" spans="1:15">
      <c r="A28" s="14"/>
      <c r="B28" s="14"/>
      <c r="C28" s="12"/>
      <c r="D28" s="12">
        <v>1</v>
      </c>
      <c r="E28" s="825"/>
      <c r="F28" s="825"/>
      <c r="G28" s="825"/>
      <c r="H28" s="825">
        <f>H25</f>
        <v>900</v>
      </c>
      <c r="I28" s="825"/>
      <c r="J28" s="825">
        <f>H28*D28</f>
        <v>900</v>
      </c>
      <c r="K28" s="1015"/>
    </row>
    <row r="29" spans="1:15">
      <c r="A29" s="14"/>
      <c r="B29" s="14"/>
      <c r="C29" s="12"/>
      <c r="D29" s="12"/>
      <c r="E29" s="825"/>
      <c r="F29" s="825"/>
      <c r="G29" s="825"/>
      <c r="H29" s="825"/>
      <c r="I29" s="1010" t="s">
        <v>20</v>
      </c>
      <c r="J29" s="825">
        <f>J28</f>
        <v>900</v>
      </c>
      <c r="K29" s="1015"/>
    </row>
    <row r="30" spans="1:15">
      <c r="A30" s="5">
        <v>6</v>
      </c>
      <c r="B30" s="6" t="s">
        <v>1191</v>
      </c>
      <c r="C30" s="7" t="s">
        <v>307</v>
      </c>
      <c r="D30" s="7"/>
      <c r="E30" s="912"/>
      <c r="F30" s="912"/>
      <c r="G30" s="912"/>
      <c r="H30" s="912"/>
      <c r="I30" s="912"/>
      <c r="J30" s="939"/>
      <c r="K30" s="475"/>
      <c r="O30" s="4">
        <f>1.5*2</f>
        <v>3</v>
      </c>
    </row>
    <row r="31" spans="1:15">
      <c r="A31" s="14"/>
      <c r="B31" s="14"/>
      <c r="C31" s="12"/>
      <c r="D31" s="12"/>
      <c r="E31" s="825" t="str">
        <f>E20</f>
        <v>no per m2</v>
      </c>
      <c r="F31" s="825"/>
      <c r="G31" s="825"/>
      <c r="H31" s="825"/>
      <c r="I31" s="825"/>
      <c r="J31" s="825"/>
      <c r="K31" s="1015"/>
    </row>
    <row r="32" spans="1:15">
      <c r="A32" s="14"/>
      <c r="B32" s="14"/>
      <c r="C32" s="12"/>
      <c r="D32" s="12">
        <v>1</v>
      </c>
      <c r="E32" s="825">
        <v>3</v>
      </c>
      <c r="F32" s="825"/>
      <c r="G32" s="825"/>
      <c r="H32" s="825">
        <f>H21</f>
        <v>900</v>
      </c>
      <c r="I32" s="825"/>
      <c r="J32" s="825">
        <f>H32/E32</f>
        <v>300</v>
      </c>
      <c r="K32" s="1015"/>
    </row>
    <row r="33" spans="1:15">
      <c r="A33" s="14"/>
      <c r="B33" s="14"/>
      <c r="C33" s="12"/>
      <c r="D33" s="12"/>
      <c r="E33" s="825"/>
      <c r="F33" s="825"/>
      <c r="G33" s="825"/>
      <c r="H33" s="825"/>
      <c r="I33" s="825" t="s">
        <v>20</v>
      </c>
      <c r="J33" s="825">
        <f>CEILING(J32,1)</f>
        <v>300</v>
      </c>
      <c r="K33" s="1015"/>
    </row>
    <row r="34" spans="1:15">
      <c r="K34" s="1016"/>
      <c r="M34" s="485"/>
      <c r="N34" s="485"/>
      <c r="O34" s="485"/>
    </row>
    <row r="35" spans="1:15">
      <c r="K35" s="1016"/>
      <c r="M35" s="485"/>
      <c r="N35" s="485"/>
      <c r="O35" s="485"/>
    </row>
    <row r="36" spans="1:15">
      <c r="K36" s="1016"/>
      <c r="M36" s="485"/>
      <c r="N36" s="485"/>
      <c r="O36" s="485"/>
    </row>
    <row r="37" spans="1:15">
      <c r="K37" s="1016"/>
      <c r="M37" s="485"/>
      <c r="N37" s="485"/>
      <c r="O37" s="485"/>
    </row>
    <row r="38" spans="1:15">
      <c r="M38" s="485"/>
      <c r="N38" s="485"/>
      <c r="O38" s="485"/>
    </row>
    <row r="39" spans="1:15">
      <c r="M39" s="485"/>
      <c r="N39" s="485"/>
      <c r="O39" s="485"/>
    </row>
    <row r="40" spans="1:15" ht="15.75" customHeight="1">
      <c r="M40" s="485"/>
      <c r="N40" s="485"/>
      <c r="O40" s="485"/>
    </row>
  </sheetData>
  <printOptions horizontalCentered="1"/>
  <pageMargins left="0.7" right="0.7" top="0.71" bottom="0.59" header="0.3" footer="0.16"/>
  <pageSetup paperSize="9" scale="85" orientation="landscape"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5">
    <tabColor rgb="FFFFFF00"/>
    <pageSetUpPr fitToPage="1"/>
  </sheetPr>
  <dimension ref="A1:P38"/>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3" width="9.109375" style="4"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1579</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c r="A11" s="5">
        <v>1</v>
      </c>
      <c r="B11" s="6" t="s">
        <v>18</v>
      </c>
      <c r="C11" s="7" t="s">
        <v>19</v>
      </c>
      <c r="D11" s="7"/>
      <c r="E11" s="912"/>
      <c r="F11" s="912"/>
      <c r="G11" s="912"/>
      <c r="H11" s="912"/>
      <c r="I11" s="912"/>
      <c r="J11" s="939"/>
      <c r="K11" s="475"/>
    </row>
    <row r="12" spans="1:16">
      <c r="A12" s="10"/>
      <c r="B12" s="345" t="s">
        <v>1516</v>
      </c>
      <c r="C12" s="12"/>
      <c r="D12" s="45">
        <v>1</v>
      </c>
      <c r="E12" s="945"/>
      <c r="F12" s="945"/>
      <c r="G12" s="825"/>
      <c r="H12" s="825">
        <v>650</v>
      </c>
      <c r="J12" s="825">
        <f>ROUND(D12*H12,2)</f>
        <v>650</v>
      </c>
      <c r="K12" s="24"/>
    </row>
    <row r="13" spans="1:16">
      <c r="A13" s="10"/>
      <c r="B13" s="14"/>
      <c r="C13" s="12"/>
      <c r="D13" s="12"/>
      <c r="E13" s="825"/>
      <c r="F13" s="825"/>
      <c r="G13" s="825"/>
      <c r="H13" s="825"/>
      <c r="I13" s="1010" t="s">
        <v>20</v>
      </c>
      <c r="J13" s="1010">
        <f>SUM(J12:J12)</f>
        <v>650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1</v>
      </c>
      <c r="E15" s="825"/>
      <c r="F15" s="825">
        <v>18</v>
      </c>
      <c r="G15" s="825"/>
      <c r="H15" s="825">
        <v>557.5</v>
      </c>
      <c r="I15" s="825"/>
      <c r="J15" s="825">
        <f>H15*F15</f>
        <v>10035</v>
      </c>
      <c r="K15" s="24"/>
    </row>
    <row r="16" spans="1:16">
      <c r="A16" s="10"/>
      <c r="B16" s="345"/>
      <c r="C16" s="12"/>
      <c r="D16" s="45"/>
      <c r="E16" s="14"/>
      <c r="F16" s="14"/>
      <c r="G16" s="14"/>
      <c r="H16" s="14"/>
      <c r="I16" s="1010" t="s">
        <v>20</v>
      </c>
      <c r="J16" s="1010">
        <f>SUM(J15)</f>
        <v>10035</v>
      </c>
      <c r="K16" s="1012"/>
    </row>
    <row r="17" spans="1:15" ht="33.6">
      <c r="A17" s="5">
        <v>3</v>
      </c>
      <c r="B17" s="353" t="s">
        <v>2560</v>
      </c>
      <c r="C17" s="7" t="s">
        <v>307</v>
      </c>
      <c r="D17" s="7"/>
      <c r="E17" s="912"/>
      <c r="F17" s="912"/>
      <c r="G17" s="912"/>
      <c r="H17" s="912"/>
      <c r="I17" s="912"/>
      <c r="J17" s="939"/>
      <c r="K17" s="475"/>
    </row>
    <row r="18" spans="1:15" ht="17.399999999999999">
      <c r="A18" s="10"/>
      <c r="B18" s="14"/>
      <c r="C18" s="12"/>
      <c r="D18" s="12"/>
      <c r="E18" s="825" t="s">
        <v>1342</v>
      </c>
      <c r="F18" s="825"/>
      <c r="G18" s="825"/>
      <c r="H18" s="825"/>
      <c r="I18" s="825"/>
      <c r="J18" s="1014"/>
      <c r="K18" s="477"/>
    </row>
    <row r="19" spans="1:15">
      <c r="A19" s="10"/>
      <c r="B19" s="345" t="s">
        <v>1517</v>
      </c>
      <c r="C19" s="12"/>
      <c r="D19" s="12">
        <v>1</v>
      </c>
      <c r="E19" s="825">
        <f>1.5*1.5</f>
        <v>2.25</v>
      </c>
      <c r="F19" s="825"/>
      <c r="G19" s="825"/>
      <c r="H19" s="825">
        <f>44.5*18</f>
        <v>801</v>
      </c>
      <c r="I19" s="825"/>
      <c r="J19" s="969">
        <f>H19/E19</f>
        <v>356</v>
      </c>
      <c r="K19" s="477"/>
    </row>
    <row r="20" spans="1:15">
      <c r="A20" s="10"/>
      <c r="B20" s="14"/>
      <c r="C20" s="12"/>
      <c r="D20" s="12"/>
      <c r="E20" s="825"/>
      <c r="F20" s="825"/>
      <c r="G20" s="825"/>
      <c r="H20" s="825"/>
      <c r="I20" s="1010" t="s">
        <v>20</v>
      </c>
      <c r="J20" s="1010">
        <f>ROUNDUP(SUM(J19:J19),0)</f>
        <v>356</v>
      </c>
      <c r="K20" s="477"/>
    </row>
    <row r="21" spans="1:15">
      <c r="A21" s="5">
        <v>4</v>
      </c>
      <c r="B21" s="6" t="s">
        <v>2582</v>
      </c>
      <c r="C21" s="7" t="s">
        <v>21</v>
      </c>
      <c r="D21" s="7"/>
      <c r="E21" s="912"/>
      <c r="F21" s="912"/>
      <c r="G21" s="912"/>
      <c r="H21" s="912"/>
      <c r="I21" s="912"/>
      <c r="J21" s="1517"/>
      <c r="K21" s="475"/>
    </row>
    <row r="22" spans="1:15">
      <c r="A22" s="10"/>
      <c r="B22" s="14" t="s">
        <v>808</v>
      </c>
      <c r="C22" s="12"/>
      <c r="D22" s="12"/>
      <c r="E22" s="825"/>
      <c r="F22" s="825"/>
      <c r="G22" s="825"/>
      <c r="H22" s="825"/>
      <c r="I22" s="825"/>
      <c r="J22" s="825"/>
      <c r="K22" s="24"/>
    </row>
    <row r="23" spans="1:15">
      <c r="A23" s="10"/>
      <c r="B23" s="345" t="s">
        <v>2581</v>
      </c>
      <c r="C23" s="12"/>
      <c r="D23" s="12">
        <f>D19</f>
        <v>1</v>
      </c>
      <c r="E23" s="825"/>
      <c r="F23" s="825"/>
      <c r="G23" s="825"/>
      <c r="H23" s="825">
        <f>H19</f>
        <v>801</v>
      </c>
      <c r="I23" s="825"/>
      <c r="J23" s="825">
        <f>H23</f>
        <v>801</v>
      </c>
      <c r="K23" s="477"/>
      <c r="O23" s="4">
        <f>5.83*2</f>
        <v>11.66</v>
      </c>
    </row>
    <row r="24" spans="1:15">
      <c r="A24" s="10"/>
      <c r="B24" s="137"/>
      <c r="C24" s="12"/>
      <c r="D24" s="12"/>
      <c r="E24" s="825"/>
      <c r="F24" s="825"/>
      <c r="G24" s="825"/>
      <c r="H24" s="825"/>
      <c r="I24" s="1010" t="s">
        <v>20</v>
      </c>
      <c r="J24" s="1010">
        <f>SUM(J23:J23)</f>
        <v>801</v>
      </c>
      <c r="K24" s="24"/>
      <c r="L24" s="4">
        <v>11.1</v>
      </c>
    </row>
    <row r="25" spans="1:15">
      <c r="A25" s="5">
        <v>5</v>
      </c>
      <c r="B25" s="6" t="s">
        <v>1344</v>
      </c>
      <c r="C25" s="7" t="s">
        <v>1345</v>
      </c>
      <c r="D25" s="7"/>
      <c r="E25" s="912"/>
      <c r="F25" s="912"/>
      <c r="G25" s="912"/>
      <c r="H25" s="912"/>
      <c r="I25" s="912"/>
      <c r="J25" s="939"/>
      <c r="K25" s="475"/>
    </row>
    <row r="26" spans="1:15">
      <c r="A26" s="14"/>
      <c r="B26" s="14"/>
      <c r="C26" s="12"/>
      <c r="D26" s="12">
        <v>1</v>
      </c>
      <c r="E26" s="825"/>
      <c r="F26" s="825"/>
      <c r="G26" s="825"/>
      <c r="H26" s="825">
        <f>H23</f>
        <v>801</v>
      </c>
      <c r="I26" s="825"/>
      <c r="J26" s="825">
        <f>H26*D26</f>
        <v>801</v>
      </c>
      <c r="K26" s="1015"/>
    </row>
    <row r="27" spans="1:15">
      <c r="A27" s="14"/>
      <c r="B27" s="14"/>
      <c r="C27" s="12"/>
      <c r="D27" s="12"/>
      <c r="E27" s="825"/>
      <c r="F27" s="825"/>
      <c r="G27" s="825"/>
      <c r="H27" s="825"/>
      <c r="I27" s="1010" t="s">
        <v>20</v>
      </c>
      <c r="J27" s="825">
        <f>J26</f>
        <v>801</v>
      </c>
      <c r="K27" s="1015"/>
    </row>
    <row r="28" spans="1:15">
      <c r="A28" s="5">
        <v>6</v>
      </c>
      <c r="B28" s="6" t="s">
        <v>1191</v>
      </c>
      <c r="C28" s="7" t="s">
        <v>307</v>
      </c>
      <c r="D28" s="7"/>
      <c r="E28" s="912"/>
      <c r="F28" s="912"/>
      <c r="G28" s="912"/>
      <c r="H28" s="912"/>
      <c r="I28" s="912"/>
      <c r="J28" s="939"/>
      <c r="K28" s="475"/>
      <c r="O28" s="4">
        <f>1.5*2</f>
        <v>3</v>
      </c>
    </row>
    <row r="29" spans="1:15">
      <c r="A29" s="14"/>
      <c r="B29" s="14"/>
      <c r="C29" s="12"/>
      <c r="D29" s="12"/>
      <c r="E29" s="825" t="str">
        <f>E18</f>
        <v>no per m2</v>
      </c>
      <c r="F29" s="825"/>
      <c r="G29" s="825"/>
      <c r="H29" s="825"/>
      <c r="I29" s="825"/>
      <c r="J29" s="825"/>
      <c r="K29" s="1015"/>
    </row>
    <row r="30" spans="1:15">
      <c r="A30" s="14"/>
      <c r="B30" s="14"/>
      <c r="C30" s="12"/>
      <c r="D30" s="12">
        <v>1</v>
      </c>
      <c r="E30" s="825">
        <v>3</v>
      </c>
      <c r="F30" s="825"/>
      <c r="G30" s="825"/>
      <c r="H30" s="825">
        <f>H19</f>
        <v>801</v>
      </c>
      <c r="I30" s="825"/>
      <c r="J30" s="825">
        <f>H30/E30</f>
        <v>267</v>
      </c>
      <c r="K30" s="1015"/>
    </row>
    <row r="31" spans="1:15">
      <c r="A31" s="14"/>
      <c r="B31" s="14"/>
      <c r="C31" s="12"/>
      <c r="D31" s="12"/>
      <c r="E31" s="825"/>
      <c r="F31" s="825"/>
      <c r="G31" s="825"/>
      <c r="H31" s="825"/>
      <c r="I31" s="825" t="s">
        <v>20</v>
      </c>
      <c r="J31" s="825">
        <f>CEILING(J30,1)</f>
        <v>267</v>
      </c>
      <c r="K31" s="1015"/>
    </row>
    <row r="32" spans="1:15">
      <c r="K32" s="1016"/>
      <c r="M32" s="485"/>
      <c r="N32" s="485"/>
      <c r="O32" s="485"/>
    </row>
    <row r="33" spans="11:15">
      <c r="K33" s="1016"/>
      <c r="M33" s="485"/>
      <c r="N33" s="485"/>
      <c r="O33" s="485"/>
    </row>
    <row r="34" spans="11:15">
      <c r="K34" s="1016"/>
      <c r="M34" s="485"/>
      <c r="N34" s="485"/>
      <c r="O34" s="485"/>
    </row>
    <row r="35" spans="11:15">
      <c r="K35" s="1016"/>
      <c r="M35" s="485"/>
      <c r="N35" s="485"/>
      <c r="O35" s="485"/>
    </row>
    <row r="36" spans="11:15">
      <c r="M36" s="485"/>
      <c r="N36" s="485"/>
      <c r="O36" s="485"/>
    </row>
    <row r="37" spans="11:15">
      <c r="M37" s="485"/>
      <c r="N37" s="485"/>
      <c r="O37" s="485"/>
    </row>
    <row r="38" spans="11:15" ht="15.75" customHeight="1">
      <c r="M38" s="485"/>
      <c r="N38" s="485"/>
      <c r="O38" s="485"/>
    </row>
  </sheetData>
  <printOptions horizontalCentered="1"/>
  <pageMargins left="0.7" right="0.7" top="0.71" bottom="0.59" header="0.3" footer="0.16"/>
  <pageSetup paperSize="9" scale="63" fitToHeight="10" orientation="portrait" r:id="rId1"/>
  <drawing r:id="rId2"/>
  <legacy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tabColor rgb="FFFFFF00"/>
    <pageSetUpPr fitToPage="1"/>
  </sheetPr>
  <dimension ref="A1:AC48"/>
  <sheetViews>
    <sheetView workbookViewId="0"/>
  </sheetViews>
  <sheetFormatPr defaultColWidth="9.109375" defaultRowHeight="16.8"/>
  <cols>
    <col min="1" max="1" width="12.6640625" style="1022" customWidth="1"/>
    <col min="2" max="2" width="55.88671875" style="1023" customWidth="1"/>
    <col min="3" max="3" width="12" style="1023" customWidth="1"/>
    <col min="4" max="4" width="11.5546875" style="1018" customWidth="1"/>
    <col min="5" max="5" width="12" style="1018" customWidth="1"/>
    <col min="6" max="6" width="10" style="1019" customWidth="1"/>
    <col min="7" max="7" width="12.6640625" style="1020" customWidth="1"/>
    <col min="8" max="8" width="13.44140625" style="1019" customWidth="1"/>
    <col min="9" max="9" width="15.44140625" style="1019" customWidth="1"/>
    <col min="10" max="10" width="15.5546875" style="1019" customWidth="1"/>
    <col min="11" max="11" width="13.44140625" style="1021" customWidth="1"/>
    <col min="12" max="12" width="11.6640625" style="1022" customWidth="1"/>
    <col min="13" max="13" width="11.33203125" style="1022" bestFit="1" customWidth="1"/>
    <col min="14" max="16384" width="9.109375" style="1022"/>
  </cols>
  <sheetData>
    <row r="1" spans="1:29" s="520" customFormat="1" ht="19.2">
      <c r="A1" s="522"/>
      <c r="C1" s="1017"/>
      <c r="D1" s="1018"/>
      <c r="E1" s="1018"/>
      <c r="F1" s="1019"/>
      <c r="G1" s="1020"/>
      <c r="H1" s="1019"/>
      <c r="I1" s="1019"/>
      <c r="J1" s="1019"/>
      <c r="K1" s="1021"/>
      <c r="L1" s="1022"/>
      <c r="M1" s="1022"/>
      <c r="N1" s="1022"/>
      <c r="O1" s="1022"/>
      <c r="P1" s="1022"/>
      <c r="Q1" s="1022"/>
      <c r="R1" s="1022"/>
      <c r="S1" s="1022"/>
      <c r="T1" s="1022"/>
      <c r="U1" s="1022"/>
      <c r="V1" s="1022"/>
      <c r="W1" s="1022"/>
      <c r="X1" s="1022"/>
      <c r="Y1" s="1022"/>
      <c r="Z1" s="1022"/>
      <c r="AA1" s="1022"/>
      <c r="AB1" s="1022"/>
      <c r="AC1" s="1022"/>
    </row>
    <row r="2" spans="1:29" s="520" customFormat="1" ht="19.2">
      <c r="A2" s="522"/>
      <c r="C2" s="1023"/>
      <c r="D2" s="1018"/>
      <c r="E2" s="1018"/>
      <c r="F2" s="1019"/>
      <c r="G2" s="1020"/>
      <c r="H2" s="1019"/>
      <c r="I2" s="1019"/>
      <c r="J2" s="1019"/>
      <c r="K2" s="1021"/>
      <c r="L2" s="1022"/>
      <c r="M2" s="1022"/>
      <c r="N2" s="1022"/>
      <c r="O2" s="1022"/>
      <c r="P2" s="1022"/>
      <c r="Q2" s="1022"/>
      <c r="R2" s="1022"/>
      <c r="S2" s="1022"/>
      <c r="T2" s="1022"/>
      <c r="U2" s="1022"/>
      <c r="V2" s="1022"/>
      <c r="W2" s="1022"/>
      <c r="X2" s="1022"/>
      <c r="Y2" s="1022"/>
      <c r="Z2" s="1022"/>
      <c r="AA2" s="1022"/>
      <c r="AB2" s="1022"/>
      <c r="AC2" s="1022"/>
    </row>
    <row r="3" spans="1:29" s="520" customFormat="1" ht="19.2">
      <c r="A3" s="226" t="s">
        <v>0</v>
      </c>
      <c r="B3" s="1248" t="s">
        <v>2389</v>
      </c>
      <c r="C3" s="1023"/>
      <c r="D3" s="1018"/>
      <c r="E3" s="1018"/>
      <c r="F3" s="1019"/>
      <c r="G3" s="1020"/>
      <c r="H3" s="1019"/>
      <c r="I3" s="1019"/>
      <c r="J3" s="1019"/>
      <c r="K3" s="1021"/>
      <c r="L3" s="1022"/>
      <c r="M3" s="1022"/>
      <c r="N3" s="1022"/>
      <c r="O3" s="1022"/>
      <c r="P3" s="1022"/>
      <c r="Q3" s="1022"/>
      <c r="R3" s="1022"/>
      <c r="S3" s="1022"/>
      <c r="T3" s="1022"/>
      <c r="U3" s="1022"/>
      <c r="V3" s="1022"/>
      <c r="W3" s="1022"/>
      <c r="X3" s="1022"/>
      <c r="Y3" s="1022"/>
      <c r="Z3" s="1022"/>
      <c r="AA3" s="1022"/>
      <c r="AB3" s="1022"/>
      <c r="AC3" s="1022"/>
    </row>
    <row r="4" spans="1:29" s="520" customFormat="1" ht="19.2">
      <c r="A4" s="119" t="s">
        <v>1</v>
      </c>
      <c r="B4" s="1248">
        <v>930100</v>
      </c>
      <c r="C4" s="1023"/>
      <c r="D4" s="1024"/>
      <c r="E4" s="1018"/>
      <c r="F4" s="1019"/>
      <c r="G4" s="1020"/>
      <c r="H4" s="1019"/>
      <c r="I4" s="1019"/>
      <c r="J4" s="1019"/>
      <c r="K4" s="1024" t="s">
        <v>1385</v>
      </c>
      <c r="L4" s="1018">
        <v>3.5</v>
      </c>
      <c r="M4" s="1022"/>
      <c r="N4" s="1022"/>
      <c r="O4" s="1022"/>
      <c r="P4" s="1022"/>
      <c r="Q4" s="1022"/>
      <c r="R4" s="1022"/>
      <c r="S4" s="1022"/>
      <c r="T4" s="1022"/>
      <c r="U4" s="1022"/>
      <c r="V4" s="1022"/>
      <c r="W4" s="1022"/>
      <c r="X4" s="1022"/>
      <c r="Y4" s="1022"/>
      <c r="Z4" s="1022"/>
      <c r="AA4" s="1022"/>
      <c r="AB4" s="1022"/>
      <c r="AC4" s="1022"/>
    </row>
    <row r="5" spans="1:29" s="520" customFormat="1" ht="19.2">
      <c r="A5" s="119" t="s">
        <v>2</v>
      </c>
      <c r="B5" s="1247" t="s">
        <v>331</v>
      </c>
      <c r="C5" s="1023"/>
      <c r="D5" s="1018"/>
      <c r="E5" s="1018"/>
      <c r="F5" s="1019"/>
      <c r="G5" s="1020"/>
      <c r="H5" s="1019"/>
      <c r="I5" s="1276" t="s">
        <v>1561</v>
      </c>
      <c r="J5" s="523" t="s">
        <v>1562</v>
      </c>
      <c r="K5" s="1019" t="s">
        <v>1386</v>
      </c>
      <c r="L5" s="1019">
        <v>3.2</v>
      </c>
      <c r="M5" s="1019">
        <f>L5/2</f>
        <v>1.6</v>
      </c>
      <c r="N5" s="1021"/>
      <c r="O5" s="1022"/>
      <c r="P5" s="1022"/>
      <c r="Q5" s="1022" t="s">
        <v>1385</v>
      </c>
      <c r="R5" s="1022">
        <v>4.5</v>
      </c>
      <c r="S5" s="1022"/>
      <c r="T5" s="1022"/>
      <c r="U5" s="1022"/>
      <c r="V5" s="1022"/>
      <c r="W5" s="1022"/>
      <c r="X5" s="1022"/>
      <c r="Y5" s="1022"/>
      <c r="Z5" s="1022"/>
      <c r="AA5" s="1022"/>
      <c r="AB5" s="1022"/>
      <c r="AC5" s="1022"/>
    </row>
    <row r="6" spans="1:29" s="520" customFormat="1" ht="19.2">
      <c r="A6" s="119" t="s">
        <v>3</v>
      </c>
      <c r="B6" s="1247" t="s">
        <v>1577</v>
      </c>
      <c r="C6" s="1023"/>
      <c r="D6" s="1018"/>
      <c r="E6" s="1018"/>
      <c r="F6" s="1019"/>
      <c r="G6" s="1020"/>
      <c r="H6" s="1019"/>
      <c r="I6" s="1276" t="s">
        <v>171</v>
      </c>
      <c r="J6" s="523" t="s">
        <v>1563</v>
      </c>
      <c r="K6" s="1019"/>
      <c r="L6" s="1019"/>
      <c r="M6" s="1019"/>
      <c r="N6" s="1021"/>
      <c r="O6" s="1022"/>
      <c r="P6" s="1022"/>
      <c r="Q6" s="1022"/>
      <c r="R6" s="1022"/>
      <c r="S6" s="1022"/>
      <c r="T6" s="1022"/>
      <c r="U6" s="1022"/>
      <c r="V6" s="1022"/>
      <c r="W6" s="1022"/>
      <c r="X6" s="1022"/>
      <c r="Y6" s="1022"/>
      <c r="Z6" s="1022"/>
      <c r="AA6" s="1022"/>
      <c r="AB6" s="1022"/>
      <c r="AC6" s="1022"/>
    </row>
    <row r="7" spans="1:29" s="520" customFormat="1" ht="19.2">
      <c r="A7" s="119" t="s">
        <v>4</v>
      </c>
      <c r="B7" s="1247"/>
      <c r="C7" s="1023"/>
      <c r="D7" s="1018"/>
      <c r="E7" s="1018"/>
      <c r="F7" s="1019"/>
      <c r="G7" s="1020"/>
      <c r="H7" s="1019"/>
      <c r="I7" s="1276" t="s">
        <v>106</v>
      </c>
      <c r="J7" s="1277">
        <f ca="1">TODAY()</f>
        <v>44942</v>
      </c>
      <c r="K7" s="1019"/>
      <c r="L7" s="1019"/>
      <c r="M7" s="1019"/>
      <c r="N7" s="1021"/>
      <c r="O7" s="1022"/>
      <c r="P7" s="1022"/>
      <c r="Q7" s="1022"/>
      <c r="R7" s="1022"/>
      <c r="S7" s="1022"/>
      <c r="T7" s="1022"/>
      <c r="U7" s="1022"/>
      <c r="V7" s="1022"/>
      <c r="W7" s="1022"/>
      <c r="X7" s="1022"/>
      <c r="Y7" s="1022"/>
      <c r="Z7" s="1022"/>
      <c r="AA7" s="1022"/>
      <c r="AB7" s="1022"/>
      <c r="AC7" s="1022"/>
    </row>
    <row r="8" spans="1:29">
      <c r="A8" s="119"/>
      <c r="B8" s="52"/>
      <c r="C8" s="1017"/>
      <c r="F8" s="1020"/>
      <c r="G8" s="1019"/>
      <c r="J8" s="1021"/>
      <c r="K8" s="1019" t="s">
        <v>1351</v>
      </c>
      <c r="L8" s="1019">
        <f>(L4+0.1)-M5</f>
        <v>2</v>
      </c>
      <c r="M8" s="1019"/>
      <c r="N8" s="1029">
        <f>+L5+2*(L8-M5)+PI()*M5</f>
        <v>9.026548245743669</v>
      </c>
      <c r="Q8" s="1022" t="s">
        <v>1349</v>
      </c>
      <c r="R8" s="1022">
        <v>4</v>
      </c>
      <c r="S8" s="1022">
        <f>R8/2</f>
        <v>2</v>
      </c>
    </row>
    <row r="9" spans="1:29">
      <c r="B9" s="1026" t="s">
        <v>1604</v>
      </c>
      <c r="C9" s="1027">
        <v>128.19999999999999</v>
      </c>
      <c r="D9" s="1028" t="s">
        <v>27</v>
      </c>
      <c r="F9" s="1020"/>
      <c r="G9" s="1019"/>
      <c r="J9" s="1021"/>
      <c r="K9" s="1019"/>
      <c r="L9" s="1019"/>
      <c r="M9" s="1019"/>
      <c r="N9" s="1021"/>
      <c r="Q9" s="1022" t="s">
        <v>1351</v>
      </c>
      <c r="R9" s="1022">
        <f>R5-S8</f>
        <v>2.5</v>
      </c>
      <c r="U9" s="1022">
        <f>R9-S8</f>
        <v>0.5</v>
      </c>
      <c r="W9" s="1022">
        <f>T9-U8</f>
        <v>0</v>
      </c>
    </row>
    <row r="10" spans="1:29">
      <c r="B10" s="1026" t="s">
        <v>1605</v>
      </c>
      <c r="C10" s="1027">
        <v>196.1</v>
      </c>
      <c r="D10" s="1028" t="s">
        <v>27</v>
      </c>
      <c r="F10" s="1020"/>
      <c r="G10" s="1019"/>
      <c r="J10" s="1021"/>
      <c r="K10" s="1019"/>
      <c r="L10" s="1019"/>
      <c r="M10" s="1019"/>
      <c r="N10" s="1021"/>
      <c r="R10" s="1022">
        <v>0.3</v>
      </c>
    </row>
    <row r="11" spans="1:29">
      <c r="B11" s="1030" t="s">
        <v>1353</v>
      </c>
      <c r="C11" s="1031">
        <f>SUM(C9:C10)</f>
        <v>324.29999999999995</v>
      </c>
      <c r="D11" s="1032" t="s">
        <v>27</v>
      </c>
      <c r="F11" s="1020"/>
      <c r="G11" s="1019"/>
      <c r="J11" s="1021"/>
      <c r="K11" s="1022"/>
    </row>
    <row r="12" spans="1:29" ht="84">
      <c r="B12" s="2377" t="s">
        <v>1354</v>
      </c>
      <c r="C12" s="2378"/>
      <c r="D12" s="1033" t="s">
        <v>1355</v>
      </c>
      <c r="E12" s="1034" t="s">
        <v>1356</v>
      </c>
      <c r="F12" s="1035" t="s">
        <v>1357</v>
      </c>
      <c r="G12" s="1036" t="s">
        <v>1358</v>
      </c>
      <c r="H12" s="1036" t="s">
        <v>1359</v>
      </c>
      <c r="I12" s="1036" t="s">
        <v>1360</v>
      </c>
      <c r="J12" s="1037" t="s">
        <v>1361</v>
      </c>
      <c r="K12" s="1022"/>
    </row>
    <row r="13" spans="1:29">
      <c r="B13" s="2382" t="s">
        <v>1362</v>
      </c>
      <c r="C13" s="2383"/>
      <c r="D13" s="1027">
        <v>0.05</v>
      </c>
      <c r="E13" s="1038">
        <v>1.8</v>
      </c>
      <c r="F13" s="1038">
        <v>0</v>
      </c>
      <c r="G13" s="1039">
        <f>L8*L5+PI()*(L5^2)/8</f>
        <v>10.421238596594936</v>
      </c>
      <c r="H13" s="1040">
        <f>R$9*2+PI()*(S$8-D13)</f>
        <v>11.126105674500096</v>
      </c>
      <c r="I13" s="1041">
        <v>0</v>
      </c>
      <c r="J13" s="1042">
        <f>$L$5*0.2</f>
        <v>0.64000000000000012</v>
      </c>
      <c r="K13" s="1022"/>
      <c r="L13" s="1022">
        <v>2.2000000000000002</v>
      </c>
    </row>
    <row r="14" spans="1:29">
      <c r="B14" s="2382" t="s">
        <v>1363</v>
      </c>
      <c r="C14" s="2383"/>
      <c r="D14" s="1027">
        <v>0.05</v>
      </c>
      <c r="E14" s="1038">
        <v>1.5</v>
      </c>
      <c r="F14" s="1038">
        <v>0</v>
      </c>
      <c r="G14" s="1039">
        <f>G$13</f>
        <v>10.421238596594936</v>
      </c>
      <c r="H14" s="1040">
        <f t="shared" ref="H14:H18" si="0">R$9*2+PI()*(S$8-D14)</f>
        <v>11.126105674500096</v>
      </c>
      <c r="I14" s="1041">
        <v>0</v>
      </c>
      <c r="J14" s="1042">
        <f t="shared" ref="J14:J17" si="1">$L$5*0.2</f>
        <v>0.64000000000000012</v>
      </c>
      <c r="K14" s="1022"/>
      <c r="L14" s="1022">
        <f>0.2*L13</f>
        <v>0.44000000000000006</v>
      </c>
    </row>
    <row r="15" spans="1:29">
      <c r="B15" s="2382" t="s">
        <v>1364</v>
      </c>
      <c r="C15" s="2383"/>
      <c r="D15" s="1027">
        <v>0.1</v>
      </c>
      <c r="E15" s="1043">
        <v>1.3</v>
      </c>
      <c r="F15" s="1038">
        <v>0</v>
      </c>
      <c r="G15" s="1039">
        <f t="shared" ref="G15:G18" si="2">G$13</f>
        <v>10.421238596594936</v>
      </c>
      <c r="H15" s="1040">
        <f t="shared" si="0"/>
        <v>10.969026041820607</v>
      </c>
      <c r="I15" s="1041">
        <v>0</v>
      </c>
      <c r="J15" s="1042">
        <f t="shared" si="1"/>
        <v>0.64000000000000012</v>
      </c>
      <c r="K15" s="1022"/>
    </row>
    <row r="16" spans="1:29">
      <c r="B16" s="2382" t="s">
        <v>1365</v>
      </c>
      <c r="C16" s="2383"/>
      <c r="D16" s="1027">
        <v>0.12</v>
      </c>
      <c r="E16" s="1043">
        <v>1.2</v>
      </c>
      <c r="F16" s="1038">
        <v>0</v>
      </c>
      <c r="G16" s="1039">
        <f t="shared" si="2"/>
        <v>10.421238596594936</v>
      </c>
      <c r="H16" s="1040">
        <f t="shared" si="0"/>
        <v>10.90619418874881</v>
      </c>
      <c r="I16" s="1041">
        <v>0</v>
      </c>
      <c r="J16" s="1042">
        <f t="shared" si="1"/>
        <v>0.64000000000000012</v>
      </c>
      <c r="K16" s="1022"/>
    </row>
    <row r="17" spans="1:29">
      <c r="B17" s="2382" t="s">
        <v>1366</v>
      </c>
      <c r="C17" s="2383"/>
      <c r="D17" s="1027">
        <v>0.15</v>
      </c>
      <c r="E17" s="1038">
        <v>1</v>
      </c>
      <c r="F17" s="1038">
        <v>0</v>
      </c>
      <c r="G17" s="1039">
        <f t="shared" si="2"/>
        <v>10.421238596594936</v>
      </c>
      <c r="H17" s="1040">
        <f t="shared" si="0"/>
        <v>10.811946409141118</v>
      </c>
      <c r="I17" s="1041">
        <v>0</v>
      </c>
      <c r="J17" s="1042">
        <f t="shared" si="1"/>
        <v>0.64000000000000012</v>
      </c>
      <c r="K17" s="1022"/>
    </row>
    <row r="18" spans="1:29">
      <c r="B18" s="2382" t="s">
        <v>1368</v>
      </c>
      <c r="C18" s="2383"/>
      <c r="D18" s="1027">
        <v>0.1</v>
      </c>
      <c r="E18" s="1038">
        <v>1</v>
      </c>
      <c r="F18" s="1038">
        <f>0.25*H18</f>
        <v>2.7422565104551517</v>
      </c>
      <c r="G18" s="1039">
        <f t="shared" si="2"/>
        <v>10.421238596594936</v>
      </c>
      <c r="H18" s="1040">
        <f t="shared" si="0"/>
        <v>10.969026041820607</v>
      </c>
      <c r="I18" s="1040">
        <f>R9*2+PI()*(S8-R10-D18)</f>
        <v>10.026548245743669</v>
      </c>
      <c r="J18" s="1042">
        <v>0</v>
      </c>
      <c r="K18" s="1044"/>
      <c r="L18" s="1020"/>
      <c r="M18" s="1018"/>
      <c r="N18" s="1018"/>
      <c r="O18" s="1018"/>
      <c r="P18" s="1018"/>
      <c r="Q18" s="1018"/>
      <c r="R18" s="1018"/>
      <c r="S18" s="1018"/>
      <c r="T18" s="1018"/>
      <c r="U18" s="1018"/>
      <c r="V18" s="1018"/>
      <c r="W18" s="1018"/>
      <c r="X18" s="1018"/>
      <c r="Y18" s="1018"/>
      <c r="Z18" s="1018"/>
      <c r="AA18" s="1018"/>
      <c r="AB18" s="1018"/>
      <c r="AC18" s="1018"/>
    </row>
    <row r="19" spans="1:29" s="1018" customFormat="1">
      <c r="A19" s="1022"/>
      <c r="B19" s="1023"/>
      <c r="C19" s="1023"/>
      <c r="F19" s="1019"/>
      <c r="G19" s="1020"/>
      <c r="H19" s="1019"/>
      <c r="I19" s="1019"/>
      <c r="J19" s="1021"/>
      <c r="K19" s="1022">
        <f t="shared" ref="K19" si="3">H19*2+D19*2</f>
        <v>0</v>
      </c>
      <c r="M19" s="1022" t="e">
        <f>(L19/1.5)*(#REF!/1.5)*2</f>
        <v>#REF!</v>
      </c>
    </row>
    <row r="20" spans="1:29" s="1018" customFormat="1" ht="15" hidden="1" customHeight="1">
      <c r="A20" s="1045"/>
      <c r="B20" s="1046" t="s">
        <v>1369</v>
      </c>
      <c r="C20" s="1046" t="s">
        <v>117</v>
      </c>
      <c r="D20" s="1047" t="str">
        <f>B13</f>
        <v>S1</v>
      </c>
      <c r="E20" s="1047" t="str">
        <f>B14</f>
        <v>S2</v>
      </c>
      <c r="F20" s="1047" t="str">
        <f>B15</f>
        <v>S3</v>
      </c>
      <c r="G20" s="1047" t="str">
        <f>B16</f>
        <v>S4</v>
      </c>
      <c r="H20" s="1047" t="str">
        <f>B17</f>
        <v>S5</v>
      </c>
      <c r="I20" s="1047" t="str">
        <f>B18</f>
        <v>S6</v>
      </c>
      <c r="J20" s="1048" t="s">
        <v>439</v>
      </c>
      <c r="K20" s="1022"/>
    </row>
    <row r="21" spans="1:29" s="1018" customFormat="1">
      <c r="A21" s="1042" t="s">
        <v>1370</v>
      </c>
      <c r="B21" s="1026" t="s">
        <v>1371</v>
      </c>
      <c r="C21" s="1026" t="s">
        <v>27</v>
      </c>
      <c r="D21" s="1038">
        <v>0</v>
      </c>
      <c r="E21" s="1038">
        <v>0</v>
      </c>
      <c r="F21" s="1038">
        <f>0.3*C11</f>
        <v>97.289999999999978</v>
      </c>
      <c r="G21" s="1038">
        <f>0.3*C11</f>
        <v>97.289999999999978</v>
      </c>
      <c r="H21" s="1038">
        <f>0.2*C11</f>
        <v>64.86</v>
      </c>
      <c r="I21" s="1038">
        <f>0.2*C11</f>
        <v>64.86</v>
      </c>
      <c r="J21" s="1055">
        <f t="shared" ref="J21:J29" si="4">SUM(D21:I21)</f>
        <v>324.29999999999995</v>
      </c>
      <c r="K21" s="1044"/>
      <c r="L21" s="1022"/>
      <c r="M21" s="1022"/>
      <c r="N21" s="1022"/>
      <c r="O21" s="1022"/>
      <c r="P21" s="1022"/>
      <c r="Q21" s="1022"/>
      <c r="R21" s="1022"/>
      <c r="S21" s="1022"/>
      <c r="T21" s="1022"/>
      <c r="U21" s="1022"/>
      <c r="V21" s="1022"/>
      <c r="W21" s="1022"/>
      <c r="X21" s="1022"/>
      <c r="Y21" s="1022"/>
      <c r="Z21" s="1022"/>
      <c r="AA21" s="1022"/>
      <c r="AB21" s="1022"/>
      <c r="AC21" s="1022"/>
    </row>
    <row r="22" spans="1:29" ht="17.399999999999999">
      <c r="A22" s="1028">
        <v>1</v>
      </c>
      <c r="B22" s="1026" t="s">
        <v>1116</v>
      </c>
      <c r="C22" s="1026" t="s">
        <v>339</v>
      </c>
      <c r="D22" s="1038">
        <f>G13*D21</f>
        <v>0</v>
      </c>
      <c r="E22" s="1038">
        <f>G14*E21</f>
        <v>0</v>
      </c>
      <c r="F22" s="1038">
        <f>G15*F21</f>
        <v>1013.8823030627211</v>
      </c>
      <c r="G22" s="1038">
        <f>G16*G21</f>
        <v>1013.8823030627211</v>
      </c>
      <c r="H22" s="1038">
        <f>G17*H21</f>
        <v>675.92153537514753</v>
      </c>
      <c r="I22" s="1038">
        <f>H17*I21</f>
        <v>701.26284409689288</v>
      </c>
      <c r="J22" s="1055">
        <f t="shared" si="4"/>
        <v>3404.9489855974825</v>
      </c>
      <c r="K22" s="1022"/>
    </row>
    <row r="23" spans="1:29">
      <c r="A23" s="1028">
        <v>2</v>
      </c>
      <c r="B23" s="1026" t="s">
        <v>2623</v>
      </c>
      <c r="C23" s="1026" t="s">
        <v>19</v>
      </c>
      <c r="D23" s="1038">
        <f>H13*D13*D21</f>
        <v>0</v>
      </c>
      <c r="E23" s="1038">
        <f>H14*E21</f>
        <v>0</v>
      </c>
      <c r="F23" s="1038">
        <f>(H15)*F21</f>
        <v>1067.1765436087267</v>
      </c>
      <c r="G23" s="1042">
        <v>0</v>
      </c>
      <c r="H23" s="1042">
        <v>0</v>
      </c>
      <c r="I23" s="1038">
        <f>I21*H18</f>
        <v>711.45102907248452</v>
      </c>
      <c r="J23" s="1055">
        <f t="shared" si="4"/>
        <v>1778.6275726812112</v>
      </c>
      <c r="K23" s="1022"/>
    </row>
    <row r="24" spans="1:29">
      <c r="A24" s="1028">
        <v>3</v>
      </c>
      <c r="B24" s="1026" t="s">
        <v>2624</v>
      </c>
      <c r="C24" s="1026" t="s">
        <v>19</v>
      </c>
      <c r="D24" s="1038">
        <v>0</v>
      </c>
      <c r="E24" s="1038">
        <v>0</v>
      </c>
      <c r="F24" s="1038">
        <v>0</v>
      </c>
      <c r="G24" s="1038">
        <f>G21*(H16)</f>
        <v>1061.0636326233714</v>
      </c>
      <c r="H24" s="1038">
        <v>0</v>
      </c>
      <c r="I24" s="1038">
        <v>0</v>
      </c>
      <c r="J24" s="1055">
        <f t="shared" si="4"/>
        <v>1061.0636326233714</v>
      </c>
      <c r="K24" s="1022"/>
    </row>
    <row r="25" spans="1:29">
      <c r="A25" s="1028">
        <v>4</v>
      </c>
      <c r="B25" s="1026" t="s">
        <v>2436</v>
      </c>
      <c r="C25" s="1026" t="s">
        <v>19</v>
      </c>
      <c r="D25" s="1038">
        <v>0</v>
      </c>
      <c r="E25" s="1038">
        <v>0</v>
      </c>
      <c r="F25" s="1038">
        <v>0</v>
      </c>
      <c r="G25" s="1038">
        <v>0</v>
      </c>
      <c r="H25" s="1038">
        <f>H21*H17</f>
        <v>701.26284409689288</v>
      </c>
      <c r="I25" s="1038">
        <v>0</v>
      </c>
      <c r="J25" s="1055">
        <f t="shared" si="4"/>
        <v>701.26284409689288</v>
      </c>
      <c r="K25" s="1022"/>
    </row>
    <row r="26" spans="1:29" ht="17.399999999999999">
      <c r="A26" s="1028">
        <v>5</v>
      </c>
      <c r="B26" s="1026" t="s">
        <v>1373</v>
      </c>
      <c r="C26" s="1026" t="s">
        <v>339</v>
      </c>
      <c r="D26" s="1038">
        <f>F13*D21</f>
        <v>0</v>
      </c>
      <c r="E26" s="1038">
        <f>F14*E21</f>
        <v>0</v>
      </c>
      <c r="F26" s="1038">
        <f>F15*F21</f>
        <v>0</v>
      </c>
      <c r="G26" s="1038">
        <f>F16*G21</f>
        <v>0</v>
      </c>
      <c r="H26" s="1038">
        <f>F17*H21</f>
        <v>0</v>
      </c>
      <c r="I26" s="1038">
        <f>F18*I21</f>
        <v>177.86275726812113</v>
      </c>
      <c r="J26" s="1055">
        <f t="shared" si="4"/>
        <v>177.86275726812113</v>
      </c>
      <c r="K26" s="1022"/>
      <c r="M26" s="1044"/>
    </row>
    <row r="27" spans="1:29" ht="17.399999999999999">
      <c r="A27" s="1028">
        <v>6</v>
      </c>
      <c r="B27" s="1026" t="s">
        <v>1374</v>
      </c>
      <c r="C27" s="1026" t="s">
        <v>420</v>
      </c>
      <c r="D27" s="1038">
        <f>I13*D21</f>
        <v>0</v>
      </c>
      <c r="E27" s="1038">
        <f>I14*E21</f>
        <v>0</v>
      </c>
      <c r="F27" s="1038">
        <f>I15*F21</f>
        <v>0</v>
      </c>
      <c r="G27" s="1038">
        <f>I16*G21</f>
        <v>0</v>
      </c>
      <c r="H27" s="1038">
        <f>I17*H21</f>
        <v>0</v>
      </c>
      <c r="I27" s="1038">
        <f>I18*I21</f>
        <v>650.32191921893434</v>
      </c>
      <c r="J27" s="1055">
        <f t="shared" si="4"/>
        <v>650.32191921893434</v>
      </c>
      <c r="K27" s="1022"/>
    </row>
    <row r="28" spans="1:29">
      <c r="A28" s="1028">
        <v>7</v>
      </c>
      <c r="B28" s="1026" t="s">
        <v>2425</v>
      </c>
      <c r="C28" s="1026" t="s">
        <v>307</v>
      </c>
      <c r="D28" s="1038">
        <v>0</v>
      </c>
      <c r="E28" s="1038">
        <v>0</v>
      </c>
      <c r="F28" s="1057">
        <f>CEILING((H15)/E15*F21/E15,1)</f>
        <v>632</v>
      </c>
      <c r="G28" s="1057">
        <f>CEILING((H16)/E16*G21/E16,1)</f>
        <v>737</v>
      </c>
      <c r="H28" s="1038">
        <v>0</v>
      </c>
      <c r="I28" s="1038">
        <v>0</v>
      </c>
      <c r="J28" s="1055">
        <f t="shared" si="4"/>
        <v>1369</v>
      </c>
      <c r="K28" s="1022"/>
      <c r="L28" s="1021"/>
    </row>
    <row r="29" spans="1:29">
      <c r="A29" s="1028">
        <v>8</v>
      </c>
      <c r="B29" s="1026" t="s">
        <v>2433</v>
      </c>
      <c r="C29" s="1026" t="s">
        <v>307</v>
      </c>
      <c r="D29" s="1038">
        <f>CEILING(H13/E13*D21/E13,1)</f>
        <v>0</v>
      </c>
      <c r="E29" s="1057">
        <f>CEILING(H14/E14*E21/E14,1)</f>
        <v>0</v>
      </c>
      <c r="F29" s="1042">
        <v>0</v>
      </c>
      <c r="G29" s="1042">
        <v>0</v>
      </c>
      <c r="H29" s="1057">
        <f>CEILING(H17/E17*H21/E17,1)</f>
        <v>702</v>
      </c>
      <c r="I29" s="1038">
        <f>CEILING(H18/E18*H21/E18,1)</f>
        <v>712</v>
      </c>
      <c r="J29" s="1058">
        <f t="shared" si="4"/>
        <v>1414</v>
      </c>
      <c r="K29" s="1022"/>
      <c r="L29" s="1021"/>
    </row>
    <row r="30" spans="1:29">
      <c r="A30" s="1028">
        <v>9</v>
      </c>
      <c r="B30" s="1026" t="s">
        <v>1376</v>
      </c>
      <c r="C30" s="1026" t="s">
        <v>307</v>
      </c>
      <c r="D30" s="1038">
        <v>0</v>
      </c>
      <c r="E30" s="1038">
        <v>0</v>
      </c>
      <c r="F30" s="1038">
        <v>0</v>
      </c>
      <c r="G30" s="1038">
        <v>0</v>
      </c>
      <c r="H30" s="1038">
        <v>0</v>
      </c>
      <c r="I30" s="1038">
        <f>CEILING((H15/0.4)*(I21/(4*COS(RADIANS(15)))),1)</f>
        <v>461</v>
      </c>
      <c r="J30" s="1055">
        <f>SUM(D30:I30)</f>
        <v>461</v>
      </c>
      <c r="K30" s="1022"/>
      <c r="L30" s="1021"/>
    </row>
    <row r="31" spans="1:29">
      <c r="A31" s="1028">
        <v>10</v>
      </c>
      <c r="B31" s="1026" t="s">
        <v>2605</v>
      </c>
      <c r="C31" s="1026" t="s">
        <v>25</v>
      </c>
      <c r="D31" s="1038">
        <v>0</v>
      </c>
      <c r="E31" s="1038">
        <v>0</v>
      </c>
      <c r="F31" s="1038">
        <v>0</v>
      </c>
      <c r="G31" s="1038">
        <v>0</v>
      </c>
      <c r="H31" s="1038">
        <v>0</v>
      </c>
      <c r="I31" s="1038">
        <f>CEILING(I21/1.5,1)*H18*7.85/1000</f>
        <v>3.7887015948448375</v>
      </c>
      <c r="J31" s="1055">
        <f>SUM(D31:I31)</f>
        <v>3.7887015948448375</v>
      </c>
      <c r="K31" s="1022"/>
      <c r="L31" s="1021"/>
    </row>
    <row r="32" spans="1:29" ht="15" customHeight="1">
      <c r="A32" s="1028">
        <v>11</v>
      </c>
      <c r="B32" s="1026" t="s">
        <v>1379</v>
      </c>
      <c r="C32" s="1026" t="s">
        <v>339</v>
      </c>
      <c r="D32" s="1038">
        <f>D21*J13</f>
        <v>0</v>
      </c>
      <c r="E32" s="1038">
        <f>E21*J14</f>
        <v>0</v>
      </c>
      <c r="F32" s="1038">
        <f>J15*F21</f>
        <v>62.265599999999999</v>
      </c>
      <c r="G32" s="1038">
        <f>G21*J16</f>
        <v>62.265599999999999</v>
      </c>
      <c r="H32" s="1038">
        <f>H21*J17</f>
        <v>41.510400000000004</v>
      </c>
      <c r="I32" s="1038">
        <f>I21*J18</f>
        <v>0</v>
      </c>
      <c r="J32" s="1055">
        <f t="shared" ref="J32:J35" si="5">SUM(D32:I32)</f>
        <v>166.04160000000002</v>
      </c>
      <c r="K32" s="1022"/>
    </row>
    <row r="33" spans="1:29" ht="15" customHeight="1">
      <c r="A33" s="1028">
        <v>12</v>
      </c>
      <c r="B33" s="1026" t="s">
        <v>24</v>
      </c>
      <c r="C33" s="1026" t="s">
        <v>25</v>
      </c>
      <c r="D33" s="1038">
        <f>0.5%*(D32+D26)*7.85</f>
        <v>0</v>
      </c>
      <c r="E33" s="1038">
        <f t="shared" ref="E33:I33" si="6">0.5%*(E32+E26)*7.85</f>
        <v>0</v>
      </c>
      <c r="F33" s="1038">
        <f t="shared" si="6"/>
        <v>2.4439248</v>
      </c>
      <c r="G33" s="1038">
        <f t="shared" si="6"/>
        <v>2.4439248</v>
      </c>
      <c r="H33" s="1038">
        <f t="shared" si="6"/>
        <v>1.6292831999999999</v>
      </c>
      <c r="I33" s="1038">
        <f t="shared" si="6"/>
        <v>6.9811132227737538</v>
      </c>
      <c r="J33" s="1055">
        <f t="shared" si="5"/>
        <v>13.498246022773753</v>
      </c>
    </row>
    <row r="34" spans="1:29" ht="15" customHeight="1">
      <c r="A34" s="1028">
        <v>13</v>
      </c>
      <c r="B34" s="1061" t="s">
        <v>1378</v>
      </c>
      <c r="C34" s="1061" t="s">
        <v>19</v>
      </c>
      <c r="D34" s="1062">
        <v>0</v>
      </c>
      <c r="E34" s="1062">
        <f>E21*J14/0.1</f>
        <v>0</v>
      </c>
      <c r="F34" s="1062">
        <f>F21*J15/0.2</f>
        <v>311.32799999999997</v>
      </c>
      <c r="G34" s="1062">
        <f>G21*J16/0.2</f>
        <v>311.32799999999997</v>
      </c>
      <c r="H34" s="1062">
        <f>H21*J17/0.2</f>
        <v>207.55200000000002</v>
      </c>
      <c r="I34" s="1062">
        <f t="shared" ref="I34" si="7">I21*M15/0.2</f>
        <v>0</v>
      </c>
      <c r="J34" s="1055">
        <f t="shared" si="5"/>
        <v>830.20799999999997</v>
      </c>
      <c r="K34" s="1063"/>
      <c r="L34" s="1053"/>
      <c r="M34" s="1053"/>
      <c r="N34" s="1053"/>
      <c r="O34" s="1053"/>
      <c r="P34" s="1053"/>
      <c r="Q34" s="1053"/>
      <c r="R34" s="1053"/>
      <c r="S34" s="1053"/>
      <c r="T34" s="1053"/>
      <c r="U34" s="1053"/>
      <c r="V34" s="1053"/>
      <c r="W34" s="1053"/>
      <c r="X34" s="1053"/>
      <c r="Y34" s="1053"/>
      <c r="Z34" s="1053"/>
      <c r="AA34" s="1053"/>
      <c r="AB34" s="1053"/>
      <c r="AC34" s="1053"/>
    </row>
    <row r="35" spans="1:29" ht="17.399999999999999">
      <c r="A35" s="1028">
        <v>14</v>
      </c>
      <c r="B35" s="1026" t="s">
        <v>1380</v>
      </c>
      <c r="C35" s="1026" t="s">
        <v>420</v>
      </c>
      <c r="D35" s="1038">
        <v>0</v>
      </c>
      <c r="E35" s="1038">
        <f>E21*H14</f>
        <v>0</v>
      </c>
      <c r="F35" s="1038">
        <f>F21*H15*0.4</f>
        <v>426.87061744349069</v>
      </c>
      <c r="G35" s="1038">
        <f>G21*H16*0.4</f>
        <v>424.42545304934856</v>
      </c>
      <c r="H35" s="1038">
        <f>H21*H17*0.4</f>
        <v>280.50513763875716</v>
      </c>
      <c r="I35" s="1038">
        <f>I21*H18*0.4</f>
        <v>284.58041162899383</v>
      </c>
      <c r="J35" s="1055">
        <f t="shared" si="5"/>
        <v>1416.3816197605902</v>
      </c>
      <c r="K35" s="1022"/>
    </row>
    <row r="36" spans="1:29">
      <c r="E36" s="1018">
        <f>1%*E35*7.85</f>
        <v>0</v>
      </c>
      <c r="F36" s="1018">
        <f t="shared" ref="F36:I36" si="8">1%*F35*7.85</f>
        <v>33.509343469314018</v>
      </c>
      <c r="G36" s="1018">
        <f t="shared" si="8"/>
        <v>33.317398064373862</v>
      </c>
      <c r="H36" s="1018">
        <f t="shared" si="8"/>
        <v>22.019653304642436</v>
      </c>
      <c r="I36" s="1018">
        <f t="shared" si="8"/>
        <v>22.339562312876016</v>
      </c>
    </row>
    <row r="37" spans="1:29">
      <c r="I37" s="1044"/>
      <c r="J37" s="1044"/>
    </row>
    <row r="38" spans="1:29">
      <c r="I38" s="1044"/>
      <c r="J38" s="1044"/>
    </row>
    <row r="39" spans="1:29">
      <c r="I39" s="1044"/>
      <c r="J39" s="1044"/>
    </row>
    <row r="40" spans="1:29">
      <c r="I40" s="1044"/>
      <c r="J40" s="1044"/>
    </row>
    <row r="41" spans="1:29">
      <c r="C41" s="1018"/>
      <c r="E41" s="1019"/>
      <c r="F41" s="1020"/>
      <c r="G41" s="1019"/>
      <c r="I41" s="1064"/>
      <c r="J41" s="1044"/>
    </row>
    <row r="42" spans="1:29">
      <c r="C42" s="1018"/>
      <c r="E42" s="1019"/>
      <c r="F42" s="1020"/>
      <c r="G42" s="1019"/>
      <c r="J42" s="1064"/>
      <c r="K42" s="1022"/>
    </row>
    <row r="43" spans="1:29">
      <c r="C43" s="1018"/>
      <c r="E43" s="1019"/>
      <c r="F43" s="1020"/>
      <c r="G43" s="1019"/>
    </row>
    <row r="44" spans="1:29">
      <c r="C44" s="1018"/>
      <c r="E44" s="1019"/>
      <c r="F44" s="1020"/>
      <c r="G44" s="1019"/>
    </row>
    <row r="46" spans="1:29">
      <c r="C46" s="1018"/>
      <c r="E46" s="1019"/>
      <c r="F46" s="1020"/>
      <c r="G46" s="1019"/>
    </row>
    <row r="47" spans="1:29">
      <c r="C47" s="1018"/>
      <c r="E47" s="1019"/>
      <c r="F47" s="1020"/>
      <c r="G47" s="1019"/>
    </row>
    <row r="48" spans="1:29">
      <c r="C48" s="1018"/>
      <c r="E48" s="1019"/>
      <c r="F48" s="1020"/>
      <c r="G48" s="1019"/>
    </row>
  </sheetData>
  <mergeCells count="7">
    <mergeCell ref="B17:C17"/>
    <mergeCell ref="B18:C18"/>
    <mergeCell ref="B12:C12"/>
    <mergeCell ref="B13:C13"/>
    <mergeCell ref="B14:C14"/>
    <mergeCell ref="B15:C15"/>
    <mergeCell ref="B16:C16"/>
  </mergeCells>
  <printOptions horizontalCentered="1"/>
  <pageMargins left="0.7" right="0.7" top="0.71" bottom="0.59" header="0.3" footer="0.16"/>
  <pageSetup paperSize="9" scale="78" fitToHeight="10" orientation="landscape"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7">
    <tabColor theme="6" tint="-0.249977111117893"/>
    <pageSetUpPr fitToPage="1"/>
  </sheetPr>
  <dimension ref="A1:BU62"/>
  <sheetViews>
    <sheetView topLeftCell="D33" workbookViewId="0">
      <selection activeCell="F35" sqref="F35:H35"/>
    </sheetView>
  </sheetViews>
  <sheetFormatPr defaultColWidth="9.109375" defaultRowHeight="16.8"/>
  <cols>
    <col min="1" max="1" width="13" style="1022" customWidth="1"/>
    <col min="2" max="2" width="55.88671875" style="1023" customWidth="1"/>
    <col min="3" max="3" width="22.44140625" style="1023" customWidth="1"/>
    <col min="4" max="4" width="11.5546875" style="1018" customWidth="1"/>
    <col min="5" max="5" width="12.6640625" style="1018" customWidth="1"/>
    <col min="6" max="6" width="10" style="1019" customWidth="1"/>
    <col min="7" max="7" width="12.6640625" style="1020" customWidth="1"/>
    <col min="8" max="8" width="13.44140625" style="1019" customWidth="1"/>
    <col min="9" max="9" width="15.44140625" style="1019" customWidth="1"/>
    <col min="10" max="10" width="15.5546875" style="1019" customWidth="1"/>
    <col min="11" max="11" width="13.44140625" style="1021" customWidth="1"/>
    <col min="12" max="12" width="11.6640625" style="1022" customWidth="1"/>
    <col min="13" max="13" width="11.33203125" style="1022" bestFit="1" customWidth="1"/>
    <col min="14" max="16384" width="9.109375" style="1022"/>
  </cols>
  <sheetData>
    <row r="1" spans="1:17" s="520" customFormat="1" ht="19.2">
      <c r="A1" s="522"/>
      <c r="C1" s="523"/>
      <c r="D1" s="537"/>
      <c r="E1" s="1223"/>
      <c r="F1" s="1223"/>
      <c r="G1" s="523"/>
      <c r="M1" s="1022"/>
      <c r="N1" s="1022"/>
      <c r="O1" s="1022"/>
      <c r="P1" s="1022"/>
      <c r="Q1" s="1022"/>
    </row>
    <row r="2" spans="1:17" s="520" customFormat="1" ht="19.2">
      <c r="A2" s="522"/>
      <c r="C2" s="523"/>
      <c r="D2" s="537"/>
      <c r="E2" s="1223"/>
      <c r="F2" s="1223"/>
      <c r="G2" s="523"/>
      <c r="H2" s="1276" t="s">
        <v>1561</v>
      </c>
      <c r="I2" s="523" t="s">
        <v>1562</v>
      </c>
      <c r="M2" s="1022"/>
      <c r="N2" s="1022"/>
      <c r="O2" s="1022"/>
      <c r="P2" s="1022"/>
      <c r="Q2" s="1022"/>
    </row>
    <row r="3" spans="1:17" s="520" customFormat="1" ht="19.2">
      <c r="A3" s="226" t="s">
        <v>0</v>
      </c>
      <c r="B3" s="1248" t="s">
        <v>2389</v>
      </c>
      <c r="C3" s="523"/>
      <c r="D3" s="537"/>
      <c r="E3" s="1223"/>
      <c r="F3" s="1223"/>
      <c r="G3" s="523"/>
      <c r="H3" s="1276" t="s">
        <v>171</v>
      </c>
      <c r="I3" s="523" t="s">
        <v>1563</v>
      </c>
      <c r="M3" s="1022"/>
      <c r="N3" s="1022"/>
      <c r="O3" s="1022"/>
      <c r="P3" s="1022"/>
      <c r="Q3" s="1022"/>
    </row>
    <row r="4" spans="1:17" s="520" customFormat="1" ht="19.2">
      <c r="A4" s="119" t="s">
        <v>1</v>
      </c>
      <c r="B4" s="1248">
        <v>930100</v>
      </c>
      <c r="C4" s="523"/>
      <c r="D4" s="537"/>
      <c r="E4" s="1223"/>
      <c r="F4" s="1223"/>
      <c r="G4" s="523"/>
      <c r="H4" s="1276" t="s">
        <v>106</v>
      </c>
      <c r="I4" s="1277">
        <f ca="1">TODAY()</f>
        <v>44942</v>
      </c>
      <c r="M4" s="1022"/>
      <c r="N4" s="1022"/>
      <c r="O4" s="1022"/>
      <c r="P4" s="1022"/>
      <c r="Q4" s="1022"/>
    </row>
    <row r="5" spans="1:17" s="520" customFormat="1" ht="19.2">
      <c r="A5" s="119" t="s">
        <v>2</v>
      </c>
      <c r="B5" s="1247" t="s">
        <v>331</v>
      </c>
      <c r="C5" s="523"/>
      <c r="D5" s="537"/>
      <c r="E5" s="1882" t="s">
        <v>3231</v>
      </c>
      <c r="F5" s="1883"/>
      <c r="P5" s="1022"/>
      <c r="Q5" s="1022"/>
    </row>
    <row r="6" spans="1:17" s="520" customFormat="1" ht="19.2">
      <c r="A6" s="119" t="s">
        <v>3</v>
      </c>
      <c r="B6" s="1247" t="s">
        <v>1577</v>
      </c>
      <c r="C6" s="523"/>
      <c r="D6" s="217" t="s">
        <v>3233</v>
      </c>
      <c r="F6" s="217" t="s">
        <v>3232</v>
      </c>
      <c r="G6" s="217"/>
      <c r="P6" s="1022"/>
    </row>
    <row r="7" spans="1:17" s="520" customFormat="1" ht="19.2">
      <c r="A7" s="119" t="s">
        <v>4</v>
      </c>
      <c r="B7" s="1247"/>
      <c r="C7" s="523"/>
      <c r="D7" s="1022" t="s">
        <v>3239</v>
      </c>
      <c r="F7" s="1022">
        <v>3.2</v>
      </c>
      <c r="G7" s="520" t="s">
        <v>27</v>
      </c>
      <c r="H7" s="1022">
        <f>F7/2</f>
        <v>1.6</v>
      </c>
      <c r="I7" s="1022">
        <f>F8-H7</f>
        <v>1.9</v>
      </c>
      <c r="P7" s="1022"/>
      <c r="Q7" s="1022"/>
    </row>
    <row r="8" spans="1:17" ht="19.2">
      <c r="A8" s="119"/>
      <c r="B8" s="52"/>
      <c r="D8" s="1022" t="s">
        <v>3240</v>
      </c>
      <c r="F8" s="1022">
        <v>3.5</v>
      </c>
      <c r="G8" s="520" t="s">
        <v>27</v>
      </c>
      <c r="H8" s="1019">
        <v>4</v>
      </c>
      <c r="I8" s="1019">
        <f>H8-H7</f>
        <v>2.4</v>
      </c>
    </row>
    <row r="9" spans="1:17">
      <c r="A9" s="119"/>
      <c r="B9" s="52"/>
      <c r="D9" s="1022"/>
      <c r="F9" s="1022">
        <v>0.3</v>
      </c>
      <c r="G9" s="1022" t="s">
        <v>27</v>
      </c>
    </row>
    <row r="10" spans="1:17">
      <c r="A10" s="119"/>
      <c r="B10" s="55"/>
      <c r="C10" s="1017"/>
      <c r="D10" s="1022" t="s">
        <v>3234</v>
      </c>
      <c r="F10" s="1887">
        <v>0.1</v>
      </c>
      <c r="G10" s="1022" t="s">
        <v>27</v>
      </c>
      <c r="H10" s="1886" t="s">
        <v>3235</v>
      </c>
      <c r="J10" s="1025"/>
      <c r="K10" s="1022"/>
    </row>
    <row r="11" spans="1:17" hidden="1">
      <c r="B11" s="1026" t="s">
        <v>1346</v>
      </c>
      <c r="C11" s="1027">
        <v>108.26</v>
      </c>
      <c r="D11" s="1275"/>
      <c r="F11" s="1020"/>
      <c r="G11" s="1022" t="s">
        <v>27</v>
      </c>
      <c r="J11" s="1021"/>
      <c r="K11" s="1022"/>
    </row>
    <row r="12" spans="1:17" hidden="1">
      <c r="B12" s="1026" t="s">
        <v>1347</v>
      </c>
      <c r="C12" s="1027">
        <v>129.79</v>
      </c>
      <c r="D12" s="1275"/>
      <c r="F12" s="1020"/>
      <c r="G12" s="1022" t="s">
        <v>27</v>
      </c>
      <c r="J12" s="1021"/>
      <c r="K12" s="1022"/>
    </row>
    <row r="13" spans="1:17" hidden="1">
      <c r="B13" s="1026" t="s">
        <v>1348</v>
      </c>
      <c r="C13" s="1027">
        <v>3514.58</v>
      </c>
      <c r="D13" s="1274"/>
      <c r="F13" s="1020"/>
      <c r="G13" s="1022" t="s">
        <v>27</v>
      </c>
      <c r="J13" s="1029"/>
      <c r="K13" s="1022"/>
    </row>
    <row r="14" spans="1:17" hidden="1">
      <c r="B14" s="1026" t="s">
        <v>1350</v>
      </c>
      <c r="C14" s="1027">
        <v>1808.35</v>
      </c>
      <c r="D14" s="1274"/>
      <c r="F14" s="1020"/>
      <c r="G14" s="1022" t="s">
        <v>27</v>
      </c>
      <c r="J14" s="1021"/>
      <c r="K14" s="1022"/>
    </row>
    <row r="15" spans="1:17" hidden="1">
      <c r="B15" s="1889" t="s">
        <v>1352</v>
      </c>
      <c r="C15" s="1890">
        <v>557.02</v>
      </c>
      <c r="F15" s="1020"/>
      <c r="G15" s="1022" t="s">
        <v>27</v>
      </c>
      <c r="J15" s="1021"/>
      <c r="K15" s="1022"/>
    </row>
    <row r="16" spans="1:17">
      <c r="C16" s="1020"/>
      <c r="D16" s="1022" t="s">
        <v>3258</v>
      </c>
      <c r="F16" s="1888">
        <v>0.2</v>
      </c>
      <c r="G16" s="1022" t="s">
        <v>27</v>
      </c>
      <c r="J16" s="1021"/>
      <c r="K16" s="1022"/>
    </row>
    <row r="17" spans="1:12">
      <c r="C17" s="1020"/>
      <c r="D17" s="1022" t="s">
        <v>3259</v>
      </c>
      <c r="E17" s="1022"/>
      <c r="F17" s="1887">
        <v>0.25</v>
      </c>
      <c r="G17" s="1022" t="s">
        <v>27</v>
      </c>
      <c r="J17" s="1021"/>
      <c r="K17" s="1022"/>
    </row>
    <row r="18" spans="1:12">
      <c r="C18" s="1020"/>
      <c r="D18" s="1022" t="s">
        <v>3241</v>
      </c>
      <c r="E18" s="1022"/>
      <c r="F18" s="1887">
        <v>1.5</v>
      </c>
      <c r="G18" s="1022" t="s">
        <v>27</v>
      </c>
      <c r="H18" s="1886" t="s">
        <v>3242</v>
      </c>
      <c r="J18" s="1021"/>
      <c r="K18" s="1022"/>
    </row>
    <row r="19" spans="1:12">
      <c r="C19" s="1020"/>
      <c r="D19" s="1022" t="s">
        <v>3243</v>
      </c>
      <c r="E19" s="1022"/>
      <c r="F19" s="1887">
        <v>1</v>
      </c>
      <c r="G19" s="1022" t="s">
        <v>27</v>
      </c>
      <c r="J19" s="1021"/>
      <c r="K19" s="1022"/>
    </row>
    <row r="20" spans="1:12">
      <c r="C20" s="1020"/>
      <c r="D20" s="1022" t="s">
        <v>3238</v>
      </c>
      <c r="E20" s="1022"/>
      <c r="F20" s="1887">
        <v>15</v>
      </c>
      <c r="G20" s="1022" t="s">
        <v>47</v>
      </c>
      <c r="J20" s="1021"/>
      <c r="K20" s="1022"/>
    </row>
    <row r="21" spans="1:12">
      <c r="C21" s="1020"/>
      <c r="D21" s="1022" t="s">
        <v>3244</v>
      </c>
      <c r="E21" s="1022"/>
      <c r="F21" s="1887">
        <v>0.15</v>
      </c>
      <c r="G21" s="1022" t="s">
        <v>27</v>
      </c>
      <c r="J21" s="1021"/>
      <c r="K21" s="1022"/>
    </row>
    <row r="22" spans="1:12">
      <c r="B22" s="1891" t="s">
        <v>1353</v>
      </c>
      <c r="C22" s="1892">
        <v>6105</v>
      </c>
      <c r="D22" s="1893" t="s">
        <v>27</v>
      </c>
      <c r="F22" s="1020"/>
      <c r="G22" s="1019"/>
      <c r="J22" s="1021"/>
      <c r="K22" s="1022"/>
    </row>
    <row r="23" spans="1:12" ht="100.8">
      <c r="B23" s="2377" t="s">
        <v>1354</v>
      </c>
      <c r="C23" s="2378"/>
      <c r="D23" s="1033" t="s">
        <v>1355</v>
      </c>
      <c r="E23" s="1034" t="s">
        <v>1356</v>
      </c>
      <c r="F23" s="1035" t="s">
        <v>3260</v>
      </c>
      <c r="G23" s="1036" t="s">
        <v>1358</v>
      </c>
      <c r="H23" s="1036" t="s">
        <v>1359</v>
      </c>
      <c r="I23" s="1036" t="s">
        <v>1360</v>
      </c>
      <c r="J23" s="1075" t="s">
        <v>3236</v>
      </c>
      <c r="K23" s="1022" t="s">
        <v>3237</v>
      </c>
    </row>
    <row r="24" spans="1:12" ht="15.75" customHeight="1">
      <c r="B24" s="2382" t="s">
        <v>1362</v>
      </c>
      <c r="C24" s="2383"/>
      <c r="D24" s="1027">
        <v>0.05</v>
      </c>
      <c r="E24" s="1038">
        <v>1.8</v>
      </c>
      <c r="F24" s="1038">
        <v>0</v>
      </c>
      <c r="G24" s="1039">
        <f>PI()*(($F$7+2*D24+2*$F$10)^2/8)+($F$7+2*D24+2*$F$10)*($I$7+0.2)</f>
        <v>12.160563750809374</v>
      </c>
      <c r="H24" s="1040">
        <f>PI()*H7+2*I7</f>
        <v>8.8265482457436697</v>
      </c>
      <c r="I24" s="1041">
        <v>0</v>
      </c>
      <c r="J24" s="1042">
        <f>(F7)*0.2</f>
        <v>0.64000000000000012</v>
      </c>
      <c r="K24" s="1022"/>
      <c r="L24" s="1022">
        <v>12.16</v>
      </c>
    </row>
    <row r="25" spans="1:12">
      <c r="B25" s="2382" t="s">
        <v>1363</v>
      </c>
      <c r="C25" s="2383"/>
      <c r="D25" s="1027">
        <v>0.05</v>
      </c>
      <c r="E25" s="1038">
        <v>1.5</v>
      </c>
      <c r="F25" s="1038">
        <v>0</v>
      </c>
      <c r="G25" s="1039">
        <f t="shared" ref="G25:G28" si="0">PI()*(($F$7+2*D25+2*$F$10)^2/8)+($F$7+2*D25+2*$F$10)*($I$7+0.2)</f>
        <v>12.160563750809374</v>
      </c>
      <c r="H25" s="1040">
        <f>H24</f>
        <v>8.8265482457436697</v>
      </c>
      <c r="I25" s="1041">
        <v>0</v>
      </c>
      <c r="J25" s="1042">
        <f>(F7)*0.2</f>
        <v>0.64000000000000012</v>
      </c>
      <c r="K25" s="1022"/>
    </row>
    <row r="26" spans="1:12">
      <c r="B26" s="2382" t="s">
        <v>1364</v>
      </c>
      <c r="C26" s="2383"/>
      <c r="D26" s="1027">
        <v>0.1</v>
      </c>
      <c r="E26" s="1043">
        <v>1.3</v>
      </c>
      <c r="F26" s="1038">
        <v>0</v>
      </c>
      <c r="G26" s="1039">
        <f t="shared" si="0"/>
        <v>12.649380098815467</v>
      </c>
      <c r="H26" s="1040">
        <f>H25</f>
        <v>8.8265482457436697</v>
      </c>
      <c r="I26" s="1041">
        <v>0</v>
      </c>
      <c r="J26" s="1040">
        <f>(F7)*0.2</f>
        <v>0.64000000000000012</v>
      </c>
      <c r="K26" s="1022"/>
    </row>
    <row r="27" spans="1:12">
      <c r="B27" s="2193" t="s">
        <v>3366</v>
      </c>
      <c r="C27" s="2194"/>
      <c r="D27" s="1027">
        <v>0.1</v>
      </c>
      <c r="E27" s="1043">
        <v>1.3</v>
      </c>
      <c r="F27" s="1038">
        <v>0</v>
      </c>
      <c r="G27" s="1039">
        <f>PI()*(($F$7+2*D27+2*$F$10)^2/8)+($F$7+2*D27+2*$F$10)*($I$8+0.2)</f>
        <v>14.449380098815467</v>
      </c>
      <c r="H27" s="2290">
        <f>PI()*H7+2*I8</f>
        <v>9.8265482457436697</v>
      </c>
      <c r="I27" s="1041">
        <v>0</v>
      </c>
      <c r="J27" s="1040">
        <f>J26</f>
        <v>0.64000000000000012</v>
      </c>
      <c r="K27" s="1022"/>
    </row>
    <row r="28" spans="1:12">
      <c r="B28" s="2382" t="s">
        <v>1365</v>
      </c>
      <c r="C28" s="2383"/>
      <c r="D28" s="1027">
        <v>0.12</v>
      </c>
      <c r="E28" s="1043">
        <v>1.2</v>
      </c>
      <c r="F28" s="1038">
        <v>0</v>
      </c>
      <c r="G28" s="1039">
        <f t="shared" si="0"/>
        <v>12.847105752875418</v>
      </c>
      <c r="H28" s="1040">
        <f>H26</f>
        <v>8.8265482457436697</v>
      </c>
      <c r="I28" s="1041">
        <v>0</v>
      </c>
      <c r="J28" s="1042">
        <f>(F7)*0.2</f>
        <v>0.64000000000000012</v>
      </c>
      <c r="K28" s="1022"/>
    </row>
    <row r="29" spans="1:12">
      <c r="B29" s="2193" t="s">
        <v>3368</v>
      </c>
      <c r="C29" s="2194"/>
      <c r="D29" s="1027">
        <v>0.12</v>
      </c>
      <c r="E29" s="1043">
        <v>1.2</v>
      </c>
      <c r="F29" s="1038">
        <v>0</v>
      </c>
      <c r="G29" s="1039">
        <f>PI()*(($F$7+2*D29+2*$F$10)^2/8)+($F$7+2*D29+2*$F$10)*($I$8+0.2)</f>
        <v>14.667105752875418</v>
      </c>
      <c r="H29" s="2290">
        <f>PI()*H7+2*I8</f>
        <v>9.8265482457436697</v>
      </c>
      <c r="I29" s="1041">
        <v>0</v>
      </c>
      <c r="J29" s="2291">
        <f>J28</f>
        <v>0.64000000000000012</v>
      </c>
      <c r="K29" s="1022"/>
    </row>
    <row r="30" spans="1:12" s="1018" customFormat="1">
      <c r="A30" s="1022"/>
      <c r="B30" s="2382" t="s">
        <v>1366</v>
      </c>
      <c r="C30" s="2383"/>
      <c r="D30" s="1027">
        <v>0.15</v>
      </c>
      <c r="E30" s="1038">
        <v>1</v>
      </c>
      <c r="F30" s="1038">
        <f>($F$17*H30+($F$7)*$F$17)</f>
        <v>3.0066370614359172</v>
      </c>
      <c r="G30" s="1039">
        <f>PI()*(($F$7+2*D30+2*$F$10)^2/8)+($F$7+2*D30+2*$F$10)*($I$7+0.2)</f>
        <v>13.146050428455535</v>
      </c>
      <c r="H30" s="1040">
        <f>H28</f>
        <v>8.8265482457436697</v>
      </c>
      <c r="I30" s="1041">
        <f>I31</f>
        <v>7.8840704496667309</v>
      </c>
      <c r="J30" s="1042">
        <f>(F7)*0.2</f>
        <v>0.64000000000000012</v>
      </c>
      <c r="K30" s="1920"/>
      <c r="L30" s="1020"/>
    </row>
    <row r="31" spans="1:12" s="1018" customFormat="1">
      <c r="A31" s="1022"/>
      <c r="B31" s="2382" t="s">
        <v>1368</v>
      </c>
      <c r="C31" s="2383"/>
      <c r="D31" s="1027">
        <v>0.1</v>
      </c>
      <c r="E31" s="1038">
        <v>1</v>
      </c>
      <c r="F31" s="1038">
        <f>$F$17*H31+($F$7)*$F$17</f>
        <v>3.0066370614359172</v>
      </c>
      <c r="G31" s="1039">
        <f>G30</f>
        <v>13.146050428455535</v>
      </c>
      <c r="H31" s="1040">
        <f>H30</f>
        <v>8.8265482457436697</v>
      </c>
      <c r="I31" s="1041">
        <f>I7*2+PI()*(H7-F9)</f>
        <v>7.8840704496667309</v>
      </c>
      <c r="J31" s="1042">
        <f>(F7)*0</f>
        <v>0</v>
      </c>
      <c r="K31" s="1022"/>
    </row>
    <row r="32" spans="1:12">
      <c r="F32" s="2287">
        <v>0.3478</v>
      </c>
      <c r="H32" s="2287">
        <v>0.373</v>
      </c>
      <c r="J32" s="1021"/>
      <c r="K32" s="1044"/>
    </row>
    <row r="33" spans="1:73" s="2292" customFormat="1">
      <c r="B33" s="2293" t="s">
        <v>1369</v>
      </c>
      <c r="C33" s="2293" t="s">
        <v>117</v>
      </c>
      <c r="D33" s="2294" t="str">
        <f>B24</f>
        <v>S1</v>
      </c>
      <c r="E33" s="2294" t="str">
        <f>B25</f>
        <v>S2</v>
      </c>
      <c r="F33" s="2294" t="str">
        <f>B26</f>
        <v>S3</v>
      </c>
      <c r="G33" s="2295" t="s">
        <v>3366</v>
      </c>
      <c r="H33" s="2294" t="str">
        <f>B28</f>
        <v>S4</v>
      </c>
      <c r="I33" s="2296" t="s">
        <v>3367</v>
      </c>
      <c r="J33" s="2294" t="str">
        <f>B30</f>
        <v>S5</v>
      </c>
      <c r="K33" s="2294" t="str">
        <f>B31</f>
        <v>S6</v>
      </c>
      <c r="L33" s="2297" t="s">
        <v>439</v>
      </c>
      <c r="N33" s="2292">
        <f>H31*15</f>
        <v>132.39822368615503</v>
      </c>
      <c r="O33" s="2292">
        <v>2000</v>
      </c>
      <c r="P33" s="2292">
        <f>O33/1.2</f>
        <v>1666.6666666666667</v>
      </c>
      <c r="Q33" s="2292">
        <f>P33*N33</f>
        <v>220663.70614359173</v>
      </c>
      <c r="R33" s="2292">
        <f>Q33/1000</f>
        <v>220.66370614359172</v>
      </c>
    </row>
    <row r="34" spans="1:73" s="1054" customFormat="1">
      <c r="A34" s="1049" t="s">
        <v>1370</v>
      </c>
      <c r="B34" s="1050" t="s">
        <v>1371</v>
      </c>
      <c r="C34" s="1050" t="s">
        <v>27</v>
      </c>
      <c r="D34" s="1051">
        <v>0</v>
      </c>
      <c r="E34" s="1051">
        <v>0</v>
      </c>
      <c r="F34" s="1051">
        <f>34.78%*C22*0.1</f>
        <v>212.33190000000002</v>
      </c>
      <c r="G34" s="2298">
        <f>34.78%*C22*0.9</f>
        <v>1910.9871000000001</v>
      </c>
      <c r="H34" s="2298">
        <f>37.3%*C22*0.3</f>
        <v>683.14949999999999</v>
      </c>
      <c r="I34" s="2299">
        <f>37.3%*C22*0.7</f>
        <v>1594.0155</v>
      </c>
      <c r="J34" s="1051">
        <f>20.48%*C22</f>
        <v>1250.3040000000001</v>
      </c>
      <c r="K34" s="1051">
        <f>7.44%*C22</f>
        <v>454.21200000000005</v>
      </c>
      <c r="L34" s="1052">
        <f>SUM(D34:K34)</f>
        <v>6105.0000000000009</v>
      </c>
      <c r="M34" s="1053"/>
      <c r="N34" s="1053"/>
      <c r="O34" s="1053"/>
      <c r="P34" s="1053"/>
      <c r="Q34" s="1053"/>
      <c r="R34" s="1053"/>
      <c r="S34" s="1053"/>
      <c r="T34" s="1053"/>
      <c r="U34" s="1053"/>
      <c r="V34" s="1053"/>
      <c r="W34" s="1053"/>
      <c r="X34" s="1053"/>
      <c r="Y34" s="1053"/>
      <c r="Z34" s="1053"/>
      <c r="AA34" s="1053"/>
      <c r="AB34" s="1053"/>
      <c r="AC34" s="1053"/>
      <c r="AD34" s="1053"/>
      <c r="AE34" s="1053"/>
      <c r="AF34" s="1053"/>
      <c r="AG34" s="1053"/>
      <c r="AH34" s="1053"/>
      <c r="AI34" s="1053"/>
      <c r="AJ34" s="1053"/>
      <c r="AK34" s="1053"/>
      <c r="AL34" s="1053"/>
      <c r="AM34" s="1053"/>
      <c r="AN34" s="1053"/>
      <c r="AO34" s="1053"/>
      <c r="AP34" s="1053"/>
      <c r="AQ34" s="1053"/>
      <c r="AR34" s="1053"/>
      <c r="AS34" s="1053"/>
      <c r="AT34" s="1053"/>
      <c r="AU34" s="1053"/>
      <c r="AV34" s="1053"/>
      <c r="AW34" s="1053"/>
      <c r="AX34" s="1053"/>
      <c r="AY34" s="1053"/>
      <c r="AZ34" s="1053"/>
      <c r="BA34" s="1053"/>
      <c r="BB34" s="1053"/>
      <c r="BC34" s="1053"/>
      <c r="BD34" s="1053"/>
      <c r="BE34" s="1053"/>
      <c r="BF34" s="1053"/>
      <c r="BG34" s="1053"/>
      <c r="BH34" s="1053"/>
      <c r="BI34" s="1053"/>
      <c r="BJ34" s="1053"/>
      <c r="BK34" s="1053"/>
      <c r="BL34" s="1053"/>
      <c r="BM34" s="1053"/>
      <c r="BN34" s="1053"/>
      <c r="BO34" s="1053"/>
      <c r="BP34" s="1053"/>
      <c r="BQ34" s="1053"/>
      <c r="BR34" s="1053"/>
      <c r="BS34" s="1053"/>
      <c r="BT34" s="1053"/>
      <c r="BU34" s="1053"/>
    </row>
    <row r="35" spans="1:73" ht="17.399999999999999">
      <c r="A35" s="1028">
        <v>1</v>
      </c>
      <c r="B35" s="1026" t="s">
        <v>1116</v>
      </c>
      <c r="C35" s="1026" t="s">
        <v>339</v>
      </c>
      <c r="D35" s="1038">
        <f>G24*D34</f>
        <v>0</v>
      </c>
      <c r="E35" s="1038">
        <f>G25*E34</f>
        <v>0</v>
      </c>
      <c r="F35" s="1038">
        <f>G26*F34</f>
        <v>2685.8669102036761</v>
      </c>
      <c r="G35" s="2288">
        <f>G27*G34</f>
        <v>27612.578971833085</v>
      </c>
      <c r="H35" s="2289">
        <f>G28*H34</f>
        <v>8776.4938715239659</v>
      </c>
      <c r="I35" s="2289">
        <f>I34*G29</f>
        <v>23379.593910222586</v>
      </c>
      <c r="J35" s="1038">
        <f>G30*J34</f>
        <v>16436.559434899671</v>
      </c>
      <c r="K35" s="1038">
        <f>G31*K34</f>
        <v>5971.0938572096456</v>
      </c>
      <c r="L35" s="1055">
        <f>SUM(D35:K35)</f>
        <v>84862.186955892626</v>
      </c>
      <c r="M35" s="1044"/>
    </row>
    <row r="36" spans="1:73" ht="17.399999999999999">
      <c r="A36" s="1028">
        <v>2</v>
      </c>
      <c r="B36" s="1026" t="s">
        <v>2434</v>
      </c>
      <c r="C36" s="1026" t="s">
        <v>420</v>
      </c>
      <c r="D36" s="1038">
        <v>0</v>
      </c>
      <c r="E36" s="1038">
        <v>0</v>
      </c>
      <c r="F36" s="1038">
        <f>H26*F34</f>
        <v>1874.1577594604205</v>
      </c>
      <c r="G36" s="2288">
        <f>H27*G34</f>
        <v>18778.406935143783</v>
      </c>
      <c r="H36" s="2289">
        <v>0</v>
      </c>
      <c r="I36" s="2289"/>
      <c r="J36" s="1038">
        <v>0</v>
      </c>
      <c r="K36" s="1038">
        <f>K34*H31</f>
        <v>4009.1241317957242</v>
      </c>
      <c r="L36" s="1055">
        <f t="shared" ref="L36:L49" si="1">SUM(D36:K36)</f>
        <v>24661.688826399928</v>
      </c>
      <c r="M36" s="1044"/>
    </row>
    <row r="37" spans="1:73" ht="17.399999999999999">
      <c r="A37" s="1028">
        <v>3</v>
      </c>
      <c r="B37" s="1026" t="s">
        <v>2435</v>
      </c>
      <c r="C37" s="1026" t="s">
        <v>420</v>
      </c>
      <c r="D37" s="1038">
        <v>0</v>
      </c>
      <c r="E37" s="1038">
        <v>0</v>
      </c>
      <c r="F37" s="1038">
        <v>0</v>
      </c>
      <c r="G37" s="2288"/>
      <c r="H37" s="2289">
        <f>H30*H34</f>
        <v>6029.8520208056652</v>
      </c>
      <c r="I37" s="2289">
        <f>H29*I34</f>
        <v>15663.670215213218</v>
      </c>
      <c r="J37" s="1038">
        <v>0</v>
      </c>
      <c r="K37" s="1038">
        <v>0</v>
      </c>
      <c r="L37" s="1055">
        <f t="shared" si="1"/>
        <v>21693.522236018885</v>
      </c>
      <c r="M37" s="1044"/>
    </row>
    <row r="38" spans="1:73" ht="17.399999999999999">
      <c r="A38" s="1028">
        <v>4</v>
      </c>
      <c r="B38" s="1026" t="s">
        <v>2436</v>
      </c>
      <c r="C38" s="1026" t="s">
        <v>420</v>
      </c>
      <c r="D38" s="1038">
        <f>H24*D24*D34</f>
        <v>0</v>
      </c>
      <c r="E38" s="1038">
        <f>H25*E34</f>
        <v>0</v>
      </c>
      <c r="F38" s="1038">
        <v>0</v>
      </c>
      <c r="G38" s="2288"/>
      <c r="H38" s="2289">
        <v>0</v>
      </c>
      <c r="I38" s="2289"/>
      <c r="J38" s="1038">
        <f>H30*J34</f>
        <v>11035.868577846293</v>
      </c>
      <c r="K38" s="1038">
        <v>0</v>
      </c>
      <c r="L38" s="1055">
        <f t="shared" si="1"/>
        <v>11035.868577846293</v>
      </c>
    </row>
    <row r="39" spans="1:73" ht="17.399999999999999">
      <c r="A39" s="1028">
        <v>5</v>
      </c>
      <c r="B39" s="1918" t="s">
        <v>3257</v>
      </c>
      <c r="C39" s="1918" t="s">
        <v>339</v>
      </c>
      <c r="D39" s="1919">
        <f>F24*D34</f>
        <v>0</v>
      </c>
      <c r="E39" s="1919">
        <f>F25*E34</f>
        <v>0</v>
      </c>
      <c r="F39" s="1919">
        <f>F26*F34</f>
        <v>0</v>
      </c>
      <c r="G39" s="2288"/>
      <c r="H39" s="2300">
        <f>F28*H34</f>
        <v>0</v>
      </c>
      <c r="I39" s="2289"/>
      <c r="J39" s="1919">
        <f>(F30*J34)*0.7</f>
        <v>2631.4472411231009</v>
      </c>
      <c r="K39" s="1919">
        <f>F31*K34</f>
        <v>1365.6506329489309</v>
      </c>
      <c r="L39" s="1055">
        <f t="shared" si="1"/>
        <v>3997.097874072032</v>
      </c>
    </row>
    <row r="40" spans="1:73" ht="17.399999999999999">
      <c r="A40" s="1028">
        <v>6</v>
      </c>
      <c r="B40" s="1918" t="s">
        <v>1374</v>
      </c>
      <c r="C40" s="1918" t="s">
        <v>420</v>
      </c>
      <c r="D40" s="1919">
        <f>I24*D34</f>
        <v>0</v>
      </c>
      <c r="E40" s="1919">
        <f>I25*E34</f>
        <v>0</v>
      </c>
      <c r="F40" s="1919">
        <f>I26*F34</f>
        <v>0</v>
      </c>
      <c r="G40" s="2288"/>
      <c r="H40" s="2300">
        <f>I28*H34</f>
        <v>0</v>
      </c>
      <c r="I40" s="2289"/>
      <c r="J40" s="1919">
        <f>I30*J34*0.7</f>
        <v>6900.2393736500781</v>
      </c>
      <c r="K40" s="1919">
        <f>I31*K34</f>
        <v>3581.0394070840257</v>
      </c>
      <c r="L40" s="1055">
        <f t="shared" si="1"/>
        <v>10481.278780734105</v>
      </c>
    </row>
    <row r="41" spans="1:73">
      <c r="A41" s="1028">
        <v>7</v>
      </c>
      <c r="B41" s="1918" t="s">
        <v>1375</v>
      </c>
      <c r="C41" s="1918" t="s">
        <v>25</v>
      </c>
      <c r="D41" s="1919">
        <f t="shared" ref="D41:F41" si="2">D39*0.5%*7.85</f>
        <v>0</v>
      </c>
      <c r="E41" s="1919">
        <f t="shared" si="2"/>
        <v>0</v>
      </c>
      <c r="F41" s="1919">
        <f t="shared" si="2"/>
        <v>0</v>
      </c>
      <c r="G41" s="2288"/>
      <c r="H41" s="2300">
        <f>H39*0.5%*7.85</f>
        <v>0</v>
      </c>
      <c r="I41" s="2289"/>
      <c r="J41" s="1919">
        <f>J39*0.7%*7.85</f>
        <v>144.59802589971437</v>
      </c>
      <c r="K41" s="1919">
        <f>K39*0.7%*7.85</f>
        <v>75.042502280543744</v>
      </c>
      <c r="L41" s="1055">
        <f t="shared" si="1"/>
        <v>219.64052818025812</v>
      </c>
      <c r="N41" s="1056"/>
    </row>
    <row r="42" spans="1:73">
      <c r="A42" s="1028">
        <v>8</v>
      </c>
      <c r="B42" s="1026" t="s">
        <v>2425</v>
      </c>
      <c r="C42" s="1026" t="s">
        <v>311</v>
      </c>
      <c r="D42" s="1038">
        <v>0</v>
      </c>
      <c r="E42" s="1038">
        <v>0</v>
      </c>
      <c r="F42" s="1038">
        <f>CEILING((H26)/E26*F34/E26,1)</f>
        <v>1109</v>
      </c>
      <c r="G42" s="2288">
        <f>CEILING((H27)/E27*F34/E27,1)</f>
        <v>1235</v>
      </c>
      <c r="H42" s="2289">
        <f>CEILING((H28)/E28*H34/E28,1)</f>
        <v>4188</v>
      </c>
      <c r="I42" s="2289">
        <f>CEILING((H29)/E29*H34/E29,1)</f>
        <v>4662</v>
      </c>
      <c r="J42" s="1038">
        <v>0</v>
      </c>
      <c r="K42" s="1038">
        <v>0</v>
      </c>
      <c r="L42" s="1055">
        <f t="shared" si="1"/>
        <v>11194</v>
      </c>
    </row>
    <row r="43" spans="1:73">
      <c r="A43" s="1028">
        <v>9</v>
      </c>
      <c r="B43" s="1026" t="s">
        <v>2433</v>
      </c>
      <c r="C43" s="1026" t="s">
        <v>311</v>
      </c>
      <c r="D43" s="1038">
        <f>CEILING(H24/E24*D34/E24,1)*2</f>
        <v>0</v>
      </c>
      <c r="E43" s="1057">
        <v>0</v>
      </c>
      <c r="F43" s="1057">
        <v>0</v>
      </c>
      <c r="G43" s="2288"/>
      <c r="H43" s="2301">
        <v>0</v>
      </c>
      <c r="I43" s="2289"/>
      <c r="J43" s="1057">
        <f>CEILING(H30/E30*J34/E30,1)</f>
        <v>11036</v>
      </c>
      <c r="K43" s="1038">
        <f>CEILING(H31/E31*K34/E31,1)</f>
        <v>4010</v>
      </c>
      <c r="L43" s="1055">
        <f t="shared" si="1"/>
        <v>15046</v>
      </c>
    </row>
    <row r="44" spans="1:73">
      <c r="A44" s="1028">
        <v>10</v>
      </c>
      <c r="B44" s="1026" t="s">
        <v>1376</v>
      </c>
      <c r="C44" s="1026" t="s">
        <v>307</v>
      </c>
      <c r="D44" s="1038">
        <v>0</v>
      </c>
      <c r="E44" s="1038">
        <v>0</v>
      </c>
      <c r="F44" s="1038">
        <v>0</v>
      </c>
      <c r="G44" s="2288"/>
      <c r="H44" s="2289">
        <v>0</v>
      </c>
      <c r="I44" s="2289"/>
      <c r="J44" s="1038">
        <v>0</v>
      </c>
      <c r="K44" s="1038">
        <f>CEILING(((PI()*F7/2)/0.4)*(K34/4),1)</f>
        <v>1427</v>
      </c>
      <c r="L44" s="1055">
        <f t="shared" si="1"/>
        <v>1427</v>
      </c>
    </row>
    <row r="45" spans="1:73" ht="15.75" customHeight="1">
      <c r="A45" s="1028">
        <v>11</v>
      </c>
      <c r="B45" s="1918" t="s">
        <v>3261</v>
      </c>
      <c r="C45" s="1918" t="s">
        <v>25</v>
      </c>
      <c r="D45" s="1919">
        <v>0</v>
      </c>
      <c r="E45" s="1919">
        <v>0</v>
      </c>
      <c r="F45" s="1919">
        <v>0</v>
      </c>
      <c r="G45" s="2288"/>
      <c r="H45" s="2300">
        <v>0</v>
      </c>
      <c r="I45" s="2289"/>
      <c r="J45" s="1919">
        <f>((CEILING(J34/F18,1)*H30*15)/1000)</f>
        <v>110.42011855425331</v>
      </c>
      <c r="K45" s="1919">
        <f>(CEILING(K34/$F$19,1)*H31*15)/1000</f>
        <v>60.241191777200548</v>
      </c>
      <c r="L45" s="1055">
        <f t="shared" si="1"/>
        <v>170.66131033145385</v>
      </c>
    </row>
    <row r="46" spans="1:73" s="1053" customFormat="1">
      <c r="A46" s="1028">
        <v>12</v>
      </c>
      <c r="B46" s="1061" t="s">
        <v>1378</v>
      </c>
      <c r="C46" s="1061" t="s">
        <v>19</v>
      </c>
      <c r="D46" s="1062">
        <f>$F$7*D34</f>
        <v>0</v>
      </c>
      <c r="E46" s="1062">
        <f t="shared" ref="E46" si="3">$F$7*E34</f>
        <v>0</v>
      </c>
      <c r="F46" s="1062">
        <f t="shared" ref="F46:K46" si="4">$F$7*F34</f>
        <v>679.46208000000013</v>
      </c>
      <c r="G46" s="2302">
        <f t="shared" si="4"/>
        <v>6115.1587200000004</v>
      </c>
      <c r="H46" s="2302">
        <f t="shared" si="4"/>
        <v>2186.0783999999999</v>
      </c>
      <c r="I46" s="2302">
        <f t="shared" si="4"/>
        <v>5100.8496000000005</v>
      </c>
      <c r="J46" s="1062">
        <f t="shared" si="4"/>
        <v>4000.9728000000005</v>
      </c>
      <c r="K46" s="1062">
        <f t="shared" si="4"/>
        <v>1453.4784000000002</v>
      </c>
      <c r="L46" s="1055">
        <f t="shared" si="1"/>
        <v>19536</v>
      </c>
    </row>
    <row r="47" spans="1:73" ht="17.399999999999999">
      <c r="A47" s="1028">
        <v>13</v>
      </c>
      <c r="B47" s="1026" t="s">
        <v>3255</v>
      </c>
      <c r="C47" s="1026" t="s">
        <v>339</v>
      </c>
      <c r="D47" s="1038">
        <f>$F$7*$F$16*D34</f>
        <v>0</v>
      </c>
      <c r="E47" s="1038">
        <f t="shared" ref="E47:I47" si="5">$F$7*$F$16*E34</f>
        <v>0</v>
      </c>
      <c r="F47" s="1038">
        <f t="shared" si="5"/>
        <v>135.89241600000003</v>
      </c>
      <c r="G47" s="2289">
        <f t="shared" si="5"/>
        <v>1223.0317440000003</v>
      </c>
      <c r="H47" s="2289">
        <f>$F$7*$F$16*H34</f>
        <v>437.21568000000008</v>
      </c>
      <c r="I47" s="2289">
        <f t="shared" si="5"/>
        <v>1020.1699200000002</v>
      </c>
      <c r="J47" s="1038">
        <f>($F$7*$F$16*J34)*0.3</f>
        <v>240.05836800000006</v>
      </c>
      <c r="K47" s="1038">
        <f>K34*J31</f>
        <v>0</v>
      </c>
      <c r="L47" s="1055">
        <f t="shared" si="1"/>
        <v>3056.3681280000005</v>
      </c>
    </row>
    <row r="48" spans="1:73">
      <c r="A48" s="1028">
        <v>14</v>
      </c>
      <c r="B48" s="1026" t="s">
        <v>24</v>
      </c>
      <c r="C48" s="1026" t="s">
        <v>25</v>
      </c>
      <c r="D48" s="1038">
        <f>8%*(D47+D41)</f>
        <v>0</v>
      </c>
      <c r="E48" s="1038">
        <f>0.75%*E47*7.85</f>
        <v>0</v>
      </c>
      <c r="F48" s="1038">
        <f>0.5%*F47*7.85</f>
        <v>5.3337773280000009</v>
      </c>
      <c r="G48" s="2289">
        <f>0.5%*G47*7.85</f>
        <v>48.003995952000011</v>
      </c>
      <c r="H48" s="2289">
        <f>0.5%*H47*7.85</f>
        <v>17.160715440000004</v>
      </c>
      <c r="I48" s="2289">
        <f>0.5%*I47*7.85</f>
        <v>40.041669360000007</v>
      </c>
      <c r="J48" s="1038">
        <f>0.5%*J47*7.85</f>
        <v>9.422290944000002</v>
      </c>
      <c r="K48" s="1038">
        <f>0.5%*(K47)*7.85</f>
        <v>0</v>
      </c>
      <c r="L48" s="1055">
        <f t="shared" si="1"/>
        <v>119.96244902400002</v>
      </c>
    </row>
    <row r="49" spans="1:73" ht="17.399999999999999">
      <c r="A49" s="1028">
        <v>15</v>
      </c>
      <c r="B49" s="1026" t="s">
        <v>1380</v>
      </c>
      <c r="C49" s="1026" t="s">
        <v>420</v>
      </c>
      <c r="D49" s="1038">
        <f>H24*D34</f>
        <v>0</v>
      </c>
      <c r="E49" s="1038">
        <f>E34*H25</f>
        <v>0</v>
      </c>
      <c r="F49" s="1038">
        <f>F34*(H26)*0.4</f>
        <v>749.66310378416824</v>
      </c>
      <c r="G49" s="2288">
        <f>G34*(H27)*0.4</f>
        <v>7511.3627740575139</v>
      </c>
      <c r="H49" s="2289">
        <f>H34*(H28)*0.4</f>
        <v>2411.9408083222661</v>
      </c>
      <c r="I49" s="2289">
        <f>I34*(H29)*0.4</f>
        <v>6265.4680860852877</v>
      </c>
      <c r="J49" s="1038">
        <f>J34*H30</f>
        <v>11035.868577846293</v>
      </c>
      <c r="K49" s="1038">
        <f>K34*H31</f>
        <v>4009.1241317957242</v>
      </c>
      <c r="L49" s="1055">
        <f t="shared" si="1"/>
        <v>31983.427481891256</v>
      </c>
    </row>
    <row r="51" spans="1:73" ht="18">
      <c r="I51" s="1044" t="s">
        <v>3256</v>
      </c>
      <c r="J51" s="1913">
        <f>L41+L48</f>
        <v>339.60297720425814</v>
      </c>
    </row>
    <row r="52" spans="1:73">
      <c r="I52" s="1044"/>
      <c r="J52" s="1044"/>
    </row>
    <row r="53" spans="1:73">
      <c r="B53" s="1023" t="s">
        <v>1381</v>
      </c>
      <c r="I53" s="1044"/>
      <c r="J53" s="1044"/>
    </row>
    <row r="54" spans="1:73">
      <c r="B54" s="1023" t="s">
        <v>1382</v>
      </c>
      <c r="C54" s="1023">
        <f>51.7+76</f>
        <v>127.7</v>
      </c>
      <c r="I54" s="1044"/>
      <c r="J54" s="1044"/>
    </row>
    <row r="55" spans="1:73">
      <c r="B55" s="1023" t="s">
        <v>1383</v>
      </c>
      <c r="C55" s="1018">
        <v>500000</v>
      </c>
      <c r="E55" s="1019"/>
      <c r="F55" s="1020"/>
      <c r="G55" s="1019"/>
      <c r="I55" s="1064"/>
      <c r="J55" s="1044"/>
    </row>
    <row r="56" spans="1:73">
      <c r="B56" s="1023" t="s">
        <v>1384</v>
      </c>
      <c r="C56" s="1065">
        <f>C54*C55</f>
        <v>63850000</v>
      </c>
      <c r="E56" s="1019"/>
      <c r="F56" s="1020"/>
      <c r="G56" s="1019"/>
      <c r="J56" s="1064"/>
      <c r="K56" s="1022"/>
    </row>
    <row r="57" spans="1:73">
      <c r="C57" s="1018"/>
      <c r="E57" s="1019"/>
      <c r="F57" s="1020"/>
      <c r="G57" s="1019"/>
    </row>
    <row r="58" spans="1:73">
      <c r="E58" s="1019"/>
      <c r="F58" s="1020"/>
      <c r="G58" s="1019"/>
    </row>
    <row r="60" spans="1:73">
      <c r="C60" s="1018"/>
      <c r="E60" s="1019"/>
      <c r="F60" s="1020"/>
      <c r="G60" s="1019"/>
    </row>
    <row r="61" spans="1:73" s="1019" customFormat="1">
      <c r="A61" s="1022"/>
      <c r="B61" s="1023"/>
      <c r="C61" s="1018"/>
      <c r="D61" s="1018"/>
      <c r="F61" s="1020"/>
      <c r="K61" s="1021"/>
      <c r="L61" s="1022"/>
      <c r="M61" s="1022"/>
      <c r="N61" s="1022"/>
      <c r="O61" s="1022"/>
      <c r="P61" s="1022"/>
      <c r="Q61" s="1022"/>
      <c r="R61" s="1022"/>
      <c r="S61" s="1022"/>
      <c r="T61" s="1022"/>
      <c r="U61" s="1022"/>
      <c r="V61" s="1022"/>
      <c r="W61" s="1022"/>
      <c r="X61" s="1022"/>
      <c r="Y61" s="1022"/>
      <c r="Z61" s="1022"/>
      <c r="AA61" s="1022"/>
      <c r="AB61" s="1022"/>
      <c r="AC61" s="1022"/>
      <c r="AD61" s="1022"/>
      <c r="AE61" s="1022"/>
      <c r="AF61" s="1022"/>
      <c r="AG61" s="1022"/>
      <c r="AH61" s="1022"/>
      <c r="AI61" s="1022"/>
      <c r="AJ61" s="1022"/>
      <c r="AK61" s="1022"/>
      <c r="AL61" s="1022"/>
      <c r="AM61" s="1022"/>
      <c r="AN61" s="1022"/>
      <c r="AO61" s="1022"/>
      <c r="AP61" s="1022"/>
      <c r="AQ61" s="1022"/>
      <c r="AR61" s="1022"/>
      <c r="AS61" s="1022"/>
      <c r="AT61" s="1022"/>
      <c r="AU61" s="1022"/>
      <c r="AV61" s="1022"/>
      <c r="AW61" s="1022"/>
      <c r="AX61" s="1022"/>
      <c r="AY61" s="1022"/>
      <c r="AZ61" s="1022"/>
      <c r="BA61" s="1022"/>
      <c r="BB61" s="1022"/>
      <c r="BC61" s="1022"/>
      <c r="BD61" s="1022"/>
      <c r="BE61" s="1022"/>
      <c r="BF61" s="1022"/>
      <c r="BG61" s="1022"/>
      <c r="BH61" s="1022"/>
      <c r="BI61" s="1022"/>
      <c r="BJ61" s="1022"/>
      <c r="BK61" s="1022"/>
      <c r="BL61" s="1022"/>
      <c r="BM61" s="1022"/>
      <c r="BN61" s="1022"/>
      <c r="BO61" s="1022"/>
      <c r="BP61" s="1022"/>
      <c r="BQ61" s="1022"/>
      <c r="BR61" s="1022"/>
      <c r="BS61" s="1022"/>
      <c r="BT61" s="1022"/>
      <c r="BU61" s="1022"/>
    </row>
    <row r="62" spans="1:73" s="1019" customFormat="1">
      <c r="A62" s="1022"/>
      <c r="B62" s="1023"/>
      <c r="C62" s="1018"/>
      <c r="D62" s="1018"/>
      <c r="F62" s="1020"/>
      <c r="K62" s="1021"/>
      <c r="L62" s="1022"/>
      <c r="M62" s="1022"/>
      <c r="N62" s="1022"/>
      <c r="O62" s="1022"/>
      <c r="P62" s="1022"/>
      <c r="Q62" s="1022"/>
      <c r="R62" s="1022"/>
      <c r="S62" s="1022"/>
      <c r="T62" s="1022"/>
      <c r="U62" s="1022"/>
      <c r="V62" s="1022"/>
      <c r="W62" s="1022"/>
      <c r="X62" s="1022"/>
      <c r="Y62" s="1022"/>
      <c r="Z62" s="1022"/>
      <c r="AA62" s="1022"/>
      <c r="AB62" s="1022"/>
      <c r="AC62" s="1022"/>
      <c r="AD62" s="1022"/>
      <c r="AE62" s="1022"/>
      <c r="AF62" s="1022"/>
      <c r="AG62" s="1022"/>
      <c r="AH62" s="1022"/>
      <c r="AI62" s="1022"/>
      <c r="AJ62" s="1022"/>
      <c r="AK62" s="1022"/>
      <c r="AL62" s="1022"/>
      <c r="AM62" s="1022"/>
      <c r="AN62" s="1022"/>
      <c r="AO62" s="1022"/>
      <c r="AP62" s="1022"/>
      <c r="AQ62" s="1022"/>
      <c r="AR62" s="1022"/>
      <c r="AS62" s="1022"/>
      <c r="AT62" s="1022"/>
      <c r="AU62" s="1022"/>
      <c r="AV62" s="1022"/>
      <c r="AW62" s="1022"/>
      <c r="AX62" s="1022"/>
      <c r="AY62" s="1022"/>
      <c r="AZ62" s="1022"/>
      <c r="BA62" s="1022"/>
      <c r="BB62" s="1022"/>
      <c r="BC62" s="1022"/>
      <c r="BD62" s="1022"/>
      <c r="BE62" s="1022"/>
      <c r="BF62" s="1022"/>
      <c r="BG62" s="1022"/>
      <c r="BH62" s="1022"/>
      <c r="BI62" s="1022"/>
      <c r="BJ62" s="1022"/>
      <c r="BK62" s="1022"/>
      <c r="BL62" s="1022"/>
      <c r="BM62" s="1022"/>
      <c r="BN62" s="1022"/>
      <c r="BO62" s="1022"/>
      <c r="BP62" s="1022"/>
      <c r="BQ62" s="1022"/>
      <c r="BR62" s="1022"/>
      <c r="BS62" s="1022"/>
      <c r="BT62" s="1022"/>
      <c r="BU62" s="1022"/>
    </row>
  </sheetData>
  <mergeCells count="7">
    <mergeCell ref="B31:C31"/>
    <mergeCell ref="B23:C23"/>
    <mergeCell ref="B24:C24"/>
    <mergeCell ref="B25:C25"/>
    <mergeCell ref="B26:C26"/>
    <mergeCell ref="B28:C28"/>
    <mergeCell ref="B30:C30"/>
  </mergeCells>
  <printOptions horizontalCentered="1"/>
  <pageMargins left="0.7" right="0.7" top="0.71" bottom="0.59" header="0.3" footer="0.16"/>
  <pageSetup paperSize="9" scale="77" fitToHeight="10" orientation="landscape"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3">
    <pageSetUpPr fitToPage="1"/>
  </sheetPr>
  <dimension ref="A1:V44"/>
  <sheetViews>
    <sheetView workbookViewId="0"/>
  </sheetViews>
  <sheetFormatPr defaultColWidth="9.109375" defaultRowHeight="14.4"/>
  <cols>
    <col min="1" max="1" width="19" style="864" customWidth="1"/>
    <col min="2" max="2" width="31.5546875" style="864" customWidth="1"/>
    <col min="3" max="4" width="11.33203125" style="864" customWidth="1"/>
    <col min="5" max="5" width="8.88671875" style="864" bestFit="1" customWidth="1"/>
    <col min="6" max="6" width="8.33203125" style="864" bestFit="1" customWidth="1"/>
    <col min="7" max="7" width="9.109375" style="864"/>
    <col min="8" max="8" width="9" style="864" bestFit="1" customWidth="1"/>
    <col min="9" max="9" width="11.6640625" style="864" bestFit="1" customWidth="1"/>
    <col min="10" max="10" width="13.109375" style="864" bestFit="1" customWidth="1"/>
    <col min="11" max="13" width="9.109375" style="864"/>
    <col min="14" max="14" width="11.6640625" style="864" customWidth="1"/>
    <col min="15" max="17" width="9.109375" style="864"/>
    <col min="18" max="18" width="6.5546875" style="864" customWidth="1"/>
    <col min="19" max="19" width="3.88671875" style="864" customWidth="1"/>
    <col min="20" max="16384" width="9.109375" style="864"/>
  </cols>
  <sheetData>
    <row r="1" spans="1:22" s="520" customFormat="1" ht="19.2">
      <c r="A1" s="522"/>
      <c r="C1" s="523"/>
      <c r="D1" s="537"/>
      <c r="E1" s="1223"/>
      <c r="F1" s="1223"/>
      <c r="G1" s="523"/>
    </row>
    <row r="2" spans="1:22" s="520" customFormat="1" ht="19.2">
      <c r="A2" s="522"/>
      <c r="C2" s="523"/>
      <c r="D2" s="537"/>
      <c r="E2" s="1223"/>
      <c r="F2" s="1223"/>
      <c r="G2" s="523"/>
    </row>
    <row r="3" spans="1:22" s="520" customFormat="1" ht="19.2">
      <c r="A3" s="226" t="s">
        <v>0</v>
      </c>
      <c r="B3" s="1248" t="s">
        <v>2389</v>
      </c>
      <c r="C3" s="523"/>
      <c r="D3" s="537"/>
      <c r="E3" s="1223"/>
      <c r="F3" s="1223"/>
      <c r="G3" s="523"/>
    </row>
    <row r="4" spans="1:22" s="520" customFormat="1" ht="19.2">
      <c r="A4" s="119" t="s">
        <v>1</v>
      </c>
      <c r="B4" s="1248">
        <v>930100</v>
      </c>
      <c r="C4" s="523"/>
      <c r="D4" s="537"/>
      <c r="E4" s="1223"/>
      <c r="F4" s="1223"/>
      <c r="G4" s="523"/>
    </row>
    <row r="5" spans="1:22" s="520" customFormat="1" ht="19.2">
      <c r="A5" s="119" t="s">
        <v>2</v>
      </c>
      <c r="B5" s="1247" t="s">
        <v>331</v>
      </c>
      <c r="C5" s="523"/>
      <c r="D5" s="537"/>
      <c r="E5" s="1223"/>
      <c r="H5" s="1276" t="s">
        <v>1561</v>
      </c>
      <c r="I5" s="523" t="s">
        <v>1562</v>
      </c>
    </row>
    <row r="6" spans="1:22" s="520" customFormat="1" ht="19.2">
      <c r="A6" s="119" t="s">
        <v>3</v>
      </c>
      <c r="B6" s="1247" t="s">
        <v>1578</v>
      </c>
      <c r="C6" s="523"/>
      <c r="D6" s="537"/>
      <c r="E6" s="1223"/>
      <c r="H6" s="1276" t="s">
        <v>171</v>
      </c>
      <c r="I6" s="523" t="s">
        <v>1563</v>
      </c>
    </row>
    <row r="7" spans="1:22" s="520" customFormat="1" ht="19.2">
      <c r="A7" s="119" t="s">
        <v>4</v>
      </c>
      <c r="B7" s="1247"/>
      <c r="C7" s="523"/>
      <c r="D7" s="537"/>
      <c r="E7" s="1223"/>
      <c r="H7" s="1276" t="s">
        <v>106</v>
      </c>
      <c r="I7" s="1277">
        <f ca="1">TODAY()</f>
        <v>44942</v>
      </c>
    </row>
    <row r="8" spans="1:22" ht="16.8">
      <c r="A8" s="119"/>
      <c r="B8" s="55"/>
    </row>
    <row r="9" spans="1:22" ht="16.8">
      <c r="A9" s="119"/>
      <c r="B9" s="55"/>
    </row>
    <row r="10" spans="1:22">
      <c r="A10" s="1069" t="s">
        <v>1387</v>
      </c>
      <c r="B10" s="1070"/>
      <c r="C10" s="1070"/>
      <c r="D10" s="1070"/>
      <c r="E10" s="1070"/>
      <c r="F10" s="1070"/>
      <c r="G10" s="1070"/>
      <c r="H10" s="1070"/>
      <c r="I10" s="1070"/>
    </row>
    <row r="11" spans="1:22">
      <c r="A11" s="1070" t="s">
        <v>1388</v>
      </c>
      <c r="B11" s="1070">
        <v>3</v>
      </c>
      <c r="C11" s="1070" t="s">
        <v>27</v>
      </c>
      <c r="D11" s="1070"/>
      <c r="E11" s="1070"/>
      <c r="F11" s="1070"/>
      <c r="G11" s="1070"/>
      <c r="H11" s="1070"/>
      <c r="I11" s="1070"/>
      <c r="N11" s="864" t="s">
        <v>1389</v>
      </c>
      <c r="O11" s="1071">
        <v>3</v>
      </c>
    </row>
    <row r="12" spans="1:22" ht="16.8">
      <c r="A12" s="1072" t="s">
        <v>1353</v>
      </c>
      <c r="B12" s="1070">
        <v>41</v>
      </c>
      <c r="C12" s="1072" t="s">
        <v>27</v>
      </c>
      <c r="D12" s="1072"/>
      <c r="E12" s="1073"/>
      <c r="F12" s="1074"/>
      <c r="G12" s="1074"/>
      <c r="H12" s="1074"/>
      <c r="I12" s="1072"/>
      <c r="N12" s="1019" t="s">
        <v>1349</v>
      </c>
      <c r="O12" s="1019">
        <v>3</v>
      </c>
      <c r="P12" s="1019">
        <f>O12/2</f>
        <v>1.5</v>
      </c>
      <c r="Q12" s="1021"/>
      <c r="R12" s="1022"/>
      <c r="S12" s="1022"/>
      <c r="T12" s="1022"/>
      <c r="U12" s="1022"/>
      <c r="V12" s="1022"/>
    </row>
    <row r="13" spans="1:22" ht="16.8">
      <c r="A13" s="1072" t="s">
        <v>1390</v>
      </c>
      <c r="B13" s="1072"/>
      <c r="C13" s="1072" t="s">
        <v>27</v>
      </c>
      <c r="D13" s="1072"/>
      <c r="E13" s="1073"/>
      <c r="F13" s="1074"/>
      <c r="G13" s="1074"/>
      <c r="H13" s="1074"/>
      <c r="I13" s="1072"/>
      <c r="N13" s="1019" t="s">
        <v>1391</v>
      </c>
      <c r="O13" s="1019">
        <f>O11-P12</f>
        <v>1.5</v>
      </c>
      <c r="P13" s="1019"/>
      <c r="Q13" s="1029"/>
      <c r="R13" s="1022"/>
      <c r="S13" s="1022"/>
      <c r="T13" s="1022"/>
      <c r="U13" s="1022"/>
      <c r="V13" s="1022"/>
    </row>
    <row r="14" spans="1:22" ht="117.6">
      <c r="A14" s="12" t="s">
        <v>1354</v>
      </c>
      <c r="B14" s="1075" t="s">
        <v>1392</v>
      </c>
      <c r="C14" s="1033" t="s">
        <v>1393</v>
      </c>
      <c r="D14" s="1034" t="s">
        <v>1394</v>
      </c>
      <c r="E14" s="1034" t="s">
        <v>1357</v>
      </c>
      <c r="F14" s="1075" t="s">
        <v>1358</v>
      </c>
      <c r="G14" s="1075" t="s">
        <v>1359</v>
      </c>
      <c r="H14" s="1075" t="s">
        <v>1360</v>
      </c>
      <c r="I14" s="1072" t="s">
        <v>1395</v>
      </c>
      <c r="N14" s="1019"/>
      <c r="O14" s="1019"/>
      <c r="P14" s="1019"/>
      <c r="Q14" s="1021"/>
      <c r="R14" s="1022"/>
      <c r="S14" s="1022"/>
      <c r="T14" s="1022"/>
      <c r="U14" s="1022"/>
      <c r="V14" s="1022"/>
    </row>
    <row r="15" spans="1:22" ht="16.8">
      <c r="A15" s="1072"/>
      <c r="B15" s="1076">
        <v>1</v>
      </c>
      <c r="C15" s="1073">
        <v>0.1</v>
      </c>
      <c r="D15" s="1077">
        <v>1.2</v>
      </c>
      <c r="E15" s="1074">
        <v>0</v>
      </c>
      <c r="F15" s="1074">
        <f>O13*(O12+C15*2+2*0.1)+PI()*((O12+2*C15+2*0.1)^2)/8</f>
        <v>9.6396013844372526</v>
      </c>
      <c r="G15" s="1074">
        <f>O13*2+PI()*P12</f>
        <v>7.7123889803846897</v>
      </c>
      <c r="H15" s="1073">
        <f>G15</f>
        <v>7.7123889803846897</v>
      </c>
      <c r="I15" s="1072">
        <v>0</v>
      </c>
      <c r="N15" s="1019"/>
      <c r="O15" s="1019"/>
      <c r="P15" s="1019"/>
      <c r="Q15" s="1021"/>
      <c r="R15" s="1022"/>
      <c r="S15" s="1022"/>
      <c r="T15" s="1022"/>
      <c r="U15" s="1022"/>
      <c r="V15" s="1022"/>
    </row>
    <row r="16" spans="1:22">
      <c r="A16" s="1070"/>
      <c r="B16" s="1070"/>
      <c r="C16" s="1070"/>
      <c r="D16" s="1070"/>
      <c r="E16" s="1070"/>
      <c r="F16" s="1070"/>
      <c r="G16" s="1070"/>
      <c r="H16" s="1070"/>
      <c r="I16" s="1070"/>
    </row>
    <row r="17" spans="1:12">
      <c r="A17" s="1070"/>
      <c r="B17" s="1070"/>
      <c r="C17" s="1070"/>
      <c r="D17" s="1070"/>
      <c r="E17" s="1070"/>
      <c r="F17" s="1070"/>
      <c r="G17" s="1070"/>
      <c r="H17" s="1070"/>
      <c r="I17" s="1070"/>
    </row>
    <row r="18" spans="1:12">
      <c r="A18" s="1070"/>
      <c r="B18" s="1070"/>
      <c r="C18" s="1070"/>
      <c r="D18" s="1070"/>
      <c r="E18" s="1070"/>
      <c r="F18" s="1070"/>
      <c r="G18" s="1070"/>
      <c r="H18" s="1070"/>
      <c r="I18" s="1070"/>
    </row>
    <row r="19" spans="1:12" ht="16.8">
      <c r="A19" s="1078"/>
      <c r="B19" s="1078" t="s">
        <v>1369</v>
      </c>
      <c r="C19" s="1078" t="s">
        <v>117</v>
      </c>
      <c r="D19" s="1079"/>
      <c r="E19" s="1070"/>
      <c r="F19" s="1070"/>
      <c r="G19" s="1070"/>
      <c r="H19" s="1070"/>
      <c r="I19" s="1070"/>
    </row>
    <row r="20" spans="1:12" ht="16.8">
      <c r="A20" s="1072" t="s">
        <v>1370</v>
      </c>
      <c r="B20" s="1072" t="s">
        <v>1371</v>
      </c>
      <c r="C20" s="1072" t="s">
        <v>27</v>
      </c>
      <c r="D20" s="1074">
        <f>B12</f>
        <v>41</v>
      </c>
      <c r="E20" s="1070"/>
      <c r="F20" s="1070"/>
      <c r="G20" s="1070"/>
      <c r="H20" s="1070"/>
      <c r="I20" s="1070"/>
      <c r="L20" s="864">
        <f>8</f>
        <v>8</v>
      </c>
    </row>
    <row r="21" spans="1:12" ht="16.8">
      <c r="A21" s="1072"/>
      <c r="B21" s="1072"/>
      <c r="C21" s="1072"/>
      <c r="D21" s="1074"/>
      <c r="E21" s="1070"/>
      <c r="F21" s="1070"/>
      <c r="G21" s="1070"/>
      <c r="H21" s="1070"/>
      <c r="I21" s="1070"/>
      <c r="L21" s="864">
        <v>31</v>
      </c>
    </row>
    <row r="22" spans="1:12" ht="17.399999999999999">
      <c r="A22" s="1072">
        <v>1</v>
      </c>
      <c r="B22" s="1072" t="s">
        <v>1372</v>
      </c>
      <c r="C22" s="1072" t="s">
        <v>339</v>
      </c>
      <c r="D22" s="1074">
        <f>(C15/0.1)*G15*B12</f>
        <v>316.2079481957723</v>
      </c>
      <c r="E22" s="1070"/>
      <c r="F22" s="1070"/>
      <c r="G22" s="1070"/>
      <c r="H22" s="1070"/>
      <c r="I22" s="1070"/>
      <c r="L22" s="864">
        <f>L20*L21</f>
        <v>248</v>
      </c>
    </row>
    <row r="23" spans="1:12" ht="16.8">
      <c r="A23" s="1072">
        <v>2</v>
      </c>
      <c r="B23" s="1072" t="s">
        <v>2426</v>
      </c>
      <c r="C23" s="1072" t="s">
        <v>307</v>
      </c>
      <c r="D23" s="1080">
        <f>CEILING((G15/D15)*D20/D15,1)</f>
        <v>220</v>
      </c>
      <c r="E23" s="1070"/>
      <c r="F23" s="1070"/>
      <c r="G23" s="1070"/>
      <c r="H23" s="1070"/>
      <c r="I23" s="1070"/>
    </row>
    <row r="26" spans="1:12" ht="16.8">
      <c r="A26" s="2" t="s">
        <v>7</v>
      </c>
      <c r="B26" s="2" t="s">
        <v>8</v>
      </c>
      <c r="C26" s="2" t="s">
        <v>9</v>
      </c>
      <c r="D26" s="2" t="s">
        <v>10</v>
      </c>
      <c r="E26" s="3" t="s">
        <v>11</v>
      </c>
      <c r="F26" s="3" t="s">
        <v>12</v>
      </c>
      <c r="G26" s="3" t="s">
        <v>13</v>
      </c>
      <c r="H26" s="3" t="s">
        <v>14</v>
      </c>
      <c r="I26" s="3" t="s">
        <v>15</v>
      </c>
      <c r="J26" s="1081" t="s">
        <v>16</v>
      </c>
    </row>
    <row r="27" spans="1:12" ht="16.8">
      <c r="A27" s="5">
        <f>1</f>
        <v>1</v>
      </c>
      <c r="B27" s="5" t="s">
        <v>1242</v>
      </c>
      <c r="C27" s="7" t="s">
        <v>21</v>
      </c>
      <c r="D27" s="7"/>
      <c r="E27" s="391"/>
      <c r="F27" s="391"/>
      <c r="G27" s="391"/>
      <c r="H27" s="391"/>
      <c r="I27" s="391"/>
      <c r="J27" s="1082"/>
    </row>
    <row r="28" spans="1:12" ht="16.8">
      <c r="A28" s="1083"/>
      <c r="B28" s="1083"/>
      <c r="C28" s="1083"/>
      <c r="D28" s="1083">
        <v>1</v>
      </c>
      <c r="E28" s="1083">
        <f>B12</f>
        <v>41</v>
      </c>
      <c r="F28" s="1083"/>
      <c r="G28" s="1083"/>
      <c r="H28" s="1083"/>
      <c r="I28" s="1083">
        <f>F15</f>
        <v>9.6396013844372526</v>
      </c>
      <c r="J28" s="1083">
        <f>I28*E28</f>
        <v>395.22365676192737</v>
      </c>
    </row>
    <row r="29" spans="1:12" ht="16.8">
      <c r="A29" s="1083"/>
      <c r="B29" s="1083"/>
      <c r="C29" s="1083"/>
      <c r="D29" s="1083"/>
      <c r="E29" s="1083"/>
      <c r="F29" s="1083"/>
      <c r="G29" s="1083"/>
      <c r="H29" s="1083"/>
      <c r="I29" s="1083" t="s">
        <v>20</v>
      </c>
      <c r="J29" s="1084">
        <f>SUM(J28)</f>
        <v>395.22365676192737</v>
      </c>
    </row>
    <row r="30" spans="1:12" ht="16.8">
      <c r="A30" s="5">
        <v>2</v>
      </c>
      <c r="B30" s="5" t="s">
        <v>347</v>
      </c>
      <c r="C30" s="7" t="s">
        <v>85</v>
      </c>
      <c r="D30" s="7"/>
      <c r="E30" s="391"/>
      <c r="F30" s="391"/>
      <c r="G30" s="391"/>
      <c r="H30" s="391"/>
      <c r="I30" s="391"/>
      <c r="J30" s="1082"/>
    </row>
    <row r="31" spans="1:12" ht="16.8">
      <c r="A31" s="885"/>
      <c r="B31" s="1083" t="s">
        <v>2658</v>
      </c>
      <c r="C31" s="885"/>
      <c r="D31" s="885"/>
      <c r="E31" s="1085">
        <f>B12</f>
        <v>41</v>
      </c>
      <c r="F31" s="1085"/>
      <c r="G31" s="1085"/>
      <c r="H31" s="1087">
        <f>G15</f>
        <v>7.7123889803846897</v>
      </c>
      <c r="I31" s="1086">
        <f>G15*B12</f>
        <v>316.2079481957723</v>
      </c>
      <c r="J31" s="1087">
        <f>I31*0.8</f>
        <v>252.96635855661785</v>
      </c>
    </row>
    <row r="32" spans="1:12" ht="16.8">
      <c r="A32" s="885"/>
      <c r="B32" s="1083" t="s">
        <v>2659</v>
      </c>
      <c r="C32" s="885"/>
      <c r="D32" s="885"/>
      <c r="E32" s="1085"/>
      <c r="F32" s="1085"/>
      <c r="G32" s="1085"/>
      <c r="H32" s="1087"/>
      <c r="I32" s="1086"/>
      <c r="J32" s="1087">
        <f>0.2*I31</f>
        <v>63.241589639154462</v>
      </c>
    </row>
    <row r="33" spans="1:10" ht="16.8">
      <c r="A33" s="1083"/>
      <c r="B33" s="1083"/>
      <c r="C33" s="1083"/>
      <c r="D33" s="1083"/>
      <c r="E33" s="1083"/>
      <c r="F33" s="1083"/>
      <c r="G33" s="1083"/>
      <c r="H33" s="1083"/>
      <c r="I33" s="1083" t="s">
        <v>20</v>
      </c>
      <c r="J33" s="1084">
        <f>SUM(J31:J32)</f>
        <v>316.2079481957723</v>
      </c>
    </row>
    <row r="34" spans="1:10" ht="16.8">
      <c r="A34" s="5">
        <v>3</v>
      </c>
      <c r="B34" s="5" t="s">
        <v>1396</v>
      </c>
      <c r="C34" s="7"/>
      <c r="D34" s="7"/>
      <c r="E34" s="391">
        <f>B12</f>
        <v>41</v>
      </c>
      <c r="F34" s="391"/>
      <c r="G34" s="391"/>
      <c r="H34" s="391">
        <f>G15</f>
        <v>7.7123889803846897</v>
      </c>
      <c r="I34" s="391"/>
      <c r="J34" s="1082">
        <f>E34*H34</f>
        <v>316.2079481957723</v>
      </c>
    </row>
    <row r="35" spans="1:10" ht="16.8">
      <c r="A35" s="1083"/>
      <c r="B35" s="1083"/>
      <c r="C35" s="1083"/>
      <c r="D35" s="1083"/>
      <c r="E35" s="1083"/>
      <c r="F35" s="1083"/>
      <c r="G35" s="1083"/>
      <c r="H35" s="1083"/>
      <c r="I35" s="1083" t="s">
        <v>20</v>
      </c>
      <c r="J35" s="1084">
        <f>SUM(J34:J34)*0.1</f>
        <v>31.620794819577231</v>
      </c>
    </row>
    <row r="36" spans="1:10" ht="16.8">
      <c r="A36" s="1083"/>
      <c r="B36" s="1083" t="s">
        <v>1397</v>
      </c>
      <c r="C36" s="1083"/>
      <c r="D36" s="1083"/>
      <c r="E36" s="1083"/>
      <c r="F36" s="1083"/>
      <c r="G36" s="1083"/>
      <c r="H36" s="1083"/>
      <c r="I36" s="1083"/>
      <c r="J36" s="1084"/>
    </row>
    <row r="37" spans="1:10" ht="16.8">
      <c r="A37" s="5">
        <v>4</v>
      </c>
      <c r="B37" s="1233" t="s">
        <v>1398</v>
      </c>
      <c r="C37" s="1233" t="s">
        <v>19</v>
      </c>
      <c r="D37" s="1233"/>
      <c r="E37" s="1233"/>
      <c r="F37" s="1233"/>
      <c r="G37" s="1233"/>
      <c r="H37" s="1233">
        <f>B11*B12</f>
        <v>123</v>
      </c>
      <c r="I37" s="1233"/>
      <c r="J37" s="1233">
        <f>H37</f>
        <v>123</v>
      </c>
    </row>
    <row r="38" spans="1:10" ht="16.8">
      <c r="A38" s="5">
        <v>5</v>
      </c>
      <c r="B38" s="5" t="s">
        <v>2622</v>
      </c>
      <c r="C38" s="7" t="s">
        <v>307</v>
      </c>
      <c r="D38" s="7"/>
      <c r="E38" s="391"/>
      <c r="F38" s="391"/>
      <c r="G38" s="391"/>
      <c r="H38" s="391"/>
      <c r="I38" s="391"/>
      <c r="J38" s="1082"/>
    </row>
    <row r="39" spans="1:10" ht="16.8">
      <c r="A39" s="885"/>
      <c r="B39" s="885"/>
      <c r="C39" s="885"/>
      <c r="D39" s="885"/>
      <c r="E39" s="1086"/>
      <c r="F39" s="1085"/>
      <c r="G39" s="1085"/>
      <c r="H39" s="1085"/>
      <c r="I39" s="1085"/>
      <c r="J39" s="1086">
        <f>D23</f>
        <v>220</v>
      </c>
    </row>
    <row r="40" spans="1:10" ht="16.8">
      <c r="A40" s="885"/>
      <c r="B40" s="885"/>
      <c r="C40" s="885"/>
      <c r="D40" s="885"/>
      <c r="E40" s="885"/>
      <c r="F40" s="885"/>
      <c r="G40" s="885"/>
      <c r="H40" s="885"/>
      <c r="I40" s="1083" t="s">
        <v>20</v>
      </c>
      <c r="J40" s="1084">
        <f>J39</f>
        <v>220</v>
      </c>
    </row>
    <row r="41" spans="1:10" ht="16.8">
      <c r="A41" s="1234">
        <v>6</v>
      </c>
      <c r="B41" s="1234" t="s">
        <v>2567</v>
      </c>
      <c r="C41" s="1234" t="s">
        <v>325</v>
      </c>
      <c r="D41" s="1234"/>
      <c r="E41" s="1234"/>
      <c r="F41" s="1234"/>
      <c r="G41" s="1234"/>
      <c r="H41" s="1234"/>
      <c r="I41" s="1496">
        <f>H34*B12*15*0.2/1000</f>
        <v>0.94862384458731686</v>
      </c>
      <c r="J41" s="1235">
        <f>I41</f>
        <v>0.94862384458731686</v>
      </c>
    </row>
    <row r="42" spans="1:10" ht="33.6">
      <c r="A42" s="1234">
        <v>7</v>
      </c>
      <c r="B42" s="1026" t="s">
        <v>1376</v>
      </c>
      <c r="C42" s="1234" t="s">
        <v>307</v>
      </c>
      <c r="D42" s="1234"/>
      <c r="E42" s="1236"/>
      <c r="F42" s="1237"/>
      <c r="G42" s="1237"/>
      <c r="H42" s="1236">
        <f>PI()*1.5</f>
        <v>4.7123889803846897</v>
      </c>
      <c r="I42" s="1237"/>
      <c r="J42" s="1236">
        <f>CEILING((H42/0.4)*(0.2*B12)/4,1)</f>
        <v>25</v>
      </c>
    </row>
    <row r="43" spans="1:10" ht="16.8">
      <c r="A43" s="1238"/>
      <c r="B43" s="1239"/>
      <c r="C43" s="1239"/>
      <c r="D43" s="1240"/>
      <c r="E43" s="1240"/>
      <c r="F43" s="1240"/>
      <c r="G43" s="1240"/>
      <c r="H43" s="1240"/>
      <c r="I43" s="1240"/>
      <c r="J43" s="1241"/>
    </row>
    <row r="44" spans="1:10">
      <c r="A44" s="1071"/>
    </row>
  </sheetData>
  <printOptions horizontalCentered="1"/>
  <pageMargins left="0.7" right="0.7" top="0.71" bottom="0.59" header="0.3" footer="0.16"/>
  <pageSetup paperSize="9" scale="73" orientation="landscape"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5">
    <pageSetUpPr fitToPage="1"/>
  </sheetPr>
  <dimension ref="A1:L43"/>
  <sheetViews>
    <sheetView workbookViewId="0"/>
  </sheetViews>
  <sheetFormatPr defaultColWidth="9.109375" defaultRowHeight="14.4"/>
  <cols>
    <col min="1" max="1" width="13.44140625" style="1088" customWidth="1"/>
    <col min="2" max="2" width="35.44140625" style="1088" bestFit="1" customWidth="1"/>
    <col min="3" max="3" width="6" style="1088" bestFit="1" customWidth="1"/>
    <col min="4" max="4" width="5.33203125" style="1088" bestFit="1" customWidth="1"/>
    <col min="5" max="5" width="9.33203125" style="1088" bestFit="1" customWidth="1"/>
    <col min="6" max="6" width="10.44140625" style="1088" bestFit="1" customWidth="1"/>
    <col min="7" max="7" width="8.6640625" style="1088" bestFit="1" customWidth="1"/>
    <col min="8" max="8" width="11.88671875" style="1088" bestFit="1" customWidth="1"/>
    <col min="9" max="9" width="9.5546875" style="1088" bestFit="1" customWidth="1"/>
    <col min="10" max="10" width="13.109375" style="1088" bestFit="1" customWidth="1"/>
    <col min="11" max="16384" width="9.109375" style="1088"/>
  </cols>
  <sheetData>
    <row r="1" spans="1:10" s="520" customFormat="1" ht="19.2">
      <c r="A1" s="522"/>
      <c r="C1" s="523"/>
      <c r="D1" s="537"/>
      <c r="E1" s="1223"/>
      <c r="F1" s="1223"/>
      <c r="G1" s="523"/>
    </row>
    <row r="2" spans="1:10" s="520" customFormat="1" ht="19.2">
      <c r="A2" s="522"/>
      <c r="C2" s="523"/>
      <c r="D2" s="537"/>
      <c r="E2" s="1223"/>
      <c r="F2" s="1223"/>
      <c r="G2" s="523"/>
    </row>
    <row r="3" spans="1:10" s="520" customFormat="1" ht="19.2">
      <c r="A3" s="226" t="s">
        <v>0</v>
      </c>
      <c r="B3" s="1248" t="s">
        <v>2389</v>
      </c>
      <c r="C3" s="523"/>
      <c r="D3" s="537"/>
      <c r="E3" s="1223"/>
      <c r="F3" s="1223"/>
      <c r="G3" s="523"/>
    </row>
    <row r="4" spans="1:10" s="520" customFormat="1" ht="19.2">
      <c r="A4" s="119" t="s">
        <v>1</v>
      </c>
      <c r="B4" s="1248">
        <v>930100</v>
      </c>
      <c r="C4" s="523"/>
      <c r="D4" s="537"/>
      <c r="E4" s="1223"/>
      <c r="F4" s="1223"/>
      <c r="G4" s="523"/>
    </row>
    <row r="5" spans="1:10" s="520" customFormat="1" ht="19.2">
      <c r="A5" s="119" t="s">
        <v>2</v>
      </c>
      <c r="B5" s="1247" t="s">
        <v>331</v>
      </c>
      <c r="C5" s="523"/>
      <c r="D5" s="537"/>
      <c r="E5" s="1223"/>
      <c r="H5" s="1276" t="s">
        <v>1561</v>
      </c>
      <c r="I5" s="523" t="s">
        <v>1562</v>
      </c>
    </row>
    <row r="6" spans="1:10" s="520" customFormat="1" ht="19.2">
      <c r="A6" s="119" t="s">
        <v>3</v>
      </c>
      <c r="B6" s="1247" t="s">
        <v>1400</v>
      </c>
      <c r="C6" s="523"/>
      <c r="D6" s="537"/>
      <c r="E6" s="1223"/>
      <c r="H6" s="1276" t="s">
        <v>171</v>
      </c>
      <c r="I6" s="523" t="s">
        <v>1563</v>
      </c>
    </row>
    <row r="7" spans="1:10" s="520" customFormat="1" ht="19.2">
      <c r="A7" s="119" t="s">
        <v>4</v>
      </c>
      <c r="B7" s="1247"/>
      <c r="C7" s="523"/>
      <c r="D7" s="537"/>
      <c r="E7" s="1223"/>
      <c r="H7" s="1276" t="s">
        <v>106</v>
      </c>
      <c r="I7" s="1277">
        <f ca="1">TODAY()</f>
        <v>44942</v>
      </c>
    </row>
    <row r="8" spans="1:10" ht="16.8">
      <c r="A8" s="119"/>
      <c r="B8" s="55"/>
    </row>
    <row r="10" spans="1:10">
      <c r="B10" s="1088" t="s">
        <v>1400</v>
      </c>
    </row>
    <row r="11" spans="1:10" ht="16.8">
      <c r="A11" s="2" t="s">
        <v>7</v>
      </c>
      <c r="B11" s="2" t="s">
        <v>8</v>
      </c>
      <c r="C11" s="2" t="s">
        <v>9</v>
      </c>
      <c r="D11" s="2" t="s">
        <v>10</v>
      </c>
      <c r="E11" s="3" t="s">
        <v>11</v>
      </c>
      <c r="F11" s="3" t="s">
        <v>12</v>
      </c>
      <c r="G11" s="3" t="s">
        <v>13</v>
      </c>
      <c r="H11" s="3" t="s">
        <v>14</v>
      </c>
      <c r="I11" s="3" t="s">
        <v>15</v>
      </c>
      <c r="J11" s="1081" t="s">
        <v>16</v>
      </c>
    </row>
    <row r="12" spans="1:10" ht="16.8">
      <c r="A12" s="7">
        <v>1</v>
      </c>
      <c r="B12" s="7" t="s">
        <v>1116</v>
      </c>
      <c r="C12" s="7"/>
      <c r="D12" s="7"/>
      <c r="E12" s="1089"/>
      <c r="F12" s="1089"/>
      <c r="G12" s="1089"/>
      <c r="H12" s="1089"/>
      <c r="I12" s="1089"/>
      <c r="J12" s="1090"/>
    </row>
    <row r="13" spans="1:10" ht="16.8">
      <c r="A13" s="1091"/>
      <c r="B13" s="1092" t="s">
        <v>1401</v>
      </c>
      <c r="C13" s="1091"/>
      <c r="D13" s="1091"/>
      <c r="E13" s="1093">
        <v>10.5</v>
      </c>
      <c r="F13" s="1093"/>
      <c r="G13" s="1093">
        <v>45.86</v>
      </c>
      <c r="H13" s="1093"/>
      <c r="I13" s="1094">
        <f>PI()*E13^2/4</f>
        <v>86.59014751456867</v>
      </c>
      <c r="J13" s="1095">
        <f>I13*G13</f>
        <v>3971.0241650181192</v>
      </c>
    </row>
    <row r="14" spans="1:10" ht="16.8">
      <c r="A14" s="1091"/>
      <c r="B14" s="1092" t="s">
        <v>1402</v>
      </c>
      <c r="C14" s="1091"/>
      <c r="D14" s="1091"/>
      <c r="E14" s="1093">
        <v>9</v>
      </c>
      <c r="F14" s="1093"/>
      <c r="G14" s="1093">
        <v>4.5</v>
      </c>
      <c r="H14" s="1093"/>
      <c r="I14" s="1094">
        <f>PI()*E14^2/4</f>
        <v>63.617251235193308</v>
      </c>
      <c r="J14" s="1095">
        <f>I14*G14</f>
        <v>286.27763055836988</v>
      </c>
    </row>
    <row r="15" spans="1:10" ht="16.8">
      <c r="A15" s="1092"/>
      <c r="B15" s="1092"/>
      <c r="C15" s="1092"/>
      <c r="D15" s="1092"/>
      <c r="E15" s="1092"/>
      <c r="F15" s="1092"/>
      <c r="G15" s="1092"/>
      <c r="H15" s="1092"/>
      <c r="I15" s="1092" t="s">
        <v>20</v>
      </c>
      <c r="J15" s="1096">
        <f>SUM(J13:J14)</f>
        <v>4257.301795576489</v>
      </c>
    </row>
    <row r="16" spans="1:10" ht="16.8">
      <c r="A16" s="1092"/>
      <c r="B16" s="1092"/>
      <c r="C16" s="1092"/>
      <c r="D16" s="1092"/>
      <c r="E16" s="1092"/>
      <c r="F16" s="1092"/>
      <c r="G16" s="1092"/>
      <c r="H16" s="1092"/>
      <c r="I16" s="1092"/>
      <c r="J16" s="1092"/>
    </row>
    <row r="17" spans="1:12" ht="16.8">
      <c r="A17" s="7">
        <f>A12+1</f>
        <v>2</v>
      </c>
      <c r="B17" s="7" t="s">
        <v>959</v>
      </c>
      <c r="C17" s="7" t="s">
        <v>21</v>
      </c>
      <c r="D17" s="7"/>
      <c r="E17" s="1089"/>
      <c r="F17" s="1089"/>
      <c r="G17" s="1089"/>
      <c r="H17" s="1089"/>
      <c r="I17" s="1089"/>
      <c r="J17" s="1090"/>
    </row>
    <row r="18" spans="1:12" ht="16.8">
      <c r="A18" s="1091"/>
      <c r="B18" s="1091" t="s">
        <v>1403</v>
      </c>
      <c r="C18" s="1091"/>
      <c r="D18" s="1091"/>
      <c r="E18" s="1094">
        <v>4</v>
      </c>
      <c r="F18" s="1093"/>
      <c r="G18" s="1093"/>
      <c r="H18" s="1093"/>
      <c r="I18" s="1093">
        <v>18.088999999999999</v>
      </c>
      <c r="J18" s="1094">
        <f>I18*E18</f>
        <v>72.355999999999995</v>
      </c>
    </row>
    <row r="19" spans="1:12" ht="16.8">
      <c r="A19" s="1091"/>
      <c r="B19" s="1092" t="s">
        <v>1404</v>
      </c>
      <c r="C19" s="1091"/>
      <c r="D19" s="1091"/>
      <c r="E19" s="1093">
        <v>4</v>
      </c>
      <c r="F19" s="1093"/>
      <c r="G19" s="1093"/>
      <c r="H19" s="1093"/>
      <c r="I19" s="1094">
        <v>23.234000000000002</v>
      </c>
      <c r="J19" s="1095">
        <f>I19*E19</f>
        <v>92.936000000000007</v>
      </c>
    </row>
    <row r="20" spans="1:12" ht="16.8">
      <c r="A20" s="1091"/>
      <c r="B20" s="1091"/>
      <c r="C20" s="1091"/>
      <c r="D20" s="1091"/>
      <c r="E20" s="1091"/>
      <c r="F20" s="1091"/>
      <c r="G20" s="1091"/>
      <c r="H20" s="1091"/>
      <c r="I20" s="1092" t="s">
        <v>20</v>
      </c>
      <c r="J20" s="1096">
        <f>J18+J19</f>
        <v>165.292</v>
      </c>
    </row>
    <row r="21" spans="1:12" ht="16.8">
      <c r="A21" s="7">
        <f>A17+1</f>
        <v>3</v>
      </c>
      <c r="B21" s="7" t="s">
        <v>29</v>
      </c>
      <c r="C21" s="7" t="s">
        <v>21</v>
      </c>
      <c r="D21" s="7"/>
      <c r="E21" s="1089"/>
      <c r="F21" s="1089"/>
      <c r="G21" s="1089"/>
      <c r="H21" s="1089"/>
      <c r="I21" s="1089"/>
      <c r="J21" s="1097"/>
    </row>
    <row r="22" spans="1:12" ht="16.8">
      <c r="A22" s="1091"/>
      <c r="B22" s="1091" t="s">
        <v>1552</v>
      </c>
      <c r="C22" s="1091"/>
      <c r="D22" s="1092">
        <v>1</v>
      </c>
      <c r="E22" s="1091">
        <v>8</v>
      </c>
      <c r="F22" s="1091"/>
      <c r="G22" s="1091">
        <v>0.5</v>
      </c>
      <c r="H22" s="1091"/>
      <c r="I22" s="1092">
        <f>0.5*((4/3)*PI()*(0.5*(E22+G22))^3-(4/3)*PI()*(0.5*(E22))^3)</f>
        <v>26.736262478988124</v>
      </c>
      <c r="J22" s="1092">
        <f>D22*G22*I22</f>
        <v>13.368131239494062</v>
      </c>
    </row>
    <row r="23" spans="1:12" ht="16.8">
      <c r="A23" s="1091"/>
      <c r="B23" s="1091" t="s">
        <v>1405</v>
      </c>
      <c r="C23" s="1091"/>
      <c r="D23" s="1092">
        <v>1</v>
      </c>
      <c r="E23" s="1091">
        <f>8+F23</f>
        <v>8.5</v>
      </c>
      <c r="F23" s="1091">
        <v>0.5</v>
      </c>
      <c r="G23" s="1098">
        <v>14.7</v>
      </c>
      <c r="H23" s="1092">
        <f>PI()*E23</f>
        <v>26.703537555513243</v>
      </c>
      <c r="I23" s="1092">
        <f>H23*F23</f>
        <v>13.351768777756622</v>
      </c>
      <c r="J23" s="1092">
        <f>G23*I23</f>
        <v>196.27100103302232</v>
      </c>
    </row>
    <row r="24" spans="1:12" ht="16.8">
      <c r="A24" s="1091"/>
      <c r="B24" s="1091" t="s">
        <v>1406</v>
      </c>
      <c r="C24" s="1091"/>
      <c r="D24" s="1091">
        <v>1</v>
      </c>
      <c r="E24" s="1091">
        <f t="shared" ref="E24:E25" si="0">8+F24</f>
        <v>9</v>
      </c>
      <c r="F24" s="1091">
        <v>1</v>
      </c>
      <c r="G24" s="1098">
        <v>15</v>
      </c>
      <c r="H24" s="1092">
        <f>PI()*E24</f>
        <v>28.274333882308138</v>
      </c>
      <c r="I24" s="1092">
        <f t="shared" ref="I24:I25" si="1">H24*F24</f>
        <v>28.274333882308138</v>
      </c>
      <c r="J24" s="1092">
        <f>I24*G24</f>
        <v>424.11500823462205</v>
      </c>
    </row>
    <row r="25" spans="1:12" ht="16.8">
      <c r="A25" s="1091"/>
      <c r="B25" s="1091" t="s">
        <v>1407</v>
      </c>
      <c r="C25" s="1091"/>
      <c r="D25" s="1091">
        <v>1</v>
      </c>
      <c r="E25" s="1091">
        <f t="shared" si="0"/>
        <v>9.5</v>
      </c>
      <c r="F25" s="1091">
        <v>1.5</v>
      </c>
      <c r="G25" s="1098">
        <v>11.5</v>
      </c>
      <c r="H25" s="1092">
        <f>PI()*E25</f>
        <v>29.845130209103033</v>
      </c>
      <c r="I25" s="1092">
        <f t="shared" si="1"/>
        <v>44.767695313654549</v>
      </c>
      <c r="J25" s="1092">
        <f>I25*G25</f>
        <v>514.82849610702726</v>
      </c>
    </row>
    <row r="26" spans="1:12" ht="16.8">
      <c r="A26" s="1091"/>
      <c r="B26" s="1091" t="s">
        <v>392</v>
      </c>
      <c r="C26" s="1091"/>
      <c r="D26" s="1091">
        <v>1</v>
      </c>
      <c r="E26" s="1099">
        <v>11</v>
      </c>
      <c r="F26" s="1091"/>
      <c r="G26" s="1098"/>
      <c r="H26" s="1091"/>
      <c r="I26" s="1092">
        <v>22.32</v>
      </c>
      <c r="J26" s="1092">
        <f>I26*E26*D26</f>
        <v>245.52</v>
      </c>
    </row>
    <row r="27" spans="1:12" ht="16.8">
      <c r="A27" s="1091"/>
      <c r="B27" s="1092" t="s">
        <v>1408</v>
      </c>
      <c r="C27" s="1091"/>
      <c r="D27" s="1091">
        <v>1</v>
      </c>
      <c r="E27" s="1099">
        <v>3</v>
      </c>
      <c r="F27" s="1091"/>
      <c r="G27" s="1098"/>
      <c r="H27" s="1091"/>
      <c r="I27" s="1100">
        <v>17.434000000000001</v>
      </c>
      <c r="J27" s="1092">
        <f>I27*E27*D27</f>
        <v>52.302000000000007</v>
      </c>
    </row>
    <row r="28" spans="1:12" ht="16.8">
      <c r="A28" s="1091"/>
      <c r="B28" s="1092" t="s">
        <v>1409</v>
      </c>
      <c r="C28" s="1091"/>
      <c r="D28" s="1091">
        <v>9</v>
      </c>
      <c r="E28" s="1099">
        <v>3</v>
      </c>
      <c r="F28" s="1091"/>
      <c r="G28" s="1098"/>
      <c r="H28" s="1091"/>
      <c r="I28" s="1100">
        <v>0.7</v>
      </c>
      <c r="J28" s="1092">
        <f>I28*E28*D28</f>
        <v>18.899999999999999</v>
      </c>
    </row>
    <row r="29" spans="1:12" ht="16.8">
      <c r="A29" s="1091"/>
      <c r="B29" s="1092"/>
      <c r="C29" s="1091"/>
      <c r="D29" s="1091"/>
      <c r="E29" s="1099"/>
      <c r="F29" s="1091"/>
      <c r="G29" s="1098"/>
      <c r="H29" s="1091"/>
      <c r="I29" s="1092" t="s">
        <v>20</v>
      </c>
      <c r="J29" s="1101">
        <f>SUM(J22:J28)</f>
        <v>1465.3046366141657</v>
      </c>
    </row>
    <row r="30" spans="1:12" ht="16.8">
      <c r="A30" s="1091">
        <v>4</v>
      </c>
      <c r="B30" s="1092" t="s">
        <v>347</v>
      </c>
      <c r="C30" s="1091"/>
      <c r="D30" s="1091"/>
      <c r="E30" s="1099"/>
      <c r="F30" s="1091"/>
      <c r="G30" s="1098"/>
      <c r="H30" s="1091"/>
      <c r="I30" s="1100"/>
      <c r="J30" s="1092"/>
      <c r="L30" s="1088">
        <f>PI()*(10.5*G13+9*G14)</f>
        <v>1640.0056129534796</v>
      </c>
    </row>
    <row r="31" spans="1:12" ht="16.8">
      <c r="A31" s="1091"/>
      <c r="B31" s="1002"/>
      <c r="C31" s="1091"/>
      <c r="D31" s="1091">
        <v>1</v>
      </c>
      <c r="E31" s="1099"/>
      <c r="G31" s="1091"/>
      <c r="H31" s="1092">
        <f>PI()*(10.5*G13+9*G14)</f>
        <v>1640.0056129534796</v>
      </c>
      <c r="J31" s="1101">
        <f>H31</f>
        <v>1640.0056129534796</v>
      </c>
    </row>
    <row r="32" spans="1:12" ht="16.8">
      <c r="A32" s="7"/>
      <c r="B32" s="7" t="s">
        <v>101</v>
      </c>
      <c r="C32" s="7" t="s">
        <v>19</v>
      </c>
      <c r="D32" s="7"/>
      <c r="E32" s="1089"/>
      <c r="F32" s="1102"/>
      <c r="G32" s="1089"/>
      <c r="H32" s="1089"/>
      <c r="I32" s="1089"/>
      <c r="J32" s="1089"/>
    </row>
    <row r="33" spans="1:11" ht="16.8">
      <c r="A33" s="1091"/>
      <c r="B33" s="1002"/>
      <c r="C33" s="1091"/>
      <c r="D33" s="1091"/>
      <c r="E33" s="1099"/>
      <c r="F33" s="1099"/>
      <c r="G33" s="1091"/>
      <c r="H33" s="1091"/>
      <c r="I33" s="1092" t="s">
        <v>20</v>
      </c>
      <c r="J33" s="1101">
        <f>K33</f>
        <v>1758.3655639369988</v>
      </c>
      <c r="K33" s="1088">
        <f>J29*1.2</f>
        <v>1758.3655639369988</v>
      </c>
    </row>
    <row r="34" spans="1:11" ht="16.8">
      <c r="A34" s="7">
        <f>A21+1</f>
        <v>4</v>
      </c>
      <c r="B34" s="7" t="s">
        <v>38</v>
      </c>
      <c r="C34" s="7" t="s">
        <v>25</v>
      </c>
      <c r="D34" s="7"/>
      <c r="E34" s="1089"/>
      <c r="F34" s="1102"/>
      <c r="G34" s="1089"/>
      <c r="H34" s="1089"/>
      <c r="I34" s="1089"/>
      <c r="J34" s="1089"/>
    </row>
    <row r="35" spans="1:11" ht="16.8">
      <c r="A35" s="1103"/>
      <c r="B35" s="1103" t="s">
        <v>1410</v>
      </c>
      <c r="C35" s="1103"/>
      <c r="D35" s="1103"/>
      <c r="E35" s="1103"/>
      <c r="F35" s="1103"/>
      <c r="G35" s="1103"/>
      <c r="H35" s="1103"/>
      <c r="I35" s="1103"/>
      <c r="J35" s="1092">
        <f>0.01*J31*10</f>
        <v>164.00056129534795</v>
      </c>
    </row>
    <row r="36" spans="1:11" ht="16.8">
      <c r="A36" s="1103"/>
      <c r="B36" s="1103"/>
      <c r="C36" s="1103"/>
      <c r="D36" s="1103"/>
      <c r="E36" s="1103"/>
      <c r="F36" s="1103"/>
      <c r="G36" s="1103"/>
      <c r="H36" s="1103"/>
      <c r="I36" s="1092" t="s">
        <v>20</v>
      </c>
      <c r="J36" s="1101">
        <f>J35</f>
        <v>164.00056129534795</v>
      </c>
    </row>
    <row r="37" spans="1:11" ht="16.8">
      <c r="A37" s="7">
        <v>5</v>
      </c>
      <c r="B37" s="7" t="s">
        <v>1411</v>
      </c>
      <c r="C37" s="7"/>
      <c r="D37" s="7"/>
      <c r="E37" s="1089"/>
      <c r="F37" s="1102"/>
      <c r="G37" s="1089"/>
      <c r="H37" s="1089"/>
      <c r="I37" s="1089"/>
      <c r="J37" s="1089"/>
    </row>
    <row r="38" spans="1:11" ht="16.8">
      <c r="A38" s="12"/>
      <c r="B38" s="1104" t="s">
        <v>1412</v>
      </c>
      <c r="C38" s="12"/>
      <c r="D38" s="12"/>
      <c r="E38" s="1105">
        <v>8</v>
      </c>
      <c r="F38" s="1105"/>
      <c r="G38" s="1105">
        <f>G14</f>
        <v>4.5</v>
      </c>
      <c r="H38" s="1105"/>
      <c r="I38" s="1105">
        <f>PI()*E38</f>
        <v>25.132741228718345</v>
      </c>
      <c r="J38" s="1106">
        <f>ROUND((I38/1.5)*(G38/1.5),0)</f>
        <v>50</v>
      </c>
    </row>
    <row r="39" spans="1:11" ht="16.8">
      <c r="A39" s="12"/>
      <c r="B39" s="1104" t="s">
        <v>1412</v>
      </c>
      <c r="C39" s="12"/>
      <c r="D39" s="12"/>
      <c r="E39" s="1105">
        <v>10</v>
      </c>
      <c r="G39" s="1105">
        <f>G13</f>
        <v>45.86</v>
      </c>
      <c r="I39" s="1094">
        <f>PI()*E39</f>
        <v>31.415926535897931</v>
      </c>
      <c r="J39" s="1106">
        <f>ROUND((I39/1.5)*G39/1.5,0)</f>
        <v>640</v>
      </c>
    </row>
    <row r="40" spans="1:11" ht="16.8">
      <c r="A40" s="12"/>
      <c r="B40" s="1105"/>
      <c r="C40" s="12"/>
      <c r="D40" s="12"/>
      <c r="E40" s="1105"/>
      <c r="F40" s="1105"/>
      <c r="G40" s="1105"/>
      <c r="H40" s="1105"/>
      <c r="I40" s="1092" t="s">
        <v>20</v>
      </c>
      <c r="J40" s="1107">
        <f>SUM(J38:J39)</f>
        <v>690</v>
      </c>
    </row>
    <row r="41" spans="1:11" ht="16.8">
      <c r="A41" s="7">
        <v>6</v>
      </c>
      <c r="B41" s="7" t="s">
        <v>1413</v>
      </c>
      <c r="C41" s="7" t="s">
        <v>21</v>
      </c>
      <c r="D41" s="7"/>
      <c r="E41" s="1089"/>
      <c r="F41" s="1102"/>
      <c r="G41" s="1089"/>
      <c r="H41" s="1089"/>
      <c r="I41" s="1089"/>
      <c r="J41" s="1089"/>
    </row>
    <row r="42" spans="1:11" ht="16.8">
      <c r="A42" s="1070"/>
      <c r="B42" s="1104" t="s">
        <v>1414</v>
      </c>
      <c r="C42" s="1104"/>
      <c r="D42" s="1070">
        <v>1</v>
      </c>
      <c r="E42" s="1070">
        <v>4</v>
      </c>
      <c r="F42" s="1070"/>
      <c r="G42" s="1070"/>
      <c r="H42" s="1070"/>
      <c r="I42" s="1070">
        <v>12.887</v>
      </c>
      <c r="J42" s="1070">
        <f>I42*E42*D42</f>
        <v>51.548000000000002</v>
      </c>
    </row>
    <row r="43" spans="1:11" ht="16.8">
      <c r="A43" s="1070"/>
      <c r="B43" s="1070"/>
      <c r="C43" s="1070"/>
      <c r="D43" s="1070"/>
      <c r="E43" s="1070"/>
      <c r="F43" s="1070"/>
      <c r="G43" s="1070"/>
      <c r="H43" s="1070"/>
      <c r="I43" s="1070" t="s">
        <v>20</v>
      </c>
      <c r="J43" s="1101">
        <f>J42</f>
        <v>51.548000000000002</v>
      </c>
    </row>
  </sheetData>
  <printOptions horizontalCentered="1"/>
  <pageMargins left="0.7" right="0.7" top="0.71" bottom="0.59" header="0.3" footer="0.16"/>
  <pageSetup paperSize="9" scale="72" fitToHeight="1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4">
    <tabColor rgb="FFFFFF00"/>
    <pageSetUpPr fitToPage="1"/>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1579</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007"/>
      <c r="K11" s="1008"/>
    </row>
    <row r="12" spans="1:16">
      <c r="A12" s="10"/>
      <c r="B12" s="345" t="s">
        <v>623</v>
      </c>
      <c r="C12" s="12"/>
      <c r="D12" s="45">
        <v>1</v>
      </c>
      <c r="E12" s="945"/>
      <c r="F12" s="945"/>
      <c r="G12" s="825"/>
      <c r="H12" s="825">
        <v>500</v>
      </c>
      <c r="J12" s="825">
        <f>ROUND(D12*H12,2)</f>
        <v>500</v>
      </c>
      <c r="K12" s="24"/>
    </row>
    <row r="13" spans="1:16">
      <c r="A13" s="10"/>
      <c r="B13" s="14"/>
      <c r="C13" s="12"/>
      <c r="D13" s="12"/>
      <c r="E13" s="825"/>
      <c r="F13" s="825"/>
      <c r="G13" s="825"/>
      <c r="H13" s="825"/>
      <c r="I13" s="1010" t="s">
        <v>20</v>
      </c>
      <c r="J13" s="1010">
        <f>SUM(J12:J12)</f>
        <v>500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2</v>
      </c>
      <c r="E15" s="825"/>
      <c r="F15" s="825">
        <v>12</v>
      </c>
      <c r="G15" s="825"/>
      <c r="H15" s="825">
        <v>67</v>
      </c>
      <c r="I15" s="825"/>
      <c r="J15" s="825">
        <f>H15*F15*D15</f>
        <v>1608</v>
      </c>
      <c r="K15" s="24"/>
    </row>
    <row r="16" spans="1:16">
      <c r="A16" s="10"/>
      <c r="B16" s="345"/>
      <c r="C16" s="12"/>
      <c r="D16" s="45"/>
      <c r="E16" s="14"/>
      <c r="F16" s="14"/>
      <c r="G16" s="14"/>
      <c r="H16" s="14"/>
      <c r="I16" s="1010" t="s">
        <v>20</v>
      </c>
      <c r="J16" s="1010">
        <f>SUM(J15)</f>
        <v>1608</v>
      </c>
      <c r="K16" s="1012"/>
    </row>
    <row r="17" spans="1:15" s="1009" customFormat="1" ht="33.6">
      <c r="A17" s="1005">
        <v>3</v>
      </c>
      <c r="B17" s="1013" t="s">
        <v>2560</v>
      </c>
      <c r="C17" s="776" t="s">
        <v>307</v>
      </c>
      <c r="D17" s="776"/>
      <c r="E17" s="1006"/>
      <c r="F17" s="1006"/>
      <c r="G17" s="1006"/>
      <c r="H17" s="1006"/>
      <c r="I17" s="1006"/>
      <c r="J17" s="1007"/>
      <c r="K17" s="1008"/>
    </row>
    <row r="18" spans="1:15" ht="17.399999999999999">
      <c r="A18" s="10"/>
      <c r="B18" s="14"/>
      <c r="C18" s="12"/>
      <c r="D18" s="12"/>
      <c r="E18" s="825" t="s">
        <v>1342</v>
      </c>
      <c r="F18" s="825"/>
      <c r="G18" s="825"/>
      <c r="H18" s="825"/>
      <c r="I18" s="825"/>
      <c r="J18" s="1014"/>
      <c r="K18" s="477"/>
    </row>
    <row r="19" spans="1:15">
      <c r="A19" s="10"/>
      <c r="B19" s="345" t="s">
        <v>1517</v>
      </c>
      <c r="C19" s="12"/>
      <c r="D19" s="12">
        <v>2</v>
      </c>
      <c r="E19" s="825">
        <f>1.5*1.5</f>
        <v>2.25</v>
      </c>
      <c r="F19" s="825"/>
      <c r="G19" s="825"/>
      <c r="H19" s="825">
        <f>18*F15</f>
        <v>216</v>
      </c>
      <c r="I19" s="825"/>
      <c r="J19" s="969">
        <f>H19/E19*D19</f>
        <v>192</v>
      </c>
      <c r="K19" s="477"/>
    </row>
    <row r="20" spans="1:15">
      <c r="A20" s="10"/>
      <c r="B20" s="14"/>
      <c r="C20" s="12"/>
      <c r="D20" s="12"/>
      <c r="E20" s="825"/>
      <c r="F20" s="825"/>
      <c r="G20" s="825"/>
      <c r="H20" s="825"/>
      <c r="I20" s="1010" t="s">
        <v>20</v>
      </c>
      <c r="J20" s="1010">
        <f>ROUNDUP(SUM(J19:J19),0)</f>
        <v>192</v>
      </c>
      <c r="K20" s="477"/>
    </row>
    <row r="21" spans="1:15" s="1009" customFormat="1">
      <c r="A21" s="1005">
        <v>4</v>
      </c>
      <c r="B21" s="25" t="s">
        <v>2582</v>
      </c>
      <c r="C21" s="776" t="s">
        <v>21</v>
      </c>
      <c r="D21" s="776"/>
      <c r="E21" s="1006"/>
      <c r="F21" s="1006"/>
      <c r="G21" s="1006"/>
      <c r="H21" s="1006"/>
      <c r="I21" s="1006"/>
      <c r="J21" s="1007"/>
      <c r="K21" s="1008"/>
    </row>
    <row r="22" spans="1:15">
      <c r="A22" s="10"/>
      <c r="B22" s="14" t="s">
        <v>808</v>
      </c>
      <c r="C22" s="12"/>
      <c r="D22" s="12"/>
      <c r="E22" s="825"/>
      <c r="F22" s="825"/>
      <c r="G22" s="825"/>
      <c r="H22" s="825"/>
      <c r="I22" s="825"/>
      <c r="J22" s="825"/>
      <c r="K22" s="24"/>
    </row>
    <row r="23" spans="1:15">
      <c r="A23" s="10"/>
      <c r="B23" s="345" t="s">
        <v>2583</v>
      </c>
      <c r="C23" s="12"/>
      <c r="D23" s="12">
        <f>D19</f>
        <v>2</v>
      </c>
      <c r="E23" s="825"/>
      <c r="F23" s="825"/>
      <c r="G23" s="825"/>
      <c r="H23" s="825">
        <f>H19</f>
        <v>216</v>
      </c>
      <c r="I23" s="825"/>
      <c r="J23" s="825">
        <f>H23*D23</f>
        <v>432</v>
      </c>
      <c r="K23" s="477"/>
      <c r="O23" s="4">
        <f>5.83*2</f>
        <v>11.66</v>
      </c>
    </row>
    <row r="24" spans="1:15">
      <c r="A24" s="10"/>
      <c r="B24" s="137"/>
      <c r="C24" s="12"/>
      <c r="D24" s="12"/>
      <c r="E24" s="825"/>
      <c r="F24" s="825"/>
      <c r="G24" s="825"/>
      <c r="H24" s="825"/>
      <c r="I24" s="1010" t="s">
        <v>20</v>
      </c>
      <c r="J24" s="1010">
        <f>SUM(J23:J23)</f>
        <v>432</v>
      </c>
      <c r="K24" s="24"/>
      <c r="L24" s="4">
        <v>11.1</v>
      </c>
    </row>
    <row r="25" spans="1:15">
      <c r="A25" s="5"/>
      <c r="B25" s="6"/>
      <c r="C25" s="7"/>
      <c r="D25" s="7"/>
      <c r="E25" s="912"/>
      <c r="F25" s="912"/>
      <c r="G25" s="912"/>
      <c r="H25" s="912"/>
      <c r="I25" s="912"/>
      <c r="J25" s="939"/>
      <c r="K25" s="475"/>
    </row>
    <row r="26" spans="1:15" s="1009" customFormat="1">
      <c r="A26" s="1005">
        <v>5</v>
      </c>
      <c r="B26" s="25" t="s">
        <v>1344</v>
      </c>
      <c r="C26" s="776" t="s">
        <v>1345</v>
      </c>
      <c r="D26" s="776"/>
      <c r="E26" s="1006"/>
      <c r="F26" s="1006"/>
      <c r="G26" s="1006"/>
      <c r="H26" s="1006"/>
      <c r="I26" s="1006"/>
      <c r="J26" s="1007"/>
      <c r="K26" s="1008"/>
    </row>
    <row r="27" spans="1:15">
      <c r="A27" s="14"/>
      <c r="B27" s="14"/>
      <c r="C27" s="12"/>
      <c r="D27" s="12">
        <v>2</v>
      </c>
      <c r="E27" s="825"/>
      <c r="F27" s="825"/>
      <c r="G27" s="825"/>
      <c r="H27" s="825">
        <f>H23</f>
        <v>216</v>
      </c>
      <c r="I27" s="825"/>
      <c r="J27" s="825">
        <f>H27*D27</f>
        <v>432</v>
      </c>
      <c r="K27" s="1015"/>
    </row>
    <row r="28" spans="1:15">
      <c r="A28" s="14"/>
      <c r="B28" s="14"/>
      <c r="C28" s="12"/>
      <c r="D28" s="12"/>
      <c r="E28" s="825"/>
      <c r="F28" s="825"/>
      <c r="G28" s="825"/>
      <c r="H28" s="825"/>
      <c r="I28" s="1010" t="s">
        <v>20</v>
      </c>
      <c r="J28" s="825">
        <f>J27</f>
        <v>432</v>
      </c>
      <c r="K28" s="1015"/>
    </row>
    <row r="29" spans="1:15">
      <c r="A29" s="5">
        <v>6</v>
      </c>
      <c r="B29" s="6" t="s">
        <v>1191</v>
      </c>
      <c r="C29" s="7" t="s">
        <v>307</v>
      </c>
      <c r="D29" s="7"/>
      <c r="E29" s="912"/>
      <c r="F29" s="912"/>
      <c r="G29" s="912"/>
      <c r="H29" s="912"/>
      <c r="I29" s="912"/>
      <c r="J29" s="939"/>
      <c r="K29" s="475"/>
      <c r="O29" s="4">
        <f>1.5*2</f>
        <v>3</v>
      </c>
    </row>
    <row r="30" spans="1:15">
      <c r="A30" s="14"/>
      <c r="B30" s="14"/>
      <c r="C30" s="12"/>
      <c r="D30" s="12"/>
      <c r="E30" s="825" t="str">
        <f>E18</f>
        <v>no per m2</v>
      </c>
      <c r="F30" s="825"/>
      <c r="G30" s="825"/>
      <c r="H30" s="825"/>
      <c r="I30" s="825"/>
      <c r="J30" s="825"/>
      <c r="K30" s="1015"/>
    </row>
    <row r="31" spans="1:15">
      <c r="A31" s="14"/>
      <c r="B31" s="14"/>
      <c r="C31" s="12"/>
      <c r="D31" s="12">
        <v>2</v>
      </c>
      <c r="E31" s="825">
        <v>3</v>
      </c>
      <c r="F31" s="825"/>
      <c r="G31" s="825"/>
      <c r="H31" s="825">
        <f>H19</f>
        <v>216</v>
      </c>
      <c r="I31" s="825"/>
      <c r="J31" s="825">
        <f>H31/E31*D31</f>
        <v>144</v>
      </c>
      <c r="K31" s="1015"/>
    </row>
    <row r="32" spans="1:15">
      <c r="A32" s="14"/>
      <c r="B32" s="14"/>
      <c r="C32" s="12"/>
      <c r="D32" s="12"/>
      <c r="E32" s="825"/>
      <c r="F32" s="825"/>
      <c r="G32" s="825"/>
      <c r="H32" s="825"/>
      <c r="I32" s="825" t="s">
        <v>20</v>
      </c>
      <c r="J32" s="825">
        <f>CEILING(J31,1)</f>
        <v>144</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63" fitToHeight="10"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9">
    <tabColor rgb="FFFFFF00"/>
    <pageSetUpPr fitToPage="1"/>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1579</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007"/>
      <c r="K11" s="1008"/>
    </row>
    <row r="12" spans="1:16">
      <c r="A12" s="10"/>
      <c r="B12" s="345" t="s">
        <v>1516</v>
      </c>
      <c r="C12" s="12"/>
      <c r="D12" s="45">
        <v>1</v>
      </c>
      <c r="E12" s="945"/>
      <c r="F12" s="945"/>
      <c r="G12" s="825"/>
      <c r="H12" s="825">
        <v>500</v>
      </c>
      <c r="J12" s="825">
        <f>ROUND(D12*H12,2)</f>
        <v>500</v>
      </c>
      <c r="K12" s="24"/>
    </row>
    <row r="13" spans="1:16">
      <c r="A13" s="10"/>
      <c r="B13" s="14"/>
      <c r="C13" s="12"/>
      <c r="D13" s="12"/>
      <c r="E13" s="825"/>
      <c r="F13" s="825"/>
      <c r="G13" s="825"/>
      <c r="H13" s="825"/>
      <c r="I13" s="1010" t="s">
        <v>20</v>
      </c>
      <c r="J13" s="1010">
        <f>SUM(J12:J12)</f>
        <v>500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1</v>
      </c>
      <c r="E15" s="825"/>
      <c r="F15" s="825">
        <v>12</v>
      </c>
      <c r="G15" s="825"/>
      <c r="H15" s="825">
        <v>220</v>
      </c>
      <c r="I15" s="825"/>
      <c r="J15" s="825">
        <f>H15*F15</f>
        <v>2640</v>
      </c>
      <c r="K15" s="24"/>
    </row>
    <row r="16" spans="1:16">
      <c r="A16" s="10"/>
      <c r="B16" s="345"/>
      <c r="C16" s="12"/>
      <c r="D16" s="45"/>
      <c r="E16" s="14"/>
      <c r="F16" s="14"/>
      <c r="G16" s="14"/>
      <c r="H16" s="14"/>
      <c r="I16" s="1010" t="s">
        <v>20</v>
      </c>
      <c r="J16" s="1010">
        <f>SUM(J15)</f>
        <v>2640</v>
      </c>
      <c r="K16" s="1012"/>
    </row>
    <row r="17" spans="1:15" s="1009" customFormat="1" ht="33.6">
      <c r="A17" s="1005">
        <v>3</v>
      </c>
      <c r="B17" s="1013" t="s">
        <v>2560</v>
      </c>
      <c r="C17" s="776" t="s">
        <v>307</v>
      </c>
      <c r="D17" s="776"/>
      <c r="E17" s="1006"/>
      <c r="F17" s="1006"/>
      <c r="G17" s="1006"/>
      <c r="H17" s="1006"/>
      <c r="I17" s="1006"/>
      <c r="J17" s="1007"/>
      <c r="K17" s="1008"/>
    </row>
    <row r="18" spans="1:15" ht="17.399999999999999">
      <c r="A18" s="10"/>
      <c r="B18" s="14"/>
      <c r="C18" s="12"/>
      <c r="D18" s="12"/>
      <c r="E18" s="825" t="s">
        <v>1342</v>
      </c>
      <c r="F18" s="825"/>
      <c r="G18" s="825"/>
      <c r="H18" s="825"/>
      <c r="I18" s="825"/>
      <c r="J18" s="1014"/>
      <c r="K18" s="477"/>
    </row>
    <row r="19" spans="1:15">
      <c r="A19" s="10"/>
      <c r="B19" s="345" t="s">
        <v>1517</v>
      </c>
      <c r="C19" s="12"/>
      <c r="D19" s="12">
        <v>1</v>
      </c>
      <c r="E19" s="825">
        <f>1.5*1.5</f>
        <v>2.25</v>
      </c>
      <c r="F19" s="825"/>
      <c r="G19" s="825"/>
      <c r="H19" s="825">
        <f>F15*26</f>
        <v>312</v>
      </c>
      <c r="I19" s="825"/>
      <c r="J19" s="969">
        <f>H19/E19</f>
        <v>138.66666666666666</v>
      </c>
      <c r="K19" s="477"/>
    </row>
    <row r="20" spans="1:15">
      <c r="A20" s="10"/>
      <c r="B20" s="14"/>
      <c r="C20" s="12"/>
      <c r="D20" s="12"/>
      <c r="E20" s="825"/>
      <c r="F20" s="825"/>
      <c r="G20" s="825"/>
      <c r="H20" s="825"/>
      <c r="I20" s="1010" t="s">
        <v>20</v>
      </c>
      <c r="J20" s="1010">
        <f>ROUNDUP(SUM(J19:J19),0)</f>
        <v>139</v>
      </c>
      <c r="K20" s="477"/>
    </row>
    <row r="21" spans="1:15" s="1009" customFormat="1">
      <c r="A21" s="1005">
        <v>4</v>
      </c>
      <c r="B21" s="25" t="s">
        <v>2767</v>
      </c>
      <c r="C21" s="776" t="s">
        <v>21</v>
      </c>
      <c r="D21" s="776"/>
      <c r="E21" s="1006"/>
      <c r="F21" s="1006"/>
      <c r="G21" s="1006"/>
      <c r="H21" s="1006"/>
      <c r="I21" s="1006"/>
      <c r="J21" s="1007"/>
      <c r="K21" s="1008"/>
    </row>
    <row r="22" spans="1:15">
      <c r="A22" s="10"/>
      <c r="B22" s="14" t="s">
        <v>808</v>
      </c>
      <c r="C22" s="12"/>
      <c r="D22" s="12"/>
      <c r="E22" s="825"/>
      <c r="F22" s="825"/>
      <c r="G22" s="825"/>
      <c r="H22" s="825"/>
      <c r="I22" s="825"/>
      <c r="J22" s="825"/>
      <c r="K22" s="24"/>
    </row>
    <row r="23" spans="1:15">
      <c r="A23" s="10"/>
      <c r="B23" s="345" t="s">
        <v>2561</v>
      </c>
      <c r="C23" s="12"/>
      <c r="D23" s="12">
        <f>D19</f>
        <v>1</v>
      </c>
      <c r="E23" s="825"/>
      <c r="F23" s="825"/>
      <c r="G23" s="825"/>
      <c r="H23" s="825">
        <f>H19</f>
        <v>312</v>
      </c>
      <c r="I23" s="825"/>
      <c r="J23" s="825">
        <f>H23</f>
        <v>312</v>
      </c>
      <c r="K23" s="477"/>
      <c r="O23" s="4">
        <f>5.83*2</f>
        <v>11.66</v>
      </c>
    </row>
    <row r="24" spans="1:15">
      <c r="A24" s="10"/>
      <c r="B24" s="137"/>
      <c r="C24" s="12"/>
      <c r="D24" s="12"/>
      <c r="E24" s="825"/>
      <c r="F24" s="825"/>
      <c r="G24" s="825"/>
      <c r="H24" s="825"/>
      <c r="I24" s="1010" t="s">
        <v>20</v>
      </c>
      <c r="J24" s="1010">
        <f>SUM(J23:J23)</f>
        <v>312</v>
      </c>
      <c r="K24" s="24"/>
      <c r="L24" s="4">
        <v>11.1</v>
      </c>
    </row>
    <row r="25" spans="1:15">
      <c r="A25" s="5"/>
      <c r="B25" s="6"/>
      <c r="C25" s="7"/>
      <c r="D25" s="7"/>
      <c r="E25" s="912"/>
      <c r="F25" s="912"/>
      <c r="G25" s="912"/>
      <c r="H25" s="912"/>
      <c r="I25" s="912"/>
      <c r="J25" s="939"/>
      <c r="K25" s="475"/>
    </row>
    <row r="26" spans="1:15" s="1009" customFormat="1">
      <c r="A26" s="1005">
        <v>5</v>
      </c>
      <c r="B26" s="25" t="s">
        <v>1344</v>
      </c>
      <c r="C26" s="776" t="s">
        <v>1345</v>
      </c>
      <c r="D26" s="776"/>
      <c r="E26" s="1006"/>
      <c r="F26" s="1006"/>
      <c r="G26" s="1006"/>
      <c r="H26" s="1006"/>
      <c r="I26" s="1006"/>
      <c r="J26" s="1007"/>
      <c r="K26" s="1008"/>
    </row>
    <row r="27" spans="1:15">
      <c r="A27" s="14"/>
      <c r="B27" s="14"/>
      <c r="C27" s="12"/>
      <c r="D27" s="12">
        <v>1</v>
      </c>
      <c r="E27" s="825"/>
      <c r="F27" s="825"/>
      <c r="G27" s="825"/>
      <c r="H27" s="825">
        <f>H23</f>
        <v>312</v>
      </c>
      <c r="I27" s="825"/>
      <c r="J27" s="825">
        <f>H27*D27</f>
        <v>312</v>
      </c>
      <c r="K27" s="1015"/>
    </row>
    <row r="28" spans="1:15">
      <c r="A28" s="14"/>
      <c r="B28" s="14"/>
      <c r="C28" s="12"/>
      <c r="D28" s="12"/>
      <c r="E28" s="825"/>
      <c r="F28" s="825"/>
      <c r="G28" s="825"/>
      <c r="H28" s="825"/>
      <c r="I28" s="1010" t="s">
        <v>20</v>
      </c>
      <c r="J28" s="825">
        <f>J27</f>
        <v>312</v>
      </c>
      <c r="K28" s="1015"/>
    </row>
    <row r="29" spans="1:15">
      <c r="A29" s="5">
        <v>6</v>
      </c>
      <c r="B29" s="6" t="s">
        <v>1191</v>
      </c>
      <c r="C29" s="7" t="s">
        <v>307</v>
      </c>
      <c r="D29" s="7"/>
      <c r="E29" s="912"/>
      <c r="F29" s="912"/>
      <c r="G29" s="912"/>
      <c r="H29" s="912"/>
      <c r="I29" s="912"/>
      <c r="J29" s="939"/>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312</v>
      </c>
      <c r="I31" s="825"/>
      <c r="J31" s="825">
        <f>H31/E31</f>
        <v>104</v>
      </c>
      <c r="K31" s="1015"/>
    </row>
    <row r="32" spans="1:15">
      <c r="A32" s="14"/>
      <c r="B32" s="14"/>
      <c r="C32" s="12"/>
      <c r="D32" s="12"/>
      <c r="E32" s="825"/>
      <c r="F32" s="825"/>
      <c r="G32" s="825"/>
      <c r="H32" s="825"/>
      <c r="I32" s="825" t="s">
        <v>20</v>
      </c>
      <c r="J32" s="825">
        <f>CEILING(J31,1)</f>
        <v>104</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63" fitToHeight="10"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pageSetUpPr fitToPage="1"/>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1579</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007"/>
      <c r="K11" s="1008"/>
    </row>
    <row r="12" spans="1:16">
      <c r="A12" s="10"/>
      <c r="B12" s="345" t="s">
        <v>1516</v>
      </c>
      <c r="C12" s="12"/>
      <c r="D12" s="45">
        <v>1</v>
      </c>
      <c r="E12" s="945"/>
      <c r="F12" s="945"/>
      <c r="G12" s="825"/>
      <c r="H12" s="825">
        <v>500</v>
      </c>
      <c r="J12" s="825">
        <f>ROUND(D12*H12,2)</f>
        <v>500</v>
      </c>
      <c r="K12" s="24"/>
    </row>
    <row r="13" spans="1:16">
      <c r="A13" s="10"/>
      <c r="B13" s="14"/>
      <c r="C13" s="12"/>
      <c r="D13" s="12"/>
      <c r="E13" s="825"/>
      <c r="F13" s="825"/>
      <c r="G13" s="825"/>
      <c r="H13" s="825"/>
      <c r="I13" s="1010" t="s">
        <v>20</v>
      </c>
      <c r="J13" s="1010">
        <f>SUM(J12:J12)</f>
        <v>500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1</v>
      </c>
      <c r="E15" s="825"/>
      <c r="F15" s="825">
        <v>12</v>
      </c>
      <c r="G15" s="825"/>
      <c r="H15" s="825">
        <v>260</v>
      </c>
      <c r="I15" s="825"/>
      <c r="J15" s="825">
        <f>H15*F15</f>
        <v>3120</v>
      </c>
      <c r="K15" s="24"/>
    </row>
    <row r="16" spans="1:16">
      <c r="A16" s="10"/>
      <c r="B16" s="345"/>
      <c r="C16" s="12"/>
      <c r="D16" s="45"/>
      <c r="E16" s="14"/>
      <c r="F16" s="14"/>
      <c r="G16" s="14"/>
      <c r="H16" s="14"/>
      <c r="I16" s="1010" t="s">
        <v>20</v>
      </c>
      <c r="J16" s="1010">
        <f>SUM(J15)</f>
        <v>3120</v>
      </c>
      <c r="K16" s="1012"/>
    </row>
    <row r="17" spans="1:15" s="1009" customFormat="1" ht="33.6">
      <c r="A17" s="1005">
        <v>3</v>
      </c>
      <c r="B17" s="1013" t="s">
        <v>2560</v>
      </c>
      <c r="C17" s="776" t="s">
        <v>307</v>
      </c>
      <c r="D17" s="776"/>
      <c r="E17" s="1006"/>
      <c r="F17" s="1006"/>
      <c r="G17" s="1006"/>
      <c r="H17" s="1006"/>
      <c r="I17" s="1006"/>
      <c r="J17" s="1007"/>
      <c r="K17" s="1008"/>
    </row>
    <row r="18" spans="1:15" ht="17.399999999999999">
      <c r="A18" s="10"/>
      <c r="B18" s="14"/>
      <c r="C18" s="12"/>
      <c r="D18" s="12"/>
      <c r="E18" s="825" t="s">
        <v>1342</v>
      </c>
      <c r="F18" s="825"/>
      <c r="G18" s="825"/>
      <c r="H18" s="825"/>
      <c r="I18" s="825"/>
      <c r="J18" s="1014"/>
      <c r="K18" s="477"/>
    </row>
    <row r="19" spans="1:15">
      <c r="A19" s="10"/>
      <c r="B19" s="345" t="s">
        <v>1517</v>
      </c>
      <c r="C19" s="12"/>
      <c r="D19" s="12">
        <v>1</v>
      </c>
      <c r="E19" s="825">
        <f>1.5*1.5</f>
        <v>2.25</v>
      </c>
      <c r="F19" s="825"/>
      <c r="G19" s="825"/>
      <c r="H19" s="825">
        <f>F15*26</f>
        <v>312</v>
      </c>
      <c r="I19" s="825"/>
      <c r="J19" s="969">
        <f>H19/E19</f>
        <v>138.66666666666666</v>
      </c>
      <c r="K19" s="477"/>
    </row>
    <row r="20" spans="1:15">
      <c r="A20" s="10"/>
      <c r="B20" s="14"/>
      <c r="C20" s="12"/>
      <c r="D20" s="12"/>
      <c r="E20" s="825"/>
      <c r="F20" s="825"/>
      <c r="G20" s="825"/>
      <c r="H20" s="825"/>
      <c r="I20" s="1010" t="s">
        <v>20</v>
      </c>
      <c r="J20" s="1010">
        <f>ROUNDUP(SUM(J19:J19),0)</f>
        <v>139</v>
      </c>
      <c r="K20" s="477"/>
    </row>
    <row r="21" spans="1:15" s="1009" customFormat="1">
      <c r="A21" s="1005">
        <v>4</v>
      </c>
      <c r="B21" s="25" t="s">
        <v>2767</v>
      </c>
      <c r="C21" s="776" t="s">
        <v>21</v>
      </c>
      <c r="D21" s="776"/>
      <c r="E21" s="1006"/>
      <c r="F21" s="1006"/>
      <c r="G21" s="1006"/>
      <c r="H21" s="1006"/>
      <c r="I21" s="1006"/>
      <c r="J21" s="1007"/>
      <c r="K21" s="1008"/>
    </row>
    <row r="22" spans="1:15">
      <c r="A22" s="10"/>
      <c r="B22" s="14" t="s">
        <v>808</v>
      </c>
      <c r="C22" s="12"/>
      <c r="D22" s="12"/>
      <c r="E22" s="825"/>
      <c r="F22" s="825"/>
      <c r="G22" s="825"/>
      <c r="H22" s="825"/>
      <c r="I22" s="825"/>
      <c r="J22" s="825"/>
      <c r="K22" s="24"/>
    </row>
    <row r="23" spans="1:15">
      <c r="A23" s="10"/>
      <c r="B23" s="345" t="s">
        <v>2561</v>
      </c>
      <c r="C23" s="12"/>
      <c r="D23" s="12">
        <f>D19</f>
        <v>1</v>
      </c>
      <c r="E23" s="825"/>
      <c r="F23" s="825"/>
      <c r="G23" s="825"/>
      <c r="H23" s="825">
        <f>H19</f>
        <v>312</v>
      </c>
      <c r="I23" s="825"/>
      <c r="J23" s="825">
        <f>H23</f>
        <v>312</v>
      </c>
      <c r="K23" s="477"/>
      <c r="O23" s="4">
        <f>5.83*2</f>
        <v>11.66</v>
      </c>
    </row>
    <row r="24" spans="1:15">
      <c r="A24" s="10"/>
      <c r="B24" s="137"/>
      <c r="C24" s="12"/>
      <c r="D24" s="12"/>
      <c r="E24" s="825"/>
      <c r="F24" s="825"/>
      <c r="G24" s="825"/>
      <c r="H24" s="825"/>
      <c r="I24" s="1010" t="s">
        <v>20</v>
      </c>
      <c r="J24" s="1010">
        <f>SUM(J23:J23)</f>
        <v>312</v>
      </c>
      <c r="K24" s="24"/>
      <c r="L24" s="4">
        <v>11.1</v>
      </c>
    </row>
    <row r="25" spans="1:15">
      <c r="A25" s="5"/>
      <c r="B25" s="6"/>
      <c r="C25" s="7"/>
      <c r="D25" s="7"/>
      <c r="E25" s="912"/>
      <c r="F25" s="912"/>
      <c r="G25" s="912"/>
      <c r="H25" s="912"/>
      <c r="I25" s="912"/>
      <c r="J25" s="939"/>
      <c r="K25" s="475"/>
    </row>
    <row r="26" spans="1:15" s="1009" customFormat="1">
      <c r="A26" s="1005">
        <v>5</v>
      </c>
      <c r="B26" s="25" t="s">
        <v>1344</v>
      </c>
      <c r="C26" s="776" t="s">
        <v>1345</v>
      </c>
      <c r="D26" s="776"/>
      <c r="E26" s="1006"/>
      <c r="F26" s="1006"/>
      <c r="G26" s="1006"/>
      <c r="H26" s="1006"/>
      <c r="I26" s="1006"/>
      <c r="J26" s="1007"/>
      <c r="K26" s="1008"/>
    </row>
    <row r="27" spans="1:15">
      <c r="A27" s="14"/>
      <c r="B27" s="14"/>
      <c r="C27" s="12"/>
      <c r="D27" s="12">
        <v>1</v>
      </c>
      <c r="E27" s="825"/>
      <c r="F27" s="825"/>
      <c r="G27" s="825"/>
      <c r="H27" s="825">
        <f>H23</f>
        <v>312</v>
      </c>
      <c r="I27" s="825"/>
      <c r="J27" s="825">
        <f>H27*D27</f>
        <v>312</v>
      </c>
      <c r="K27" s="1015"/>
    </row>
    <row r="28" spans="1:15">
      <c r="A28" s="14"/>
      <c r="B28" s="14"/>
      <c r="C28" s="12"/>
      <c r="D28" s="12"/>
      <c r="E28" s="825"/>
      <c r="F28" s="825"/>
      <c r="G28" s="825"/>
      <c r="H28" s="825"/>
      <c r="I28" s="1010" t="s">
        <v>20</v>
      </c>
      <c r="J28" s="825">
        <f>J27</f>
        <v>312</v>
      </c>
      <c r="K28" s="1015"/>
    </row>
    <row r="29" spans="1:15">
      <c r="A29" s="5">
        <v>6</v>
      </c>
      <c r="B29" s="6" t="s">
        <v>1191</v>
      </c>
      <c r="C29" s="7" t="s">
        <v>307</v>
      </c>
      <c r="D29" s="7"/>
      <c r="E29" s="912"/>
      <c r="F29" s="912"/>
      <c r="G29" s="912"/>
      <c r="H29" s="912"/>
      <c r="I29" s="912"/>
      <c r="J29" s="939"/>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312</v>
      </c>
      <c r="I31" s="825"/>
      <c r="J31" s="825">
        <f>H31/E31</f>
        <v>104</v>
      </c>
      <c r="K31" s="1015"/>
    </row>
    <row r="32" spans="1:15">
      <c r="A32" s="14"/>
      <c r="B32" s="14"/>
      <c r="C32" s="12"/>
      <c r="D32" s="12"/>
      <c r="E32" s="825"/>
      <c r="F32" s="825"/>
      <c r="G32" s="825"/>
      <c r="H32" s="825"/>
      <c r="I32" s="825" t="s">
        <v>20</v>
      </c>
      <c r="J32" s="825">
        <f>CEILING(J31,1)</f>
        <v>104</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63" fitToHeight="10"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4">
    <tabColor rgb="FFFFFF00"/>
    <pageSetUpPr fitToPage="1"/>
  </sheetPr>
  <dimension ref="A1:W29"/>
  <sheetViews>
    <sheetView workbookViewId="0"/>
  </sheetViews>
  <sheetFormatPr defaultColWidth="9.109375" defaultRowHeight="16.8"/>
  <cols>
    <col min="1" max="1" width="12.109375" style="929" customWidth="1"/>
    <col min="2" max="2" width="35.5546875" style="929" bestFit="1" customWidth="1"/>
    <col min="3" max="3" width="5" style="929" customWidth="1"/>
    <col min="4" max="4" width="5.44140625" style="929" customWidth="1"/>
    <col min="5" max="5" width="8.6640625" style="1116" bestFit="1" customWidth="1"/>
    <col min="6" max="6" width="7.88671875" style="929" customWidth="1"/>
    <col min="7" max="7" width="8.5546875" style="929" customWidth="1"/>
    <col min="8" max="8" width="9.5546875" style="929" customWidth="1"/>
    <col min="9" max="9" width="9.44140625" style="1116" bestFit="1" customWidth="1"/>
    <col min="10" max="10" width="18.88671875" style="1116" customWidth="1"/>
    <col min="11" max="11" width="19.88671875" style="929" customWidth="1"/>
    <col min="12" max="12" width="12.109375" style="929" customWidth="1"/>
    <col min="13" max="16384" width="9.109375" style="929"/>
  </cols>
  <sheetData>
    <row r="1" spans="1:23" s="520" customFormat="1" ht="19.2">
      <c r="A1" s="522"/>
      <c r="C1" s="523"/>
      <c r="D1" s="537"/>
      <c r="E1" s="1223"/>
      <c r="F1" s="1223"/>
      <c r="G1" s="523"/>
    </row>
    <row r="2" spans="1:23" s="520" customFormat="1" ht="19.2">
      <c r="A2" s="522"/>
      <c r="C2" s="523"/>
      <c r="D2" s="537"/>
      <c r="E2" s="1223"/>
      <c r="F2" s="1223"/>
      <c r="G2" s="523"/>
    </row>
    <row r="3" spans="1:23" s="520" customFormat="1" ht="19.2">
      <c r="A3" s="226" t="s">
        <v>0</v>
      </c>
      <c r="B3" s="1248" t="s">
        <v>2389</v>
      </c>
      <c r="C3" s="523"/>
      <c r="D3" s="537"/>
      <c r="E3" s="1223"/>
      <c r="F3" s="1223"/>
      <c r="G3" s="523"/>
    </row>
    <row r="4" spans="1:23" s="520" customFormat="1" ht="19.2">
      <c r="A4" s="119" t="s">
        <v>1</v>
      </c>
      <c r="B4" s="1248">
        <v>930100</v>
      </c>
      <c r="C4" s="523"/>
      <c r="D4" s="537"/>
      <c r="E4" s="1223"/>
      <c r="F4" s="1223"/>
      <c r="G4" s="523"/>
    </row>
    <row r="5" spans="1:23" s="520" customFormat="1" ht="19.2">
      <c r="A5" s="119" t="s">
        <v>2</v>
      </c>
      <c r="B5" s="1247" t="s">
        <v>331</v>
      </c>
      <c r="C5" s="523"/>
      <c r="D5" s="537"/>
      <c r="E5" s="1223"/>
      <c r="J5" s="1276" t="s">
        <v>1561</v>
      </c>
      <c r="K5" s="523" t="s">
        <v>1562</v>
      </c>
    </row>
    <row r="6" spans="1:23" s="520" customFormat="1" ht="19.2">
      <c r="A6" s="119" t="s">
        <v>3</v>
      </c>
      <c r="B6" s="1247" t="s">
        <v>1580</v>
      </c>
      <c r="C6" s="523"/>
      <c r="D6" s="537"/>
      <c r="E6" s="1223"/>
      <c r="J6" s="1276" t="s">
        <v>171</v>
      </c>
      <c r="K6" s="523" t="s">
        <v>1563</v>
      </c>
    </row>
    <row r="7" spans="1:23" s="520" customFormat="1" ht="19.2">
      <c r="A7" s="119" t="s">
        <v>4</v>
      </c>
      <c r="B7" s="1247"/>
      <c r="C7" s="523"/>
      <c r="D7" s="537"/>
      <c r="E7" s="1223"/>
      <c r="J7" s="1276" t="s">
        <v>106</v>
      </c>
      <c r="K7" s="1277">
        <f ca="1">TODAY()</f>
        <v>44942</v>
      </c>
    </row>
    <row r="8" spans="1:23">
      <c r="A8" s="119"/>
      <c r="B8" s="52"/>
    </row>
    <row r="9" spans="1:23">
      <c r="A9" s="119"/>
      <c r="B9" s="52"/>
    </row>
    <row r="10" spans="1:23">
      <c r="A10" s="119"/>
      <c r="B10" s="55"/>
      <c r="C10" s="1230" t="s">
        <v>1510</v>
      </c>
      <c r="D10" s="929">
        <v>3.2</v>
      </c>
      <c r="E10" s="1116" t="s">
        <v>27</v>
      </c>
      <c r="F10" s="1230"/>
      <c r="G10" s="1230" t="s">
        <v>1511</v>
      </c>
      <c r="H10" s="929">
        <v>2</v>
      </c>
      <c r="I10" s="1116" t="s">
        <v>27</v>
      </c>
      <c r="J10" s="1116" t="s">
        <v>2577</v>
      </c>
      <c r="K10" s="929">
        <f>(198.22+233.38+91.42)</f>
        <v>523.02</v>
      </c>
      <c r="O10" s="929">
        <f>10*10*10</f>
        <v>1000</v>
      </c>
    </row>
    <row r="11" spans="1:23">
      <c r="A11" s="1222" t="s">
        <v>32</v>
      </c>
      <c r="B11" s="1222" t="s">
        <v>487</v>
      </c>
      <c r="C11" s="1222" t="s">
        <v>172</v>
      </c>
      <c r="D11" s="800" t="s">
        <v>311</v>
      </c>
      <c r="E11" s="1222" t="s">
        <v>300</v>
      </c>
      <c r="F11" s="1222" t="s">
        <v>488</v>
      </c>
      <c r="G11" s="1222" t="s">
        <v>489</v>
      </c>
      <c r="H11" s="801" t="s">
        <v>486</v>
      </c>
      <c r="I11" s="1222" t="s">
        <v>490</v>
      </c>
      <c r="J11" s="1222" t="s">
        <v>2580</v>
      </c>
      <c r="K11" s="1222" t="s">
        <v>120</v>
      </c>
    </row>
    <row r="12" spans="1:23" s="1112" customFormat="1" ht="30" customHeight="1">
      <c r="A12" s="45">
        <v>1</v>
      </c>
      <c r="B12" s="1108" t="s">
        <v>2575</v>
      </c>
      <c r="C12" s="45" t="s">
        <v>21</v>
      </c>
      <c r="D12" s="45">
        <v>1</v>
      </c>
      <c r="E12" s="1109"/>
      <c r="F12" s="22"/>
      <c r="G12" s="22">
        <f>0.7*K10</f>
        <v>366.11399999999998</v>
      </c>
      <c r="H12" s="22"/>
      <c r="I12" s="1231">
        <f>PI()*(D10+2*0.2+2*0.1)^2/4</f>
        <v>11.341149479459155</v>
      </c>
      <c r="J12" s="1111">
        <f>D12*G12*I12</f>
        <v>4152.153600522709</v>
      </c>
      <c r="K12" s="404"/>
      <c r="L12" s="1926">
        <v>3324.02324252372</v>
      </c>
      <c r="M12" s="929"/>
      <c r="N12" s="929"/>
      <c r="O12" s="929"/>
      <c r="P12" s="929"/>
      <c r="Q12" s="929"/>
      <c r="R12" s="929"/>
      <c r="S12" s="929"/>
      <c r="T12" s="929"/>
      <c r="U12" s="929"/>
      <c r="V12" s="929"/>
      <c r="W12" s="929"/>
    </row>
    <row r="13" spans="1:23" s="1112" customFormat="1" ht="30" customHeight="1">
      <c r="A13" s="45"/>
      <c r="B13" s="1108" t="s">
        <v>2576</v>
      </c>
      <c r="C13" s="45" t="s">
        <v>21</v>
      </c>
      <c r="D13" s="45">
        <v>1</v>
      </c>
      <c r="E13" s="1109"/>
      <c r="F13" s="22"/>
      <c r="G13" s="22">
        <f>0.3*K10</f>
        <v>156.90599999999998</v>
      </c>
      <c r="H13" s="22"/>
      <c r="I13" s="1231">
        <f>PI()*(D10+2*0.1)^2/4</f>
        <v>9.0792027688745041</v>
      </c>
      <c r="J13" s="1111">
        <f>D13*G13*I13</f>
        <v>1424.5813896530228</v>
      </c>
      <c r="K13" s="404"/>
      <c r="L13" s="1926">
        <v>1424.5813896530228</v>
      </c>
      <c r="M13" s="929"/>
      <c r="N13" s="929"/>
      <c r="O13" s="929"/>
      <c r="P13" s="929"/>
      <c r="Q13" s="929"/>
      <c r="R13" s="929"/>
      <c r="S13" s="929"/>
      <c r="T13" s="929"/>
      <c r="U13" s="929"/>
      <c r="V13" s="929"/>
      <c r="W13" s="929"/>
    </row>
    <row r="14" spans="1:23" s="1112" customFormat="1" ht="30" customHeight="1">
      <c r="A14" s="45"/>
      <c r="B14" s="1108"/>
      <c r="C14" s="45"/>
      <c r="D14" s="45"/>
      <c r="E14" s="1109"/>
      <c r="F14" s="22"/>
      <c r="G14" s="22">
        <f>G12+G13</f>
        <v>523.02</v>
      </c>
      <c r="H14" s="22"/>
      <c r="I14" s="1231"/>
      <c r="J14" s="1111">
        <f>J12+J13</f>
        <v>5576.7349901757316</v>
      </c>
      <c r="K14" s="404"/>
      <c r="L14" s="1926">
        <v>4748.6046321767426</v>
      </c>
      <c r="M14" s="929"/>
      <c r="N14" s="929"/>
      <c r="O14" s="929"/>
      <c r="P14" s="929"/>
      <c r="Q14" s="929"/>
      <c r="R14" s="929"/>
      <c r="S14" s="929"/>
      <c r="T14" s="929"/>
      <c r="U14" s="929"/>
      <c r="V14" s="929"/>
      <c r="W14" s="929"/>
    </row>
    <row r="15" spans="1:23" s="1112" customFormat="1">
      <c r="A15" s="45">
        <v>2</v>
      </c>
      <c r="B15" s="404" t="s">
        <v>1529</v>
      </c>
      <c r="C15" s="45" t="s">
        <v>21</v>
      </c>
      <c r="D15" s="45">
        <v>1</v>
      </c>
      <c r="E15" s="1109"/>
      <c r="F15" s="22"/>
      <c r="G15" s="22">
        <f>G14</f>
        <v>523.02</v>
      </c>
      <c r="H15" s="22"/>
      <c r="I15" s="1110">
        <f>(PI()*D10^2/4)-(PI()*H10^2/4)</f>
        <v>4.900884539600078</v>
      </c>
      <c r="J15" s="1111">
        <f>D15*G15*I15</f>
        <v>2563.2606319016327</v>
      </c>
      <c r="K15" s="404"/>
      <c r="L15" s="929"/>
      <c r="M15" s="929"/>
      <c r="N15" s="929"/>
      <c r="O15" s="929"/>
      <c r="P15" s="929"/>
      <c r="Q15" s="929"/>
      <c r="R15" s="929"/>
      <c r="S15" s="929"/>
      <c r="T15" s="929"/>
      <c r="U15" s="929"/>
      <c r="V15" s="929"/>
      <c r="W15" s="929"/>
    </row>
    <row r="16" spans="1:23" s="1112" customFormat="1">
      <c r="A16" s="45">
        <v>3</v>
      </c>
      <c r="B16" s="404" t="s">
        <v>2574</v>
      </c>
      <c r="C16" s="45" t="s">
        <v>307</v>
      </c>
      <c r="D16" s="45">
        <f>ROUNDUP(PI()*D10/1.5,0)*ROUNDUP(G12/1.5,0)+ROUNDUP(PI()*D10/1.2,0)*ROUNDUP(G13/1.2,0)</f>
        <v>2894</v>
      </c>
      <c r="E16" s="1109"/>
      <c r="F16" s="22"/>
      <c r="G16" s="22"/>
      <c r="H16" s="22"/>
      <c r="I16" s="1110"/>
      <c r="J16" s="1111">
        <f>D16</f>
        <v>2894</v>
      </c>
      <c r="K16" s="404"/>
      <c r="L16" s="929"/>
      <c r="M16" s="929"/>
      <c r="N16" s="929"/>
      <c r="O16" s="929"/>
      <c r="P16" s="929"/>
      <c r="Q16" s="929"/>
      <c r="R16" s="929"/>
      <c r="S16" s="929"/>
      <c r="T16" s="929"/>
      <c r="U16" s="929"/>
      <c r="V16" s="929"/>
      <c r="W16" s="929"/>
    </row>
    <row r="17" spans="1:23" s="1112" customFormat="1">
      <c r="A17" s="45">
        <v>4</v>
      </c>
      <c r="B17" s="404" t="s">
        <v>2578</v>
      </c>
      <c r="C17" s="45" t="s">
        <v>19</v>
      </c>
      <c r="D17" s="45">
        <v>1</v>
      </c>
      <c r="E17" s="1109"/>
      <c r="F17" s="22"/>
      <c r="G17" s="22">
        <f>G12</f>
        <v>366.11399999999998</v>
      </c>
      <c r="H17" s="22">
        <f>PI()*D10</f>
        <v>10.053096491487338</v>
      </c>
      <c r="I17" s="1109"/>
      <c r="J17" s="1114">
        <f>D17*G17*H17</f>
        <v>3680.5793688843951</v>
      </c>
      <c r="K17" s="1115"/>
      <c r="L17" s="929"/>
      <c r="M17" s="929"/>
      <c r="N17" s="929"/>
      <c r="O17" s="929"/>
      <c r="P17" s="929"/>
      <c r="Q17" s="929"/>
      <c r="R17" s="929"/>
      <c r="S17" s="929"/>
      <c r="T17" s="929"/>
      <c r="U17" s="929"/>
      <c r="V17" s="929"/>
      <c r="W17" s="929"/>
    </row>
    <row r="18" spans="1:23" s="1112" customFormat="1">
      <c r="A18" s="45">
        <v>5</v>
      </c>
      <c r="B18" s="404" t="s">
        <v>2579</v>
      </c>
      <c r="C18" s="45" t="s">
        <v>19</v>
      </c>
      <c r="D18" s="45">
        <v>1</v>
      </c>
      <c r="E18" s="1109"/>
      <c r="F18" s="22"/>
      <c r="G18" s="22">
        <f>G13</f>
        <v>156.90599999999998</v>
      </c>
      <c r="H18" s="22">
        <f>PI()*D10</f>
        <v>10.053096491487338</v>
      </c>
      <c r="I18" s="1109"/>
      <c r="J18" s="1114">
        <f>D18*G18*H18</f>
        <v>1577.391158093312</v>
      </c>
      <c r="K18" s="1115"/>
      <c r="L18" s="929"/>
      <c r="M18" s="929"/>
      <c r="N18" s="929"/>
      <c r="O18" s="929"/>
      <c r="P18" s="929"/>
      <c r="Q18" s="929"/>
      <c r="R18" s="929"/>
      <c r="S18" s="929"/>
      <c r="T18" s="929"/>
      <c r="U18" s="929"/>
      <c r="V18" s="929"/>
      <c r="W18" s="929"/>
    </row>
    <row r="19" spans="1:23">
      <c r="A19" s="45">
        <v>6</v>
      </c>
      <c r="B19" s="949" t="s">
        <v>1512</v>
      </c>
      <c r="C19" s="949" t="s">
        <v>19</v>
      </c>
      <c r="D19" s="965">
        <v>1</v>
      </c>
      <c r="E19" s="1231"/>
      <c r="F19" s="949"/>
      <c r="G19" s="1232">
        <f>0.25*(G17+G18)</f>
        <v>130.755</v>
      </c>
      <c r="H19" s="1232">
        <f>H17</f>
        <v>10.053096491487338</v>
      </c>
      <c r="I19" s="1231"/>
      <c r="J19" s="1498">
        <f>H19*G19</f>
        <v>1314.4926317444269</v>
      </c>
      <c r="K19" s="949"/>
    </row>
    <row r="20" spans="1:23">
      <c r="A20" s="45">
        <v>7</v>
      </c>
      <c r="B20" s="949" t="s">
        <v>1560</v>
      </c>
      <c r="C20" s="949" t="s">
        <v>25</v>
      </c>
      <c r="D20" s="965"/>
      <c r="E20" s="1231">
        <f>PI()*D10</f>
        <v>10.053096491487338</v>
      </c>
      <c r="F20" s="949"/>
      <c r="G20" s="1232">
        <f>G18</f>
        <v>156.90599999999998</v>
      </c>
      <c r="H20" s="949"/>
      <c r="I20" s="1231"/>
      <c r="J20" s="1231">
        <f>15*G13*H19/(1.5*1000)</f>
        <v>15.77391158093312</v>
      </c>
      <c r="K20" s="949"/>
    </row>
    <row r="21" spans="1:23">
      <c r="A21" s="45">
        <v>8</v>
      </c>
      <c r="B21" s="949" t="s">
        <v>24</v>
      </c>
      <c r="C21" s="949" t="s">
        <v>25</v>
      </c>
      <c r="D21" s="949">
        <v>1</v>
      </c>
      <c r="E21" s="1231"/>
      <c r="F21" s="949"/>
      <c r="G21" s="949"/>
      <c r="H21" s="949"/>
      <c r="I21" s="1231"/>
      <c r="J21" s="1231">
        <f>0%*7.85*J15</f>
        <v>0</v>
      </c>
      <c r="K21" s="949"/>
    </row>
    <row r="22" spans="1:23">
      <c r="A22" s="45">
        <v>9</v>
      </c>
      <c r="B22" s="949" t="s">
        <v>1547</v>
      </c>
      <c r="C22" s="949" t="s">
        <v>21</v>
      </c>
      <c r="D22" s="949">
        <v>1</v>
      </c>
      <c r="E22" s="1231"/>
      <c r="F22" s="949"/>
      <c r="G22" s="949"/>
      <c r="H22" s="949"/>
      <c r="I22" s="1231">
        <f>12*12*12+10*10*10+5*5*5+5*8*4*3</f>
        <v>3333</v>
      </c>
      <c r="J22" s="1231">
        <f>D22*I22</f>
        <v>3333</v>
      </c>
      <c r="K22" s="949"/>
      <c r="L22" s="1939">
        <v>1335</v>
      </c>
      <c r="O22" s="1117" t="s">
        <v>1415</v>
      </c>
      <c r="P22" s="929">
        <v>1.2</v>
      </c>
    </row>
    <row r="23" spans="1:23">
      <c r="A23" s="45">
        <v>10</v>
      </c>
      <c r="B23" s="949" t="s">
        <v>1519</v>
      </c>
      <c r="C23" s="949" t="s">
        <v>19</v>
      </c>
      <c r="D23" s="949">
        <v>3</v>
      </c>
      <c r="E23" s="1231"/>
      <c r="F23" s="949"/>
      <c r="G23" s="949"/>
      <c r="H23" s="949"/>
      <c r="I23" s="1231">
        <f>15*6</f>
        <v>90</v>
      </c>
      <c r="J23" s="1231">
        <f>I23*D23</f>
        <v>270</v>
      </c>
      <c r="K23" s="949"/>
    </row>
    <row r="24" spans="1:23">
      <c r="A24" s="45">
        <v>11</v>
      </c>
      <c r="B24" s="949" t="s">
        <v>1520</v>
      </c>
      <c r="C24" s="949" t="s">
        <v>25</v>
      </c>
      <c r="D24" s="949">
        <v>4</v>
      </c>
      <c r="E24" s="1231"/>
      <c r="F24" s="949"/>
      <c r="G24" s="949"/>
      <c r="H24" s="949"/>
      <c r="I24" s="1231"/>
      <c r="J24" s="1231">
        <f>0.5%*7.85*J22</f>
        <v>130.82024999999999</v>
      </c>
      <c r="K24" s="949"/>
    </row>
    <row r="29" spans="1:23">
      <c r="J29" s="1116">
        <f>(64-PI()+100)</f>
        <v>160.85840734641022</v>
      </c>
      <c r="K29" s="929">
        <f>58*5*5</f>
        <v>1450</v>
      </c>
      <c r="L29" s="929">
        <f>59*5</f>
        <v>295</v>
      </c>
    </row>
  </sheetData>
  <printOptions horizontalCentered="1"/>
  <pageMargins left="0.7" right="0.7" top="0.71" bottom="0.59" header="0.3" footer="0.16"/>
  <pageSetup paperSize="9" scale="96" fitToHeight="10" orientation="landscape"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70">
    <tabColor rgb="FFFFFF00"/>
  </sheetPr>
  <dimension ref="A1:I30"/>
  <sheetViews>
    <sheetView workbookViewId="0"/>
  </sheetViews>
  <sheetFormatPr defaultColWidth="9.109375" defaultRowHeight="14.4"/>
  <cols>
    <col min="1" max="1" width="12.33203125" style="864" bestFit="1" customWidth="1"/>
    <col min="2" max="2" width="52.5546875" style="864" bestFit="1" customWidth="1"/>
    <col min="3" max="3" width="10.5546875" style="864" customWidth="1"/>
    <col min="4" max="4" width="7.88671875" style="864" bestFit="1" customWidth="1"/>
    <col min="5" max="6" width="9.109375" style="864"/>
    <col min="7" max="7" width="9.109375" style="864" customWidth="1"/>
    <col min="8" max="8" width="15.109375" style="864" customWidth="1"/>
    <col min="9" max="9" width="11.6640625" style="864" bestFit="1" customWidth="1"/>
    <col min="10" max="16384" width="9.109375" style="864"/>
  </cols>
  <sheetData>
    <row r="1" spans="1:9" s="520" customFormat="1" ht="19.2">
      <c r="A1" s="522"/>
      <c r="C1" s="523"/>
      <c r="D1" s="537"/>
      <c r="E1" s="1223"/>
      <c r="F1" s="1223"/>
      <c r="G1" s="523"/>
    </row>
    <row r="2" spans="1:9" s="520" customFormat="1" ht="19.2">
      <c r="A2" s="522"/>
      <c r="C2" s="523"/>
      <c r="D2" s="537"/>
      <c r="E2" s="1223"/>
      <c r="F2" s="1223"/>
      <c r="G2" s="523"/>
    </row>
    <row r="3" spans="1:9" s="520" customFormat="1" ht="19.2">
      <c r="A3" s="226" t="s">
        <v>0</v>
      </c>
      <c r="B3" s="1248" t="s">
        <v>2389</v>
      </c>
      <c r="C3" s="523"/>
      <c r="D3" s="537"/>
      <c r="E3" s="1223"/>
      <c r="F3" s="1223"/>
      <c r="G3" s="523"/>
    </row>
    <row r="4" spans="1:9" s="520" customFormat="1" ht="19.2">
      <c r="A4" s="119" t="s">
        <v>1</v>
      </c>
      <c r="B4" s="1248">
        <v>930100</v>
      </c>
      <c r="C4" s="523"/>
      <c r="D4" s="537"/>
      <c r="E4" s="1223"/>
      <c r="F4" s="1223"/>
      <c r="G4" s="523"/>
    </row>
    <row r="5" spans="1:9" s="520" customFormat="1" ht="19.2">
      <c r="A5" s="119" t="s">
        <v>2</v>
      </c>
      <c r="B5" s="1247" t="s">
        <v>331</v>
      </c>
      <c r="C5" s="523"/>
      <c r="D5" s="537"/>
      <c r="E5" s="1223"/>
      <c r="G5" s="1276" t="s">
        <v>1561</v>
      </c>
      <c r="H5" s="523" t="s">
        <v>1562</v>
      </c>
    </row>
    <row r="6" spans="1:9" s="520" customFormat="1" ht="19.2">
      <c r="A6" s="119" t="s">
        <v>3</v>
      </c>
      <c r="B6" s="1247" t="s">
        <v>1582</v>
      </c>
      <c r="C6" s="523"/>
      <c r="D6" s="537"/>
      <c r="E6" s="1223"/>
      <c r="G6" s="1276" t="s">
        <v>171</v>
      </c>
      <c r="H6" s="523" t="s">
        <v>1563</v>
      </c>
    </row>
    <row r="7" spans="1:9" s="520" customFormat="1" ht="19.2">
      <c r="A7" s="119" t="s">
        <v>4</v>
      </c>
      <c r="B7" s="1247"/>
      <c r="C7" s="523"/>
      <c r="D7" s="537"/>
      <c r="E7" s="1223"/>
      <c r="G7" s="1276" t="s">
        <v>106</v>
      </c>
      <c r="H7" s="1277">
        <f ca="1">TODAY()</f>
        <v>44942</v>
      </c>
    </row>
    <row r="8" spans="1:9" ht="16.8">
      <c r="A8" s="119"/>
      <c r="B8" s="52"/>
      <c r="C8" s="382"/>
      <c r="D8" s="19"/>
      <c r="E8" s="1003"/>
    </row>
    <row r="9" spans="1:9" ht="16.8">
      <c r="A9" s="119"/>
      <c r="B9" s="55"/>
      <c r="C9" s="382"/>
      <c r="D9" s="19"/>
      <c r="E9" s="1003"/>
    </row>
    <row r="10" spans="1:9" ht="33.6">
      <c r="A10" s="1026" t="s">
        <v>1353</v>
      </c>
      <c r="B10" s="1028">
        <v>64.69</v>
      </c>
      <c r="C10" s="1028" t="s">
        <v>27</v>
      </c>
      <c r="D10" s="1018"/>
      <c r="E10" s="1020"/>
      <c r="F10" s="1019"/>
      <c r="G10" s="1019"/>
      <c r="H10" s="1019"/>
      <c r="I10" s="1021"/>
    </row>
    <row r="11" spans="1:9" ht="50.4">
      <c r="A11" s="1026" t="s">
        <v>1530</v>
      </c>
      <c r="B11" s="1028">
        <v>3.2</v>
      </c>
      <c r="C11" s="1028" t="s">
        <v>27</v>
      </c>
      <c r="D11" s="1018"/>
      <c r="E11" s="1020"/>
      <c r="F11" s="1019"/>
      <c r="G11" s="1019"/>
      <c r="H11" s="1019"/>
      <c r="I11" s="1021"/>
    </row>
    <row r="12" spans="1:9" ht="73.5" customHeight="1">
      <c r="A12" s="14" t="s">
        <v>1354</v>
      </c>
      <c r="B12" s="1075" t="s">
        <v>1392</v>
      </c>
      <c r="C12" s="1118" t="s">
        <v>2565</v>
      </c>
      <c r="D12" s="1035" t="s">
        <v>1394</v>
      </c>
      <c r="E12" s="1035" t="s">
        <v>1357</v>
      </c>
      <c r="F12" s="1036" t="s">
        <v>1358</v>
      </c>
      <c r="G12" s="1036" t="s">
        <v>1359</v>
      </c>
      <c r="H12" s="1036" t="s">
        <v>1360</v>
      </c>
      <c r="I12" s="1042" t="s">
        <v>1361</v>
      </c>
    </row>
    <row r="13" spans="1:9" ht="16.8">
      <c r="A13" s="1026">
        <v>3</v>
      </c>
      <c r="B13" s="1119">
        <v>0.7</v>
      </c>
      <c r="C13" s="1027">
        <v>0.12</v>
      </c>
      <c r="D13" s="1038">
        <v>1.5</v>
      </c>
      <c r="E13" s="1038">
        <v>0</v>
      </c>
      <c r="F13" s="1039">
        <f>(($B$11+2*0.1)*($B$11/2))+(PI()*($B$11+0.2)^2/8)</f>
        <v>9.9796013844372524</v>
      </c>
      <c r="G13" s="1040">
        <f>(2*B11/2)+PI()*(B11+2*0.1)/2</f>
        <v>8.5407075111026494</v>
      </c>
      <c r="H13" s="1041">
        <v>0</v>
      </c>
      <c r="I13" s="1042">
        <v>0</v>
      </c>
    </row>
    <row r="14" spans="1:9" ht="16.8">
      <c r="A14" s="1026">
        <v>4</v>
      </c>
      <c r="B14" s="1119">
        <v>0.3</v>
      </c>
      <c r="C14" s="1027">
        <v>0.15</v>
      </c>
      <c r="D14" s="1038">
        <v>1.2</v>
      </c>
      <c r="E14" s="1038">
        <v>0</v>
      </c>
      <c r="F14" s="1039">
        <f>(($B$11+2*0.1)*($B$11/2))+(PI()*($B$11+0.2)^2/8)</f>
        <v>9.9796013844372524</v>
      </c>
      <c r="G14" s="1040">
        <f>(2*B11/2)+PI()*(B11+2*0.1)/2</f>
        <v>8.5407075111026494</v>
      </c>
      <c r="H14" s="1041"/>
      <c r="I14" s="1042"/>
    </row>
    <row r="18" spans="1:5" ht="16.8">
      <c r="A18" s="1045"/>
      <c r="B18" s="1120" t="s">
        <v>1369</v>
      </c>
      <c r="C18" s="1120" t="s">
        <v>117</v>
      </c>
      <c r="D18" s="1125"/>
    </row>
    <row r="19" spans="1:5" ht="16.8">
      <c r="A19" s="1042" t="s">
        <v>1370</v>
      </c>
      <c r="B19" s="1026" t="s">
        <v>1371</v>
      </c>
      <c r="C19" s="1026" t="s">
        <v>27</v>
      </c>
      <c r="D19" s="1038">
        <f>B10</f>
        <v>64.69</v>
      </c>
      <c r="E19" s="1126"/>
    </row>
    <row r="20" spans="1:5" ht="16.8">
      <c r="A20" s="1072">
        <v>1</v>
      </c>
      <c r="B20" s="1026" t="s">
        <v>804</v>
      </c>
      <c r="C20" s="1026" t="str">
        <f>C22</f>
        <v>m2</v>
      </c>
      <c r="D20" s="1038">
        <f>F13*D19</f>
        <v>645.58041355924581</v>
      </c>
    </row>
    <row r="21" spans="1:5" ht="16.8">
      <c r="A21" s="1072"/>
      <c r="B21" s="1026" t="s">
        <v>2569</v>
      </c>
      <c r="C21" s="1026" t="s">
        <v>85</v>
      </c>
      <c r="D21" s="1038">
        <f>B13*D19*G13</f>
        <v>386.74885822526124</v>
      </c>
    </row>
    <row r="22" spans="1:5" ht="16.8">
      <c r="A22" s="1028">
        <f>A20+1</f>
        <v>2</v>
      </c>
      <c r="B22" s="1026" t="s">
        <v>2568</v>
      </c>
      <c r="C22" s="1026" t="s">
        <v>85</v>
      </c>
      <c r="D22" s="1038">
        <f>B14*G14*D19</f>
        <v>165.7495106679691</v>
      </c>
    </row>
    <row r="23" spans="1:5" s="1127" customFormat="1" ht="16.8">
      <c r="A23" s="1059">
        <f t="shared" ref="A23:A26" si="0">A22+1</f>
        <v>3</v>
      </c>
      <c r="B23" s="1050" t="s">
        <v>1418</v>
      </c>
      <c r="C23" s="1050" t="s">
        <v>85</v>
      </c>
      <c r="D23" s="1051">
        <f>G13*B10*0.1</f>
        <v>55.249836889323035</v>
      </c>
    </row>
    <row r="24" spans="1:5" s="1127" customFormat="1" ht="16.8">
      <c r="A24" s="1059">
        <f t="shared" si="0"/>
        <v>4</v>
      </c>
      <c r="B24" s="1050" t="s">
        <v>2566</v>
      </c>
      <c r="C24" s="1050" t="s">
        <v>307</v>
      </c>
      <c r="D24" s="1128">
        <f>CEILING(B13*(G13/D13)*B10/D13,1)+CEILING(B14*(G14/D14)*B10/D14,1)</f>
        <v>288</v>
      </c>
    </row>
    <row r="25" spans="1:5" ht="16.8">
      <c r="A25" s="1028">
        <f t="shared" si="0"/>
        <v>5</v>
      </c>
      <c r="B25" s="1026" t="s">
        <v>1376</v>
      </c>
      <c r="C25" s="1026" t="s">
        <v>27</v>
      </c>
      <c r="D25" s="1038">
        <f>CEILING((PI()*B11/(2*0.4))*(B14*B10)/(4*COS(RADIANS(10))),1)</f>
        <v>62</v>
      </c>
    </row>
    <row r="26" spans="1:5" ht="16.8">
      <c r="A26" s="1028">
        <f t="shared" si="0"/>
        <v>6</v>
      </c>
      <c r="B26" s="1026" t="s">
        <v>1378</v>
      </c>
      <c r="C26" s="1026" t="s">
        <v>85</v>
      </c>
      <c r="D26" s="1038">
        <f>D19*(B11+2*C13)</f>
        <v>222.53360000000001</v>
      </c>
    </row>
    <row r="27" spans="1:5" ht="16.8">
      <c r="A27" s="1028">
        <v>7</v>
      </c>
      <c r="B27" s="1026" t="s">
        <v>2570</v>
      </c>
      <c r="C27" s="1026" t="s">
        <v>21</v>
      </c>
      <c r="D27" s="1038">
        <f>0.2*B14*B11*B10</f>
        <v>12.42048</v>
      </c>
    </row>
    <row r="28" spans="1:5" ht="16.8">
      <c r="A28" s="1028">
        <v>8</v>
      </c>
      <c r="B28" s="1026" t="s">
        <v>1420</v>
      </c>
      <c r="C28" s="1026" t="s">
        <v>322</v>
      </c>
      <c r="D28" s="1038">
        <f>D27*0.5%</f>
        <v>6.2102400000000002E-2</v>
      </c>
    </row>
    <row r="29" spans="1:5" s="1127" customFormat="1" ht="16.8">
      <c r="A29" s="1059">
        <v>9</v>
      </c>
      <c r="B29" s="1050" t="s">
        <v>1421</v>
      </c>
      <c r="C29" s="1050" t="s">
        <v>25</v>
      </c>
      <c r="D29" s="1051">
        <f>CEILING((B14*B10/1.5),1)*G14*15/1000</f>
        <v>1.6654379646650166</v>
      </c>
    </row>
    <row r="30" spans="1:5" s="1244" customFormat="1" ht="18">
      <c r="A30" s="1245">
        <v>10</v>
      </c>
      <c r="B30" s="1246" t="s">
        <v>2609</v>
      </c>
      <c r="C30" s="1246" t="s">
        <v>21</v>
      </c>
      <c r="D30" s="1246">
        <f>(F13-PI()*1*1)*B10</f>
        <v>442.35078479852211</v>
      </c>
    </row>
  </sheetData>
  <printOptions horizontalCentered="1"/>
  <pageMargins left="0.7" right="0.7" top="0.71" bottom="0.59" header="0.3" footer="0.16"/>
  <pageSetup paperSize="9" scale="94" fitToHeight="10" orientation="landscape"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71">
    <tabColor rgb="FFFFFF00"/>
  </sheetPr>
  <dimension ref="A1:I30"/>
  <sheetViews>
    <sheetView workbookViewId="0"/>
  </sheetViews>
  <sheetFormatPr defaultColWidth="9.109375" defaultRowHeight="14.4"/>
  <cols>
    <col min="1" max="1" width="12.33203125" style="864" bestFit="1" customWidth="1"/>
    <col min="2" max="2" width="52.5546875" style="864" bestFit="1" customWidth="1"/>
    <col min="3" max="3" width="10.5546875" style="864" customWidth="1"/>
    <col min="4" max="4" width="7.88671875" style="864" bestFit="1" customWidth="1"/>
    <col min="5" max="6" width="9.109375" style="864"/>
    <col min="7" max="7" width="9.109375" style="864" customWidth="1"/>
    <col min="8" max="8" width="15.109375" style="864" customWidth="1"/>
    <col min="9" max="9" width="11.6640625" style="864" bestFit="1" customWidth="1"/>
    <col min="10" max="16384" width="9.109375" style="864"/>
  </cols>
  <sheetData>
    <row r="1" spans="1:9" s="520" customFormat="1" ht="19.2">
      <c r="A1" s="522"/>
      <c r="C1" s="523"/>
      <c r="D1" s="537"/>
      <c r="E1" s="1223"/>
      <c r="F1" s="1223"/>
      <c r="G1" s="523"/>
    </row>
    <row r="2" spans="1:9" s="520" customFormat="1" ht="19.2">
      <c r="A2" s="522"/>
      <c r="C2" s="523"/>
      <c r="D2" s="537"/>
      <c r="E2" s="1223"/>
      <c r="F2" s="1223"/>
      <c r="G2" s="523"/>
    </row>
    <row r="3" spans="1:9" s="520" customFormat="1" ht="19.2">
      <c r="A3" s="226" t="s">
        <v>0</v>
      </c>
      <c r="B3" s="1248" t="s">
        <v>2389</v>
      </c>
      <c r="C3" s="523"/>
      <c r="D3" s="537"/>
      <c r="E3" s="1223"/>
      <c r="F3" s="1223"/>
      <c r="G3" s="523"/>
    </row>
    <row r="4" spans="1:9" s="520" customFormat="1" ht="19.2">
      <c r="A4" s="119" t="s">
        <v>1</v>
      </c>
      <c r="B4" s="1248">
        <v>930100</v>
      </c>
      <c r="C4" s="523"/>
      <c r="D4" s="537"/>
      <c r="E4" s="1223"/>
      <c r="F4" s="1223"/>
      <c r="G4" s="523"/>
    </row>
    <row r="5" spans="1:9" s="520" customFormat="1" ht="19.2">
      <c r="A5" s="119" t="s">
        <v>2</v>
      </c>
      <c r="B5" s="1247" t="s">
        <v>331</v>
      </c>
      <c r="C5" s="523"/>
      <c r="D5" s="537"/>
      <c r="E5" s="1223"/>
      <c r="G5" s="1276" t="s">
        <v>1561</v>
      </c>
      <c r="H5" s="523" t="s">
        <v>1562</v>
      </c>
    </row>
    <row r="6" spans="1:9" s="520" customFormat="1" ht="19.2">
      <c r="A6" s="119" t="s">
        <v>3</v>
      </c>
      <c r="B6" s="1247" t="s">
        <v>1582</v>
      </c>
      <c r="C6" s="523"/>
      <c r="D6" s="537"/>
      <c r="E6" s="1223"/>
      <c r="G6" s="1276" t="s">
        <v>171</v>
      </c>
      <c r="H6" s="523" t="s">
        <v>1563</v>
      </c>
    </row>
    <row r="7" spans="1:9" s="520" customFormat="1" ht="19.2">
      <c r="A7" s="119" t="s">
        <v>4</v>
      </c>
      <c r="B7" s="1247"/>
      <c r="C7" s="523"/>
      <c r="D7" s="537"/>
      <c r="E7" s="1223"/>
      <c r="G7" s="1276" t="s">
        <v>106</v>
      </c>
      <c r="H7" s="1277">
        <f ca="1">TODAY()</f>
        <v>44942</v>
      </c>
    </row>
    <row r="8" spans="1:9" ht="16.8">
      <c r="A8" s="119"/>
      <c r="B8" s="52"/>
      <c r="C8" s="382"/>
      <c r="D8" s="19"/>
      <c r="E8" s="1003"/>
    </row>
    <row r="9" spans="1:9" ht="16.8">
      <c r="A9" s="119"/>
      <c r="B9" s="55"/>
      <c r="C9" s="382"/>
      <c r="D9" s="19"/>
      <c r="E9" s="1003"/>
    </row>
    <row r="10" spans="1:9" ht="33.6">
      <c r="A10" s="1026" t="s">
        <v>1353</v>
      </c>
      <c r="B10" s="1028">
        <v>272.79000000000002</v>
      </c>
      <c r="C10" s="1028" t="s">
        <v>27</v>
      </c>
      <c r="D10" s="1018"/>
      <c r="E10" s="1020"/>
      <c r="F10" s="1019"/>
      <c r="G10" s="1019"/>
      <c r="H10" s="1019"/>
      <c r="I10" s="1021"/>
    </row>
    <row r="11" spans="1:9" ht="50.4">
      <c r="A11" s="1026" t="s">
        <v>1530</v>
      </c>
      <c r="B11" s="1028">
        <v>3.2</v>
      </c>
      <c r="C11" s="1028" t="s">
        <v>27</v>
      </c>
      <c r="D11" s="1018"/>
      <c r="E11" s="1020"/>
      <c r="F11" s="1019"/>
      <c r="G11" s="1019"/>
      <c r="H11" s="1019"/>
      <c r="I11" s="1021"/>
    </row>
    <row r="12" spans="1:9" ht="73.5" customHeight="1">
      <c r="A12" s="14" t="s">
        <v>1354</v>
      </c>
      <c r="B12" s="1075" t="s">
        <v>1392</v>
      </c>
      <c r="C12" s="1118" t="s">
        <v>2565</v>
      </c>
      <c r="D12" s="1035" t="s">
        <v>1394</v>
      </c>
      <c r="E12" s="1035" t="s">
        <v>1357</v>
      </c>
      <c r="F12" s="1036" t="s">
        <v>1358</v>
      </c>
      <c r="G12" s="1036" t="s">
        <v>1359</v>
      </c>
      <c r="H12" s="1036" t="s">
        <v>1360</v>
      </c>
      <c r="I12" s="1042" t="s">
        <v>1361</v>
      </c>
    </row>
    <row r="13" spans="1:9" ht="16.8">
      <c r="A13" s="1026">
        <v>3</v>
      </c>
      <c r="B13" s="1119">
        <v>0.7</v>
      </c>
      <c r="C13" s="1027">
        <v>0.12</v>
      </c>
      <c r="D13" s="1038">
        <v>1.5</v>
      </c>
      <c r="E13" s="1038">
        <v>0</v>
      </c>
      <c r="F13" s="1039">
        <f>(($B$11+2*0.1)*($B$11/2))+(PI()*($B$11+0.2)^2/8)</f>
        <v>9.9796013844372524</v>
      </c>
      <c r="G13" s="1040">
        <f>(2*B11/2)+PI()*(B11+2*0.1)/2</f>
        <v>8.5407075111026494</v>
      </c>
      <c r="H13" s="1041">
        <v>0</v>
      </c>
      <c r="I13" s="1042">
        <v>0</v>
      </c>
    </row>
    <row r="14" spans="1:9" ht="16.8">
      <c r="A14" s="1026">
        <v>4</v>
      </c>
      <c r="B14" s="1119">
        <v>0.3</v>
      </c>
      <c r="C14" s="1027">
        <v>0.15</v>
      </c>
      <c r="D14" s="1038">
        <v>1.2</v>
      </c>
      <c r="E14" s="1038">
        <v>0</v>
      </c>
      <c r="F14" s="1039">
        <f>(($B$11+2*0.1)*($B$11/2))+(PI()*($B$11+0.2)^2/8)</f>
        <v>9.9796013844372524</v>
      </c>
      <c r="G14" s="1040">
        <f>(2*B11/2)+PI()*(B11+2*0.1)/2</f>
        <v>8.5407075111026494</v>
      </c>
      <c r="H14" s="1041"/>
      <c r="I14" s="1042"/>
    </row>
    <row r="18" spans="1:5" ht="16.8">
      <c r="A18" s="1045"/>
      <c r="B18" s="1120" t="s">
        <v>1369</v>
      </c>
      <c r="C18" s="1120" t="s">
        <v>117</v>
      </c>
      <c r="D18" s="1125"/>
    </row>
    <row r="19" spans="1:5" ht="16.8">
      <c r="A19" s="1042" t="s">
        <v>1370</v>
      </c>
      <c r="B19" s="1026" t="s">
        <v>1371</v>
      </c>
      <c r="C19" s="1026" t="s">
        <v>27</v>
      </c>
      <c r="D19" s="1038">
        <f>B10</f>
        <v>272.79000000000002</v>
      </c>
      <c r="E19" s="1126"/>
    </row>
    <row r="20" spans="1:5" ht="16.8">
      <c r="A20" s="1072">
        <v>1</v>
      </c>
      <c r="B20" s="1026" t="s">
        <v>804</v>
      </c>
      <c r="C20" s="1026" t="str">
        <f>C22</f>
        <v>m2</v>
      </c>
      <c r="D20" s="1038">
        <f>F13*D19</f>
        <v>2722.3354616606384</v>
      </c>
    </row>
    <row r="21" spans="1:5" ht="16.8">
      <c r="A21" s="1072"/>
      <c r="B21" s="1026" t="s">
        <v>2569</v>
      </c>
      <c r="C21" s="1026" t="s">
        <v>85</v>
      </c>
      <c r="D21" s="1038">
        <f>B13*D19*G13</f>
        <v>1630.8737213675843</v>
      </c>
    </row>
    <row r="22" spans="1:5" ht="16.8">
      <c r="A22" s="1028">
        <f>A20+1</f>
        <v>2</v>
      </c>
      <c r="B22" s="1026" t="s">
        <v>2568</v>
      </c>
      <c r="C22" s="1026" t="s">
        <v>85</v>
      </c>
      <c r="D22" s="1038">
        <f>B14*G14*D19</f>
        <v>698.94588058610759</v>
      </c>
    </row>
    <row r="23" spans="1:5" s="1127" customFormat="1" ht="16.8">
      <c r="A23" s="1059">
        <f t="shared" ref="A23:A26" si="0">A22+1</f>
        <v>3</v>
      </c>
      <c r="B23" s="1050" t="s">
        <v>1418</v>
      </c>
      <c r="C23" s="1050" t="s">
        <v>85</v>
      </c>
      <c r="D23" s="1051">
        <f>G13*B10*0.1</f>
        <v>232.9819601953692</v>
      </c>
    </row>
    <row r="24" spans="1:5" s="1127" customFormat="1" ht="16.8">
      <c r="A24" s="1059">
        <f t="shared" si="0"/>
        <v>4</v>
      </c>
      <c r="B24" s="1050" t="s">
        <v>2566</v>
      </c>
      <c r="C24" s="1050" t="s">
        <v>307</v>
      </c>
      <c r="D24" s="1128">
        <f>CEILING(B13*(G13/D13)*B10/D13,1)+CEILING(B14*(G14/D14)*B10/D14,1)</f>
        <v>1211</v>
      </c>
    </row>
    <row r="25" spans="1:5" ht="16.8">
      <c r="A25" s="1028">
        <f t="shared" si="0"/>
        <v>5</v>
      </c>
      <c r="B25" s="1026" t="s">
        <v>1376</v>
      </c>
      <c r="C25" s="1026" t="s">
        <v>307</v>
      </c>
      <c r="D25" s="1038">
        <f>CEILING((PI()*B11/(2*0.4))*(B14*B10)/(4*COS(RADIANS(10))),1)</f>
        <v>262</v>
      </c>
    </row>
    <row r="26" spans="1:5" ht="16.8">
      <c r="A26" s="1028">
        <f t="shared" si="0"/>
        <v>6</v>
      </c>
      <c r="B26" s="1026" t="s">
        <v>1378</v>
      </c>
      <c r="C26" s="1026" t="s">
        <v>85</v>
      </c>
      <c r="D26" s="1038">
        <f>D19*(B11+2*C13)</f>
        <v>938.39760000000012</v>
      </c>
    </row>
    <row r="27" spans="1:5" ht="16.8">
      <c r="A27" s="1028">
        <v>7</v>
      </c>
      <c r="B27" s="1026" t="s">
        <v>2570</v>
      </c>
      <c r="C27" s="1026" t="s">
        <v>21</v>
      </c>
      <c r="D27" s="1038">
        <f>0.2*B14*B10*B11</f>
        <v>52.375680000000003</v>
      </c>
    </row>
    <row r="28" spans="1:5" ht="16.8">
      <c r="A28" s="1028">
        <v>8</v>
      </c>
      <c r="B28" s="1026" t="s">
        <v>1420</v>
      </c>
      <c r="C28" s="1026" t="s">
        <v>322</v>
      </c>
      <c r="D28" s="1038">
        <f>D27*0.5%</f>
        <v>0.26187840000000001</v>
      </c>
    </row>
    <row r="29" spans="1:5" s="1127" customFormat="1" ht="16.8">
      <c r="A29" s="1059">
        <v>9</v>
      </c>
      <c r="B29" s="1050" t="s">
        <v>1421</v>
      </c>
      <c r="C29" s="1050" t="s">
        <v>25</v>
      </c>
      <c r="D29" s="1051">
        <f>CEILING(B14*B10/1.5,1)*G14*15/1000</f>
        <v>7.0460836966596858</v>
      </c>
    </row>
    <row r="30" spans="1:5" s="1244" customFormat="1" ht="18">
      <c r="A30" s="1245">
        <v>10</v>
      </c>
      <c r="B30" s="1246" t="s">
        <v>2609</v>
      </c>
      <c r="C30" s="1246" t="s">
        <v>21</v>
      </c>
      <c r="D30" s="1246">
        <f>(F13-PI()*1*1)*B10</f>
        <v>1865.3404016878785</v>
      </c>
    </row>
  </sheetData>
  <printOptions horizontalCentered="1"/>
  <pageMargins left="0.7" right="0.7" top="0.71" bottom="0.59" header="0.3" footer="0.16"/>
  <pageSetup paperSize="9" scale="94" fitToHeight="10" orientation="landscape"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2">
    <tabColor theme="4"/>
  </sheetPr>
  <dimension ref="A1:I30"/>
  <sheetViews>
    <sheetView workbookViewId="0"/>
  </sheetViews>
  <sheetFormatPr defaultColWidth="9.109375" defaultRowHeight="14.4"/>
  <cols>
    <col min="1" max="1" width="12.33203125" style="864" bestFit="1" customWidth="1"/>
    <col min="2" max="2" width="52.5546875" style="864" bestFit="1" customWidth="1"/>
    <col min="3" max="3" width="10.5546875" style="864" customWidth="1"/>
    <col min="4" max="4" width="7.88671875" style="864" bestFit="1" customWidth="1"/>
    <col min="5" max="6" width="9.109375" style="864"/>
    <col min="7" max="7" width="9.109375" style="864" customWidth="1"/>
    <col min="8" max="8" width="15.109375" style="864" customWidth="1"/>
    <col min="9" max="9" width="11.6640625" style="864" bestFit="1" customWidth="1"/>
    <col min="10" max="16384" width="9.109375" style="864"/>
  </cols>
  <sheetData>
    <row r="1" spans="1:9" s="520" customFormat="1" ht="19.2">
      <c r="A1" s="522"/>
      <c r="C1" s="523"/>
      <c r="D1" s="537"/>
      <c r="E1" s="1223"/>
      <c r="F1" s="1223"/>
      <c r="G1" s="523"/>
    </row>
    <row r="2" spans="1:9" s="520" customFormat="1" ht="19.2">
      <c r="A2" s="522"/>
      <c r="C2" s="523"/>
      <c r="D2" s="537"/>
      <c r="E2" s="1223"/>
      <c r="F2" s="1223"/>
      <c r="G2" s="523"/>
    </row>
    <row r="3" spans="1:9" s="520" customFormat="1" ht="19.2">
      <c r="A3" s="226" t="s">
        <v>0</v>
      </c>
      <c r="B3" s="1248" t="s">
        <v>2389</v>
      </c>
      <c r="C3" s="523"/>
      <c r="D3" s="537"/>
      <c r="E3" s="1223"/>
      <c r="F3" s="1223"/>
      <c r="G3" s="523"/>
    </row>
    <row r="4" spans="1:9" s="520" customFormat="1" ht="19.2">
      <c r="A4" s="119" t="s">
        <v>1</v>
      </c>
      <c r="B4" s="1248">
        <v>930100</v>
      </c>
      <c r="C4" s="523"/>
      <c r="D4" s="537"/>
      <c r="E4" s="1223"/>
      <c r="F4" s="1223"/>
      <c r="G4" s="523"/>
    </row>
    <row r="5" spans="1:9" s="520" customFormat="1" ht="19.2">
      <c r="A5" s="119" t="s">
        <v>2</v>
      </c>
      <c r="B5" s="1247" t="s">
        <v>331</v>
      </c>
      <c r="C5" s="523"/>
      <c r="D5" s="537"/>
      <c r="E5" s="1223"/>
      <c r="G5" s="1276" t="s">
        <v>1561</v>
      </c>
      <c r="H5" s="523" t="s">
        <v>1562</v>
      </c>
    </row>
    <row r="6" spans="1:9" s="520" customFormat="1" ht="19.2">
      <c r="A6" s="119" t="s">
        <v>3</v>
      </c>
      <c r="B6" s="1247" t="s">
        <v>1582</v>
      </c>
      <c r="C6" s="523"/>
      <c r="D6" s="537"/>
      <c r="E6" s="1223"/>
      <c r="G6" s="1276" t="s">
        <v>171</v>
      </c>
      <c r="H6" s="523" t="s">
        <v>1563</v>
      </c>
    </row>
    <row r="7" spans="1:9" s="520" customFormat="1" ht="19.2">
      <c r="A7" s="119" t="s">
        <v>4</v>
      </c>
      <c r="B7" s="1247"/>
      <c r="C7" s="523"/>
      <c r="D7" s="537"/>
      <c r="E7" s="1223"/>
      <c r="G7" s="1276" t="s">
        <v>106</v>
      </c>
      <c r="H7" s="1277">
        <f ca="1">TODAY()</f>
        <v>44942</v>
      </c>
    </row>
    <row r="8" spans="1:9" ht="16.8">
      <c r="A8" s="119"/>
      <c r="B8" s="52"/>
      <c r="C8" s="382"/>
      <c r="D8" s="19"/>
      <c r="E8" s="1003"/>
    </row>
    <row r="9" spans="1:9" ht="16.8">
      <c r="A9" s="119"/>
      <c r="B9" s="55"/>
      <c r="C9" s="382"/>
      <c r="D9" s="19"/>
      <c r="E9" s="1003"/>
    </row>
    <row r="10" spans="1:9" ht="33.6">
      <c r="A10" s="1026" t="s">
        <v>1353</v>
      </c>
      <c r="B10" s="1028">
        <v>216.22</v>
      </c>
      <c r="C10" s="1028" t="s">
        <v>27</v>
      </c>
      <c r="D10" s="1018"/>
      <c r="E10" s="1020"/>
      <c r="F10" s="1019"/>
      <c r="G10" s="1019"/>
      <c r="H10" s="1019"/>
      <c r="I10" s="1021"/>
    </row>
    <row r="11" spans="1:9" ht="50.4">
      <c r="A11" s="1026" t="s">
        <v>1530</v>
      </c>
      <c r="B11" s="1028">
        <v>3.2</v>
      </c>
      <c r="C11" s="1028" t="s">
        <v>27</v>
      </c>
      <c r="D11" s="1018"/>
      <c r="E11" s="1020"/>
      <c r="F11" s="1019"/>
      <c r="G11" s="1019"/>
      <c r="H11" s="1019"/>
      <c r="I11" s="1021"/>
    </row>
    <row r="12" spans="1:9" ht="73.5" customHeight="1">
      <c r="A12" s="14" t="s">
        <v>1354</v>
      </c>
      <c r="B12" s="1075" t="s">
        <v>1392</v>
      </c>
      <c r="C12" s="1118" t="s">
        <v>2565</v>
      </c>
      <c r="D12" s="1035" t="s">
        <v>1394</v>
      </c>
      <c r="E12" s="1035" t="s">
        <v>1357</v>
      </c>
      <c r="F12" s="1036" t="s">
        <v>1358</v>
      </c>
      <c r="G12" s="1036" t="s">
        <v>1359</v>
      </c>
      <c r="H12" s="1036" t="s">
        <v>1360</v>
      </c>
      <c r="I12" s="1042" t="s">
        <v>1361</v>
      </c>
    </row>
    <row r="13" spans="1:9" ht="16.8">
      <c r="A13" s="1026">
        <v>3</v>
      </c>
      <c r="B13" s="1119">
        <v>0.7</v>
      </c>
      <c r="C13" s="1027">
        <v>0.12</v>
      </c>
      <c r="D13" s="1038">
        <v>1.5</v>
      </c>
      <c r="E13" s="1038">
        <v>0</v>
      </c>
      <c r="F13" s="1039">
        <f>(($B$11+2*0.1)*($B$11/2))+(PI()*($B$11+0.2)^2/8)</f>
        <v>9.9796013844372524</v>
      </c>
      <c r="G13" s="1040">
        <f>(2*B11/2)+PI()*(B11+2*0.1)/2</f>
        <v>8.5407075111026494</v>
      </c>
      <c r="H13" s="1041">
        <v>0</v>
      </c>
      <c r="I13" s="1042">
        <v>0</v>
      </c>
    </row>
    <row r="14" spans="1:9" ht="16.8">
      <c r="A14" s="1026">
        <v>4</v>
      </c>
      <c r="B14" s="1119">
        <v>0.3</v>
      </c>
      <c r="C14" s="1027">
        <v>0.15</v>
      </c>
      <c r="D14" s="1038">
        <v>1.2</v>
      </c>
      <c r="E14" s="1038">
        <v>0</v>
      </c>
      <c r="F14" s="1039">
        <f>(($B$11+2*0.1)*($B$11/2))+(PI()*($B$11+0.2)^2/8)</f>
        <v>9.9796013844372524</v>
      </c>
      <c r="G14" s="1040">
        <f>(2*B11/2)+PI()*(B11+2*0.1)/2</f>
        <v>8.5407075111026494</v>
      </c>
      <c r="H14" s="1041"/>
      <c r="I14" s="1042"/>
    </row>
    <row r="18" spans="1:5" ht="16.8">
      <c r="A18" s="1045"/>
      <c r="B18" s="1120" t="s">
        <v>1369</v>
      </c>
      <c r="C18" s="1120" t="s">
        <v>117</v>
      </c>
      <c r="D18" s="1125"/>
    </row>
    <row r="19" spans="1:5" ht="16.8">
      <c r="A19" s="1042" t="s">
        <v>1370</v>
      </c>
      <c r="B19" s="1026" t="s">
        <v>1371</v>
      </c>
      <c r="C19" s="1026" t="s">
        <v>27</v>
      </c>
      <c r="D19" s="1038">
        <f>B10</f>
        <v>216.22</v>
      </c>
      <c r="E19" s="1126"/>
    </row>
    <row r="20" spans="1:5" ht="16.8">
      <c r="A20" s="1072">
        <v>1</v>
      </c>
      <c r="B20" s="1026" t="s">
        <v>804</v>
      </c>
      <c r="C20" s="1026" t="str">
        <f>C22</f>
        <v>m2</v>
      </c>
      <c r="D20" s="1038">
        <f>F13*D19</f>
        <v>2157.7894113430225</v>
      </c>
    </row>
    <row r="21" spans="1:5" ht="16.8">
      <c r="A21" s="1072"/>
      <c r="B21" s="1026" t="s">
        <v>2569</v>
      </c>
      <c r="C21" s="1026" t="s">
        <v>85</v>
      </c>
      <c r="D21" s="1038">
        <f>B13*D19*G13</f>
        <v>1292.6702446354302</v>
      </c>
    </row>
    <row r="22" spans="1:5" ht="16.8">
      <c r="A22" s="1028">
        <f>A20+1</f>
        <v>2</v>
      </c>
      <c r="B22" s="1026" t="s">
        <v>2568</v>
      </c>
      <c r="C22" s="1026" t="s">
        <v>85</v>
      </c>
      <c r="D22" s="1038">
        <f>B14*G14*D19</f>
        <v>554.00153341518444</v>
      </c>
    </row>
    <row r="23" spans="1:5" s="1127" customFormat="1" ht="16.8">
      <c r="A23" s="1059">
        <f t="shared" ref="A23:A26" si="0">A22+1</f>
        <v>3</v>
      </c>
      <c r="B23" s="1050" t="s">
        <v>1418</v>
      </c>
      <c r="C23" s="1050" t="s">
        <v>85</v>
      </c>
      <c r="D23" s="1051">
        <f>G13*B10*0.1</f>
        <v>184.6671778050615</v>
      </c>
    </row>
    <row r="24" spans="1:5" s="1127" customFormat="1" ht="16.8">
      <c r="A24" s="1059">
        <f>A23+1</f>
        <v>4</v>
      </c>
      <c r="B24" s="1050" t="s">
        <v>2566</v>
      </c>
      <c r="C24" s="1050" t="s">
        <v>307</v>
      </c>
      <c r="D24" s="1128">
        <f>CEILING(B13*(G13/D13)*B10/D13,1)+CEILING(B14*(G14/D14)*B10/D14,1)</f>
        <v>960</v>
      </c>
    </row>
    <row r="25" spans="1:5" ht="16.8">
      <c r="A25" s="1028">
        <f t="shared" si="0"/>
        <v>5</v>
      </c>
      <c r="B25" s="1026" t="s">
        <v>1376</v>
      </c>
      <c r="C25" s="1026" t="s">
        <v>307</v>
      </c>
      <c r="D25" s="1038">
        <f>CEILING((PI()*B11/(2*0.4))*(B14*B10)/(4*COS(RADIANS(10))),1)</f>
        <v>207</v>
      </c>
    </row>
    <row r="26" spans="1:5" ht="16.8">
      <c r="A26" s="1028">
        <f t="shared" si="0"/>
        <v>6</v>
      </c>
      <c r="B26" s="1026" t="s">
        <v>1378</v>
      </c>
      <c r="C26" s="1026" t="s">
        <v>85</v>
      </c>
      <c r="D26" s="1038">
        <f>D19*(B11+2*C13)</f>
        <v>743.79680000000008</v>
      </c>
    </row>
    <row r="27" spans="1:5" ht="16.8">
      <c r="A27" s="1028">
        <v>7</v>
      </c>
      <c r="B27" s="1026" t="s">
        <v>2570</v>
      </c>
      <c r="C27" s="1026" t="s">
        <v>21</v>
      </c>
      <c r="D27" s="1038">
        <f>B14*B10*B11*0.2</f>
        <v>41.514240000000001</v>
      </c>
    </row>
    <row r="28" spans="1:5" ht="16.8">
      <c r="A28" s="1028">
        <v>8</v>
      </c>
      <c r="B28" s="1026" t="s">
        <v>1420</v>
      </c>
      <c r="C28" s="1026" t="s">
        <v>322</v>
      </c>
      <c r="D28" s="1038">
        <f>D27*0.5%</f>
        <v>0.20757120000000001</v>
      </c>
    </row>
    <row r="29" spans="1:5" s="1127" customFormat="1" ht="16.8">
      <c r="A29" s="1059">
        <v>9</v>
      </c>
      <c r="B29" s="1050" t="s">
        <v>1421</v>
      </c>
      <c r="C29" s="1050" t="s">
        <v>25</v>
      </c>
      <c r="D29" s="1051">
        <f>CEILING(B14*B10/1.5,1)*G14*15/1000</f>
        <v>5.6368669573277481</v>
      </c>
    </row>
    <row r="30" spans="1:5" s="1244" customFormat="1" ht="18">
      <c r="A30" s="1245">
        <v>10</v>
      </c>
      <c r="B30" s="1246" t="s">
        <v>2609</v>
      </c>
      <c r="C30" s="1246" t="s">
        <v>21</v>
      </c>
      <c r="D30" s="1246">
        <f>(F13-PI()*1*1)*B10</f>
        <v>1478.5142477838376</v>
      </c>
    </row>
  </sheetData>
  <printOptions horizontalCentered="1"/>
  <pageMargins left="0.7" right="0.7" top="0.71" bottom="0.59" header="0.3" footer="0.16"/>
  <pageSetup paperSize="9" scale="94" fitToHeight="10" orientation="landscape"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3">
    <tabColor rgb="FFFFFF00"/>
  </sheetPr>
  <dimension ref="A1:I30"/>
  <sheetViews>
    <sheetView workbookViewId="0"/>
  </sheetViews>
  <sheetFormatPr defaultColWidth="9.109375" defaultRowHeight="14.4"/>
  <cols>
    <col min="1" max="1" width="12.33203125" style="864" bestFit="1" customWidth="1"/>
    <col min="2" max="2" width="52.5546875" style="864" bestFit="1" customWidth="1"/>
    <col min="3" max="3" width="10.5546875" style="864" customWidth="1"/>
    <col min="4" max="4" width="7.88671875" style="864" bestFit="1" customWidth="1"/>
    <col min="5" max="6" width="9.109375" style="864"/>
    <col min="7" max="7" width="9.109375" style="864" customWidth="1"/>
    <col min="8" max="8" width="15.109375" style="864" customWidth="1"/>
    <col min="9" max="9" width="11.6640625" style="864" bestFit="1" customWidth="1"/>
    <col min="10" max="16384" width="9.109375" style="864"/>
  </cols>
  <sheetData>
    <row r="1" spans="1:9" s="520" customFormat="1" ht="19.2">
      <c r="A1" s="522"/>
      <c r="C1" s="523"/>
      <c r="D1" s="537"/>
      <c r="E1" s="1223"/>
      <c r="F1" s="1223"/>
      <c r="G1" s="523"/>
    </row>
    <row r="2" spans="1:9" s="520" customFormat="1" ht="19.2">
      <c r="A2" s="522"/>
      <c r="C2" s="523"/>
      <c r="D2" s="537"/>
      <c r="E2" s="1223"/>
      <c r="F2" s="1223"/>
      <c r="G2" s="523"/>
    </row>
    <row r="3" spans="1:9" s="520" customFormat="1" ht="19.2">
      <c r="A3" s="226" t="s">
        <v>0</v>
      </c>
      <c r="B3" s="1248" t="s">
        <v>2389</v>
      </c>
      <c r="C3" s="523"/>
      <c r="D3" s="537"/>
      <c r="E3" s="1223"/>
      <c r="F3" s="1223"/>
      <c r="G3" s="523"/>
    </row>
    <row r="4" spans="1:9" s="520" customFormat="1" ht="19.2">
      <c r="A4" s="119" t="s">
        <v>1</v>
      </c>
      <c r="B4" s="1248">
        <v>930100</v>
      </c>
      <c r="C4" s="523"/>
      <c r="D4" s="537"/>
      <c r="E4" s="1223"/>
      <c r="F4" s="1223"/>
      <c r="G4" s="523"/>
    </row>
    <row r="5" spans="1:9" s="520" customFormat="1" ht="19.2">
      <c r="A5" s="119" t="s">
        <v>2</v>
      </c>
      <c r="B5" s="1247" t="s">
        <v>331</v>
      </c>
      <c r="C5" s="523"/>
      <c r="D5" s="537"/>
      <c r="E5" s="1223"/>
      <c r="G5" s="1276" t="s">
        <v>1561</v>
      </c>
      <c r="H5" s="523" t="s">
        <v>1562</v>
      </c>
    </row>
    <row r="6" spans="1:9" s="520" customFormat="1" ht="19.2">
      <c r="A6" s="119" t="s">
        <v>3</v>
      </c>
      <c r="B6" s="1247" t="s">
        <v>1582</v>
      </c>
      <c r="C6" s="523"/>
      <c r="D6" s="537"/>
      <c r="E6" s="1223"/>
      <c r="G6" s="1276" t="s">
        <v>171</v>
      </c>
      <c r="H6" s="523" t="s">
        <v>1563</v>
      </c>
    </row>
    <row r="7" spans="1:9" s="520" customFormat="1" ht="19.2">
      <c r="A7" s="119" t="s">
        <v>4</v>
      </c>
      <c r="B7" s="1247"/>
      <c r="C7" s="523"/>
      <c r="D7" s="537"/>
      <c r="E7" s="1223"/>
      <c r="G7" s="1276" t="s">
        <v>106</v>
      </c>
      <c r="H7" s="1277">
        <f ca="1">TODAY()</f>
        <v>44942</v>
      </c>
    </row>
    <row r="8" spans="1:9" ht="16.8">
      <c r="A8" s="119"/>
      <c r="B8" s="52"/>
      <c r="C8" s="382"/>
      <c r="D8" s="19"/>
      <c r="E8" s="1003"/>
    </row>
    <row r="9" spans="1:9" ht="16.8">
      <c r="A9" s="119"/>
      <c r="B9" s="55"/>
      <c r="C9" s="382"/>
      <c r="D9" s="19"/>
      <c r="E9" s="1003"/>
    </row>
    <row r="10" spans="1:9" ht="33.6">
      <c r="A10" s="1026" t="s">
        <v>1353</v>
      </c>
      <c r="B10" s="1028">
        <v>147.71</v>
      </c>
      <c r="C10" s="1028" t="s">
        <v>27</v>
      </c>
      <c r="D10" s="1018"/>
      <c r="E10" s="1020"/>
      <c r="F10" s="1019"/>
      <c r="G10" s="1019"/>
      <c r="H10" s="1019"/>
      <c r="I10" s="1021"/>
    </row>
    <row r="11" spans="1:9" ht="50.4">
      <c r="A11" s="1026" t="s">
        <v>1530</v>
      </c>
      <c r="B11" s="1028">
        <v>3.2</v>
      </c>
      <c r="C11" s="1028" t="s">
        <v>27</v>
      </c>
      <c r="D11" s="1018"/>
      <c r="E11" s="1020"/>
      <c r="F11" s="1019"/>
      <c r="G11" s="1019"/>
      <c r="H11" s="1019"/>
      <c r="I11" s="1021"/>
    </row>
    <row r="12" spans="1:9" ht="73.5" customHeight="1">
      <c r="A12" s="14" t="s">
        <v>1354</v>
      </c>
      <c r="B12" s="1075" t="s">
        <v>1392</v>
      </c>
      <c r="C12" s="1118" t="s">
        <v>2565</v>
      </c>
      <c r="D12" s="1035" t="s">
        <v>1394</v>
      </c>
      <c r="E12" s="1035" t="s">
        <v>1357</v>
      </c>
      <c r="F12" s="1036" t="s">
        <v>1358</v>
      </c>
      <c r="G12" s="1036" t="s">
        <v>1359</v>
      </c>
      <c r="H12" s="1036" t="s">
        <v>1360</v>
      </c>
      <c r="I12" s="1042" t="s">
        <v>1361</v>
      </c>
    </row>
    <row r="13" spans="1:9" ht="16.8">
      <c r="A13" s="1026">
        <v>3</v>
      </c>
      <c r="B13" s="1119">
        <v>0.7</v>
      </c>
      <c r="C13" s="1027">
        <v>0.12</v>
      </c>
      <c r="D13" s="1038">
        <v>1.5</v>
      </c>
      <c r="E13" s="1038">
        <v>0</v>
      </c>
      <c r="F13" s="1039">
        <f>(($B$11+2*0.1)*($B$11/2))+(PI()*($B$11+0.2)^2/8)</f>
        <v>9.9796013844372524</v>
      </c>
      <c r="G13" s="1040">
        <f>(2*B11/2)+PI()*(B11+2*0.1)/2</f>
        <v>8.5407075111026494</v>
      </c>
      <c r="H13" s="1041">
        <v>0</v>
      </c>
      <c r="I13" s="1042">
        <v>0</v>
      </c>
    </row>
    <row r="14" spans="1:9" ht="16.8">
      <c r="A14" s="1026">
        <v>4</v>
      </c>
      <c r="B14" s="1119">
        <v>0.3</v>
      </c>
      <c r="C14" s="1027">
        <v>0.15</v>
      </c>
      <c r="D14" s="1038">
        <v>1.2</v>
      </c>
      <c r="E14" s="1038">
        <v>0</v>
      </c>
      <c r="F14" s="1039">
        <f>(($B$11+2*0.1)*($B$11/2))+(PI()*($B$11+0.2)^2/8)</f>
        <v>9.9796013844372524</v>
      </c>
      <c r="G14" s="1040">
        <f>(2*B11/2)+PI()*(B11+2*0.1)/2</f>
        <v>8.5407075111026494</v>
      </c>
      <c r="H14" s="1041"/>
      <c r="I14" s="1042"/>
    </row>
    <row r="18" spans="1:5" ht="16.8">
      <c r="A18" s="1045"/>
      <c r="B18" s="1120" t="s">
        <v>1369</v>
      </c>
      <c r="C18" s="1120" t="s">
        <v>117</v>
      </c>
      <c r="D18" s="1125"/>
    </row>
    <row r="19" spans="1:5" ht="16.8">
      <c r="A19" s="1042" t="s">
        <v>1370</v>
      </c>
      <c r="B19" s="1026" t="s">
        <v>1371</v>
      </c>
      <c r="C19" s="1026" t="s">
        <v>27</v>
      </c>
      <c r="D19" s="1038">
        <f>B10</f>
        <v>147.71</v>
      </c>
      <c r="E19" s="1126"/>
    </row>
    <row r="20" spans="1:5" ht="16.8">
      <c r="A20" s="1072">
        <v>1</v>
      </c>
      <c r="B20" s="1026" t="s">
        <v>804</v>
      </c>
      <c r="C20" s="1026" t="str">
        <f>C22</f>
        <v>m2</v>
      </c>
      <c r="D20" s="1038">
        <f>F13*D19</f>
        <v>1474.0869204952267</v>
      </c>
    </row>
    <row r="21" spans="1:5" ht="16.8">
      <c r="A21" s="1072"/>
      <c r="B21" s="1026" t="s">
        <v>2569</v>
      </c>
      <c r="C21" s="1026" t="s">
        <v>85</v>
      </c>
      <c r="D21" s="1038">
        <f>B13*D19*G13</f>
        <v>883.08353452548067</v>
      </c>
    </row>
    <row r="22" spans="1:5" ht="16.8">
      <c r="A22" s="1028">
        <f>A20+1</f>
        <v>2</v>
      </c>
      <c r="B22" s="1026" t="s">
        <v>2568</v>
      </c>
      <c r="C22" s="1026" t="s">
        <v>85</v>
      </c>
      <c r="D22" s="1038">
        <f>B14*G14*D19</f>
        <v>378.46437193949168</v>
      </c>
    </row>
    <row r="23" spans="1:5" s="1127" customFormat="1" ht="16.8">
      <c r="A23" s="1059">
        <f t="shared" ref="A23:A26" si="0">A22+1</f>
        <v>3</v>
      </c>
      <c r="B23" s="1050" t="s">
        <v>1418</v>
      </c>
      <c r="C23" s="1050" t="s">
        <v>85</v>
      </c>
      <c r="D23" s="1051">
        <f>G13*B10*0.1</f>
        <v>126.15479064649725</v>
      </c>
    </row>
    <row r="24" spans="1:5" s="1127" customFormat="1" ht="16.8">
      <c r="A24" s="1059">
        <f t="shared" si="0"/>
        <v>4</v>
      </c>
      <c r="B24" s="1050" t="s">
        <v>2566</v>
      </c>
      <c r="C24" s="1050" t="s">
        <v>307</v>
      </c>
      <c r="D24" s="1128">
        <f>CEILING(B13*(G13/D13)*B10/D13,1)+CEILING(B14*(G14/D14)*B10/D14,1)</f>
        <v>656</v>
      </c>
    </row>
    <row r="25" spans="1:5" ht="16.8">
      <c r="A25" s="1028">
        <f t="shared" si="0"/>
        <v>5</v>
      </c>
      <c r="B25" s="1026" t="s">
        <v>1376</v>
      </c>
      <c r="C25" s="1026" t="s">
        <v>27</v>
      </c>
      <c r="D25" s="1038">
        <f>CEILING((PI()*B11/(2*0.4))*(B10*B14)/(4*COS(RADIANS(10))),1)</f>
        <v>142</v>
      </c>
    </row>
    <row r="26" spans="1:5" ht="16.8">
      <c r="A26" s="1028">
        <f t="shared" si="0"/>
        <v>6</v>
      </c>
      <c r="B26" s="1026" t="s">
        <v>1378</v>
      </c>
      <c r="C26" s="1026" t="s">
        <v>85</v>
      </c>
      <c r="D26" s="1038">
        <f>D19*(B11+2*C13)</f>
        <v>508.12240000000008</v>
      </c>
    </row>
    <row r="27" spans="1:5" ht="16.8">
      <c r="A27" s="1028">
        <v>7</v>
      </c>
      <c r="B27" s="1026" t="s">
        <v>2570</v>
      </c>
      <c r="C27" s="1026" t="s">
        <v>21</v>
      </c>
      <c r="D27" s="1038">
        <f>0.2*B14*B10*B11</f>
        <v>28.360320000000002</v>
      </c>
    </row>
    <row r="28" spans="1:5" ht="16.8">
      <c r="A28" s="1028">
        <v>8</v>
      </c>
      <c r="B28" s="1026" t="s">
        <v>1420</v>
      </c>
      <c r="C28" s="1026" t="s">
        <v>322</v>
      </c>
      <c r="D28" s="1038">
        <f>D27*0.5%</f>
        <v>0.1418016</v>
      </c>
    </row>
    <row r="29" spans="1:5" s="1127" customFormat="1" ht="16.8">
      <c r="A29" s="1059">
        <v>9</v>
      </c>
      <c r="B29" s="1050" t="s">
        <v>1421</v>
      </c>
      <c r="C29" s="1050" t="s">
        <v>25</v>
      </c>
      <c r="D29" s="1051">
        <f>CEILING(B14*B10/1.5,1)*G14*15/1000</f>
        <v>3.8433183799961923</v>
      </c>
    </row>
    <row r="30" spans="1:5" s="1244" customFormat="1" ht="18">
      <c r="A30" s="1245">
        <v>10</v>
      </c>
      <c r="B30" s="1246" t="s">
        <v>2609</v>
      </c>
      <c r="C30" s="1246" t="s">
        <v>21</v>
      </c>
      <c r="D30" s="1246">
        <f>(F13-PI()*1*1)*B10</f>
        <v>1010.0422696334782</v>
      </c>
    </row>
  </sheetData>
  <printOptions horizontalCentered="1"/>
  <pageMargins left="0.7" right="0.7" top="0.71" bottom="0.59" header="0.3" footer="0.16"/>
  <pageSetup paperSize="9" scale="94" fitToHeight="10" orientation="landscape" r:id="rId1"/>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8">
    <tabColor rgb="FF7030A0"/>
    <pageSetUpPr fitToPage="1"/>
  </sheetPr>
  <dimension ref="A1:Z972"/>
  <sheetViews>
    <sheetView workbookViewId="0"/>
  </sheetViews>
  <sheetFormatPr defaultColWidth="14.44140625" defaultRowHeight="15" customHeight="1"/>
  <cols>
    <col min="1" max="1" width="12.5546875" style="1131" customWidth="1"/>
    <col min="2" max="2" width="27.5546875" style="1131" customWidth="1"/>
    <col min="3" max="4" width="9.109375" style="1131" customWidth="1"/>
    <col min="5" max="5" width="9.88671875" style="1131" customWidth="1"/>
    <col min="6" max="6" width="10.109375" style="1131" customWidth="1"/>
    <col min="7" max="8" width="9.109375" style="1131" customWidth="1"/>
    <col min="9" max="9" width="12" style="1131" customWidth="1"/>
    <col min="10" max="10" width="13" style="1131" customWidth="1"/>
    <col min="11" max="11" width="11.6640625" style="1131" customWidth="1"/>
    <col min="12" max="12" width="10.6640625" style="1131" bestFit="1" customWidth="1"/>
    <col min="13" max="13" width="15.33203125" style="1131" bestFit="1" customWidth="1"/>
    <col min="14" max="26" width="9.109375" style="1131" customWidth="1"/>
    <col min="27" max="16384" width="14.44140625" style="1131"/>
  </cols>
  <sheetData>
    <row r="1" spans="1:26" s="1282" customFormat="1" ht="19.2">
      <c r="A1" s="1281"/>
      <c r="C1" s="1283"/>
      <c r="D1" s="1284"/>
      <c r="E1" s="1285"/>
      <c r="F1" s="1285"/>
      <c r="G1" s="1283"/>
    </row>
    <row r="2" spans="1:26" s="1282" customFormat="1" ht="19.2">
      <c r="A2" s="1281"/>
      <c r="C2" s="1283"/>
      <c r="D2" s="1284"/>
      <c r="E2" s="1285"/>
      <c r="F2" s="1285"/>
      <c r="G2" s="1283"/>
    </row>
    <row r="3" spans="1:26" s="1282" customFormat="1" ht="19.2">
      <c r="A3" s="226" t="s">
        <v>0</v>
      </c>
      <c r="B3" s="1248" t="s">
        <v>1564</v>
      </c>
      <c r="C3" s="1283"/>
      <c r="D3" s="1284"/>
      <c r="E3" s="1285"/>
      <c r="F3" s="1285"/>
      <c r="G3" s="1283"/>
    </row>
    <row r="4" spans="1:26" s="1282" customFormat="1" ht="19.2">
      <c r="A4" s="119" t="s">
        <v>1</v>
      </c>
      <c r="B4" s="1248">
        <v>930100</v>
      </c>
      <c r="C4" s="1283"/>
      <c r="D4" s="1284"/>
      <c r="E4" s="1285"/>
      <c r="F4" s="1285"/>
      <c r="G4" s="1283"/>
    </row>
    <row r="5" spans="1:26" s="1282" customFormat="1" ht="19.2">
      <c r="A5" s="119" t="s">
        <v>2</v>
      </c>
      <c r="B5" s="1247" t="s">
        <v>331</v>
      </c>
      <c r="C5" s="1283"/>
      <c r="D5" s="1284"/>
      <c r="E5" s="1285"/>
      <c r="I5" s="1286" t="s">
        <v>1561</v>
      </c>
      <c r="J5" s="1283" t="s">
        <v>1566</v>
      </c>
    </row>
    <row r="6" spans="1:26" s="1282" customFormat="1" ht="19.2">
      <c r="A6" s="119" t="s">
        <v>3</v>
      </c>
      <c r="B6" s="1247" t="s">
        <v>1569</v>
      </c>
      <c r="C6" s="1283"/>
      <c r="D6" s="1284"/>
      <c r="E6" s="1285"/>
      <c r="I6" s="1286" t="s">
        <v>171</v>
      </c>
      <c r="J6" s="1283" t="s">
        <v>1563</v>
      </c>
    </row>
    <row r="7" spans="1:26" s="1282" customFormat="1" ht="19.2">
      <c r="A7" s="119" t="s">
        <v>4</v>
      </c>
      <c r="B7" s="1247"/>
      <c r="C7" s="1283"/>
      <c r="D7" s="1284"/>
      <c r="E7" s="1285"/>
      <c r="I7" s="1286" t="s">
        <v>106</v>
      </c>
      <c r="J7" s="1287">
        <f ca="1">TODAY()</f>
        <v>44942</v>
      </c>
    </row>
    <row r="8" spans="1:26" ht="16.8">
      <c r="A8" s="4"/>
      <c r="B8" s="55"/>
      <c r="C8" s="19"/>
      <c r="D8" s="19"/>
      <c r="E8" s="20"/>
      <c r="F8" s="1130"/>
      <c r="G8" s="1130"/>
      <c r="H8" s="1130"/>
      <c r="I8" s="1130"/>
      <c r="J8" s="1130"/>
      <c r="K8" s="1130"/>
      <c r="L8" s="1130"/>
      <c r="M8" s="1130"/>
      <c r="N8" s="1130"/>
      <c r="O8" s="1130"/>
      <c r="P8" s="1130"/>
      <c r="Q8" s="1130"/>
      <c r="R8" s="1130"/>
      <c r="S8" s="1130"/>
      <c r="T8" s="1130"/>
      <c r="U8" s="1130"/>
      <c r="V8" s="1130"/>
      <c r="W8" s="1130"/>
      <c r="X8" s="1130"/>
      <c r="Y8" s="1130"/>
      <c r="Z8" s="1130"/>
    </row>
    <row r="9" spans="1:26" ht="13.2">
      <c r="A9" s="1196" t="s">
        <v>332</v>
      </c>
      <c r="B9" s="1196" t="s">
        <v>8</v>
      </c>
      <c r="C9" s="1196" t="s">
        <v>9</v>
      </c>
      <c r="D9" s="1196" t="s">
        <v>333</v>
      </c>
      <c r="E9" s="1196" t="s">
        <v>11</v>
      </c>
      <c r="F9" s="1196" t="s">
        <v>12</v>
      </c>
      <c r="G9" s="1196" t="s">
        <v>13</v>
      </c>
      <c r="H9" s="1196" t="s">
        <v>15</v>
      </c>
      <c r="I9" s="1196" t="s">
        <v>14</v>
      </c>
      <c r="J9" s="1196" t="s">
        <v>16</v>
      </c>
      <c r="K9" s="1225" t="s">
        <v>17</v>
      </c>
      <c r="L9" s="1226" t="s">
        <v>1233</v>
      </c>
      <c r="M9" s="1226" t="s">
        <v>1234</v>
      </c>
      <c r="N9" s="1130"/>
      <c r="O9" s="1130"/>
      <c r="P9" s="1130"/>
      <c r="Q9" s="1130"/>
      <c r="R9" s="1130"/>
      <c r="S9" s="1130"/>
      <c r="T9" s="1130"/>
      <c r="U9" s="1130"/>
      <c r="V9" s="1130"/>
      <c r="W9" s="1130"/>
      <c r="X9" s="1130"/>
      <c r="Y9" s="1130"/>
      <c r="Z9" s="1130"/>
    </row>
    <row r="10" spans="1:26" ht="13.2">
      <c r="A10" s="1174">
        <v>1</v>
      </c>
      <c r="B10" s="1175" t="s">
        <v>18</v>
      </c>
      <c r="C10" s="1174" t="s">
        <v>85</v>
      </c>
      <c r="D10" s="1174"/>
      <c r="E10" s="1174">
        <v>19.667000000000002</v>
      </c>
      <c r="F10" s="1174">
        <f>2*3.8</f>
        <v>7.6</v>
      </c>
      <c r="G10" s="1174"/>
      <c r="H10" s="1174">
        <f>E10*F10</f>
        <v>149.4692</v>
      </c>
      <c r="I10" s="1174"/>
      <c r="J10" s="1176">
        <f>H10</f>
        <v>149.4692</v>
      </c>
      <c r="K10" s="1211"/>
      <c r="L10" s="1206"/>
      <c r="M10" s="1206"/>
      <c r="N10" s="1130"/>
      <c r="O10" s="1130"/>
      <c r="P10" s="1130"/>
      <c r="Q10" s="1130"/>
      <c r="R10" s="1130"/>
      <c r="S10" s="1130"/>
      <c r="T10" s="1130"/>
      <c r="U10" s="1130"/>
      <c r="V10" s="1130"/>
      <c r="W10" s="1130"/>
      <c r="X10" s="1130"/>
      <c r="Y10" s="1130"/>
      <c r="Z10" s="1130"/>
    </row>
    <row r="11" spans="1:26" ht="13.2">
      <c r="A11" s="1156"/>
      <c r="B11" s="1156"/>
      <c r="C11" s="1156"/>
      <c r="D11" s="1156"/>
      <c r="E11" s="1156"/>
      <c r="F11" s="1156"/>
      <c r="G11" s="1156"/>
      <c r="H11" s="1156"/>
      <c r="I11" s="1166" t="s">
        <v>439</v>
      </c>
      <c r="J11" s="1150">
        <f>SUM(J8:J10)</f>
        <v>149.4692</v>
      </c>
      <c r="K11" s="1212"/>
      <c r="L11" s="1206">
        <v>40.5</v>
      </c>
      <c r="M11" s="1304">
        <f>L11*J11</f>
        <v>6053.5025999999998</v>
      </c>
      <c r="N11" s="1130"/>
      <c r="O11" s="1130"/>
      <c r="P11" s="1130"/>
      <c r="Q11" s="1130"/>
      <c r="R11" s="1130"/>
      <c r="S11" s="1130"/>
      <c r="T11" s="1130"/>
      <c r="U11" s="1130"/>
      <c r="V11" s="1130"/>
      <c r="W11" s="1130"/>
      <c r="X11" s="1130"/>
      <c r="Y11" s="1130"/>
      <c r="Z11" s="1130"/>
    </row>
    <row r="12" spans="1:26" ht="13.2">
      <c r="A12" s="1177">
        <v>2</v>
      </c>
      <c r="B12" s="1178" t="s">
        <v>766</v>
      </c>
      <c r="C12" s="1179" t="s">
        <v>306</v>
      </c>
      <c r="D12" s="1179"/>
      <c r="E12" s="1179"/>
      <c r="F12" s="1179"/>
      <c r="G12" s="1179"/>
      <c r="H12" s="1179"/>
      <c r="I12" s="1179"/>
      <c r="J12" s="1179"/>
      <c r="K12" s="1213"/>
      <c r="L12" s="1206"/>
      <c r="M12" s="1304"/>
      <c r="N12" s="1130"/>
      <c r="O12" s="1130"/>
      <c r="P12" s="1130"/>
      <c r="Q12" s="1130"/>
      <c r="R12" s="1130"/>
      <c r="S12" s="1130"/>
      <c r="T12" s="1130"/>
      <c r="U12" s="1130"/>
      <c r="V12" s="1130"/>
      <c r="W12" s="1130"/>
      <c r="X12" s="1130"/>
      <c r="Y12" s="1130"/>
      <c r="Z12" s="1130"/>
    </row>
    <row r="13" spans="1:26" ht="13.2">
      <c r="A13" s="1160"/>
      <c r="B13" s="1159" t="s">
        <v>1592</v>
      </c>
      <c r="C13" s="1161"/>
      <c r="D13" s="1161">
        <v>1</v>
      </c>
      <c r="E13" s="1162">
        <v>25.667000000000002</v>
      </c>
      <c r="F13" s="1162"/>
      <c r="G13" s="1162"/>
      <c r="H13" s="1162">
        <v>43.356999999999999</v>
      </c>
      <c r="I13" s="1162"/>
      <c r="J13" s="1163">
        <f>D13*E13*H13</f>
        <v>1112.8441190000001</v>
      </c>
      <c r="K13" s="1214"/>
      <c r="L13" s="1206"/>
      <c r="M13" s="1304"/>
      <c r="N13" s="1130"/>
      <c r="O13" s="1130"/>
      <c r="P13" s="1130"/>
      <c r="Q13" s="1130"/>
      <c r="R13" s="1130"/>
      <c r="S13" s="1130"/>
      <c r="T13" s="1130"/>
      <c r="U13" s="1130"/>
      <c r="V13" s="1130"/>
      <c r="W13" s="1130"/>
      <c r="X13" s="1130"/>
      <c r="Y13" s="1130"/>
      <c r="Z13" s="1130"/>
    </row>
    <row r="14" spans="1:26" ht="13.2">
      <c r="A14" s="1160"/>
      <c r="B14" s="1159"/>
      <c r="C14" s="1159"/>
      <c r="D14" s="1161"/>
      <c r="E14" s="1159"/>
      <c r="F14" s="1159"/>
      <c r="G14" s="1159"/>
      <c r="H14" s="1159"/>
      <c r="I14" s="1166" t="s">
        <v>439</v>
      </c>
      <c r="J14" s="1150">
        <f>SUM(J13:J13)</f>
        <v>1112.8441190000001</v>
      </c>
      <c r="K14" s="1214"/>
      <c r="L14" s="1206"/>
      <c r="M14" s="1304"/>
      <c r="N14" s="1130"/>
      <c r="O14" s="1130"/>
      <c r="P14" s="1130"/>
      <c r="Q14" s="1130"/>
      <c r="R14" s="1130"/>
      <c r="S14" s="1130"/>
      <c r="T14" s="1130"/>
      <c r="U14" s="1130"/>
      <c r="V14" s="1130"/>
      <c r="W14" s="1130"/>
      <c r="X14" s="1130"/>
      <c r="Y14" s="1130"/>
      <c r="Z14" s="1130"/>
    </row>
    <row r="15" spans="1:26" ht="13.2">
      <c r="A15" s="1160"/>
      <c r="B15" s="1159"/>
      <c r="C15" s="1159"/>
      <c r="D15" s="1161"/>
      <c r="E15" s="1159"/>
      <c r="F15" s="1159"/>
      <c r="G15" s="1159"/>
      <c r="H15" s="1159"/>
      <c r="I15" s="1198" t="s">
        <v>1494</v>
      </c>
      <c r="J15" s="1163">
        <f>0.65*J14</f>
        <v>723.34867735000012</v>
      </c>
      <c r="K15" s="1214"/>
      <c r="L15" s="1206">
        <v>320</v>
      </c>
      <c r="M15" s="1304">
        <f>L15*J15</f>
        <v>231471.57675200002</v>
      </c>
      <c r="N15" s="1130"/>
      <c r="O15" s="1130"/>
      <c r="P15" s="1130"/>
      <c r="Q15" s="1130"/>
      <c r="R15" s="1130"/>
      <c r="S15" s="1130"/>
      <c r="T15" s="1130"/>
      <c r="U15" s="1130"/>
      <c r="V15" s="1130"/>
      <c r="W15" s="1130"/>
      <c r="X15" s="1130"/>
      <c r="Y15" s="1130"/>
      <c r="Z15" s="1130"/>
    </row>
    <row r="16" spans="1:26" ht="13.2">
      <c r="A16" s="1160"/>
      <c r="B16" s="1159"/>
      <c r="C16" s="1159"/>
      <c r="D16" s="1161"/>
      <c r="E16" s="1159"/>
      <c r="F16" s="1159"/>
      <c r="G16" s="1159"/>
      <c r="H16" s="1159"/>
      <c r="I16" s="1198" t="s">
        <v>1495</v>
      </c>
      <c r="J16" s="1163">
        <f>0.35*J14</f>
        <v>389.49544165000003</v>
      </c>
      <c r="K16" s="1214"/>
      <c r="L16" s="1206">
        <v>1350</v>
      </c>
      <c r="M16" s="1304">
        <f>L16*J16</f>
        <v>525818.84622750001</v>
      </c>
      <c r="N16" s="1130"/>
      <c r="O16" s="1130"/>
      <c r="P16" s="1130"/>
      <c r="Q16" s="1130"/>
      <c r="R16" s="1130"/>
      <c r="S16" s="1130"/>
      <c r="T16" s="1130"/>
      <c r="U16" s="1130"/>
      <c r="V16" s="1130"/>
      <c r="W16" s="1130"/>
      <c r="X16" s="1130"/>
      <c r="Y16" s="1130"/>
      <c r="Z16" s="1130"/>
    </row>
    <row r="17" spans="1:26" ht="13.2">
      <c r="A17" s="1160"/>
      <c r="B17" s="1159"/>
      <c r="C17" s="1159"/>
      <c r="D17" s="1159"/>
      <c r="E17" s="1159"/>
      <c r="F17" s="1159"/>
      <c r="G17" s="1159"/>
      <c r="H17" s="1159"/>
      <c r="K17" s="1214"/>
      <c r="L17" s="1206"/>
      <c r="M17" s="1304"/>
      <c r="N17" s="1130"/>
      <c r="O17" s="1130"/>
      <c r="P17" s="1130"/>
      <c r="Q17" s="1130"/>
      <c r="R17" s="1130"/>
      <c r="S17" s="1130"/>
      <c r="T17" s="1130"/>
      <c r="U17" s="1130"/>
      <c r="V17" s="1130"/>
      <c r="W17" s="1130"/>
      <c r="X17" s="1130"/>
      <c r="Y17" s="1130"/>
      <c r="Z17" s="1130"/>
    </row>
    <row r="18" spans="1:26" ht="13.2">
      <c r="A18" s="1177">
        <v>3</v>
      </c>
      <c r="B18" s="1178" t="s">
        <v>422</v>
      </c>
      <c r="C18" s="1179" t="s">
        <v>306</v>
      </c>
      <c r="D18" s="1179"/>
      <c r="E18" s="1179"/>
      <c r="F18" s="1179"/>
      <c r="G18" s="1179"/>
      <c r="H18" s="1179"/>
      <c r="I18" s="1178"/>
      <c r="J18" s="1197"/>
      <c r="K18" s="1213"/>
      <c r="L18" s="1206"/>
      <c r="M18" s="1304"/>
      <c r="N18" s="1130"/>
      <c r="O18" s="1130"/>
      <c r="P18" s="1130"/>
      <c r="Q18" s="1130"/>
      <c r="R18" s="1130"/>
      <c r="S18" s="1130"/>
      <c r="T18" s="1130"/>
      <c r="U18" s="1130"/>
      <c r="V18" s="1130"/>
      <c r="W18" s="1130"/>
      <c r="X18" s="1130"/>
      <c r="Y18" s="1130"/>
      <c r="Z18" s="1130"/>
    </row>
    <row r="19" spans="1:26" ht="13.2">
      <c r="A19" s="1160"/>
      <c r="B19" s="1159" t="s">
        <v>1593</v>
      </c>
      <c r="C19" s="1161"/>
      <c r="D19" s="1161">
        <v>1</v>
      </c>
      <c r="E19" s="1162">
        <v>25.667000000000002</v>
      </c>
      <c r="F19" s="1162"/>
      <c r="G19" s="1162"/>
      <c r="H19" s="1162">
        <v>3.98</v>
      </c>
      <c r="I19" s="1162"/>
      <c r="J19" s="1163">
        <f t="shared" ref="J19" si="0">D19*E19*H19</f>
        <v>102.15466000000001</v>
      </c>
      <c r="K19" s="1214"/>
      <c r="L19" s="1206"/>
      <c r="M19" s="1304"/>
      <c r="N19" s="1130"/>
      <c r="O19" s="1130"/>
      <c r="P19" s="1130"/>
      <c r="Q19" s="1130"/>
      <c r="R19" s="1130"/>
      <c r="S19" s="1130"/>
      <c r="T19" s="1130"/>
      <c r="U19" s="1130"/>
      <c r="V19" s="1130"/>
      <c r="W19" s="1130"/>
      <c r="X19" s="1130"/>
      <c r="Y19" s="1130"/>
      <c r="Z19" s="1130"/>
    </row>
    <row r="20" spans="1:26" ht="15.75" customHeight="1">
      <c r="A20" s="1160"/>
      <c r="B20" s="1169"/>
      <c r="C20" s="1161"/>
      <c r="D20" s="1161"/>
      <c r="E20" s="1162"/>
      <c r="F20" s="1162"/>
      <c r="G20" s="1162"/>
      <c r="H20" s="1162"/>
      <c r="I20" s="1166" t="s">
        <v>439</v>
      </c>
      <c r="J20" s="1150">
        <f>SUM(J19:J19)</f>
        <v>102.15466000000001</v>
      </c>
      <c r="K20" s="1214"/>
      <c r="L20" s="1206">
        <v>210</v>
      </c>
      <c r="M20" s="1304">
        <f>L20*J20</f>
        <v>21452.478600000002</v>
      </c>
      <c r="N20" s="1130"/>
      <c r="O20" s="1130"/>
      <c r="P20" s="1130"/>
      <c r="Q20" s="1130"/>
      <c r="R20" s="1130"/>
      <c r="S20" s="1130"/>
      <c r="T20" s="1130"/>
      <c r="U20" s="1130"/>
      <c r="V20" s="1130"/>
      <c r="W20" s="1130"/>
      <c r="X20" s="1130"/>
      <c r="Y20" s="1130"/>
      <c r="Z20" s="1130"/>
    </row>
    <row r="21" spans="1:26" ht="15.75" customHeight="1">
      <c r="A21" s="1160"/>
      <c r="B21" s="1159"/>
      <c r="C21" s="1159"/>
      <c r="D21" s="1159"/>
      <c r="E21" s="1159"/>
      <c r="F21" s="1159"/>
      <c r="G21" s="1159"/>
      <c r="H21" s="1159"/>
      <c r="I21" s="1158"/>
      <c r="J21" s="1167"/>
      <c r="K21" s="1214"/>
      <c r="L21" s="1206"/>
      <c r="M21" s="1304"/>
      <c r="N21" s="1130"/>
      <c r="O21" s="1130"/>
      <c r="P21" s="1130"/>
      <c r="Q21" s="1130"/>
      <c r="R21" s="1130"/>
      <c r="S21" s="1130"/>
      <c r="T21" s="1130"/>
      <c r="U21" s="1130"/>
      <c r="V21" s="1130"/>
      <c r="W21" s="1130"/>
      <c r="X21" s="1130"/>
      <c r="Y21" s="1130"/>
      <c r="Z21" s="1130"/>
    </row>
    <row r="22" spans="1:26" ht="15.75" customHeight="1">
      <c r="A22" s="1177">
        <v>4</v>
      </c>
      <c r="B22" s="1178" t="s">
        <v>314</v>
      </c>
      <c r="C22" s="1179" t="s">
        <v>306</v>
      </c>
      <c r="D22" s="1179"/>
      <c r="E22" s="1179"/>
      <c r="F22" s="1179"/>
      <c r="G22" s="1179"/>
      <c r="H22" s="1179"/>
      <c r="I22" s="1179"/>
      <c r="J22" s="1178"/>
      <c r="K22" s="1213"/>
      <c r="L22" s="1206"/>
      <c r="M22" s="1304"/>
      <c r="N22" s="1130"/>
      <c r="O22" s="1130"/>
      <c r="P22" s="1130"/>
      <c r="Q22" s="1130"/>
      <c r="R22" s="1130"/>
      <c r="S22" s="1130"/>
      <c r="T22" s="1130"/>
      <c r="U22" s="1130"/>
      <c r="V22" s="1130"/>
      <c r="W22" s="1130"/>
      <c r="X22" s="1130"/>
      <c r="Y22" s="1130"/>
      <c r="Z22" s="1130"/>
    </row>
    <row r="23" spans="1:26" ht="15.75" customHeight="1">
      <c r="A23" s="1157"/>
      <c r="B23" s="1159" t="s">
        <v>1593</v>
      </c>
      <c r="C23" s="1161"/>
      <c r="D23" s="1161">
        <v>1</v>
      </c>
      <c r="E23" s="1162"/>
      <c r="F23" s="1162"/>
      <c r="G23" s="1162">
        <v>7.4999999999999997E-2</v>
      </c>
      <c r="H23" s="1162">
        <v>74.738</v>
      </c>
      <c r="I23" s="1162"/>
      <c r="J23" s="1162">
        <f>H23*G23*D23</f>
        <v>5.6053499999999996</v>
      </c>
      <c r="K23" s="1214"/>
      <c r="L23" s="1206"/>
      <c r="M23" s="1304"/>
      <c r="N23" s="1130"/>
      <c r="O23" s="1130"/>
      <c r="P23" s="1130"/>
      <c r="Q23" s="1130"/>
      <c r="R23" s="1130"/>
      <c r="S23" s="1130"/>
      <c r="T23" s="1130"/>
      <c r="U23" s="1130"/>
      <c r="V23" s="1130"/>
      <c r="W23" s="1130"/>
      <c r="X23" s="1130"/>
      <c r="Y23" s="1130"/>
      <c r="Z23" s="1130"/>
    </row>
    <row r="24" spans="1:26" ht="15.75" customHeight="1">
      <c r="A24" s="1157"/>
      <c r="B24" s="1159"/>
      <c r="C24" s="1161"/>
      <c r="D24" s="1161"/>
      <c r="E24" s="1162"/>
      <c r="F24" s="1162"/>
      <c r="G24" s="1162"/>
      <c r="H24" s="1162"/>
      <c r="I24" s="1149" t="s">
        <v>439</v>
      </c>
      <c r="J24" s="1150">
        <f>J23</f>
        <v>5.6053499999999996</v>
      </c>
      <c r="K24" s="1214"/>
      <c r="L24" s="1206">
        <v>13500</v>
      </c>
      <c r="M24" s="1304">
        <f>L24*J24</f>
        <v>75672.224999999991</v>
      </c>
      <c r="N24" s="1130"/>
      <c r="O24" s="1130"/>
      <c r="P24" s="1130"/>
      <c r="Q24" s="1130"/>
      <c r="R24" s="1130"/>
      <c r="S24" s="1130"/>
      <c r="T24" s="1130"/>
      <c r="U24" s="1130"/>
      <c r="V24" s="1130"/>
      <c r="W24" s="1130"/>
      <c r="X24" s="1130"/>
      <c r="Y24" s="1130"/>
      <c r="Z24" s="1130"/>
    </row>
    <row r="25" spans="1:26" ht="15.75" customHeight="1">
      <c r="A25" s="1177">
        <v>5</v>
      </c>
      <c r="B25" s="1178" t="s">
        <v>229</v>
      </c>
      <c r="C25" s="1179" t="s">
        <v>306</v>
      </c>
      <c r="D25" s="1179"/>
      <c r="E25" s="1179"/>
      <c r="F25" s="1179"/>
      <c r="G25" s="1179"/>
      <c r="H25" s="1179"/>
      <c r="I25" s="1179"/>
      <c r="J25" s="1178"/>
      <c r="K25" s="1213"/>
      <c r="L25" s="1206"/>
      <c r="M25" s="1304"/>
      <c r="N25" s="1130"/>
      <c r="O25" s="1130"/>
      <c r="P25" s="1130"/>
      <c r="Q25" s="1130"/>
      <c r="R25" s="1130"/>
      <c r="S25" s="1130"/>
      <c r="T25" s="1130"/>
      <c r="U25" s="1130"/>
      <c r="V25" s="1130"/>
      <c r="W25" s="1130"/>
      <c r="X25" s="1130"/>
      <c r="Y25" s="1130"/>
      <c r="Z25" s="1130"/>
    </row>
    <row r="26" spans="1:26" ht="15.75" customHeight="1">
      <c r="A26" s="1157"/>
      <c r="B26" s="1159" t="s">
        <v>1593</v>
      </c>
      <c r="C26" s="1161"/>
      <c r="D26" s="1161">
        <v>1</v>
      </c>
      <c r="E26" s="1162"/>
      <c r="F26" s="1162"/>
      <c r="G26" s="1162"/>
      <c r="H26" s="1162">
        <v>74.738</v>
      </c>
      <c r="I26" s="1162"/>
      <c r="J26" s="1162">
        <f>H26</f>
        <v>74.738</v>
      </c>
      <c r="K26" s="1214"/>
      <c r="L26" s="1206"/>
      <c r="M26" s="1304"/>
      <c r="N26" s="1130"/>
      <c r="O26" s="1130"/>
      <c r="P26" s="1130"/>
      <c r="Q26" s="1130"/>
      <c r="R26" s="1130"/>
      <c r="S26" s="1130"/>
      <c r="T26" s="1130"/>
      <c r="U26" s="1130"/>
      <c r="V26" s="1130"/>
      <c r="W26" s="1130"/>
      <c r="X26" s="1130"/>
      <c r="Y26" s="1130"/>
      <c r="Z26" s="1130"/>
    </row>
    <row r="27" spans="1:26" ht="15.75" customHeight="1">
      <c r="A27" s="1157"/>
      <c r="B27" s="1159"/>
      <c r="C27" s="1159"/>
      <c r="D27" s="1159"/>
      <c r="E27" s="1159"/>
      <c r="F27" s="1159"/>
      <c r="G27" s="1159"/>
      <c r="H27" s="1159"/>
      <c r="I27" s="1149" t="s">
        <v>439</v>
      </c>
      <c r="J27" s="1150">
        <f>J26</f>
        <v>74.738</v>
      </c>
      <c r="K27" s="1214"/>
      <c r="L27" s="1206"/>
      <c r="M27" s="1304"/>
      <c r="N27" s="1130"/>
      <c r="O27" s="1130"/>
      <c r="P27" s="1130"/>
      <c r="Q27" s="1130"/>
      <c r="R27" s="1130"/>
      <c r="S27" s="1130"/>
      <c r="T27" s="1130"/>
      <c r="U27" s="1130"/>
      <c r="V27" s="1130"/>
      <c r="W27" s="1130"/>
      <c r="X27" s="1130"/>
      <c r="Y27" s="1130"/>
      <c r="Z27" s="1130"/>
    </row>
    <row r="28" spans="1:26" ht="15.75" customHeight="1">
      <c r="A28" s="1177">
        <v>6</v>
      </c>
      <c r="B28" s="1178" t="s">
        <v>315</v>
      </c>
      <c r="C28" s="1179" t="s">
        <v>306</v>
      </c>
      <c r="D28" s="1179"/>
      <c r="E28" s="1179"/>
      <c r="F28" s="1179"/>
      <c r="G28" s="1179"/>
      <c r="H28" s="1179"/>
      <c r="I28" s="1179"/>
      <c r="J28" s="1179"/>
      <c r="K28" s="1213"/>
      <c r="L28" s="1206"/>
      <c r="M28" s="1304"/>
      <c r="N28" s="1130"/>
      <c r="O28" s="1130"/>
      <c r="P28" s="1130"/>
      <c r="Q28" s="1130"/>
      <c r="R28" s="1130"/>
      <c r="S28" s="1130"/>
      <c r="T28" s="1130"/>
      <c r="U28" s="1130"/>
      <c r="V28" s="1130"/>
      <c r="W28" s="1130"/>
      <c r="X28" s="1130"/>
      <c r="Y28" s="1130"/>
      <c r="Z28" s="1130"/>
    </row>
    <row r="29" spans="1:26" ht="15.75" customHeight="1">
      <c r="A29" s="1157"/>
      <c r="B29" s="1159" t="s">
        <v>1593</v>
      </c>
      <c r="C29" s="1161"/>
      <c r="D29" s="1161">
        <v>1</v>
      </c>
      <c r="E29" s="1162">
        <v>25.667000000000002</v>
      </c>
      <c r="F29" s="1162"/>
      <c r="G29" s="1162"/>
      <c r="H29" s="1162">
        <f>3.579+1.19</f>
        <v>4.7690000000000001</v>
      </c>
      <c r="I29" s="1162"/>
      <c r="J29" s="1163">
        <f t="shared" ref="J29" si="1">D29*E29*H29</f>
        <v>122.40592300000002</v>
      </c>
      <c r="K29" s="1214"/>
      <c r="L29" s="1206"/>
      <c r="M29" s="1304"/>
      <c r="N29" s="1130"/>
      <c r="O29" s="1130"/>
      <c r="P29" s="1130"/>
      <c r="Q29" s="1130"/>
      <c r="R29" s="1130"/>
      <c r="S29" s="1130"/>
      <c r="T29" s="1130"/>
      <c r="U29" s="1130"/>
      <c r="V29" s="1130"/>
      <c r="W29" s="1130"/>
      <c r="X29" s="1130"/>
      <c r="Y29" s="1130"/>
      <c r="Z29" s="1130"/>
    </row>
    <row r="30" spans="1:26" ht="15.75" customHeight="1">
      <c r="A30" s="1157"/>
      <c r="B30" s="1169"/>
      <c r="C30" s="1161"/>
      <c r="D30" s="1161"/>
      <c r="E30" s="1162"/>
      <c r="F30" s="1162"/>
      <c r="G30" s="1162"/>
      <c r="H30" s="1162"/>
      <c r="I30" s="1166" t="s">
        <v>439</v>
      </c>
      <c r="J30" s="1150">
        <f>SUM(J29:J29)</f>
        <v>122.40592300000002</v>
      </c>
      <c r="K30" s="1214"/>
      <c r="L30" s="1206">
        <v>17500</v>
      </c>
      <c r="M30" s="1304">
        <f>L30*J30</f>
        <v>2142103.6525000003</v>
      </c>
      <c r="N30" s="1130"/>
      <c r="O30" s="1130"/>
      <c r="P30" s="1130"/>
      <c r="Q30" s="1130"/>
      <c r="R30" s="1130"/>
      <c r="S30" s="1130"/>
      <c r="T30" s="1130"/>
      <c r="U30" s="1130"/>
      <c r="V30" s="1130"/>
      <c r="W30" s="1130"/>
      <c r="X30" s="1130"/>
      <c r="Y30" s="1130"/>
      <c r="Z30" s="1130"/>
    </row>
    <row r="31" spans="1:26" ht="15.75" customHeight="1">
      <c r="A31" s="1177">
        <v>7</v>
      </c>
      <c r="B31" s="1184" t="s">
        <v>1441</v>
      </c>
      <c r="C31" s="1181" t="s">
        <v>46</v>
      </c>
      <c r="D31" s="1181"/>
      <c r="E31" s="1182"/>
      <c r="F31" s="1182"/>
      <c r="G31" s="1182"/>
      <c r="H31" s="1182"/>
      <c r="I31" s="1182"/>
      <c r="J31" s="1183"/>
      <c r="K31" s="1213"/>
      <c r="L31" s="1206"/>
      <c r="M31" s="1304"/>
      <c r="N31" s="1130"/>
      <c r="O31" s="1130"/>
      <c r="P31" s="1130"/>
      <c r="Q31" s="1130"/>
      <c r="R31" s="1130"/>
      <c r="S31" s="1130"/>
      <c r="T31" s="1130"/>
      <c r="U31" s="1130"/>
      <c r="V31" s="1130"/>
      <c r="W31" s="1130"/>
      <c r="X31" s="1130"/>
      <c r="Y31" s="1130"/>
      <c r="Z31" s="1130"/>
    </row>
    <row r="32" spans="1:26" ht="15.75" customHeight="1">
      <c r="A32" s="1160"/>
      <c r="B32" s="1170" t="s">
        <v>1442</v>
      </c>
      <c r="C32" s="1161"/>
      <c r="D32" s="1161">
        <v>1</v>
      </c>
      <c r="E32" s="1162">
        <v>25.667000000000002</v>
      </c>
      <c r="F32" s="1162"/>
      <c r="G32" s="1162"/>
      <c r="H32" s="1162"/>
      <c r="I32" s="1162"/>
      <c r="J32" s="1163">
        <f t="shared" ref="J32" si="2">E32</f>
        <v>25.667000000000002</v>
      </c>
      <c r="K32" s="1214"/>
      <c r="L32" s="1206"/>
      <c r="M32" s="1304"/>
      <c r="N32" s="1130"/>
      <c r="O32" s="1130"/>
      <c r="P32" s="1130"/>
      <c r="Q32" s="1130"/>
      <c r="R32" s="1130"/>
      <c r="S32" s="1130"/>
      <c r="T32" s="1130"/>
      <c r="U32" s="1130"/>
      <c r="V32" s="1130"/>
      <c r="W32" s="1130"/>
      <c r="X32" s="1130"/>
      <c r="Y32" s="1130"/>
      <c r="Z32" s="1130"/>
    </row>
    <row r="33" spans="1:26" ht="15.75" customHeight="1">
      <c r="A33" s="1160"/>
      <c r="B33" s="1169"/>
      <c r="C33" s="1161"/>
      <c r="D33" s="1161"/>
      <c r="E33" s="1162"/>
      <c r="F33" s="1162"/>
      <c r="G33" s="1162"/>
      <c r="H33" s="1162"/>
      <c r="I33" s="1162"/>
      <c r="J33" s="1163"/>
      <c r="K33" s="1214"/>
      <c r="L33" s="1206"/>
      <c r="M33" s="1304"/>
      <c r="N33" s="1130"/>
      <c r="O33" s="1130"/>
      <c r="P33" s="1130"/>
      <c r="Q33" s="1130"/>
      <c r="R33" s="1130"/>
      <c r="S33" s="1130"/>
      <c r="T33" s="1130"/>
      <c r="U33" s="1130"/>
      <c r="V33" s="1130"/>
      <c r="W33" s="1130"/>
      <c r="X33" s="1130"/>
      <c r="Y33" s="1130"/>
      <c r="Z33" s="1130"/>
    </row>
    <row r="34" spans="1:26" ht="15.75" customHeight="1">
      <c r="A34" s="1160"/>
      <c r="B34" s="1159"/>
      <c r="C34" s="1159"/>
      <c r="D34" s="1159"/>
      <c r="E34" s="1159"/>
      <c r="F34" s="1159"/>
      <c r="G34" s="1159"/>
      <c r="H34" s="1159"/>
      <c r="I34" s="1149" t="s">
        <v>439</v>
      </c>
      <c r="J34" s="1150">
        <f>SUM(J32:J32)</f>
        <v>25.667000000000002</v>
      </c>
      <c r="K34" s="1214"/>
      <c r="L34" s="1206"/>
      <c r="M34" s="1304"/>
      <c r="N34" s="1130"/>
      <c r="O34" s="1130"/>
      <c r="P34" s="1130"/>
      <c r="Q34" s="1130"/>
      <c r="R34" s="1130"/>
      <c r="S34" s="1130"/>
      <c r="T34" s="1130"/>
      <c r="U34" s="1130"/>
      <c r="V34" s="1130"/>
      <c r="W34" s="1130"/>
      <c r="X34" s="1130"/>
      <c r="Y34" s="1130"/>
      <c r="Z34" s="1130"/>
    </row>
    <row r="35" spans="1:26" ht="15.75" customHeight="1">
      <c r="A35" s="1177">
        <v>8</v>
      </c>
      <c r="B35" s="1178" t="s">
        <v>309</v>
      </c>
      <c r="C35" s="1179" t="s">
        <v>85</v>
      </c>
      <c r="D35" s="1179"/>
      <c r="E35" s="1179"/>
      <c r="F35" s="1179"/>
      <c r="G35" s="1179"/>
      <c r="H35" s="1179"/>
      <c r="I35" s="1179"/>
      <c r="J35" s="1179"/>
      <c r="K35" s="1213"/>
      <c r="L35" s="1206"/>
      <c r="M35" s="1304"/>
      <c r="N35" s="1130"/>
      <c r="O35" s="1130"/>
      <c r="P35" s="1130"/>
      <c r="Q35" s="1130"/>
      <c r="R35" s="1130"/>
      <c r="S35" s="1130"/>
      <c r="T35" s="1130"/>
      <c r="U35" s="1130"/>
      <c r="V35" s="1130"/>
      <c r="W35" s="1130"/>
      <c r="X35" s="1130"/>
      <c r="Y35" s="1130"/>
      <c r="Z35" s="1130"/>
    </row>
    <row r="36" spans="1:26" ht="15.75" customHeight="1">
      <c r="A36" s="1157"/>
      <c r="B36" s="1170" t="s">
        <v>1448</v>
      </c>
      <c r="C36" s="1161"/>
      <c r="D36" s="1161"/>
      <c r="E36" s="1162"/>
      <c r="F36" s="1162"/>
      <c r="G36" s="1159"/>
      <c r="H36" s="1162"/>
      <c r="I36" s="1162"/>
      <c r="J36" s="1159"/>
      <c r="K36" s="1214"/>
      <c r="L36" s="1206"/>
      <c r="M36" s="1304"/>
      <c r="N36" s="1130"/>
      <c r="O36" s="1130"/>
      <c r="P36" s="1130"/>
      <c r="Q36" s="1130"/>
      <c r="R36" s="1130"/>
      <c r="S36" s="1130"/>
      <c r="T36" s="1130"/>
      <c r="U36" s="1130"/>
      <c r="V36" s="1130"/>
      <c r="W36" s="1130"/>
      <c r="X36" s="1130"/>
      <c r="Y36" s="1130"/>
      <c r="Z36" s="1130"/>
    </row>
    <row r="37" spans="1:26" ht="15.75" customHeight="1">
      <c r="A37" s="1157"/>
      <c r="B37" s="1169" t="s">
        <v>1449</v>
      </c>
      <c r="C37" s="1161"/>
      <c r="D37" s="1161">
        <v>1</v>
      </c>
      <c r="E37" s="1162">
        <v>25.667000000000002</v>
      </c>
      <c r="F37" s="1162">
        <v>3.8</v>
      </c>
      <c r="G37" s="1159"/>
      <c r="H37" s="1162"/>
      <c r="I37" s="1162"/>
      <c r="J37" s="1159">
        <f>D37*F37*E37</f>
        <v>97.534599999999998</v>
      </c>
      <c r="K37" s="1214"/>
      <c r="L37" s="1206"/>
      <c r="M37" s="1304"/>
      <c r="N37" s="1130"/>
      <c r="O37" s="1130"/>
      <c r="P37" s="1130"/>
      <c r="Q37" s="1130"/>
      <c r="R37" s="1130"/>
      <c r="S37" s="1130"/>
      <c r="T37" s="1130"/>
      <c r="U37" s="1130"/>
      <c r="V37" s="1130"/>
      <c r="W37" s="1130"/>
      <c r="X37" s="1130"/>
      <c r="Y37" s="1130"/>
      <c r="Z37" s="1130"/>
    </row>
    <row r="38" spans="1:26" ht="15.75" customHeight="1">
      <c r="A38" s="1157"/>
      <c r="B38" s="1169" t="s">
        <v>769</v>
      </c>
      <c r="C38" s="1161"/>
      <c r="D38" s="1161">
        <v>4</v>
      </c>
      <c r="E38" s="1162">
        <v>25.667000000000002</v>
      </c>
      <c r="F38" s="1162"/>
      <c r="G38" s="1159">
        <v>2.6</v>
      </c>
      <c r="H38" s="1162"/>
      <c r="I38" s="1162"/>
      <c r="J38" s="1159">
        <f>D38*E38*G38</f>
        <v>266.93680000000001</v>
      </c>
      <c r="K38" s="1214"/>
      <c r="L38" s="1206"/>
      <c r="M38" s="1304"/>
      <c r="N38" s="1130"/>
      <c r="O38" s="1130"/>
      <c r="P38" s="1130"/>
      <c r="Q38" s="1130"/>
      <c r="R38" s="1130"/>
      <c r="S38" s="1130"/>
      <c r="T38" s="1130"/>
      <c r="U38" s="1130"/>
      <c r="V38" s="1130"/>
      <c r="W38" s="1130"/>
      <c r="X38" s="1130"/>
      <c r="Y38" s="1130"/>
      <c r="Z38" s="1130"/>
    </row>
    <row r="39" spans="1:26" ht="15.75" customHeight="1">
      <c r="A39" s="1157"/>
      <c r="B39" s="1169" t="s">
        <v>770</v>
      </c>
      <c r="C39" s="1161"/>
      <c r="D39" s="1161">
        <v>2</v>
      </c>
      <c r="E39" s="1162">
        <v>25.667000000000002</v>
      </c>
      <c r="F39" s="1162">
        <v>2.8</v>
      </c>
      <c r="G39" s="1159"/>
      <c r="H39" s="1162"/>
      <c r="I39" s="1162"/>
      <c r="J39" s="1159">
        <f>D39*E39*F39</f>
        <v>143.73519999999999</v>
      </c>
      <c r="K39" s="1214"/>
      <c r="L39" s="1206"/>
      <c r="M39" s="1304"/>
      <c r="N39" s="1130"/>
      <c r="O39" s="1130"/>
      <c r="P39" s="1130"/>
      <c r="Q39" s="1130"/>
      <c r="R39" s="1130"/>
      <c r="S39" s="1130"/>
      <c r="T39" s="1130"/>
      <c r="U39" s="1130"/>
      <c r="V39" s="1130"/>
      <c r="W39" s="1130"/>
      <c r="X39" s="1130"/>
      <c r="Y39" s="1130"/>
      <c r="Z39" s="1130"/>
    </row>
    <row r="40" spans="1:26" ht="15.75" customHeight="1">
      <c r="A40" s="1157"/>
      <c r="B40" s="1169"/>
      <c r="C40" s="1161"/>
      <c r="D40" s="1161"/>
      <c r="E40" s="1162"/>
      <c r="F40" s="1162"/>
      <c r="G40" s="1159"/>
      <c r="H40" s="1162"/>
      <c r="I40" s="1162"/>
      <c r="J40" s="1159"/>
      <c r="K40" s="1214"/>
      <c r="L40" s="1206"/>
      <c r="M40" s="1304"/>
      <c r="N40" s="1130"/>
      <c r="O40" s="1130"/>
      <c r="P40" s="1130"/>
      <c r="Q40" s="1130"/>
      <c r="R40" s="1130"/>
      <c r="S40" s="1130"/>
      <c r="T40" s="1130"/>
      <c r="U40" s="1130"/>
      <c r="V40" s="1130"/>
      <c r="W40" s="1130"/>
      <c r="X40" s="1130"/>
      <c r="Y40" s="1130"/>
      <c r="Z40" s="1130"/>
    </row>
    <row r="41" spans="1:26" ht="15.75" customHeight="1">
      <c r="A41" s="1160"/>
      <c r="B41" s="1159"/>
      <c r="C41" s="1159"/>
      <c r="D41" s="1159"/>
      <c r="E41" s="1159"/>
      <c r="F41" s="1159"/>
      <c r="G41" s="1159"/>
      <c r="H41" s="1159"/>
      <c r="I41" s="1149" t="s">
        <v>439</v>
      </c>
      <c r="J41" s="1150">
        <f>SUM(J36:J39)</f>
        <v>508.20659999999998</v>
      </c>
      <c r="K41" s="1214"/>
      <c r="L41" s="1206">
        <v>1285</v>
      </c>
      <c r="M41" s="1304">
        <f>L41*J41</f>
        <v>653045.48100000003</v>
      </c>
      <c r="N41" s="1130"/>
      <c r="O41" s="1130"/>
      <c r="P41" s="1130"/>
      <c r="Q41" s="1130"/>
      <c r="R41" s="1130"/>
      <c r="S41" s="1130"/>
      <c r="T41" s="1130"/>
      <c r="U41" s="1130"/>
      <c r="V41" s="1130"/>
      <c r="W41" s="1130"/>
      <c r="X41" s="1130"/>
      <c r="Y41" s="1130"/>
      <c r="Z41" s="1130"/>
    </row>
    <row r="42" spans="1:26" ht="15.75" customHeight="1">
      <c r="A42" s="1160"/>
      <c r="B42" s="1159"/>
      <c r="C42" s="1159"/>
      <c r="D42" s="1159"/>
      <c r="E42" s="1159"/>
      <c r="F42" s="1159"/>
      <c r="G42" s="1159"/>
      <c r="H42" s="1159"/>
      <c r="I42" s="1159"/>
      <c r="J42" s="1159"/>
      <c r="K42" s="1214"/>
      <c r="L42" s="1206"/>
      <c r="M42" s="1304"/>
      <c r="N42" s="1130"/>
      <c r="O42" s="1130"/>
      <c r="P42" s="1130"/>
      <c r="Q42" s="1130"/>
      <c r="R42" s="1130"/>
      <c r="S42" s="1130"/>
      <c r="T42" s="1130"/>
      <c r="U42" s="1130"/>
      <c r="V42" s="1130"/>
      <c r="W42" s="1130"/>
      <c r="X42" s="1130"/>
      <c r="Y42" s="1130"/>
      <c r="Z42" s="1130"/>
    </row>
    <row r="43" spans="1:26" ht="15.75" customHeight="1">
      <c r="A43" s="1177">
        <v>9</v>
      </c>
      <c r="B43" s="1178" t="s">
        <v>24</v>
      </c>
      <c r="C43" s="1179" t="s">
        <v>25</v>
      </c>
      <c r="D43" s="1179"/>
      <c r="E43" s="1179"/>
      <c r="F43" s="1179"/>
      <c r="G43" s="1179"/>
      <c r="H43" s="1185" t="s">
        <v>334</v>
      </c>
      <c r="I43" s="1179"/>
      <c r="J43" s="1197">
        <f>1%*J30*7850/1000</f>
        <v>9.6088649555000014</v>
      </c>
      <c r="K43" s="1213"/>
      <c r="L43" s="1206"/>
      <c r="M43" s="1304"/>
      <c r="N43" s="1130"/>
      <c r="O43" s="1130"/>
      <c r="P43" s="1130"/>
      <c r="Q43" s="1130"/>
      <c r="R43" s="1130"/>
      <c r="S43" s="1130"/>
      <c r="T43" s="1130"/>
      <c r="U43" s="1130"/>
      <c r="V43" s="1130"/>
      <c r="W43" s="1130"/>
      <c r="X43" s="1130"/>
      <c r="Y43" s="1130"/>
      <c r="Z43" s="1130"/>
    </row>
    <row r="44" spans="1:26" ht="15.75" customHeight="1">
      <c r="A44" s="1159"/>
      <c r="B44" s="1159"/>
      <c r="C44" s="1159"/>
      <c r="D44" s="1159"/>
      <c r="E44" s="1159"/>
      <c r="F44" s="1159"/>
      <c r="G44" s="1159"/>
      <c r="H44" s="1159"/>
      <c r="I44" s="1149" t="s">
        <v>439</v>
      </c>
      <c r="J44" s="1150">
        <f>J43</f>
        <v>9.6088649555000014</v>
      </c>
      <c r="K44" s="1214"/>
      <c r="L44" s="1206">
        <v>130000</v>
      </c>
      <c r="M44" s="1304">
        <f>L44*J44</f>
        <v>1249152.4442150001</v>
      </c>
      <c r="N44" s="1130"/>
      <c r="O44" s="1130"/>
      <c r="P44" s="1130"/>
      <c r="Q44" s="1130"/>
      <c r="R44" s="1130"/>
      <c r="S44" s="1130"/>
      <c r="T44" s="1130"/>
      <c r="U44" s="1130"/>
      <c r="V44" s="1130"/>
      <c r="W44" s="1130"/>
      <c r="X44" s="1130"/>
      <c r="Y44" s="1130"/>
      <c r="Z44" s="1130"/>
    </row>
    <row r="45" spans="1:26" ht="15.75" customHeight="1">
      <c r="A45" s="1158"/>
      <c r="B45" s="1159"/>
      <c r="C45" s="1159"/>
      <c r="D45" s="1159"/>
      <c r="E45" s="1159"/>
      <c r="F45" s="1159"/>
      <c r="G45" s="1159"/>
      <c r="H45" s="1159"/>
      <c r="I45" s="1159"/>
      <c r="J45" s="1159"/>
      <c r="K45" s="1214"/>
      <c r="L45" s="1206"/>
      <c r="M45" s="1304"/>
      <c r="N45" s="1130"/>
      <c r="O45" s="1130"/>
      <c r="P45" s="1130"/>
      <c r="Q45" s="1130"/>
      <c r="R45" s="1130"/>
      <c r="S45" s="1130"/>
      <c r="T45" s="1130"/>
      <c r="U45" s="1130"/>
      <c r="V45" s="1130"/>
      <c r="W45" s="1130"/>
      <c r="X45" s="1130"/>
      <c r="Y45" s="1130"/>
      <c r="Z45" s="1130"/>
    </row>
    <row r="46" spans="1:26" ht="15.75" customHeight="1">
      <c r="A46" s="1177">
        <v>10</v>
      </c>
      <c r="B46" s="1178" t="s">
        <v>1546</v>
      </c>
      <c r="C46" s="1179" t="s">
        <v>307</v>
      </c>
      <c r="D46" s="1179"/>
      <c r="E46" s="1179"/>
      <c r="F46" s="1179"/>
      <c r="G46" s="1179"/>
      <c r="H46" s="1179"/>
      <c r="I46" s="1179"/>
      <c r="J46" s="1179"/>
      <c r="K46" s="1213"/>
      <c r="L46" s="1206"/>
      <c r="M46" s="1304"/>
      <c r="N46" s="1130"/>
      <c r="O46" s="1130"/>
      <c r="P46" s="1130"/>
      <c r="Q46" s="1130"/>
      <c r="R46" s="1130"/>
      <c r="S46" s="1130"/>
      <c r="T46" s="1130"/>
      <c r="U46" s="1130"/>
      <c r="V46" s="1130"/>
      <c r="W46" s="1130"/>
      <c r="X46" s="1130"/>
      <c r="Y46" s="1130"/>
      <c r="Z46" s="1130"/>
    </row>
    <row r="47" spans="1:26" ht="15.75" customHeight="1">
      <c r="A47" s="1158"/>
      <c r="B47" s="1158"/>
      <c r="C47" s="1159"/>
      <c r="D47" s="1159"/>
      <c r="E47" s="1159"/>
      <c r="F47" s="1159"/>
      <c r="G47" s="1159"/>
      <c r="H47" s="1159"/>
      <c r="I47" s="1149" t="s">
        <v>439</v>
      </c>
      <c r="J47" s="1149">
        <v>50</v>
      </c>
      <c r="K47" s="1214"/>
      <c r="L47" s="1206">
        <v>4500</v>
      </c>
      <c r="M47" s="1304">
        <f>L47*J47</f>
        <v>225000</v>
      </c>
      <c r="N47" s="1130"/>
      <c r="O47" s="1130"/>
      <c r="P47" s="1130"/>
      <c r="Q47" s="1130"/>
      <c r="R47" s="1130"/>
      <c r="S47" s="1130"/>
      <c r="T47" s="1130"/>
      <c r="U47" s="1130"/>
      <c r="V47" s="1130"/>
      <c r="W47" s="1130"/>
      <c r="X47" s="1130"/>
      <c r="Y47" s="1130"/>
      <c r="Z47" s="1130"/>
    </row>
    <row r="48" spans="1:26" ht="15.75" customHeight="1">
      <c r="A48" s="1135"/>
      <c r="B48" s="1135"/>
      <c r="C48" s="1135"/>
      <c r="D48" s="1135"/>
      <c r="E48" s="1135"/>
      <c r="F48" s="1135"/>
      <c r="G48" s="1135"/>
      <c r="H48" s="1135"/>
      <c r="I48" s="1135"/>
      <c r="J48" s="1135"/>
      <c r="K48" s="1204"/>
      <c r="L48" s="1206" t="s">
        <v>20</v>
      </c>
      <c r="M48" s="1304">
        <f>SUM(M10:M47)</f>
        <v>5129770.2068945002</v>
      </c>
      <c r="N48" s="1130"/>
      <c r="O48" s="1130"/>
      <c r="P48" s="1130"/>
      <c r="Q48" s="1130"/>
      <c r="R48" s="1130"/>
      <c r="S48" s="1130"/>
      <c r="T48" s="1130"/>
      <c r="U48" s="1130"/>
      <c r="V48" s="1130"/>
      <c r="W48" s="1130"/>
      <c r="X48" s="1130"/>
      <c r="Y48" s="1130"/>
      <c r="Z48" s="1130"/>
    </row>
    <row r="49" spans="1:26" ht="15.75" customHeight="1">
      <c r="A49" s="1130"/>
      <c r="B49" s="1130"/>
      <c r="C49" s="1130"/>
      <c r="D49" s="1130"/>
      <c r="E49" s="1130"/>
      <c r="F49" s="1130"/>
      <c r="G49" s="1130"/>
      <c r="H49" s="1130"/>
      <c r="I49" s="1130"/>
      <c r="J49" s="1130"/>
      <c r="K49" s="1130"/>
      <c r="L49" s="1130"/>
      <c r="M49" s="1130"/>
      <c r="N49" s="1130"/>
      <c r="O49" s="1130"/>
      <c r="P49" s="1130"/>
      <c r="Q49" s="1130"/>
      <c r="R49" s="1130"/>
      <c r="S49" s="1130"/>
      <c r="T49" s="1130"/>
      <c r="U49" s="1130"/>
      <c r="V49" s="1130"/>
      <c r="W49" s="1130"/>
      <c r="X49" s="1130"/>
      <c r="Y49" s="1130"/>
      <c r="Z49" s="1130"/>
    </row>
    <row r="50" spans="1:26" ht="15.75" customHeight="1">
      <c r="A50" s="1130"/>
      <c r="B50" s="1130"/>
      <c r="C50" s="1130"/>
      <c r="D50" s="1130"/>
      <c r="E50" s="1130"/>
      <c r="F50" s="1130"/>
      <c r="G50" s="1130"/>
      <c r="H50" s="1130"/>
      <c r="I50" s="1130"/>
      <c r="J50" s="1130"/>
      <c r="K50" s="1130"/>
      <c r="L50" s="1130"/>
      <c r="M50" s="1130"/>
      <c r="N50" s="1130"/>
      <c r="O50" s="1130"/>
      <c r="P50" s="1130"/>
      <c r="Q50" s="1130"/>
      <c r="R50" s="1130"/>
      <c r="S50" s="1130"/>
      <c r="T50" s="1130"/>
      <c r="U50" s="1130"/>
      <c r="V50" s="1130"/>
      <c r="W50" s="1130"/>
      <c r="X50" s="1130"/>
      <c r="Y50" s="1130"/>
      <c r="Z50" s="1130"/>
    </row>
    <row r="51" spans="1:26" ht="15.75" customHeight="1">
      <c r="A51" s="1130"/>
      <c r="B51" s="1130"/>
      <c r="C51" s="1130"/>
      <c r="D51" s="1130"/>
      <c r="E51" s="1130"/>
      <c r="F51" s="1130"/>
      <c r="G51" s="1130"/>
      <c r="H51" s="1130"/>
      <c r="I51" s="1130"/>
      <c r="J51" s="1130"/>
      <c r="K51" s="1130"/>
      <c r="L51" s="1130"/>
      <c r="M51" s="1130"/>
      <c r="N51" s="1130"/>
      <c r="O51" s="1130"/>
      <c r="P51" s="1130"/>
      <c r="Q51" s="1130"/>
      <c r="R51" s="1130"/>
      <c r="S51" s="1130"/>
      <c r="T51" s="1130"/>
      <c r="U51" s="1130"/>
      <c r="V51" s="1130"/>
      <c r="W51" s="1130"/>
      <c r="X51" s="1130"/>
      <c r="Y51" s="1130"/>
      <c r="Z51" s="1130"/>
    </row>
    <row r="52" spans="1:26" ht="15.75" customHeight="1">
      <c r="A52" s="1130"/>
      <c r="B52" s="1130"/>
      <c r="C52" s="1130"/>
      <c r="D52" s="1130"/>
      <c r="E52" s="1130"/>
      <c r="F52" s="1130"/>
      <c r="G52" s="1130"/>
      <c r="H52" s="1130"/>
      <c r="I52" s="1130"/>
      <c r="J52" s="1130"/>
      <c r="K52" s="1130"/>
      <c r="L52" s="1130"/>
      <c r="M52" s="1130"/>
      <c r="N52" s="1130"/>
      <c r="O52" s="1130"/>
      <c r="P52" s="1130"/>
      <c r="Q52" s="1130"/>
      <c r="R52" s="1130"/>
      <c r="S52" s="1130"/>
      <c r="T52" s="1130"/>
      <c r="U52" s="1130"/>
      <c r="V52" s="1130"/>
      <c r="W52" s="1130"/>
      <c r="X52" s="1130"/>
      <c r="Y52" s="1130"/>
      <c r="Z52" s="1130"/>
    </row>
    <row r="53" spans="1:26" ht="15.75" customHeight="1">
      <c r="A53" s="1130"/>
      <c r="B53" s="1130"/>
      <c r="C53" s="1130"/>
      <c r="D53" s="1130"/>
      <c r="E53" s="1130"/>
      <c r="F53" s="1130"/>
      <c r="G53" s="1130"/>
      <c r="H53" s="1130"/>
      <c r="I53" s="1130"/>
      <c r="J53" s="1130"/>
      <c r="K53" s="1130"/>
      <c r="L53" s="1130"/>
      <c r="M53" s="1130"/>
      <c r="N53" s="1130"/>
      <c r="O53" s="1130"/>
      <c r="P53" s="1130"/>
      <c r="Q53" s="1130"/>
      <c r="R53" s="1130"/>
      <c r="S53" s="1130"/>
      <c r="T53" s="1130"/>
      <c r="U53" s="1130"/>
      <c r="V53" s="1130"/>
      <c r="W53" s="1130"/>
      <c r="X53" s="1130"/>
      <c r="Y53" s="1130"/>
      <c r="Z53" s="1130"/>
    </row>
    <row r="54" spans="1:26" ht="15.75" customHeight="1">
      <c r="A54" s="1130"/>
      <c r="B54" s="1130"/>
      <c r="C54" s="1130"/>
      <c r="D54" s="1130"/>
      <c r="E54" s="1130"/>
      <c r="F54" s="1130"/>
      <c r="G54" s="1130"/>
      <c r="H54" s="1130"/>
      <c r="I54" s="1130"/>
      <c r="J54" s="1130"/>
      <c r="K54" s="1130"/>
      <c r="L54" s="1130"/>
      <c r="M54" s="1130"/>
      <c r="N54" s="1130"/>
      <c r="O54" s="1130"/>
      <c r="P54" s="1130"/>
      <c r="Q54" s="1130"/>
      <c r="R54" s="1130"/>
      <c r="S54" s="1130"/>
      <c r="T54" s="1130"/>
      <c r="U54" s="1130"/>
      <c r="V54" s="1130"/>
      <c r="W54" s="1130"/>
      <c r="X54" s="1130"/>
      <c r="Y54" s="1130"/>
      <c r="Z54" s="1130"/>
    </row>
    <row r="55" spans="1:26" ht="15.75" customHeight="1">
      <c r="A55" s="1130"/>
      <c r="B55" s="1130"/>
      <c r="C55" s="1130"/>
      <c r="D55" s="1130"/>
      <c r="E55" s="1130"/>
      <c r="F55" s="1130"/>
      <c r="G55" s="1130"/>
      <c r="H55" s="1130"/>
      <c r="I55" s="1130"/>
      <c r="J55" s="1130"/>
      <c r="K55" s="1130"/>
      <c r="L55" s="1130"/>
      <c r="M55" s="1130"/>
      <c r="N55" s="1130"/>
      <c r="O55" s="1130"/>
      <c r="P55" s="1130"/>
      <c r="Q55" s="1130"/>
      <c r="R55" s="1130"/>
      <c r="S55" s="1130"/>
      <c r="T55" s="1130"/>
      <c r="U55" s="1130"/>
      <c r="V55" s="1130"/>
      <c r="W55" s="1130"/>
      <c r="X55" s="1130"/>
      <c r="Y55" s="1130"/>
      <c r="Z55" s="1130"/>
    </row>
    <row r="56" spans="1:26" ht="15.75" customHeight="1">
      <c r="A56" s="1130"/>
      <c r="B56" s="1130"/>
      <c r="C56" s="1130"/>
      <c r="D56" s="1130"/>
      <c r="E56" s="1130"/>
      <c r="F56" s="1130"/>
      <c r="G56" s="1130"/>
      <c r="H56" s="1130"/>
      <c r="I56" s="1130"/>
      <c r="J56" s="1130"/>
      <c r="K56" s="1130"/>
      <c r="L56" s="1130"/>
      <c r="M56" s="1130"/>
      <c r="N56" s="1130"/>
      <c r="O56" s="1130"/>
      <c r="P56" s="1130"/>
      <c r="Q56" s="1130"/>
      <c r="R56" s="1130"/>
      <c r="S56" s="1130"/>
      <c r="T56" s="1130"/>
      <c r="U56" s="1130"/>
      <c r="V56" s="1130"/>
      <c r="W56" s="1130"/>
      <c r="X56" s="1130"/>
      <c r="Y56" s="1130"/>
      <c r="Z56" s="1130"/>
    </row>
    <row r="57" spans="1:26" ht="15.75" customHeight="1">
      <c r="A57" s="1130"/>
      <c r="B57" s="1130"/>
      <c r="C57" s="1130"/>
      <c r="D57" s="1130"/>
      <c r="E57" s="1130"/>
      <c r="F57" s="1130"/>
      <c r="G57" s="1130"/>
      <c r="H57" s="1130"/>
      <c r="I57" s="1130"/>
      <c r="J57" s="1130"/>
      <c r="K57" s="1130"/>
      <c r="L57" s="1130"/>
      <c r="M57" s="1130"/>
      <c r="N57" s="1130"/>
      <c r="O57" s="1130"/>
      <c r="P57" s="1130"/>
      <c r="Q57" s="1130"/>
      <c r="R57" s="1130"/>
      <c r="S57" s="1130"/>
      <c r="T57" s="1130"/>
      <c r="U57" s="1130"/>
      <c r="V57" s="1130"/>
      <c r="W57" s="1130"/>
      <c r="X57" s="1130"/>
      <c r="Y57" s="1130"/>
      <c r="Z57" s="1130"/>
    </row>
    <row r="58" spans="1:26" ht="15.75" customHeight="1">
      <c r="A58" s="1130"/>
      <c r="B58" s="1130"/>
      <c r="C58" s="1130"/>
      <c r="D58" s="1130"/>
      <c r="E58" s="1130"/>
      <c r="F58" s="1130"/>
      <c r="G58" s="1130"/>
      <c r="H58" s="1130"/>
      <c r="I58" s="1130"/>
      <c r="J58" s="1130"/>
      <c r="K58" s="1130"/>
      <c r="L58" s="1130"/>
      <c r="M58" s="1130"/>
      <c r="N58" s="1130"/>
      <c r="O58" s="1130"/>
      <c r="P58" s="1130"/>
      <c r="Q58" s="1130"/>
      <c r="R58" s="1130"/>
      <c r="S58" s="1130"/>
      <c r="T58" s="1130"/>
      <c r="U58" s="1130"/>
      <c r="V58" s="1130"/>
      <c r="W58" s="1130"/>
      <c r="X58" s="1130"/>
      <c r="Y58" s="1130"/>
      <c r="Z58" s="1130"/>
    </row>
    <row r="59" spans="1:26" ht="15.75" customHeight="1">
      <c r="A59" s="1130"/>
      <c r="B59" s="1130"/>
      <c r="C59" s="1130"/>
      <c r="D59" s="1130"/>
      <c r="E59" s="1130"/>
      <c r="F59" s="1130"/>
      <c r="G59" s="1130"/>
      <c r="H59" s="1130"/>
      <c r="I59" s="1130"/>
      <c r="J59" s="1130"/>
      <c r="K59" s="1130"/>
      <c r="L59" s="1130"/>
      <c r="M59" s="1130"/>
      <c r="N59" s="1130"/>
      <c r="O59" s="1130"/>
      <c r="P59" s="1130"/>
      <c r="Q59" s="1130"/>
      <c r="R59" s="1130"/>
      <c r="S59" s="1130"/>
      <c r="T59" s="1130"/>
      <c r="U59" s="1130"/>
      <c r="V59" s="1130"/>
      <c r="W59" s="1130"/>
      <c r="X59" s="1130"/>
      <c r="Y59" s="1130"/>
      <c r="Z59" s="1130"/>
    </row>
    <row r="60" spans="1:26" ht="15.75" customHeight="1">
      <c r="A60" s="1130"/>
      <c r="B60" s="1130"/>
      <c r="C60" s="1130"/>
      <c r="D60" s="1130"/>
      <c r="E60" s="1130"/>
      <c r="F60" s="1130"/>
      <c r="G60" s="1130"/>
      <c r="H60" s="1130"/>
      <c r="I60" s="1130"/>
      <c r="J60" s="1130"/>
      <c r="K60" s="1130"/>
      <c r="L60" s="1130"/>
      <c r="M60" s="1130"/>
      <c r="N60" s="1130"/>
      <c r="O60" s="1130"/>
      <c r="P60" s="1130"/>
      <c r="Q60" s="1130"/>
      <c r="R60" s="1130"/>
      <c r="S60" s="1130"/>
      <c r="T60" s="1130"/>
      <c r="U60" s="1130"/>
      <c r="V60" s="1130"/>
      <c r="W60" s="1130"/>
      <c r="X60" s="1130"/>
      <c r="Y60" s="1130"/>
      <c r="Z60" s="1130"/>
    </row>
    <row r="61" spans="1:26" ht="15.75" customHeight="1">
      <c r="A61" s="1130"/>
      <c r="B61" s="1130"/>
      <c r="C61" s="1130"/>
      <c r="D61" s="1130"/>
      <c r="E61" s="1130"/>
      <c r="F61" s="1130"/>
      <c r="G61" s="1130"/>
      <c r="H61" s="1130"/>
      <c r="I61" s="1130"/>
      <c r="J61" s="1130"/>
      <c r="K61" s="1130"/>
      <c r="L61" s="1130"/>
      <c r="M61" s="1130"/>
      <c r="N61" s="1130"/>
      <c r="O61" s="1130"/>
      <c r="P61" s="1130"/>
      <c r="Q61" s="1130"/>
      <c r="R61" s="1130"/>
      <c r="S61" s="1130"/>
      <c r="T61" s="1130"/>
      <c r="U61" s="1130"/>
      <c r="V61" s="1130"/>
      <c r="W61" s="1130"/>
      <c r="X61" s="1130"/>
      <c r="Y61" s="1130"/>
      <c r="Z61" s="1130"/>
    </row>
    <row r="62" spans="1:26" ht="15.75" customHeight="1">
      <c r="A62" s="1130"/>
      <c r="B62" s="1130"/>
      <c r="C62" s="1130"/>
      <c r="D62" s="1130"/>
      <c r="E62" s="1130"/>
      <c r="F62" s="1130"/>
      <c r="G62" s="1130"/>
      <c r="H62" s="1130"/>
      <c r="I62" s="1130"/>
      <c r="J62" s="1130"/>
      <c r="K62" s="1130"/>
      <c r="L62" s="1130"/>
      <c r="M62" s="1130"/>
      <c r="N62" s="1130"/>
      <c r="O62" s="1130"/>
      <c r="P62" s="1130"/>
      <c r="Q62" s="1130"/>
      <c r="R62" s="1130"/>
      <c r="S62" s="1130"/>
      <c r="T62" s="1130"/>
      <c r="U62" s="1130"/>
      <c r="V62" s="1130"/>
      <c r="W62" s="1130"/>
      <c r="X62" s="1130"/>
      <c r="Y62" s="1130"/>
      <c r="Z62" s="1130"/>
    </row>
    <row r="63" spans="1:26" ht="15.75" customHeight="1">
      <c r="A63" s="1130"/>
      <c r="B63" s="1130"/>
      <c r="C63" s="1130"/>
      <c r="D63" s="1130"/>
      <c r="E63" s="1130"/>
      <c r="F63" s="1130"/>
      <c r="G63" s="1130"/>
      <c r="H63" s="1130"/>
      <c r="I63" s="1130"/>
      <c r="J63" s="1130"/>
      <c r="K63" s="1130"/>
      <c r="L63" s="1130"/>
      <c r="M63" s="1130"/>
      <c r="N63" s="1130"/>
      <c r="O63" s="1130"/>
      <c r="P63" s="1130"/>
      <c r="Q63" s="1130"/>
      <c r="R63" s="1130"/>
      <c r="S63" s="1130"/>
      <c r="T63" s="1130"/>
      <c r="U63" s="1130"/>
      <c r="V63" s="1130"/>
      <c r="W63" s="1130"/>
      <c r="X63" s="1130"/>
      <c r="Y63" s="1130"/>
      <c r="Z63" s="1130"/>
    </row>
    <row r="64" spans="1:26" ht="15.75" customHeight="1">
      <c r="A64" s="1130"/>
      <c r="B64" s="1130"/>
      <c r="C64" s="1130"/>
      <c r="D64" s="1130"/>
      <c r="E64" s="1130"/>
      <c r="F64" s="1130"/>
      <c r="G64" s="1130"/>
      <c r="H64" s="1130"/>
      <c r="I64" s="1130"/>
      <c r="J64" s="1130"/>
      <c r="K64" s="1130"/>
      <c r="L64" s="1130"/>
      <c r="M64" s="1130"/>
      <c r="N64" s="1130"/>
      <c r="O64" s="1130"/>
      <c r="P64" s="1130"/>
      <c r="Q64" s="1130"/>
      <c r="R64" s="1130"/>
      <c r="S64" s="1130"/>
      <c r="T64" s="1130"/>
      <c r="U64" s="1130"/>
      <c r="V64" s="1130"/>
      <c r="W64" s="1130"/>
      <c r="X64" s="1130"/>
      <c r="Y64" s="1130"/>
      <c r="Z64" s="1130"/>
    </row>
    <row r="65" spans="1:26" ht="15.75" customHeight="1">
      <c r="A65" s="1130"/>
      <c r="B65" s="1130"/>
      <c r="C65" s="1130"/>
      <c r="D65" s="1130"/>
      <c r="E65" s="1130"/>
      <c r="F65" s="1130"/>
      <c r="G65" s="1130"/>
      <c r="H65" s="1130"/>
      <c r="I65" s="1130"/>
      <c r="J65" s="1130"/>
      <c r="K65" s="1130"/>
      <c r="L65" s="1130"/>
      <c r="M65" s="1130"/>
      <c r="N65" s="1130"/>
      <c r="O65" s="1130"/>
      <c r="P65" s="1130"/>
      <c r="Q65" s="1130"/>
      <c r="R65" s="1130"/>
      <c r="S65" s="1130"/>
      <c r="T65" s="1130"/>
      <c r="U65" s="1130"/>
      <c r="V65" s="1130"/>
      <c r="W65" s="1130"/>
      <c r="X65" s="1130"/>
      <c r="Y65" s="1130"/>
      <c r="Z65" s="1130"/>
    </row>
    <row r="66" spans="1:26" ht="15.75" customHeight="1">
      <c r="A66" s="1130"/>
      <c r="B66" s="1130"/>
      <c r="C66" s="1130"/>
      <c r="D66" s="1130"/>
      <c r="E66" s="1130"/>
      <c r="F66" s="1130"/>
      <c r="G66" s="1130"/>
      <c r="H66" s="1130"/>
      <c r="I66" s="1130"/>
      <c r="J66" s="1130"/>
      <c r="K66" s="1130"/>
      <c r="L66" s="1130"/>
      <c r="M66" s="1130"/>
      <c r="N66" s="1130"/>
      <c r="O66" s="1130"/>
      <c r="P66" s="1130"/>
      <c r="Q66" s="1130"/>
      <c r="R66" s="1130"/>
      <c r="S66" s="1130"/>
      <c r="T66" s="1130"/>
      <c r="U66" s="1130"/>
      <c r="V66" s="1130"/>
      <c r="W66" s="1130"/>
      <c r="X66" s="1130"/>
      <c r="Y66" s="1130"/>
      <c r="Z66" s="1130"/>
    </row>
    <row r="67" spans="1:26" ht="15.75" customHeight="1">
      <c r="A67" s="1130"/>
      <c r="B67" s="1130"/>
      <c r="C67" s="1130"/>
      <c r="D67" s="1130"/>
      <c r="E67" s="1130"/>
      <c r="F67" s="1130"/>
      <c r="G67" s="1130"/>
      <c r="H67" s="1130"/>
      <c r="I67" s="1130"/>
      <c r="J67" s="1130"/>
      <c r="K67" s="1130"/>
      <c r="L67" s="1130"/>
      <c r="M67" s="1130"/>
      <c r="N67" s="1130"/>
      <c r="O67" s="1130"/>
      <c r="P67" s="1130"/>
      <c r="Q67" s="1130"/>
      <c r="R67" s="1130"/>
      <c r="S67" s="1130"/>
      <c r="T67" s="1130"/>
      <c r="U67" s="1130"/>
      <c r="V67" s="1130"/>
      <c r="W67" s="1130"/>
      <c r="X67" s="1130"/>
      <c r="Y67" s="1130"/>
      <c r="Z67" s="1130"/>
    </row>
    <row r="68" spans="1:26" ht="15.75" customHeight="1">
      <c r="A68" s="1130"/>
      <c r="B68" s="1130"/>
      <c r="C68" s="1130"/>
      <c r="D68" s="1130"/>
      <c r="E68" s="1130"/>
      <c r="F68" s="1130"/>
      <c r="G68" s="1130"/>
      <c r="H68" s="1130"/>
      <c r="I68" s="1130"/>
      <c r="J68" s="1130"/>
      <c r="K68" s="1130"/>
      <c r="L68" s="1130"/>
      <c r="M68" s="1130"/>
      <c r="N68" s="1130"/>
      <c r="O68" s="1130"/>
      <c r="P68" s="1130"/>
      <c r="Q68" s="1130"/>
      <c r="R68" s="1130"/>
      <c r="S68" s="1130"/>
      <c r="T68" s="1130"/>
      <c r="U68" s="1130"/>
      <c r="V68" s="1130"/>
      <c r="W68" s="1130"/>
      <c r="X68" s="1130"/>
      <c r="Y68" s="1130"/>
      <c r="Z68" s="1130"/>
    </row>
    <row r="69" spans="1:26" ht="15.75" customHeight="1">
      <c r="A69" s="1130"/>
      <c r="B69" s="1130"/>
      <c r="C69" s="1130"/>
      <c r="D69" s="1130"/>
      <c r="E69" s="1130"/>
      <c r="F69" s="1130"/>
      <c r="G69" s="1130"/>
      <c r="H69" s="1130"/>
      <c r="I69" s="1130"/>
      <c r="J69" s="1130"/>
      <c r="K69" s="1130"/>
      <c r="L69" s="1130"/>
      <c r="M69" s="1130"/>
      <c r="N69" s="1130"/>
      <c r="O69" s="1130"/>
      <c r="P69" s="1130"/>
      <c r="Q69" s="1130"/>
      <c r="R69" s="1130"/>
      <c r="S69" s="1130"/>
      <c r="T69" s="1130"/>
      <c r="U69" s="1130"/>
      <c r="V69" s="1130"/>
      <c r="W69" s="1130"/>
      <c r="X69" s="1130"/>
      <c r="Y69" s="1130"/>
      <c r="Z69" s="1130"/>
    </row>
    <row r="70" spans="1:26" ht="15.75" customHeight="1">
      <c r="A70" s="1130"/>
      <c r="B70" s="1130"/>
      <c r="C70" s="1130"/>
      <c r="D70" s="1130"/>
      <c r="E70" s="1130"/>
      <c r="F70" s="1130"/>
      <c r="G70" s="1130"/>
      <c r="H70" s="1130"/>
      <c r="I70" s="1130"/>
      <c r="J70" s="1130"/>
      <c r="K70" s="1130"/>
      <c r="L70" s="1130"/>
      <c r="M70" s="1130"/>
      <c r="N70" s="1130"/>
      <c r="O70" s="1130"/>
      <c r="P70" s="1130"/>
      <c r="Q70" s="1130"/>
      <c r="R70" s="1130"/>
      <c r="S70" s="1130"/>
      <c r="T70" s="1130"/>
      <c r="U70" s="1130"/>
      <c r="V70" s="1130"/>
      <c r="W70" s="1130"/>
      <c r="X70" s="1130"/>
      <c r="Y70" s="1130"/>
      <c r="Z70" s="1130"/>
    </row>
    <row r="71" spans="1:26" ht="15.75" customHeight="1">
      <c r="A71" s="1130"/>
      <c r="B71" s="1130"/>
      <c r="C71" s="1130"/>
      <c r="D71" s="1130"/>
      <c r="E71" s="1130"/>
      <c r="F71" s="1130"/>
      <c r="G71" s="1130"/>
      <c r="H71" s="1130"/>
      <c r="I71" s="1130"/>
      <c r="J71" s="1130"/>
      <c r="K71" s="1130"/>
      <c r="L71" s="1130"/>
      <c r="M71" s="1130"/>
      <c r="N71" s="1130"/>
      <c r="O71" s="1130"/>
      <c r="P71" s="1130"/>
      <c r="Q71" s="1130"/>
      <c r="R71" s="1130"/>
      <c r="S71" s="1130"/>
      <c r="T71" s="1130"/>
      <c r="U71" s="1130"/>
      <c r="V71" s="1130"/>
      <c r="W71" s="1130"/>
      <c r="X71" s="1130"/>
      <c r="Y71" s="1130"/>
      <c r="Z71" s="1130"/>
    </row>
    <row r="72" spans="1:26" ht="15.75" customHeight="1">
      <c r="A72" s="1130"/>
      <c r="B72" s="1130"/>
      <c r="C72" s="1130"/>
      <c r="D72" s="1130"/>
      <c r="E72" s="1130"/>
      <c r="F72" s="1130"/>
      <c r="G72" s="1130"/>
      <c r="H72" s="1130"/>
      <c r="I72" s="1130"/>
      <c r="J72" s="1130"/>
      <c r="K72" s="1130"/>
      <c r="L72" s="1130"/>
      <c r="M72" s="1130"/>
      <c r="N72" s="1130"/>
      <c r="O72" s="1130"/>
      <c r="P72" s="1130"/>
      <c r="Q72" s="1130"/>
      <c r="R72" s="1130"/>
      <c r="S72" s="1130"/>
      <c r="T72" s="1130"/>
      <c r="U72" s="1130"/>
      <c r="V72" s="1130"/>
      <c r="W72" s="1130"/>
      <c r="X72" s="1130"/>
      <c r="Y72" s="1130"/>
      <c r="Z72" s="1130"/>
    </row>
    <row r="73" spans="1:26" ht="15.75" customHeight="1">
      <c r="A73" s="1130"/>
      <c r="B73" s="1130"/>
      <c r="C73" s="1130"/>
      <c r="D73" s="1130"/>
      <c r="E73" s="1130"/>
      <c r="F73" s="1130"/>
      <c r="G73" s="1130"/>
      <c r="H73" s="1130"/>
      <c r="I73" s="1130"/>
      <c r="J73" s="1130"/>
      <c r="K73" s="1130"/>
      <c r="L73" s="1130"/>
      <c r="M73" s="1130"/>
      <c r="N73" s="1130"/>
      <c r="O73" s="1130"/>
      <c r="P73" s="1130"/>
      <c r="Q73" s="1130"/>
      <c r="R73" s="1130"/>
      <c r="S73" s="1130"/>
      <c r="T73" s="1130"/>
      <c r="U73" s="1130"/>
      <c r="V73" s="1130"/>
      <c r="W73" s="1130"/>
      <c r="X73" s="1130"/>
      <c r="Y73" s="1130"/>
      <c r="Z73" s="1130"/>
    </row>
    <row r="74" spans="1:26" ht="15.75" customHeight="1">
      <c r="A74" s="1130"/>
      <c r="B74" s="1130"/>
      <c r="C74" s="1130"/>
      <c r="D74" s="1130"/>
      <c r="E74" s="1130"/>
      <c r="F74" s="1130"/>
      <c r="G74" s="1130"/>
      <c r="H74" s="1130"/>
      <c r="I74" s="1130"/>
      <c r="J74" s="1130"/>
      <c r="K74" s="1130"/>
      <c r="L74" s="1130"/>
      <c r="M74" s="1130"/>
      <c r="N74" s="1130"/>
      <c r="O74" s="1130"/>
      <c r="P74" s="1130"/>
      <c r="Q74" s="1130"/>
      <c r="R74" s="1130"/>
      <c r="S74" s="1130"/>
      <c r="T74" s="1130"/>
      <c r="U74" s="1130"/>
      <c r="V74" s="1130"/>
      <c r="W74" s="1130"/>
      <c r="X74" s="1130"/>
      <c r="Y74" s="1130"/>
      <c r="Z74" s="1130"/>
    </row>
    <row r="75" spans="1:26" ht="15.75" customHeight="1">
      <c r="A75" s="1130"/>
      <c r="B75" s="1130"/>
      <c r="C75" s="1130"/>
      <c r="D75" s="1130"/>
      <c r="E75" s="1130"/>
      <c r="F75" s="1130"/>
      <c r="G75" s="1130"/>
      <c r="H75" s="1130"/>
      <c r="I75" s="1130"/>
      <c r="J75" s="1130"/>
      <c r="K75" s="1130"/>
      <c r="L75" s="1130"/>
      <c r="M75" s="1130"/>
      <c r="N75" s="1130"/>
      <c r="O75" s="1130"/>
      <c r="P75" s="1130"/>
      <c r="Q75" s="1130"/>
      <c r="R75" s="1130"/>
      <c r="S75" s="1130"/>
      <c r="T75" s="1130"/>
      <c r="U75" s="1130"/>
      <c r="V75" s="1130"/>
      <c r="W75" s="1130"/>
      <c r="X75" s="1130"/>
      <c r="Y75" s="1130"/>
      <c r="Z75" s="1130"/>
    </row>
    <row r="76" spans="1:26" ht="15.75" customHeight="1">
      <c r="A76" s="1130"/>
      <c r="B76" s="1130"/>
      <c r="C76" s="1130"/>
      <c r="D76" s="1130"/>
      <c r="E76" s="1130"/>
      <c r="F76" s="1130"/>
      <c r="G76" s="1130"/>
      <c r="H76" s="1130"/>
      <c r="I76" s="1130"/>
      <c r="J76" s="1130"/>
      <c r="K76" s="1130"/>
      <c r="L76" s="1130"/>
      <c r="M76" s="1130"/>
      <c r="N76" s="1130"/>
      <c r="O76" s="1130"/>
      <c r="P76" s="1130"/>
      <c r="Q76" s="1130"/>
      <c r="R76" s="1130"/>
      <c r="S76" s="1130"/>
      <c r="T76" s="1130"/>
      <c r="U76" s="1130"/>
      <c r="V76" s="1130"/>
      <c r="W76" s="1130"/>
      <c r="X76" s="1130"/>
      <c r="Y76" s="1130"/>
      <c r="Z76" s="1130"/>
    </row>
    <row r="77" spans="1:26" ht="15.75" customHeight="1">
      <c r="A77" s="1130"/>
      <c r="B77" s="1130"/>
      <c r="C77" s="1130"/>
      <c r="D77" s="1130"/>
      <c r="E77" s="1130"/>
      <c r="F77" s="1130"/>
      <c r="G77" s="1130"/>
      <c r="H77" s="1130"/>
      <c r="I77" s="1130"/>
      <c r="J77" s="1130"/>
      <c r="K77" s="1130"/>
      <c r="L77" s="1130"/>
      <c r="M77" s="1130"/>
      <c r="N77" s="1130"/>
      <c r="O77" s="1130"/>
      <c r="P77" s="1130"/>
      <c r="Q77" s="1130"/>
      <c r="R77" s="1130"/>
      <c r="S77" s="1130"/>
      <c r="T77" s="1130"/>
      <c r="U77" s="1130"/>
      <c r="V77" s="1130"/>
      <c r="W77" s="1130"/>
      <c r="X77" s="1130"/>
      <c r="Y77" s="1130"/>
      <c r="Z77" s="1130"/>
    </row>
    <row r="78" spans="1:26" ht="15.75" customHeight="1">
      <c r="A78" s="1130"/>
      <c r="B78" s="1130"/>
      <c r="C78" s="1130"/>
      <c r="D78" s="1130"/>
      <c r="E78" s="1130"/>
      <c r="F78" s="1130"/>
      <c r="G78" s="1130"/>
      <c r="H78" s="1130"/>
      <c r="I78" s="1130"/>
      <c r="J78" s="1130"/>
      <c r="K78" s="1130"/>
      <c r="L78" s="1130"/>
      <c r="M78" s="1130"/>
      <c r="N78" s="1130"/>
      <c r="O78" s="1130"/>
      <c r="P78" s="1130"/>
      <c r="Q78" s="1130"/>
      <c r="R78" s="1130"/>
      <c r="S78" s="1130"/>
      <c r="T78" s="1130"/>
      <c r="U78" s="1130"/>
      <c r="V78" s="1130"/>
      <c r="W78" s="1130"/>
      <c r="X78" s="1130"/>
      <c r="Y78" s="1130"/>
      <c r="Z78" s="1130"/>
    </row>
    <row r="79" spans="1:26" ht="15.75" customHeight="1">
      <c r="A79" s="1130"/>
      <c r="B79" s="1130"/>
      <c r="C79" s="1130"/>
      <c r="D79" s="1130"/>
      <c r="E79" s="1130"/>
      <c r="F79" s="1130"/>
      <c r="G79" s="1130"/>
      <c r="H79" s="1130"/>
      <c r="I79" s="1130"/>
      <c r="J79" s="1130"/>
      <c r="K79" s="1130"/>
      <c r="L79" s="1130"/>
      <c r="M79" s="1130"/>
      <c r="N79" s="1130"/>
      <c r="O79" s="1130"/>
      <c r="P79" s="1130"/>
      <c r="Q79" s="1130"/>
      <c r="R79" s="1130"/>
      <c r="S79" s="1130"/>
      <c r="T79" s="1130"/>
      <c r="U79" s="1130"/>
      <c r="V79" s="1130"/>
      <c r="W79" s="1130"/>
      <c r="X79" s="1130"/>
      <c r="Y79" s="1130"/>
      <c r="Z79" s="1130"/>
    </row>
    <row r="80" spans="1:26" ht="15.75" customHeight="1">
      <c r="A80" s="1130"/>
      <c r="B80" s="1130"/>
      <c r="C80" s="1130"/>
      <c r="D80" s="1130"/>
      <c r="E80" s="1130"/>
      <c r="F80" s="1130"/>
      <c r="G80" s="1130"/>
      <c r="H80" s="1130"/>
      <c r="I80" s="1130"/>
      <c r="J80" s="1130"/>
      <c r="K80" s="1130"/>
      <c r="L80" s="1130"/>
      <c r="M80" s="1130"/>
      <c r="N80" s="1130"/>
      <c r="O80" s="1130"/>
      <c r="P80" s="1130"/>
      <c r="Q80" s="1130"/>
      <c r="R80" s="1130"/>
      <c r="S80" s="1130"/>
      <c r="T80" s="1130"/>
      <c r="U80" s="1130"/>
      <c r="V80" s="1130"/>
      <c r="W80" s="1130"/>
      <c r="X80" s="1130"/>
      <c r="Y80" s="1130"/>
      <c r="Z80" s="1130"/>
    </row>
    <row r="81" spans="1:26" ht="15.75" customHeight="1">
      <c r="A81" s="1130"/>
      <c r="B81" s="1130"/>
      <c r="C81" s="1130"/>
      <c r="D81" s="1130"/>
      <c r="E81" s="1130"/>
      <c r="F81" s="1130"/>
      <c r="G81" s="1130"/>
      <c r="H81" s="1130"/>
      <c r="I81" s="1130"/>
      <c r="J81" s="1130"/>
      <c r="K81" s="1130"/>
      <c r="L81" s="1130"/>
      <c r="M81" s="1130"/>
      <c r="N81" s="1130"/>
      <c r="O81" s="1130"/>
      <c r="P81" s="1130"/>
      <c r="Q81" s="1130"/>
      <c r="R81" s="1130"/>
      <c r="S81" s="1130"/>
      <c r="T81" s="1130"/>
      <c r="U81" s="1130"/>
      <c r="V81" s="1130"/>
      <c r="W81" s="1130"/>
      <c r="X81" s="1130"/>
      <c r="Y81" s="1130"/>
      <c r="Z81" s="1130"/>
    </row>
    <row r="82" spans="1:26" ht="15.75" customHeight="1">
      <c r="A82" s="1130"/>
      <c r="B82" s="1130"/>
      <c r="C82" s="1130"/>
      <c r="D82" s="1130"/>
      <c r="E82" s="1130"/>
      <c r="F82" s="1130"/>
      <c r="G82" s="1130"/>
      <c r="H82" s="1130"/>
      <c r="I82" s="1130"/>
      <c r="J82" s="1130"/>
      <c r="K82" s="1130"/>
      <c r="L82" s="1130"/>
      <c r="M82" s="1130"/>
      <c r="N82" s="1130"/>
      <c r="O82" s="1130"/>
      <c r="P82" s="1130"/>
      <c r="Q82" s="1130"/>
      <c r="R82" s="1130"/>
      <c r="S82" s="1130"/>
      <c r="T82" s="1130"/>
      <c r="U82" s="1130"/>
      <c r="V82" s="1130"/>
      <c r="W82" s="1130"/>
      <c r="X82" s="1130"/>
      <c r="Y82" s="1130"/>
      <c r="Z82" s="1130"/>
    </row>
    <row r="83" spans="1:26" ht="15.75" customHeight="1">
      <c r="A83" s="1130"/>
      <c r="B83" s="1130"/>
      <c r="C83" s="1130"/>
      <c r="D83" s="1130"/>
      <c r="E83" s="1130"/>
      <c r="F83" s="1130"/>
      <c r="G83" s="1130"/>
      <c r="H83" s="1130"/>
      <c r="I83" s="1130"/>
      <c r="J83" s="1130"/>
      <c r="K83" s="1130"/>
      <c r="L83" s="1130"/>
      <c r="M83" s="1130"/>
      <c r="N83" s="1130"/>
      <c r="O83" s="1130"/>
      <c r="P83" s="1130"/>
      <c r="Q83" s="1130"/>
      <c r="R83" s="1130"/>
      <c r="S83" s="1130"/>
      <c r="T83" s="1130"/>
      <c r="U83" s="1130"/>
      <c r="V83" s="1130"/>
      <c r="W83" s="1130"/>
      <c r="X83" s="1130"/>
      <c r="Y83" s="1130"/>
      <c r="Z83" s="1130"/>
    </row>
    <row r="84" spans="1:26" ht="15.75" customHeight="1">
      <c r="A84" s="1130"/>
      <c r="B84" s="1130"/>
      <c r="C84" s="1130"/>
      <c r="D84" s="1130"/>
      <c r="E84" s="1130"/>
      <c r="F84" s="1130"/>
      <c r="G84" s="1130"/>
      <c r="H84" s="1130"/>
      <c r="I84" s="1130"/>
      <c r="J84" s="1130"/>
      <c r="K84" s="1130"/>
      <c r="L84" s="1130"/>
      <c r="M84" s="1130"/>
      <c r="N84" s="1130"/>
      <c r="O84" s="1130"/>
      <c r="P84" s="1130"/>
      <c r="Q84" s="1130"/>
      <c r="R84" s="1130"/>
      <c r="S84" s="1130"/>
      <c r="T84" s="1130"/>
      <c r="U84" s="1130"/>
      <c r="V84" s="1130"/>
      <c r="W84" s="1130"/>
      <c r="X84" s="1130"/>
      <c r="Y84" s="1130"/>
      <c r="Z84" s="1130"/>
    </row>
    <row r="85" spans="1:26" ht="15.75" customHeight="1">
      <c r="A85" s="1130"/>
      <c r="B85" s="1130"/>
      <c r="C85" s="1130"/>
      <c r="D85" s="1130"/>
      <c r="E85" s="1130"/>
      <c r="F85" s="1130"/>
      <c r="G85" s="1130"/>
      <c r="H85" s="1130"/>
      <c r="I85" s="1130"/>
      <c r="J85" s="1130"/>
      <c r="K85" s="1130"/>
      <c r="L85" s="1130"/>
      <c r="M85" s="1130"/>
      <c r="N85" s="1130"/>
      <c r="O85" s="1130"/>
      <c r="P85" s="1130"/>
      <c r="Q85" s="1130"/>
      <c r="R85" s="1130"/>
      <c r="S85" s="1130"/>
      <c r="T85" s="1130"/>
      <c r="U85" s="1130"/>
      <c r="V85" s="1130"/>
      <c r="W85" s="1130"/>
      <c r="X85" s="1130"/>
      <c r="Y85" s="1130"/>
      <c r="Z85" s="1130"/>
    </row>
    <row r="86" spans="1:26" ht="15.75" customHeight="1">
      <c r="A86" s="1130"/>
      <c r="B86" s="1130"/>
      <c r="C86" s="1130"/>
      <c r="D86" s="1130"/>
      <c r="E86" s="1130"/>
      <c r="F86" s="1130"/>
      <c r="G86" s="1130"/>
      <c r="H86" s="1130"/>
      <c r="I86" s="1130"/>
      <c r="J86" s="1130"/>
      <c r="K86" s="1130"/>
      <c r="L86" s="1130"/>
      <c r="M86" s="1130"/>
      <c r="N86" s="1130"/>
      <c r="O86" s="1130"/>
      <c r="P86" s="1130"/>
      <c r="Q86" s="1130"/>
      <c r="R86" s="1130"/>
      <c r="S86" s="1130"/>
      <c r="T86" s="1130"/>
      <c r="U86" s="1130"/>
      <c r="V86" s="1130"/>
      <c r="W86" s="1130"/>
      <c r="X86" s="1130"/>
      <c r="Y86" s="1130"/>
      <c r="Z86" s="1130"/>
    </row>
    <row r="87" spans="1:26" ht="15.75" customHeight="1">
      <c r="A87" s="1130"/>
      <c r="B87" s="1130"/>
      <c r="C87" s="1130"/>
      <c r="D87" s="1130"/>
      <c r="E87" s="1130"/>
      <c r="F87" s="1130"/>
      <c r="G87" s="1130"/>
      <c r="H87" s="1130"/>
      <c r="I87" s="1130"/>
      <c r="J87" s="1130"/>
      <c r="K87" s="1130"/>
      <c r="L87" s="1130"/>
      <c r="M87" s="1130"/>
      <c r="N87" s="1130"/>
      <c r="O87" s="1130"/>
      <c r="P87" s="1130"/>
      <c r="Q87" s="1130"/>
      <c r="R87" s="1130"/>
      <c r="S87" s="1130"/>
      <c r="T87" s="1130"/>
      <c r="U87" s="1130"/>
      <c r="V87" s="1130"/>
      <c r="W87" s="1130"/>
      <c r="X87" s="1130"/>
      <c r="Y87" s="1130"/>
      <c r="Z87" s="1130"/>
    </row>
    <row r="88" spans="1:26" ht="15.75" customHeight="1">
      <c r="A88" s="1130"/>
      <c r="B88" s="1130"/>
      <c r="C88" s="1130"/>
      <c r="D88" s="1130"/>
      <c r="E88" s="1130"/>
      <c r="F88" s="1130"/>
      <c r="G88" s="1130"/>
      <c r="H88" s="1130"/>
      <c r="I88" s="1130"/>
      <c r="J88" s="1130"/>
      <c r="K88" s="1130"/>
      <c r="L88" s="1130"/>
      <c r="M88" s="1130"/>
      <c r="N88" s="1130"/>
      <c r="O88" s="1130"/>
      <c r="P88" s="1130"/>
      <c r="Q88" s="1130"/>
      <c r="R88" s="1130"/>
      <c r="S88" s="1130"/>
      <c r="T88" s="1130"/>
      <c r="U88" s="1130"/>
      <c r="V88" s="1130"/>
      <c r="W88" s="1130"/>
      <c r="X88" s="1130"/>
      <c r="Y88" s="1130"/>
      <c r="Z88" s="1130"/>
    </row>
    <row r="89" spans="1:26" ht="15.75" customHeight="1">
      <c r="A89" s="1130"/>
      <c r="B89" s="1130"/>
      <c r="C89" s="1130"/>
      <c r="D89" s="1130"/>
      <c r="E89" s="1130"/>
      <c r="F89" s="1130"/>
      <c r="G89" s="1130"/>
      <c r="H89" s="1130"/>
      <c r="I89" s="1130"/>
      <c r="J89" s="1130"/>
      <c r="K89" s="1130"/>
      <c r="L89" s="1130"/>
      <c r="M89" s="1130"/>
      <c r="N89" s="1130"/>
      <c r="O89" s="1130"/>
      <c r="P89" s="1130"/>
      <c r="Q89" s="1130"/>
      <c r="R89" s="1130"/>
      <c r="S89" s="1130"/>
      <c r="T89" s="1130"/>
      <c r="U89" s="1130"/>
      <c r="V89" s="1130"/>
      <c r="W89" s="1130"/>
      <c r="X89" s="1130"/>
      <c r="Y89" s="1130"/>
      <c r="Z89" s="1130"/>
    </row>
    <row r="90" spans="1:26" ht="15.75" customHeight="1">
      <c r="A90" s="1130"/>
      <c r="B90" s="1130"/>
      <c r="C90" s="1130"/>
      <c r="D90" s="1130"/>
      <c r="E90" s="1130"/>
      <c r="F90" s="1130"/>
      <c r="G90" s="1130"/>
      <c r="H90" s="1130"/>
      <c r="I90" s="1130"/>
      <c r="J90" s="1130"/>
      <c r="K90" s="1130"/>
      <c r="L90" s="1130"/>
      <c r="M90" s="1130"/>
      <c r="N90" s="1130"/>
      <c r="O90" s="1130"/>
      <c r="P90" s="1130"/>
      <c r="Q90" s="1130"/>
      <c r="R90" s="1130"/>
      <c r="S90" s="1130"/>
      <c r="T90" s="1130"/>
      <c r="U90" s="1130"/>
      <c r="V90" s="1130"/>
      <c r="W90" s="1130"/>
      <c r="X90" s="1130"/>
      <c r="Y90" s="1130"/>
      <c r="Z90" s="1130"/>
    </row>
    <row r="91" spans="1:26" ht="15.75" customHeight="1">
      <c r="A91" s="1130"/>
      <c r="B91" s="1130"/>
      <c r="C91" s="1130"/>
      <c r="D91" s="1130"/>
      <c r="E91" s="1130"/>
      <c r="F91" s="1130"/>
      <c r="G91" s="1130"/>
      <c r="H91" s="1130"/>
      <c r="I91" s="1130"/>
      <c r="J91" s="1130"/>
      <c r="K91" s="1130"/>
      <c r="L91" s="1130"/>
      <c r="M91" s="1130"/>
      <c r="N91" s="1130"/>
      <c r="O91" s="1130"/>
      <c r="P91" s="1130"/>
      <c r="Q91" s="1130"/>
      <c r="R91" s="1130"/>
      <c r="S91" s="1130"/>
      <c r="T91" s="1130"/>
      <c r="U91" s="1130"/>
      <c r="V91" s="1130"/>
      <c r="W91" s="1130"/>
      <c r="X91" s="1130"/>
      <c r="Y91" s="1130"/>
      <c r="Z91" s="1130"/>
    </row>
    <row r="92" spans="1:26" ht="15.75" customHeight="1">
      <c r="A92" s="1130"/>
      <c r="B92" s="1130"/>
      <c r="C92" s="1130"/>
      <c r="D92" s="1130"/>
      <c r="E92" s="1130"/>
      <c r="F92" s="1130"/>
      <c r="G92" s="1130"/>
      <c r="H92" s="1130"/>
      <c r="I92" s="1130"/>
      <c r="J92" s="1130"/>
      <c r="K92" s="1130"/>
      <c r="L92" s="1130"/>
      <c r="M92" s="1130"/>
      <c r="N92" s="1130"/>
      <c r="O92" s="1130"/>
      <c r="P92" s="1130"/>
      <c r="Q92" s="1130"/>
      <c r="R92" s="1130"/>
      <c r="S92" s="1130"/>
      <c r="T92" s="1130"/>
      <c r="U92" s="1130"/>
      <c r="V92" s="1130"/>
      <c r="W92" s="1130"/>
      <c r="X92" s="1130"/>
      <c r="Y92" s="1130"/>
      <c r="Z92" s="1130"/>
    </row>
    <row r="93" spans="1:26" ht="15.75" customHeight="1">
      <c r="A93" s="1130"/>
      <c r="B93" s="1130"/>
      <c r="C93" s="1130"/>
      <c r="D93" s="1130"/>
      <c r="E93" s="1130"/>
      <c r="F93" s="1130"/>
      <c r="G93" s="1130"/>
      <c r="H93" s="1130"/>
      <c r="I93" s="1130"/>
      <c r="J93" s="1130"/>
      <c r="K93" s="1130"/>
      <c r="L93" s="1130"/>
      <c r="M93" s="1130"/>
      <c r="N93" s="1130"/>
      <c r="O93" s="1130"/>
      <c r="P93" s="1130"/>
      <c r="Q93" s="1130"/>
      <c r="R93" s="1130"/>
      <c r="S93" s="1130"/>
      <c r="T93" s="1130"/>
      <c r="U93" s="1130"/>
      <c r="V93" s="1130"/>
      <c r="W93" s="1130"/>
      <c r="X93" s="1130"/>
      <c r="Y93" s="1130"/>
      <c r="Z93" s="1130"/>
    </row>
    <row r="94" spans="1:26" ht="15.75" customHeight="1">
      <c r="A94" s="1130"/>
      <c r="B94" s="1130"/>
      <c r="C94" s="1130"/>
      <c r="D94" s="1130"/>
      <c r="E94" s="1130"/>
      <c r="F94" s="1130"/>
      <c r="G94" s="1130"/>
      <c r="H94" s="1130"/>
      <c r="I94" s="1130"/>
      <c r="J94" s="1130"/>
      <c r="K94" s="1130"/>
      <c r="L94" s="1130"/>
      <c r="M94" s="1130"/>
      <c r="N94" s="1130"/>
      <c r="O94" s="1130"/>
      <c r="P94" s="1130"/>
      <c r="Q94" s="1130"/>
      <c r="R94" s="1130"/>
      <c r="S94" s="1130"/>
      <c r="T94" s="1130"/>
      <c r="U94" s="1130"/>
      <c r="V94" s="1130"/>
      <c r="W94" s="1130"/>
      <c r="X94" s="1130"/>
      <c r="Y94" s="1130"/>
      <c r="Z94" s="1130"/>
    </row>
    <row r="95" spans="1:26" ht="15.75" customHeight="1">
      <c r="A95" s="1130"/>
      <c r="B95" s="1130"/>
      <c r="C95" s="1130"/>
      <c r="D95" s="1130"/>
      <c r="E95" s="1130"/>
      <c r="F95" s="1130"/>
      <c r="G95" s="1130"/>
      <c r="H95" s="1130"/>
      <c r="I95" s="1130"/>
      <c r="J95" s="1130"/>
      <c r="K95" s="1130"/>
      <c r="L95" s="1130"/>
      <c r="M95" s="1130"/>
      <c r="N95" s="1130"/>
      <c r="O95" s="1130"/>
      <c r="P95" s="1130"/>
      <c r="Q95" s="1130"/>
      <c r="R95" s="1130"/>
      <c r="S95" s="1130"/>
      <c r="T95" s="1130"/>
      <c r="U95" s="1130"/>
      <c r="V95" s="1130"/>
      <c r="W95" s="1130"/>
      <c r="X95" s="1130"/>
      <c r="Y95" s="1130"/>
      <c r="Z95" s="1130"/>
    </row>
    <row r="96" spans="1:26" ht="15.75" customHeight="1">
      <c r="A96" s="1130"/>
      <c r="B96" s="1130"/>
      <c r="C96" s="1130"/>
      <c r="D96" s="1130"/>
      <c r="E96" s="1130"/>
      <c r="F96" s="1130"/>
      <c r="G96" s="1130"/>
      <c r="H96" s="1130"/>
      <c r="I96" s="1130"/>
      <c r="J96" s="1130"/>
      <c r="K96" s="1130"/>
      <c r="L96" s="1130"/>
      <c r="M96" s="1130"/>
      <c r="N96" s="1130"/>
      <c r="O96" s="1130"/>
      <c r="P96" s="1130"/>
      <c r="Q96" s="1130"/>
      <c r="R96" s="1130"/>
      <c r="S96" s="1130"/>
      <c r="T96" s="1130"/>
      <c r="U96" s="1130"/>
      <c r="V96" s="1130"/>
      <c r="W96" s="1130"/>
      <c r="X96" s="1130"/>
      <c r="Y96" s="1130"/>
      <c r="Z96" s="1130"/>
    </row>
    <row r="97" spans="1:26" ht="15.75" customHeight="1">
      <c r="A97" s="1130"/>
      <c r="B97" s="1130"/>
      <c r="C97" s="1130"/>
      <c r="D97" s="1130"/>
      <c r="E97" s="1130"/>
      <c r="F97" s="1130"/>
      <c r="G97" s="1130"/>
      <c r="H97" s="1130"/>
      <c r="I97" s="1130"/>
      <c r="J97" s="1130"/>
      <c r="K97" s="1130"/>
      <c r="L97" s="1130"/>
      <c r="M97" s="1130"/>
      <c r="N97" s="1130"/>
      <c r="O97" s="1130"/>
      <c r="P97" s="1130"/>
      <c r="Q97" s="1130"/>
      <c r="R97" s="1130"/>
      <c r="S97" s="1130"/>
      <c r="T97" s="1130"/>
      <c r="U97" s="1130"/>
      <c r="V97" s="1130"/>
      <c r="W97" s="1130"/>
      <c r="X97" s="1130"/>
      <c r="Y97" s="1130"/>
      <c r="Z97" s="1130"/>
    </row>
    <row r="98" spans="1:26" ht="15.75" customHeight="1">
      <c r="A98" s="1130"/>
      <c r="B98" s="1130"/>
      <c r="C98" s="1130"/>
      <c r="D98" s="1130"/>
      <c r="E98" s="1130"/>
      <c r="F98" s="1130"/>
      <c r="G98" s="1130"/>
      <c r="H98" s="1130"/>
      <c r="I98" s="1130"/>
      <c r="J98" s="1130"/>
      <c r="K98" s="1130"/>
      <c r="L98" s="1130"/>
      <c r="M98" s="1130"/>
      <c r="N98" s="1130"/>
      <c r="O98" s="1130"/>
      <c r="P98" s="1130"/>
      <c r="Q98" s="1130"/>
      <c r="R98" s="1130"/>
      <c r="S98" s="1130"/>
      <c r="T98" s="1130"/>
      <c r="U98" s="1130"/>
      <c r="V98" s="1130"/>
      <c r="W98" s="1130"/>
      <c r="X98" s="1130"/>
      <c r="Y98" s="1130"/>
      <c r="Z98" s="1130"/>
    </row>
    <row r="99" spans="1:26" ht="15.75" customHeight="1">
      <c r="A99" s="1130"/>
      <c r="B99" s="1130"/>
      <c r="C99" s="1130"/>
      <c r="D99" s="1130"/>
      <c r="E99" s="1130"/>
      <c r="F99" s="1130"/>
      <c r="G99" s="1130"/>
      <c r="H99" s="1130"/>
      <c r="I99" s="1130"/>
      <c r="J99" s="1130"/>
      <c r="K99" s="1130"/>
      <c r="L99" s="1130"/>
      <c r="M99" s="1130"/>
      <c r="N99" s="1130"/>
      <c r="O99" s="1130"/>
      <c r="P99" s="1130"/>
      <c r="Q99" s="1130"/>
      <c r="R99" s="1130"/>
      <c r="S99" s="1130"/>
      <c r="T99" s="1130"/>
      <c r="U99" s="1130"/>
      <c r="V99" s="1130"/>
      <c r="W99" s="1130"/>
      <c r="X99" s="1130"/>
      <c r="Y99" s="1130"/>
      <c r="Z99" s="1130"/>
    </row>
    <row r="100" spans="1:26" ht="15.75" customHeight="1">
      <c r="A100" s="1130"/>
      <c r="B100" s="1130"/>
      <c r="C100" s="1130"/>
      <c r="D100" s="1130"/>
      <c r="E100" s="1130"/>
      <c r="F100" s="1130"/>
      <c r="G100" s="1130"/>
      <c r="H100" s="1130"/>
      <c r="I100" s="1130"/>
      <c r="J100" s="1130"/>
      <c r="K100" s="1130"/>
      <c r="L100" s="1130"/>
      <c r="M100" s="1130"/>
      <c r="N100" s="1130"/>
      <c r="O100" s="1130"/>
      <c r="P100" s="1130"/>
      <c r="Q100" s="1130"/>
      <c r="R100" s="1130"/>
      <c r="S100" s="1130"/>
      <c r="T100" s="1130"/>
      <c r="U100" s="1130"/>
      <c r="V100" s="1130"/>
      <c r="W100" s="1130"/>
      <c r="X100" s="1130"/>
      <c r="Y100" s="1130"/>
      <c r="Z100" s="1130"/>
    </row>
    <row r="101" spans="1:26" ht="15.75" customHeight="1">
      <c r="A101" s="1130"/>
      <c r="B101" s="1130"/>
      <c r="C101" s="1130"/>
      <c r="D101" s="1130"/>
      <c r="E101" s="1130"/>
      <c r="F101" s="1130"/>
      <c r="G101" s="1130"/>
      <c r="H101" s="1130"/>
      <c r="I101" s="1130"/>
      <c r="J101" s="1130"/>
      <c r="K101" s="1130"/>
      <c r="L101" s="1130"/>
      <c r="M101" s="1130"/>
      <c r="N101" s="1130"/>
      <c r="O101" s="1130"/>
      <c r="P101" s="1130"/>
      <c r="Q101" s="1130"/>
      <c r="R101" s="1130"/>
      <c r="S101" s="1130"/>
      <c r="T101" s="1130"/>
      <c r="U101" s="1130"/>
      <c r="V101" s="1130"/>
      <c r="W101" s="1130"/>
      <c r="X101" s="1130"/>
      <c r="Y101" s="1130"/>
      <c r="Z101" s="1130"/>
    </row>
    <row r="102" spans="1:26" ht="15.75" customHeight="1">
      <c r="A102" s="1130"/>
      <c r="B102" s="1130"/>
      <c r="C102" s="1130"/>
      <c r="D102" s="1130"/>
      <c r="E102" s="1130"/>
      <c r="F102" s="1130"/>
      <c r="G102" s="1130"/>
      <c r="H102" s="1130"/>
      <c r="I102" s="1130"/>
      <c r="J102" s="1130"/>
      <c r="K102" s="1130"/>
      <c r="L102" s="1130"/>
      <c r="M102" s="1130"/>
      <c r="N102" s="1130"/>
      <c r="O102" s="1130"/>
      <c r="P102" s="1130"/>
      <c r="Q102" s="1130"/>
      <c r="R102" s="1130"/>
      <c r="S102" s="1130"/>
      <c r="T102" s="1130"/>
      <c r="U102" s="1130"/>
      <c r="V102" s="1130"/>
      <c r="W102" s="1130"/>
      <c r="X102" s="1130"/>
      <c r="Y102" s="1130"/>
      <c r="Z102" s="1130"/>
    </row>
    <row r="103" spans="1:26" ht="15.75" customHeight="1">
      <c r="A103" s="1130"/>
      <c r="B103" s="1130"/>
      <c r="C103" s="1130"/>
      <c r="D103" s="1130"/>
      <c r="E103" s="1130"/>
      <c r="F103" s="1130"/>
      <c r="G103" s="1130"/>
      <c r="H103" s="1130"/>
      <c r="I103" s="1130"/>
      <c r="J103" s="1130"/>
      <c r="K103" s="1130"/>
      <c r="L103" s="1130"/>
      <c r="M103" s="1130"/>
      <c r="N103" s="1130"/>
      <c r="O103" s="1130"/>
      <c r="P103" s="1130"/>
      <c r="Q103" s="1130"/>
      <c r="R103" s="1130"/>
      <c r="S103" s="1130"/>
      <c r="T103" s="1130"/>
      <c r="U103" s="1130"/>
      <c r="V103" s="1130"/>
      <c r="W103" s="1130"/>
      <c r="X103" s="1130"/>
      <c r="Y103" s="1130"/>
      <c r="Z103" s="1130"/>
    </row>
    <row r="104" spans="1:26" ht="15.75" customHeight="1">
      <c r="A104" s="1130"/>
      <c r="B104" s="1130"/>
      <c r="C104" s="1130"/>
      <c r="D104" s="1130"/>
      <c r="E104" s="1130"/>
      <c r="F104" s="1130"/>
      <c r="G104" s="1130"/>
      <c r="H104" s="1130"/>
      <c r="I104" s="1130"/>
      <c r="J104" s="1130"/>
      <c r="K104" s="1130"/>
      <c r="L104" s="1130"/>
      <c r="M104" s="1130"/>
      <c r="N104" s="1130"/>
      <c r="O104" s="1130"/>
      <c r="P104" s="1130"/>
      <c r="Q104" s="1130"/>
      <c r="R104" s="1130"/>
      <c r="S104" s="1130"/>
      <c r="T104" s="1130"/>
      <c r="U104" s="1130"/>
      <c r="V104" s="1130"/>
      <c r="W104" s="1130"/>
      <c r="X104" s="1130"/>
      <c r="Y104" s="1130"/>
      <c r="Z104" s="1130"/>
    </row>
    <row r="105" spans="1:26" ht="15.75" customHeight="1">
      <c r="A105" s="1130"/>
      <c r="B105" s="1130"/>
      <c r="C105" s="1130"/>
      <c r="D105" s="1130"/>
      <c r="E105" s="1130"/>
      <c r="F105" s="1130"/>
      <c r="G105" s="1130"/>
      <c r="H105" s="1130"/>
      <c r="I105" s="1130"/>
      <c r="J105" s="1130"/>
      <c r="K105" s="1130"/>
      <c r="L105" s="1130"/>
      <c r="M105" s="1130"/>
      <c r="N105" s="1130"/>
      <c r="O105" s="1130"/>
      <c r="P105" s="1130"/>
      <c r="Q105" s="1130"/>
      <c r="R105" s="1130"/>
      <c r="S105" s="1130"/>
      <c r="T105" s="1130"/>
      <c r="U105" s="1130"/>
      <c r="V105" s="1130"/>
      <c r="W105" s="1130"/>
      <c r="X105" s="1130"/>
      <c r="Y105" s="1130"/>
      <c r="Z105" s="1130"/>
    </row>
    <row r="106" spans="1:26" ht="15.75" customHeight="1">
      <c r="A106" s="1130"/>
      <c r="B106" s="1130"/>
      <c r="C106" s="1130"/>
      <c r="D106" s="1130"/>
      <c r="E106" s="1130"/>
      <c r="F106" s="1130"/>
      <c r="G106" s="1130"/>
      <c r="H106" s="1130"/>
      <c r="I106" s="1130"/>
      <c r="J106" s="1130"/>
      <c r="K106" s="1130"/>
      <c r="L106" s="1130"/>
      <c r="M106" s="1130"/>
      <c r="N106" s="1130"/>
      <c r="O106" s="1130"/>
      <c r="P106" s="1130"/>
      <c r="Q106" s="1130"/>
      <c r="R106" s="1130"/>
      <c r="S106" s="1130"/>
      <c r="T106" s="1130"/>
      <c r="U106" s="1130"/>
      <c r="V106" s="1130"/>
      <c r="W106" s="1130"/>
      <c r="X106" s="1130"/>
      <c r="Y106" s="1130"/>
      <c r="Z106" s="1130"/>
    </row>
    <row r="107" spans="1:26" ht="15.75" customHeight="1">
      <c r="A107" s="1130"/>
      <c r="B107" s="1130"/>
      <c r="C107" s="1130"/>
      <c r="D107" s="1130"/>
      <c r="E107" s="1130"/>
      <c r="F107" s="1130"/>
      <c r="G107" s="1130"/>
      <c r="H107" s="1130"/>
      <c r="I107" s="1130"/>
      <c r="J107" s="1130"/>
      <c r="K107" s="1130"/>
      <c r="L107" s="1130"/>
      <c r="M107" s="1130"/>
      <c r="N107" s="1130"/>
      <c r="O107" s="1130"/>
      <c r="P107" s="1130"/>
      <c r="Q107" s="1130"/>
      <c r="R107" s="1130"/>
      <c r="S107" s="1130"/>
      <c r="T107" s="1130"/>
      <c r="U107" s="1130"/>
      <c r="V107" s="1130"/>
      <c r="W107" s="1130"/>
      <c r="X107" s="1130"/>
      <c r="Y107" s="1130"/>
      <c r="Z107" s="1130"/>
    </row>
    <row r="108" spans="1:26" ht="15.75" customHeight="1">
      <c r="A108" s="1130"/>
      <c r="B108" s="1130"/>
      <c r="C108" s="1130"/>
      <c r="D108" s="1130"/>
      <c r="E108" s="1130"/>
      <c r="F108" s="1130"/>
      <c r="G108" s="1130"/>
      <c r="H108" s="1130"/>
      <c r="I108" s="1130"/>
      <c r="J108" s="1130"/>
      <c r="K108" s="1130"/>
      <c r="L108" s="1130"/>
      <c r="M108" s="1130"/>
      <c r="N108" s="1130"/>
      <c r="O108" s="1130"/>
      <c r="P108" s="1130"/>
      <c r="Q108" s="1130"/>
      <c r="R108" s="1130"/>
      <c r="S108" s="1130"/>
      <c r="T108" s="1130"/>
      <c r="U108" s="1130"/>
      <c r="V108" s="1130"/>
      <c r="W108" s="1130"/>
      <c r="X108" s="1130"/>
      <c r="Y108" s="1130"/>
      <c r="Z108" s="1130"/>
    </row>
    <row r="109" spans="1:26" ht="15.75" customHeight="1">
      <c r="A109" s="1130"/>
      <c r="B109" s="1130"/>
      <c r="C109" s="1130"/>
      <c r="D109" s="1130"/>
      <c r="E109" s="1130"/>
      <c r="F109" s="1130"/>
      <c r="G109" s="1130"/>
      <c r="H109" s="1130"/>
      <c r="I109" s="1130"/>
      <c r="J109" s="1130"/>
      <c r="K109" s="1130"/>
      <c r="L109" s="1130"/>
      <c r="M109" s="1130"/>
      <c r="N109" s="1130"/>
      <c r="O109" s="1130"/>
      <c r="P109" s="1130"/>
      <c r="Q109" s="1130"/>
      <c r="R109" s="1130"/>
      <c r="S109" s="1130"/>
      <c r="T109" s="1130"/>
      <c r="U109" s="1130"/>
      <c r="V109" s="1130"/>
      <c r="W109" s="1130"/>
      <c r="X109" s="1130"/>
      <c r="Y109" s="1130"/>
      <c r="Z109" s="1130"/>
    </row>
    <row r="110" spans="1:26" ht="15.75" customHeight="1">
      <c r="A110" s="1130"/>
      <c r="B110" s="1130"/>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0"/>
      <c r="Z110" s="1130"/>
    </row>
    <row r="111" spans="1:26" ht="15.75" customHeight="1">
      <c r="A111" s="1130"/>
      <c r="B111" s="1130"/>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0"/>
      <c r="Z111" s="1130"/>
    </row>
    <row r="112" spans="1:26" ht="15.75" customHeight="1">
      <c r="A112" s="1130"/>
      <c r="B112" s="1130"/>
      <c r="C112" s="1130"/>
      <c r="D112" s="1130"/>
      <c r="E112" s="1130"/>
      <c r="F112" s="1130"/>
      <c r="G112" s="1130"/>
      <c r="H112" s="1130"/>
      <c r="I112" s="1130"/>
      <c r="J112" s="1130"/>
      <c r="K112" s="1130"/>
      <c r="L112" s="1130"/>
      <c r="M112" s="1130"/>
      <c r="N112" s="1130"/>
      <c r="O112" s="1130"/>
      <c r="P112" s="1130"/>
      <c r="Q112" s="1130"/>
      <c r="R112" s="1130"/>
      <c r="S112" s="1130"/>
      <c r="T112" s="1130"/>
      <c r="U112" s="1130"/>
      <c r="V112" s="1130"/>
      <c r="W112" s="1130"/>
      <c r="X112" s="1130"/>
      <c r="Y112" s="1130"/>
      <c r="Z112" s="1130"/>
    </row>
    <row r="113" spans="1:26" ht="15.75" customHeight="1">
      <c r="A113" s="1130"/>
      <c r="B113" s="1130"/>
      <c r="C113" s="1130"/>
      <c r="D113" s="1130"/>
      <c r="E113" s="1130"/>
      <c r="F113" s="1130"/>
      <c r="G113" s="1130"/>
      <c r="H113" s="1130"/>
      <c r="I113" s="1130"/>
      <c r="J113" s="1130"/>
      <c r="K113" s="1130"/>
      <c r="L113" s="1130"/>
      <c r="M113" s="1130"/>
      <c r="N113" s="1130"/>
      <c r="O113" s="1130"/>
      <c r="P113" s="1130"/>
      <c r="Q113" s="1130"/>
      <c r="R113" s="1130"/>
      <c r="S113" s="1130"/>
      <c r="T113" s="1130"/>
      <c r="U113" s="1130"/>
      <c r="V113" s="1130"/>
      <c r="W113" s="1130"/>
      <c r="X113" s="1130"/>
      <c r="Y113" s="1130"/>
      <c r="Z113" s="1130"/>
    </row>
    <row r="114" spans="1:26" ht="15.75" customHeight="1">
      <c r="A114" s="1130"/>
      <c r="B114" s="1130"/>
      <c r="C114" s="1130"/>
      <c r="D114" s="1130"/>
      <c r="E114" s="1130"/>
      <c r="F114" s="1130"/>
      <c r="G114" s="1130"/>
      <c r="H114" s="1130"/>
      <c r="I114" s="1130"/>
      <c r="J114" s="1130"/>
      <c r="K114" s="1130"/>
      <c r="L114" s="1130"/>
      <c r="M114" s="1130"/>
      <c r="N114" s="1130"/>
      <c r="O114" s="1130"/>
      <c r="P114" s="1130"/>
      <c r="Q114" s="1130"/>
      <c r="R114" s="1130"/>
      <c r="S114" s="1130"/>
      <c r="T114" s="1130"/>
      <c r="U114" s="1130"/>
      <c r="V114" s="1130"/>
      <c r="W114" s="1130"/>
      <c r="X114" s="1130"/>
      <c r="Y114" s="1130"/>
      <c r="Z114" s="1130"/>
    </row>
    <row r="115" spans="1:26" ht="15.75" customHeight="1">
      <c r="A115" s="1130"/>
      <c r="B115" s="1130"/>
      <c r="C115" s="1130"/>
      <c r="D115" s="1130"/>
      <c r="E115" s="1130"/>
      <c r="F115" s="1130"/>
      <c r="G115" s="1130"/>
      <c r="H115" s="1130"/>
      <c r="I115" s="1130"/>
      <c r="J115" s="1130"/>
      <c r="K115" s="1130"/>
      <c r="L115" s="1130"/>
      <c r="M115" s="1130"/>
      <c r="N115" s="1130"/>
      <c r="O115" s="1130"/>
      <c r="P115" s="1130"/>
      <c r="Q115" s="1130"/>
      <c r="R115" s="1130"/>
      <c r="S115" s="1130"/>
      <c r="T115" s="1130"/>
      <c r="U115" s="1130"/>
      <c r="V115" s="1130"/>
      <c r="W115" s="1130"/>
      <c r="X115" s="1130"/>
      <c r="Y115" s="1130"/>
      <c r="Z115" s="1130"/>
    </row>
    <row r="116" spans="1:26" ht="15.75" customHeight="1">
      <c r="A116" s="1130"/>
      <c r="B116" s="1130"/>
      <c r="C116" s="1130"/>
      <c r="D116" s="1130"/>
      <c r="E116" s="1130"/>
      <c r="F116" s="1130"/>
      <c r="G116" s="1130"/>
      <c r="H116" s="1130"/>
      <c r="I116" s="1130"/>
      <c r="J116" s="1130"/>
      <c r="K116" s="1130"/>
      <c r="L116" s="1130"/>
      <c r="M116" s="1130"/>
      <c r="N116" s="1130"/>
      <c r="O116" s="1130"/>
      <c r="P116" s="1130"/>
      <c r="Q116" s="1130"/>
      <c r="R116" s="1130"/>
      <c r="S116" s="1130"/>
      <c r="T116" s="1130"/>
      <c r="U116" s="1130"/>
      <c r="V116" s="1130"/>
      <c r="W116" s="1130"/>
      <c r="X116" s="1130"/>
      <c r="Y116" s="1130"/>
      <c r="Z116" s="1130"/>
    </row>
    <row r="117" spans="1:26" ht="15.75" customHeight="1">
      <c r="A117" s="1130"/>
      <c r="B117" s="1130"/>
      <c r="C117" s="1130"/>
      <c r="D117" s="1130"/>
      <c r="E117" s="1130"/>
      <c r="F117" s="1130"/>
      <c r="G117" s="1130"/>
      <c r="H117" s="1130"/>
      <c r="I117" s="1130"/>
      <c r="J117" s="1130"/>
      <c r="K117" s="1130"/>
      <c r="L117" s="1130"/>
      <c r="M117" s="1130"/>
      <c r="N117" s="1130"/>
      <c r="O117" s="1130"/>
      <c r="P117" s="1130"/>
      <c r="Q117" s="1130"/>
      <c r="R117" s="1130"/>
      <c r="S117" s="1130"/>
      <c r="T117" s="1130"/>
      <c r="U117" s="1130"/>
      <c r="V117" s="1130"/>
      <c r="W117" s="1130"/>
      <c r="X117" s="1130"/>
      <c r="Y117" s="1130"/>
      <c r="Z117" s="1130"/>
    </row>
    <row r="118" spans="1:26" ht="15.75" customHeight="1">
      <c r="A118" s="1130"/>
      <c r="B118" s="1130"/>
      <c r="C118" s="1130"/>
      <c r="D118" s="1130"/>
      <c r="E118" s="1130"/>
      <c r="F118" s="1130"/>
      <c r="G118" s="1130"/>
      <c r="H118" s="1130"/>
      <c r="I118" s="1130"/>
      <c r="J118" s="1130"/>
      <c r="K118" s="1130"/>
      <c r="L118" s="1130"/>
      <c r="M118" s="1130"/>
      <c r="N118" s="1130"/>
      <c r="O118" s="1130"/>
      <c r="P118" s="1130"/>
      <c r="Q118" s="1130"/>
      <c r="R118" s="1130"/>
      <c r="S118" s="1130"/>
      <c r="T118" s="1130"/>
      <c r="U118" s="1130"/>
      <c r="V118" s="1130"/>
      <c r="W118" s="1130"/>
      <c r="X118" s="1130"/>
      <c r="Y118" s="1130"/>
      <c r="Z118" s="1130"/>
    </row>
    <row r="119" spans="1:26" ht="15.75" customHeight="1">
      <c r="A119" s="1130"/>
      <c r="B119" s="1130"/>
      <c r="C119" s="1130"/>
      <c r="D119" s="1130"/>
      <c r="E119" s="1130"/>
      <c r="F119" s="1130"/>
      <c r="G119" s="1130"/>
      <c r="H119" s="1130"/>
      <c r="I119" s="1130"/>
      <c r="J119" s="1130"/>
      <c r="K119" s="1130"/>
      <c r="L119" s="1130"/>
      <c r="M119" s="1130"/>
      <c r="N119" s="1130"/>
      <c r="O119" s="1130"/>
      <c r="P119" s="1130"/>
      <c r="Q119" s="1130"/>
      <c r="R119" s="1130"/>
      <c r="S119" s="1130"/>
      <c r="T119" s="1130"/>
      <c r="U119" s="1130"/>
      <c r="V119" s="1130"/>
      <c r="W119" s="1130"/>
      <c r="X119" s="1130"/>
      <c r="Y119" s="1130"/>
      <c r="Z119" s="1130"/>
    </row>
    <row r="120" spans="1:26" ht="15.75" customHeight="1">
      <c r="A120" s="1130"/>
      <c r="B120" s="1130"/>
      <c r="C120" s="1130"/>
      <c r="D120" s="1130"/>
      <c r="E120" s="1130"/>
      <c r="F120" s="1130"/>
      <c r="G120" s="1130"/>
      <c r="H120" s="1130"/>
      <c r="I120" s="1130"/>
      <c r="J120" s="1130"/>
      <c r="K120" s="1130"/>
      <c r="L120" s="1130"/>
      <c r="M120" s="1130"/>
      <c r="N120" s="1130"/>
      <c r="O120" s="1130"/>
      <c r="P120" s="1130"/>
      <c r="Q120" s="1130"/>
      <c r="R120" s="1130"/>
      <c r="S120" s="1130"/>
      <c r="T120" s="1130"/>
      <c r="U120" s="1130"/>
      <c r="V120" s="1130"/>
      <c r="W120" s="1130"/>
      <c r="X120" s="1130"/>
      <c r="Y120" s="1130"/>
      <c r="Z120" s="1130"/>
    </row>
    <row r="121" spans="1:26" ht="15.75" customHeight="1">
      <c r="A121" s="1130"/>
      <c r="B121" s="1130"/>
      <c r="C121" s="1130"/>
      <c r="D121" s="1130"/>
      <c r="E121" s="1130"/>
      <c r="F121" s="1130"/>
      <c r="G121" s="1130"/>
      <c r="H121" s="1130"/>
      <c r="I121" s="1130"/>
      <c r="J121" s="1130"/>
      <c r="K121" s="1130"/>
      <c r="L121" s="1130"/>
      <c r="M121" s="1130"/>
      <c r="N121" s="1130"/>
      <c r="O121" s="1130"/>
      <c r="P121" s="1130"/>
      <c r="Q121" s="1130"/>
      <c r="R121" s="1130"/>
      <c r="S121" s="1130"/>
      <c r="T121" s="1130"/>
      <c r="U121" s="1130"/>
      <c r="V121" s="1130"/>
      <c r="W121" s="1130"/>
      <c r="X121" s="1130"/>
      <c r="Y121" s="1130"/>
      <c r="Z121" s="1130"/>
    </row>
    <row r="122" spans="1:26" ht="15.75" customHeight="1">
      <c r="A122" s="1130"/>
      <c r="B122" s="1130"/>
      <c r="C122" s="1130"/>
      <c r="D122" s="1130"/>
      <c r="E122" s="1130"/>
      <c r="F122" s="1130"/>
      <c r="G122" s="1130"/>
      <c r="H122" s="1130"/>
      <c r="I122" s="1130"/>
      <c r="J122" s="1130"/>
      <c r="K122" s="1130"/>
      <c r="L122" s="1130"/>
      <c r="M122" s="1130"/>
      <c r="N122" s="1130"/>
      <c r="O122" s="1130"/>
      <c r="P122" s="1130"/>
      <c r="Q122" s="1130"/>
      <c r="R122" s="1130"/>
      <c r="S122" s="1130"/>
      <c r="T122" s="1130"/>
      <c r="U122" s="1130"/>
      <c r="V122" s="1130"/>
      <c r="W122" s="1130"/>
      <c r="X122" s="1130"/>
      <c r="Y122" s="1130"/>
      <c r="Z122" s="1130"/>
    </row>
    <row r="123" spans="1:26" ht="15.75" customHeight="1">
      <c r="A123" s="1130"/>
      <c r="B123" s="1130"/>
      <c r="C123" s="1130"/>
      <c r="D123" s="1130"/>
      <c r="E123" s="1130"/>
      <c r="F123" s="1130"/>
      <c r="G123" s="1130"/>
      <c r="H123" s="1130"/>
      <c r="I123" s="1130"/>
      <c r="J123" s="1130"/>
      <c r="K123" s="1130"/>
      <c r="L123" s="1130"/>
      <c r="M123" s="1130"/>
      <c r="N123" s="1130"/>
      <c r="O123" s="1130"/>
      <c r="P123" s="1130"/>
      <c r="Q123" s="1130"/>
      <c r="R123" s="1130"/>
      <c r="S123" s="1130"/>
      <c r="T123" s="1130"/>
      <c r="U123" s="1130"/>
      <c r="V123" s="1130"/>
      <c r="W123" s="1130"/>
      <c r="X123" s="1130"/>
      <c r="Y123" s="1130"/>
      <c r="Z123" s="1130"/>
    </row>
    <row r="124" spans="1:26" ht="15.75" customHeight="1">
      <c r="A124" s="1130"/>
      <c r="B124" s="1130"/>
      <c r="C124" s="1130"/>
      <c r="D124" s="1130"/>
      <c r="E124" s="1130"/>
      <c r="F124" s="1130"/>
      <c r="G124" s="1130"/>
      <c r="H124" s="1130"/>
      <c r="I124" s="1130"/>
      <c r="J124" s="1130"/>
      <c r="K124" s="1130"/>
      <c r="L124" s="1130"/>
      <c r="M124" s="1130"/>
      <c r="N124" s="1130"/>
      <c r="O124" s="1130"/>
      <c r="P124" s="1130"/>
      <c r="Q124" s="1130"/>
      <c r="R124" s="1130"/>
      <c r="S124" s="1130"/>
      <c r="T124" s="1130"/>
      <c r="U124" s="1130"/>
      <c r="V124" s="1130"/>
      <c r="W124" s="1130"/>
      <c r="X124" s="1130"/>
      <c r="Y124" s="1130"/>
      <c r="Z124" s="1130"/>
    </row>
    <row r="125" spans="1:26" ht="15.75" customHeight="1">
      <c r="A125" s="1130"/>
      <c r="B125" s="1130"/>
      <c r="C125" s="1130"/>
      <c r="D125" s="1130"/>
      <c r="E125" s="1130"/>
      <c r="F125" s="1130"/>
      <c r="G125" s="1130"/>
      <c r="H125" s="1130"/>
      <c r="I125" s="1130"/>
      <c r="J125" s="1130"/>
      <c r="K125" s="1130"/>
      <c r="L125" s="1130"/>
      <c r="M125" s="1130"/>
      <c r="N125" s="1130"/>
      <c r="O125" s="1130"/>
      <c r="P125" s="1130"/>
      <c r="Q125" s="1130"/>
      <c r="R125" s="1130"/>
      <c r="S125" s="1130"/>
      <c r="T125" s="1130"/>
      <c r="U125" s="1130"/>
      <c r="V125" s="1130"/>
      <c r="W125" s="1130"/>
      <c r="X125" s="1130"/>
      <c r="Y125" s="1130"/>
      <c r="Z125" s="1130"/>
    </row>
    <row r="126" spans="1:26" ht="15.75" customHeight="1">
      <c r="A126" s="1130"/>
      <c r="B126" s="1130"/>
      <c r="C126" s="1130"/>
      <c r="D126" s="1130"/>
      <c r="E126" s="1130"/>
      <c r="F126" s="1130"/>
      <c r="G126" s="1130"/>
      <c r="H126" s="1130"/>
      <c r="I126" s="1130"/>
      <c r="J126" s="1130"/>
      <c r="K126" s="1130"/>
      <c r="L126" s="1130"/>
      <c r="M126" s="1130"/>
      <c r="N126" s="1130"/>
      <c r="O126" s="1130"/>
      <c r="P126" s="1130"/>
      <c r="Q126" s="1130"/>
      <c r="R126" s="1130"/>
      <c r="S126" s="1130"/>
      <c r="T126" s="1130"/>
      <c r="U126" s="1130"/>
      <c r="V126" s="1130"/>
      <c r="W126" s="1130"/>
      <c r="X126" s="1130"/>
      <c r="Y126" s="1130"/>
      <c r="Z126" s="1130"/>
    </row>
    <row r="127" spans="1:26" ht="15.75" customHeight="1">
      <c r="A127" s="1130"/>
      <c r="B127" s="1130"/>
      <c r="C127" s="1130"/>
      <c r="D127" s="1130"/>
      <c r="E127" s="1130"/>
      <c r="F127" s="1130"/>
      <c r="G127" s="1130"/>
      <c r="H127" s="1130"/>
      <c r="I127" s="1130"/>
      <c r="J127" s="1130"/>
      <c r="K127" s="1130"/>
      <c r="L127" s="1130"/>
      <c r="M127" s="1130"/>
      <c r="N127" s="1130"/>
      <c r="O127" s="1130"/>
      <c r="P127" s="1130"/>
      <c r="Q127" s="1130"/>
      <c r="R127" s="1130"/>
      <c r="S127" s="1130"/>
      <c r="T127" s="1130"/>
      <c r="U127" s="1130"/>
      <c r="V127" s="1130"/>
      <c r="W127" s="1130"/>
      <c r="X127" s="1130"/>
      <c r="Y127" s="1130"/>
      <c r="Z127" s="1130"/>
    </row>
    <row r="128" spans="1:26" ht="15.75" customHeight="1">
      <c r="A128" s="1130"/>
      <c r="B128" s="1130"/>
      <c r="C128" s="1130"/>
      <c r="D128" s="1130"/>
      <c r="E128" s="1130"/>
      <c r="F128" s="1130"/>
      <c r="G128" s="1130"/>
      <c r="H128" s="1130"/>
      <c r="I128" s="1130"/>
      <c r="J128" s="1130"/>
      <c r="K128" s="1130"/>
      <c r="L128" s="1130"/>
      <c r="M128" s="1130"/>
      <c r="N128" s="1130"/>
      <c r="O128" s="1130"/>
      <c r="P128" s="1130"/>
      <c r="Q128" s="1130"/>
      <c r="R128" s="1130"/>
      <c r="S128" s="1130"/>
      <c r="T128" s="1130"/>
      <c r="U128" s="1130"/>
      <c r="V128" s="1130"/>
      <c r="W128" s="1130"/>
      <c r="X128" s="1130"/>
      <c r="Y128" s="1130"/>
      <c r="Z128" s="1130"/>
    </row>
    <row r="129" spans="1:26" ht="15.75" customHeight="1">
      <c r="A129" s="1130"/>
      <c r="B129" s="1130"/>
      <c r="C129" s="1130"/>
      <c r="D129" s="1130"/>
      <c r="E129" s="1130"/>
      <c r="F129" s="1130"/>
      <c r="G129" s="1130"/>
      <c r="H129" s="1130"/>
      <c r="I129" s="1130"/>
      <c r="J129" s="1130"/>
      <c r="K129" s="1130"/>
      <c r="L129" s="1130"/>
      <c r="M129" s="1130"/>
      <c r="N129" s="1130"/>
      <c r="O129" s="1130"/>
      <c r="P129" s="1130"/>
      <c r="Q129" s="1130"/>
      <c r="R129" s="1130"/>
      <c r="S129" s="1130"/>
      <c r="T129" s="1130"/>
      <c r="U129" s="1130"/>
      <c r="V129" s="1130"/>
      <c r="W129" s="1130"/>
      <c r="X129" s="1130"/>
      <c r="Y129" s="1130"/>
      <c r="Z129" s="1130"/>
    </row>
    <row r="130" spans="1:26" ht="15.75" customHeight="1">
      <c r="A130" s="1130"/>
      <c r="B130" s="1130"/>
      <c r="C130" s="1130"/>
      <c r="D130" s="1130"/>
      <c r="E130" s="1130"/>
      <c r="F130" s="1130"/>
      <c r="G130" s="1130"/>
      <c r="H130" s="1130"/>
      <c r="I130" s="1130"/>
      <c r="J130" s="1130"/>
      <c r="K130" s="1130"/>
      <c r="L130" s="1130"/>
      <c r="M130" s="1130"/>
      <c r="N130" s="1130"/>
      <c r="O130" s="1130"/>
      <c r="P130" s="1130"/>
      <c r="Q130" s="1130"/>
      <c r="R130" s="1130"/>
      <c r="S130" s="1130"/>
      <c r="T130" s="1130"/>
      <c r="U130" s="1130"/>
      <c r="V130" s="1130"/>
      <c r="W130" s="1130"/>
      <c r="X130" s="1130"/>
      <c r="Y130" s="1130"/>
      <c r="Z130" s="1130"/>
    </row>
    <row r="131" spans="1:26" ht="15.75" customHeight="1">
      <c r="A131" s="1130"/>
      <c r="B131" s="1130"/>
      <c r="C131" s="1130"/>
      <c r="D131" s="1130"/>
      <c r="E131" s="1130"/>
      <c r="F131" s="1130"/>
      <c r="G131" s="1130"/>
      <c r="H131" s="1130"/>
      <c r="I131" s="1130"/>
      <c r="J131" s="1130"/>
      <c r="K131" s="1130"/>
      <c r="L131" s="1130"/>
      <c r="M131" s="1130"/>
      <c r="N131" s="1130"/>
      <c r="O131" s="1130"/>
      <c r="P131" s="1130"/>
      <c r="Q131" s="1130"/>
      <c r="R131" s="1130"/>
      <c r="S131" s="1130"/>
      <c r="T131" s="1130"/>
      <c r="U131" s="1130"/>
      <c r="V131" s="1130"/>
      <c r="W131" s="1130"/>
      <c r="X131" s="1130"/>
      <c r="Y131" s="1130"/>
      <c r="Z131" s="1130"/>
    </row>
    <row r="132" spans="1:26" ht="15.75" customHeight="1">
      <c r="A132" s="1130"/>
      <c r="B132" s="1130"/>
      <c r="C132" s="1130"/>
      <c r="D132" s="1130"/>
      <c r="E132" s="1130"/>
      <c r="F132" s="1130"/>
      <c r="G132" s="1130"/>
      <c r="H132" s="1130"/>
      <c r="I132" s="1130"/>
      <c r="J132" s="1130"/>
      <c r="K132" s="1130"/>
      <c r="L132" s="1130"/>
      <c r="M132" s="1130"/>
      <c r="N132" s="1130"/>
      <c r="O132" s="1130"/>
      <c r="P132" s="1130"/>
      <c r="Q132" s="1130"/>
      <c r="R132" s="1130"/>
      <c r="S132" s="1130"/>
      <c r="T132" s="1130"/>
      <c r="U132" s="1130"/>
      <c r="V132" s="1130"/>
      <c r="W132" s="1130"/>
      <c r="X132" s="1130"/>
      <c r="Y132" s="1130"/>
      <c r="Z132" s="1130"/>
    </row>
    <row r="133" spans="1:26" ht="15.75" customHeight="1">
      <c r="A133" s="1130"/>
      <c r="B133" s="1130"/>
      <c r="C133" s="1130"/>
      <c r="D133" s="1130"/>
      <c r="E133" s="1130"/>
      <c r="F133" s="1130"/>
      <c r="G133" s="1130"/>
      <c r="H133" s="1130"/>
      <c r="I133" s="1130"/>
      <c r="J133" s="1130"/>
      <c r="K133" s="1130"/>
      <c r="L133" s="1130"/>
      <c r="M133" s="1130"/>
      <c r="N133" s="1130"/>
      <c r="O133" s="1130"/>
      <c r="P133" s="1130"/>
      <c r="Q133" s="1130"/>
      <c r="R133" s="1130"/>
      <c r="S133" s="1130"/>
      <c r="T133" s="1130"/>
      <c r="U133" s="1130"/>
      <c r="V133" s="1130"/>
      <c r="W133" s="1130"/>
      <c r="X133" s="1130"/>
      <c r="Y133" s="1130"/>
      <c r="Z133" s="1130"/>
    </row>
    <row r="134" spans="1:26" ht="15.75" customHeight="1">
      <c r="A134" s="1130"/>
      <c r="B134" s="1130"/>
      <c r="C134" s="1130"/>
      <c r="D134" s="1130"/>
      <c r="E134" s="1130"/>
      <c r="F134" s="1130"/>
      <c r="G134" s="1130"/>
      <c r="H134" s="1130"/>
      <c r="I134" s="1130"/>
      <c r="J134" s="1130"/>
      <c r="K134" s="1130"/>
      <c r="L134" s="1130"/>
      <c r="M134" s="1130"/>
      <c r="N134" s="1130"/>
      <c r="O134" s="1130"/>
      <c r="P134" s="1130"/>
      <c r="Q134" s="1130"/>
      <c r="R134" s="1130"/>
      <c r="S134" s="1130"/>
      <c r="T134" s="1130"/>
      <c r="U134" s="1130"/>
      <c r="V134" s="1130"/>
      <c r="W134" s="1130"/>
      <c r="X134" s="1130"/>
      <c r="Y134" s="1130"/>
      <c r="Z134" s="1130"/>
    </row>
    <row r="135" spans="1:26" ht="15.75" customHeight="1">
      <c r="A135" s="1130"/>
      <c r="B135" s="1130"/>
      <c r="C135" s="1130"/>
      <c r="D135" s="1130"/>
      <c r="E135" s="1130"/>
      <c r="F135" s="1130"/>
      <c r="G135" s="1130"/>
      <c r="H135" s="1130"/>
      <c r="I135" s="1130"/>
      <c r="J135" s="1130"/>
      <c r="K135" s="1130"/>
      <c r="L135" s="1130"/>
      <c r="M135" s="1130"/>
      <c r="N135" s="1130"/>
      <c r="O135" s="1130"/>
      <c r="P135" s="1130"/>
      <c r="Q135" s="1130"/>
      <c r="R135" s="1130"/>
      <c r="S135" s="1130"/>
      <c r="T135" s="1130"/>
      <c r="U135" s="1130"/>
      <c r="V135" s="1130"/>
      <c r="W135" s="1130"/>
      <c r="X135" s="1130"/>
      <c r="Y135" s="1130"/>
      <c r="Z135" s="1130"/>
    </row>
    <row r="136" spans="1:26" ht="15.75" customHeight="1">
      <c r="A136" s="1130"/>
      <c r="B136" s="1130"/>
      <c r="C136" s="1130"/>
      <c r="D136" s="1130"/>
      <c r="E136" s="1130"/>
      <c r="F136" s="1130"/>
      <c r="G136" s="1130"/>
      <c r="H136" s="1130"/>
      <c r="I136" s="1130"/>
      <c r="J136" s="1130"/>
      <c r="K136" s="1130"/>
      <c r="L136" s="1130"/>
      <c r="M136" s="1130"/>
      <c r="N136" s="1130"/>
      <c r="O136" s="1130"/>
      <c r="P136" s="1130"/>
      <c r="Q136" s="1130"/>
      <c r="R136" s="1130"/>
      <c r="S136" s="1130"/>
      <c r="T136" s="1130"/>
      <c r="U136" s="1130"/>
      <c r="V136" s="1130"/>
      <c r="W136" s="1130"/>
      <c r="X136" s="1130"/>
      <c r="Y136" s="1130"/>
      <c r="Z136" s="1130"/>
    </row>
    <row r="137" spans="1:26" ht="15.75" customHeight="1">
      <c r="A137" s="1130"/>
      <c r="B137" s="1130"/>
      <c r="C137" s="1130"/>
      <c r="D137" s="1130"/>
      <c r="E137" s="1130"/>
      <c r="F137" s="1130"/>
      <c r="G137" s="1130"/>
      <c r="H137" s="1130"/>
      <c r="I137" s="1130"/>
      <c r="J137" s="1130"/>
      <c r="K137" s="1130"/>
      <c r="L137" s="1130"/>
      <c r="M137" s="1130"/>
      <c r="N137" s="1130"/>
      <c r="O137" s="1130"/>
      <c r="P137" s="1130"/>
      <c r="Q137" s="1130"/>
      <c r="R137" s="1130"/>
      <c r="S137" s="1130"/>
      <c r="T137" s="1130"/>
      <c r="U137" s="1130"/>
      <c r="V137" s="1130"/>
      <c r="W137" s="1130"/>
      <c r="X137" s="1130"/>
      <c r="Y137" s="1130"/>
      <c r="Z137" s="1130"/>
    </row>
    <row r="138" spans="1:26" ht="15.75" customHeight="1">
      <c r="A138" s="1130"/>
      <c r="B138" s="1130"/>
      <c r="C138" s="1130"/>
      <c r="D138" s="1130"/>
      <c r="E138" s="1130"/>
      <c r="F138" s="1130"/>
      <c r="G138" s="1130"/>
      <c r="H138" s="1130"/>
      <c r="I138" s="1130"/>
      <c r="J138" s="1130"/>
      <c r="K138" s="1130"/>
      <c r="L138" s="1130"/>
      <c r="M138" s="1130"/>
      <c r="N138" s="1130"/>
      <c r="O138" s="1130"/>
      <c r="P138" s="1130"/>
      <c r="Q138" s="1130"/>
      <c r="R138" s="1130"/>
      <c r="S138" s="1130"/>
      <c r="T138" s="1130"/>
      <c r="U138" s="1130"/>
      <c r="V138" s="1130"/>
      <c r="W138" s="1130"/>
      <c r="X138" s="1130"/>
      <c r="Y138" s="1130"/>
      <c r="Z138" s="1130"/>
    </row>
    <row r="139" spans="1:26" ht="15.75" customHeight="1">
      <c r="A139" s="1130"/>
      <c r="B139" s="1130"/>
      <c r="C139" s="1130"/>
      <c r="D139" s="1130"/>
      <c r="E139" s="1130"/>
      <c r="F139" s="1130"/>
      <c r="G139" s="1130"/>
      <c r="H139" s="1130"/>
      <c r="I139" s="1130"/>
      <c r="J139" s="1130"/>
      <c r="K139" s="1130"/>
      <c r="L139" s="1130"/>
      <c r="M139" s="1130"/>
      <c r="N139" s="1130"/>
      <c r="O139" s="1130"/>
      <c r="P139" s="1130"/>
      <c r="Q139" s="1130"/>
      <c r="R139" s="1130"/>
      <c r="S139" s="1130"/>
      <c r="T139" s="1130"/>
      <c r="U139" s="1130"/>
      <c r="V139" s="1130"/>
      <c r="W139" s="1130"/>
      <c r="X139" s="1130"/>
      <c r="Y139" s="1130"/>
      <c r="Z139" s="1130"/>
    </row>
    <row r="140" spans="1:26" ht="15.75" customHeight="1">
      <c r="A140" s="1130"/>
      <c r="B140" s="1130"/>
      <c r="C140" s="1130"/>
      <c r="D140" s="1130"/>
      <c r="E140" s="1130"/>
      <c r="F140" s="1130"/>
      <c r="G140" s="1130"/>
      <c r="H140" s="1130"/>
      <c r="I140" s="1130"/>
      <c r="J140" s="1130"/>
      <c r="K140" s="1130"/>
      <c r="L140" s="1130"/>
      <c r="M140" s="1130"/>
      <c r="N140" s="1130"/>
      <c r="O140" s="1130"/>
      <c r="P140" s="1130"/>
      <c r="Q140" s="1130"/>
      <c r="R140" s="1130"/>
      <c r="S140" s="1130"/>
      <c r="T140" s="1130"/>
      <c r="U140" s="1130"/>
      <c r="V140" s="1130"/>
      <c r="W140" s="1130"/>
      <c r="X140" s="1130"/>
      <c r="Y140" s="1130"/>
      <c r="Z140" s="1130"/>
    </row>
    <row r="141" spans="1:26" ht="15.75" customHeight="1">
      <c r="A141" s="1130"/>
      <c r="B141" s="1130"/>
      <c r="C141" s="1130"/>
      <c r="D141" s="1130"/>
      <c r="E141" s="1130"/>
      <c r="F141" s="1130"/>
      <c r="G141" s="1130"/>
      <c r="H141" s="1130"/>
      <c r="I141" s="1130"/>
      <c r="J141" s="1130"/>
      <c r="K141" s="1130"/>
      <c r="L141" s="1130"/>
      <c r="M141" s="1130"/>
      <c r="N141" s="1130"/>
      <c r="O141" s="1130"/>
      <c r="P141" s="1130"/>
      <c r="Q141" s="1130"/>
      <c r="R141" s="1130"/>
      <c r="S141" s="1130"/>
      <c r="T141" s="1130"/>
      <c r="U141" s="1130"/>
      <c r="V141" s="1130"/>
      <c r="W141" s="1130"/>
      <c r="X141" s="1130"/>
      <c r="Y141" s="1130"/>
      <c r="Z141" s="1130"/>
    </row>
    <row r="142" spans="1:26" ht="15.75" customHeight="1">
      <c r="A142" s="1130"/>
      <c r="B142" s="1130"/>
      <c r="C142" s="1130"/>
      <c r="D142" s="1130"/>
      <c r="E142" s="1130"/>
      <c r="F142" s="1130"/>
      <c r="G142" s="1130"/>
      <c r="H142" s="1130"/>
      <c r="I142" s="1130"/>
      <c r="J142" s="1130"/>
      <c r="K142" s="1130"/>
      <c r="L142" s="1130"/>
      <c r="M142" s="1130"/>
      <c r="N142" s="1130"/>
      <c r="O142" s="1130"/>
      <c r="P142" s="1130"/>
      <c r="Q142" s="1130"/>
      <c r="R142" s="1130"/>
      <c r="S142" s="1130"/>
      <c r="T142" s="1130"/>
      <c r="U142" s="1130"/>
      <c r="V142" s="1130"/>
      <c r="W142" s="1130"/>
      <c r="X142" s="1130"/>
      <c r="Y142" s="1130"/>
      <c r="Z142" s="1130"/>
    </row>
    <row r="143" spans="1:26" ht="15.75" customHeight="1">
      <c r="A143" s="1130"/>
      <c r="B143" s="1130"/>
      <c r="C143" s="1130"/>
      <c r="D143" s="1130"/>
      <c r="E143" s="1130"/>
      <c r="F143" s="1130"/>
      <c r="G143" s="1130"/>
      <c r="H143" s="1130"/>
      <c r="I143" s="1130"/>
      <c r="J143" s="1130"/>
      <c r="K143" s="1130"/>
      <c r="L143" s="1130"/>
      <c r="M143" s="1130"/>
      <c r="N143" s="1130"/>
      <c r="O143" s="1130"/>
      <c r="P143" s="1130"/>
      <c r="Q143" s="1130"/>
      <c r="R143" s="1130"/>
      <c r="S143" s="1130"/>
      <c r="T143" s="1130"/>
      <c r="U143" s="1130"/>
      <c r="V143" s="1130"/>
      <c r="W143" s="1130"/>
      <c r="X143" s="1130"/>
      <c r="Y143" s="1130"/>
      <c r="Z143" s="1130"/>
    </row>
    <row r="144" spans="1:26" ht="15.75" customHeight="1">
      <c r="A144" s="1130"/>
      <c r="B144" s="1130"/>
      <c r="C144" s="1130"/>
      <c r="D144" s="1130"/>
      <c r="E144" s="1130"/>
      <c r="F144" s="1130"/>
      <c r="G144" s="1130"/>
      <c r="H144" s="1130"/>
      <c r="I144" s="1130"/>
      <c r="J144" s="1130"/>
      <c r="K144" s="1130"/>
      <c r="L144" s="1130"/>
      <c r="M144" s="1130"/>
      <c r="N144" s="1130"/>
      <c r="O144" s="1130"/>
      <c r="P144" s="1130"/>
      <c r="Q144" s="1130"/>
      <c r="R144" s="1130"/>
      <c r="S144" s="1130"/>
      <c r="T144" s="1130"/>
      <c r="U144" s="1130"/>
      <c r="V144" s="1130"/>
      <c r="W144" s="1130"/>
      <c r="X144" s="1130"/>
      <c r="Y144" s="1130"/>
      <c r="Z144" s="1130"/>
    </row>
    <row r="145" spans="1:26" ht="15.75" customHeight="1">
      <c r="A145" s="1130"/>
      <c r="B145" s="1130"/>
      <c r="C145" s="1130"/>
      <c r="D145" s="1130"/>
      <c r="E145" s="1130"/>
      <c r="F145" s="1130"/>
      <c r="G145" s="1130"/>
      <c r="H145" s="1130"/>
      <c r="I145" s="1130"/>
      <c r="J145" s="1130"/>
      <c r="K145" s="1130"/>
      <c r="L145" s="1130"/>
      <c r="M145" s="1130"/>
      <c r="N145" s="1130"/>
      <c r="O145" s="1130"/>
      <c r="P145" s="1130"/>
      <c r="Q145" s="1130"/>
      <c r="R145" s="1130"/>
      <c r="S145" s="1130"/>
      <c r="T145" s="1130"/>
      <c r="U145" s="1130"/>
      <c r="V145" s="1130"/>
      <c r="W145" s="1130"/>
      <c r="X145" s="1130"/>
      <c r="Y145" s="1130"/>
      <c r="Z145" s="1130"/>
    </row>
    <row r="146" spans="1:26" ht="15.75" customHeight="1">
      <c r="A146" s="1130"/>
      <c r="B146" s="1130"/>
      <c r="C146" s="1130"/>
      <c r="D146" s="1130"/>
      <c r="E146" s="1130"/>
      <c r="F146" s="1130"/>
      <c r="G146" s="1130"/>
      <c r="H146" s="1130"/>
      <c r="I146" s="1130"/>
      <c r="J146" s="1130"/>
      <c r="K146" s="1130"/>
      <c r="L146" s="1130"/>
      <c r="M146" s="1130"/>
      <c r="N146" s="1130"/>
      <c r="O146" s="1130"/>
      <c r="P146" s="1130"/>
      <c r="Q146" s="1130"/>
      <c r="R146" s="1130"/>
      <c r="S146" s="1130"/>
      <c r="T146" s="1130"/>
      <c r="U146" s="1130"/>
      <c r="V146" s="1130"/>
      <c r="W146" s="1130"/>
      <c r="X146" s="1130"/>
      <c r="Y146" s="1130"/>
      <c r="Z146" s="1130"/>
    </row>
    <row r="147" spans="1:26" ht="15.75" customHeight="1">
      <c r="A147" s="1130"/>
      <c r="B147" s="1130"/>
      <c r="C147" s="1130"/>
      <c r="D147" s="1130"/>
      <c r="E147" s="1130"/>
      <c r="F147" s="1130"/>
      <c r="G147" s="1130"/>
      <c r="H147" s="1130"/>
      <c r="I147" s="1130"/>
      <c r="J147" s="1130"/>
      <c r="K147" s="1130"/>
      <c r="L147" s="1130"/>
      <c r="M147" s="1130"/>
      <c r="N147" s="1130"/>
      <c r="O147" s="1130"/>
      <c r="P147" s="1130"/>
      <c r="Q147" s="1130"/>
      <c r="R147" s="1130"/>
      <c r="S147" s="1130"/>
      <c r="T147" s="1130"/>
      <c r="U147" s="1130"/>
      <c r="V147" s="1130"/>
      <c r="W147" s="1130"/>
      <c r="X147" s="1130"/>
      <c r="Y147" s="1130"/>
      <c r="Z147" s="1130"/>
    </row>
    <row r="148" spans="1:26" ht="15.75" customHeight="1">
      <c r="A148" s="1130"/>
      <c r="B148" s="1130"/>
      <c r="C148" s="1130"/>
      <c r="D148" s="1130"/>
      <c r="E148" s="1130"/>
      <c r="F148" s="1130"/>
      <c r="G148" s="1130"/>
      <c r="H148" s="1130"/>
      <c r="I148" s="1130"/>
      <c r="J148" s="1130"/>
      <c r="K148" s="1130"/>
      <c r="L148" s="1130"/>
      <c r="M148" s="1130"/>
      <c r="N148" s="1130"/>
      <c r="O148" s="1130"/>
      <c r="P148" s="1130"/>
      <c r="Q148" s="1130"/>
      <c r="R148" s="1130"/>
      <c r="S148" s="1130"/>
      <c r="T148" s="1130"/>
      <c r="U148" s="1130"/>
      <c r="V148" s="1130"/>
      <c r="W148" s="1130"/>
      <c r="X148" s="1130"/>
      <c r="Y148" s="1130"/>
      <c r="Z148" s="1130"/>
    </row>
    <row r="149" spans="1:26" ht="15.75" customHeight="1">
      <c r="A149" s="1130"/>
      <c r="B149" s="1130"/>
      <c r="C149" s="1130"/>
      <c r="D149" s="1130"/>
      <c r="E149" s="1130"/>
      <c r="F149" s="1130"/>
      <c r="G149" s="1130"/>
      <c r="H149" s="1130"/>
      <c r="I149" s="1130"/>
      <c r="J149" s="1130"/>
      <c r="K149" s="1130"/>
      <c r="L149" s="1130"/>
      <c r="M149" s="1130"/>
      <c r="N149" s="1130"/>
      <c r="O149" s="1130"/>
      <c r="P149" s="1130"/>
      <c r="Q149" s="1130"/>
      <c r="R149" s="1130"/>
      <c r="S149" s="1130"/>
      <c r="T149" s="1130"/>
      <c r="U149" s="1130"/>
      <c r="V149" s="1130"/>
      <c r="W149" s="1130"/>
      <c r="X149" s="1130"/>
      <c r="Y149" s="1130"/>
      <c r="Z149" s="1130"/>
    </row>
    <row r="150" spans="1:26" ht="15.75" customHeight="1">
      <c r="A150" s="1130"/>
      <c r="B150" s="1130"/>
      <c r="C150" s="1130"/>
      <c r="D150" s="1130"/>
      <c r="E150" s="1130"/>
      <c r="F150" s="1130"/>
      <c r="G150" s="1130"/>
      <c r="H150" s="1130"/>
      <c r="I150" s="1130"/>
      <c r="J150" s="1130"/>
      <c r="K150" s="1130"/>
      <c r="L150" s="1130"/>
      <c r="M150" s="1130"/>
      <c r="N150" s="1130"/>
      <c r="O150" s="1130"/>
      <c r="P150" s="1130"/>
      <c r="Q150" s="1130"/>
      <c r="R150" s="1130"/>
      <c r="S150" s="1130"/>
      <c r="T150" s="1130"/>
      <c r="U150" s="1130"/>
      <c r="V150" s="1130"/>
      <c r="W150" s="1130"/>
      <c r="X150" s="1130"/>
      <c r="Y150" s="1130"/>
      <c r="Z150" s="1130"/>
    </row>
    <row r="151" spans="1:26" ht="15.75" customHeight="1">
      <c r="A151" s="1130"/>
      <c r="B151" s="1130"/>
      <c r="C151" s="1130"/>
      <c r="D151" s="1130"/>
      <c r="E151" s="1130"/>
      <c r="F151" s="1130"/>
      <c r="G151" s="1130"/>
      <c r="H151" s="1130"/>
      <c r="I151" s="1130"/>
      <c r="J151" s="1130"/>
      <c r="K151" s="1130"/>
      <c r="L151" s="1130"/>
      <c r="M151" s="1130"/>
      <c r="N151" s="1130"/>
      <c r="O151" s="1130"/>
      <c r="P151" s="1130"/>
      <c r="Q151" s="1130"/>
      <c r="R151" s="1130"/>
      <c r="S151" s="1130"/>
      <c r="T151" s="1130"/>
      <c r="U151" s="1130"/>
      <c r="V151" s="1130"/>
      <c r="W151" s="1130"/>
      <c r="X151" s="1130"/>
      <c r="Y151" s="1130"/>
      <c r="Z151" s="1130"/>
    </row>
    <row r="152" spans="1:26" ht="15.75" customHeight="1">
      <c r="A152" s="1130"/>
      <c r="B152" s="1130"/>
      <c r="C152" s="1130"/>
      <c r="D152" s="1130"/>
      <c r="E152" s="1130"/>
      <c r="F152" s="1130"/>
      <c r="G152" s="1130"/>
      <c r="H152" s="1130"/>
      <c r="I152" s="1130"/>
      <c r="J152" s="1130"/>
      <c r="K152" s="1130"/>
      <c r="L152" s="1130"/>
      <c r="M152" s="1130"/>
      <c r="N152" s="1130"/>
      <c r="O152" s="1130"/>
      <c r="P152" s="1130"/>
      <c r="Q152" s="1130"/>
      <c r="R152" s="1130"/>
      <c r="S152" s="1130"/>
      <c r="T152" s="1130"/>
      <c r="U152" s="1130"/>
      <c r="V152" s="1130"/>
      <c r="W152" s="1130"/>
      <c r="X152" s="1130"/>
      <c r="Y152" s="1130"/>
      <c r="Z152" s="1130"/>
    </row>
    <row r="153" spans="1:26" ht="15.75" customHeight="1">
      <c r="A153" s="1130"/>
      <c r="B153" s="1130"/>
      <c r="C153" s="1130"/>
      <c r="D153" s="1130"/>
      <c r="E153" s="1130"/>
      <c r="F153" s="1130"/>
      <c r="G153" s="1130"/>
      <c r="H153" s="1130"/>
      <c r="I153" s="1130"/>
      <c r="J153" s="1130"/>
      <c r="K153" s="1130"/>
      <c r="L153" s="1130"/>
      <c r="M153" s="1130"/>
      <c r="N153" s="1130"/>
      <c r="O153" s="1130"/>
      <c r="P153" s="1130"/>
      <c r="Q153" s="1130"/>
      <c r="R153" s="1130"/>
      <c r="S153" s="1130"/>
      <c r="T153" s="1130"/>
      <c r="U153" s="1130"/>
      <c r="V153" s="1130"/>
      <c r="W153" s="1130"/>
      <c r="X153" s="1130"/>
      <c r="Y153" s="1130"/>
      <c r="Z153" s="1130"/>
    </row>
    <row r="154" spans="1:26" ht="15.75" customHeight="1">
      <c r="A154" s="1130"/>
      <c r="B154" s="1130"/>
      <c r="C154" s="1130"/>
      <c r="D154" s="1130"/>
      <c r="E154" s="1130"/>
      <c r="F154" s="1130"/>
      <c r="G154" s="1130"/>
      <c r="H154" s="1130"/>
      <c r="I154" s="1130"/>
      <c r="J154" s="1130"/>
      <c r="K154" s="1130"/>
      <c r="L154" s="1130"/>
      <c r="M154" s="1130"/>
      <c r="N154" s="1130"/>
      <c r="O154" s="1130"/>
      <c r="P154" s="1130"/>
      <c r="Q154" s="1130"/>
      <c r="R154" s="1130"/>
      <c r="S154" s="1130"/>
      <c r="T154" s="1130"/>
      <c r="U154" s="1130"/>
      <c r="V154" s="1130"/>
      <c r="W154" s="1130"/>
      <c r="X154" s="1130"/>
      <c r="Y154" s="1130"/>
      <c r="Z154" s="1130"/>
    </row>
    <row r="155" spans="1:26" ht="15.75" customHeight="1">
      <c r="A155" s="1130"/>
      <c r="B155" s="1130"/>
      <c r="C155" s="1130"/>
      <c r="D155" s="1130"/>
      <c r="E155" s="1130"/>
      <c r="F155" s="1130"/>
      <c r="G155" s="1130"/>
      <c r="H155" s="1130"/>
      <c r="I155" s="1130"/>
      <c r="J155" s="1130"/>
      <c r="K155" s="1130"/>
      <c r="L155" s="1130"/>
      <c r="M155" s="1130"/>
      <c r="N155" s="1130"/>
      <c r="O155" s="1130"/>
      <c r="P155" s="1130"/>
      <c r="Q155" s="1130"/>
      <c r="R155" s="1130"/>
      <c r="S155" s="1130"/>
      <c r="T155" s="1130"/>
      <c r="U155" s="1130"/>
      <c r="V155" s="1130"/>
      <c r="W155" s="1130"/>
      <c r="X155" s="1130"/>
      <c r="Y155" s="1130"/>
      <c r="Z155" s="1130"/>
    </row>
    <row r="156" spans="1:26" ht="15.75" customHeight="1">
      <c r="A156" s="1130"/>
      <c r="B156" s="1130"/>
      <c r="C156" s="1130"/>
      <c r="D156" s="1130"/>
      <c r="E156" s="1130"/>
      <c r="F156" s="1130"/>
      <c r="G156" s="1130"/>
      <c r="H156" s="1130"/>
      <c r="I156" s="1130"/>
      <c r="J156" s="1130"/>
      <c r="K156" s="1130"/>
      <c r="L156" s="1130"/>
      <c r="M156" s="1130"/>
      <c r="N156" s="1130"/>
      <c r="O156" s="1130"/>
      <c r="P156" s="1130"/>
      <c r="Q156" s="1130"/>
      <c r="R156" s="1130"/>
      <c r="S156" s="1130"/>
      <c r="T156" s="1130"/>
      <c r="U156" s="1130"/>
      <c r="V156" s="1130"/>
      <c r="W156" s="1130"/>
      <c r="X156" s="1130"/>
      <c r="Y156" s="1130"/>
      <c r="Z156" s="1130"/>
    </row>
    <row r="157" spans="1:26" ht="15.75" customHeight="1">
      <c r="A157" s="1130"/>
      <c r="B157" s="1130"/>
      <c r="C157" s="1130"/>
      <c r="D157" s="1130"/>
      <c r="E157" s="1130"/>
      <c r="F157" s="1130"/>
      <c r="G157" s="1130"/>
      <c r="H157" s="1130"/>
      <c r="I157" s="1130"/>
      <c r="J157" s="1130"/>
      <c r="K157" s="1130"/>
      <c r="L157" s="1130"/>
      <c r="M157" s="1130"/>
      <c r="N157" s="1130"/>
      <c r="O157" s="1130"/>
      <c r="P157" s="1130"/>
      <c r="Q157" s="1130"/>
      <c r="R157" s="1130"/>
      <c r="S157" s="1130"/>
      <c r="T157" s="1130"/>
      <c r="U157" s="1130"/>
      <c r="V157" s="1130"/>
      <c r="W157" s="1130"/>
      <c r="X157" s="1130"/>
      <c r="Y157" s="1130"/>
      <c r="Z157" s="1130"/>
    </row>
    <row r="158" spans="1:26" ht="15.75" customHeight="1">
      <c r="A158" s="1130"/>
      <c r="B158" s="1130"/>
      <c r="C158" s="1130"/>
      <c r="D158" s="1130"/>
      <c r="E158" s="1130"/>
      <c r="F158" s="1130"/>
      <c r="G158" s="1130"/>
      <c r="H158" s="1130"/>
      <c r="I158" s="1130"/>
      <c r="J158" s="1130"/>
      <c r="K158" s="1130"/>
      <c r="L158" s="1130"/>
      <c r="M158" s="1130"/>
      <c r="N158" s="1130"/>
      <c r="O158" s="1130"/>
      <c r="P158" s="1130"/>
      <c r="Q158" s="1130"/>
      <c r="R158" s="1130"/>
      <c r="S158" s="1130"/>
      <c r="T158" s="1130"/>
      <c r="U158" s="1130"/>
      <c r="V158" s="1130"/>
      <c r="W158" s="1130"/>
      <c r="X158" s="1130"/>
      <c r="Y158" s="1130"/>
      <c r="Z158" s="1130"/>
    </row>
    <row r="159" spans="1:26" ht="15.75" customHeight="1">
      <c r="A159" s="1130"/>
      <c r="B159" s="1130"/>
      <c r="C159" s="1130"/>
      <c r="D159" s="1130"/>
      <c r="E159" s="1130"/>
      <c r="F159" s="1130"/>
      <c r="G159" s="1130"/>
      <c r="H159" s="1130"/>
      <c r="I159" s="1130"/>
      <c r="J159" s="1130"/>
      <c r="K159" s="1130"/>
      <c r="L159" s="1130"/>
      <c r="M159" s="1130"/>
      <c r="N159" s="1130"/>
      <c r="O159" s="1130"/>
      <c r="P159" s="1130"/>
      <c r="Q159" s="1130"/>
      <c r="R159" s="1130"/>
      <c r="S159" s="1130"/>
      <c r="T159" s="1130"/>
      <c r="U159" s="1130"/>
      <c r="V159" s="1130"/>
      <c r="W159" s="1130"/>
      <c r="X159" s="1130"/>
      <c r="Y159" s="1130"/>
      <c r="Z159" s="1130"/>
    </row>
    <row r="160" spans="1:26" ht="15.75" customHeight="1">
      <c r="A160" s="1130"/>
      <c r="B160" s="1130"/>
      <c r="C160" s="1130"/>
      <c r="D160" s="1130"/>
      <c r="E160" s="1130"/>
      <c r="F160" s="1130"/>
      <c r="G160" s="1130"/>
      <c r="H160" s="1130"/>
      <c r="I160" s="1130"/>
      <c r="J160" s="1130"/>
      <c r="K160" s="1130"/>
      <c r="L160" s="1130"/>
      <c r="M160" s="1130"/>
      <c r="N160" s="1130"/>
      <c r="O160" s="1130"/>
      <c r="P160" s="1130"/>
      <c r="Q160" s="1130"/>
      <c r="R160" s="1130"/>
      <c r="S160" s="1130"/>
      <c r="T160" s="1130"/>
      <c r="U160" s="1130"/>
      <c r="V160" s="1130"/>
      <c r="W160" s="1130"/>
      <c r="X160" s="1130"/>
      <c r="Y160" s="1130"/>
      <c r="Z160" s="1130"/>
    </row>
    <row r="161" spans="1:26" ht="15.75" customHeight="1">
      <c r="A161" s="1130"/>
      <c r="B161" s="1130"/>
      <c r="C161" s="1130"/>
      <c r="D161" s="1130"/>
      <c r="E161" s="1130"/>
      <c r="F161" s="1130"/>
      <c r="G161" s="1130"/>
      <c r="H161" s="1130"/>
      <c r="I161" s="1130"/>
      <c r="J161" s="1130"/>
      <c r="K161" s="1130"/>
      <c r="L161" s="1130"/>
      <c r="M161" s="1130"/>
      <c r="N161" s="1130"/>
      <c r="O161" s="1130"/>
      <c r="P161" s="1130"/>
      <c r="Q161" s="1130"/>
      <c r="R161" s="1130"/>
      <c r="S161" s="1130"/>
      <c r="T161" s="1130"/>
      <c r="U161" s="1130"/>
      <c r="V161" s="1130"/>
      <c r="W161" s="1130"/>
      <c r="X161" s="1130"/>
      <c r="Y161" s="1130"/>
      <c r="Z161" s="1130"/>
    </row>
    <row r="162" spans="1:26" ht="15.75" customHeight="1">
      <c r="A162" s="1130"/>
      <c r="B162" s="1130"/>
      <c r="C162" s="1130"/>
      <c r="D162" s="1130"/>
      <c r="E162" s="1130"/>
      <c r="F162" s="1130"/>
      <c r="G162" s="1130"/>
      <c r="H162" s="1130"/>
      <c r="I162" s="1130"/>
      <c r="J162" s="1130"/>
      <c r="K162" s="1130"/>
      <c r="L162" s="1130"/>
      <c r="M162" s="1130"/>
      <c r="N162" s="1130"/>
      <c r="O162" s="1130"/>
      <c r="P162" s="1130"/>
      <c r="Q162" s="1130"/>
      <c r="R162" s="1130"/>
      <c r="S162" s="1130"/>
      <c r="T162" s="1130"/>
      <c r="U162" s="1130"/>
      <c r="V162" s="1130"/>
      <c r="W162" s="1130"/>
      <c r="X162" s="1130"/>
      <c r="Y162" s="1130"/>
      <c r="Z162" s="1130"/>
    </row>
    <row r="163" spans="1:26" ht="15.75" customHeight="1">
      <c r="A163" s="1130"/>
      <c r="B163" s="1130"/>
      <c r="C163" s="1130"/>
      <c r="D163" s="1130"/>
      <c r="E163" s="1130"/>
      <c r="F163" s="1130"/>
      <c r="G163" s="1130"/>
      <c r="H163" s="1130"/>
      <c r="I163" s="1130"/>
      <c r="J163" s="1130"/>
      <c r="K163" s="1130"/>
      <c r="L163" s="1130"/>
      <c r="M163" s="1130"/>
      <c r="N163" s="1130"/>
      <c r="O163" s="1130"/>
      <c r="P163" s="1130"/>
      <c r="Q163" s="1130"/>
      <c r="R163" s="1130"/>
      <c r="S163" s="1130"/>
      <c r="T163" s="1130"/>
      <c r="U163" s="1130"/>
      <c r="V163" s="1130"/>
      <c r="W163" s="1130"/>
      <c r="X163" s="1130"/>
      <c r="Y163" s="1130"/>
      <c r="Z163" s="1130"/>
    </row>
    <row r="164" spans="1:26" ht="15.75" customHeight="1">
      <c r="A164" s="1130"/>
      <c r="B164" s="1130"/>
      <c r="C164" s="1130"/>
      <c r="D164" s="1130"/>
      <c r="E164" s="1130"/>
      <c r="F164" s="1130"/>
      <c r="G164" s="1130"/>
      <c r="H164" s="1130"/>
      <c r="I164" s="1130"/>
      <c r="J164" s="1130"/>
      <c r="K164" s="1130"/>
      <c r="L164" s="1130"/>
      <c r="M164" s="1130"/>
      <c r="N164" s="1130"/>
      <c r="O164" s="1130"/>
      <c r="P164" s="1130"/>
      <c r="Q164" s="1130"/>
      <c r="R164" s="1130"/>
      <c r="S164" s="1130"/>
      <c r="T164" s="1130"/>
      <c r="U164" s="1130"/>
      <c r="V164" s="1130"/>
      <c r="W164" s="1130"/>
      <c r="X164" s="1130"/>
      <c r="Y164" s="1130"/>
      <c r="Z164" s="1130"/>
    </row>
    <row r="165" spans="1:26" ht="15.75" customHeight="1">
      <c r="A165" s="1130"/>
      <c r="B165" s="1130"/>
      <c r="C165" s="1130"/>
      <c r="D165" s="1130"/>
      <c r="E165" s="1130"/>
      <c r="F165" s="1130"/>
      <c r="G165" s="1130"/>
      <c r="H165" s="1130"/>
      <c r="I165" s="1130"/>
      <c r="J165" s="1130"/>
      <c r="K165" s="1130"/>
      <c r="L165" s="1130"/>
      <c r="M165" s="1130"/>
      <c r="N165" s="1130"/>
      <c r="O165" s="1130"/>
      <c r="P165" s="1130"/>
      <c r="Q165" s="1130"/>
      <c r="R165" s="1130"/>
      <c r="S165" s="1130"/>
      <c r="T165" s="1130"/>
      <c r="U165" s="1130"/>
      <c r="V165" s="1130"/>
      <c r="W165" s="1130"/>
      <c r="X165" s="1130"/>
      <c r="Y165" s="1130"/>
      <c r="Z165" s="1130"/>
    </row>
    <row r="166" spans="1:26" ht="15.75" customHeight="1">
      <c r="A166" s="1130"/>
      <c r="B166" s="1130"/>
      <c r="C166" s="1130"/>
      <c r="D166" s="1130"/>
      <c r="E166" s="1130"/>
      <c r="F166" s="1130"/>
      <c r="G166" s="1130"/>
      <c r="H166" s="1130"/>
      <c r="I166" s="1130"/>
      <c r="J166" s="1130"/>
      <c r="K166" s="1130"/>
      <c r="L166" s="1130"/>
      <c r="M166" s="1130"/>
      <c r="N166" s="1130"/>
      <c r="O166" s="1130"/>
      <c r="P166" s="1130"/>
      <c r="Q166" s="1130"/>
      <c r="R166" s="1130"/>
      <c r="S166" s="1130"/>
      <c r="T166" s="1130"/>
      <c r="U166" s="1130"/>
      <c r="V166" s="1130"/>
      <c r="W166" s="1130"/>
      <c r="X166" s="1130"/>
      <c r="Y166" s="1130"/>
      <c r="Z166" s="1130"/>
    </row>
    <row r="167" spans="1:26" ht="15.75" customHeight="1">
      <c r="A167" s="1130"/>
      <c r="B167" s="1130"/>
      <c r="C167" s="1130"/>
      <c r="D167" s="1130"/>
      <c r="E167" s="1130"/>
      <c r="F167" s="1130"/>
      <c r="G167" s="1130"/>
      <c r="H167" s="1130"/>
      <c r="I167" s="1130"/>
      <c r="J167" s="1130"/>
      <c r="K167" s="1130"/>
      <c r="L167" s="1130"/>
      <c r="M167" s="1130"/>
      <c r="N167" s="1130"/>
      <c r="O167" s="1130"/>
      <c r="P167" s="1130"/>
      <c r="Q167" s="1130"/>
      <c r="R167" s="1130"/>
      <c r="S167" s="1130"/>
      <c r="T167" s="1130"/>
      <c r="U167" s="1130"/>
      <c r="V167" s="1130"/>
      <c r="W167" s="1130"/>
      <c r="X167" s="1130"/>
      <c r="Y167" s="1130"/>
      <c r="Z167" s="1130"/>
    </row>
    <row r="168" spans="1:26" ht="15.75" customHeight="1">
      <c r="A168" s="1130"/>
      <c r="B168" s="1130"/>
      <c r="C168" s="1130"/>
      <c r="D168" s="1130"/>
      <c r="E168" s="1130"/>
      <c r="F168" s="1130"/>
      <c r="G168" s="1130"/>
      <c r="H168" s="1130"/>
      <c r="I168" s="1130"/>
      <c r="J168" s="1130"/>
      <c r="K168" s="1130"/>
      <c r="L168" s="1130"/>
      <c r="M168" s="1130"/>
      <c r="N168" s="1130"/>
      <c r="O168" s="1130"/>
      <c r="P168" s="1130"/>
      <c r="Q168" s="1130"/>
      <c r="R168" s="1130"/>
      <c r="S168" s="1130"/>
      <c r="T168" s="1130"/>
      <c r="U168" s="1130"/>
      <c r="V168" s="1130"/>
      <c r="W168" s="1130"/>
      <c r="X168" s="1130"/>
      <c r="Y168" s="1130"/>
      <c r="Z168" s="1130"/>
    </row>
    <row r="169" spans="1:26" ht="15.75" customHeight="1">
      <c r="A169" s="1130"/>
      <c r="B169" s="1130"/>
      <c r="C169" s="1130"/>
      <c r="D169" s="1130"/>
      <c r="E169" s="1130"/>
      <c r="F169" s="1130"/>
      <c r="G169" s="1130"/>
      <c r="H169" s="1130"/>
      <c r="I169" s="1130"/>
      <c r="J169" s="1130"/>
      <c r="K169" s="1130"/>
      <c r="L169" s="1130"/>
      <c r="M169" s="1130"/>
      <c r="N169" s="1130"/>
      <c r="O169" s="1130"/>
      <c r="P169" s="1130"/>
      <c r="Q169" s="1130"/>
      <c r="R169" s="1130"/>
      <c r="S169" s="1130"/>
      <c r="T169" s="1130"/>
      <c r="U169" s="1130"/>
      <c r="V169" s="1130"/>
      <c r="W169" s="1130"/>
      <c r="X169" s="1130"/>
      <c r="Y169" s="1130"/>
      <c r="Z169" s="1130"/>
    </row>
    <row r="170" spans="1:26" ht="15.75" customHeight="1">
      <c r="A170" s="1130"/>
      <c r="B170" s="1130"/>
      <c r="C170" s="1130"/>
      <c r="D170" s="1130"/>
      <c r="E170" s="1130"/>
      <c r="F170" s="1130"/>
      <c r="G170" s="1130"/>
      <c r="H170" s="1130"/>
      <c r="I170" s="1130"/>
      <c r="J170" s="1130"/>
      <c r="K170" s="1130"/>
      <c r="L170" s="1130"/>
      <c r="M170" s="1130"/>
      <c r="N170" s="1130"/>
      <c r="O170" s="1130"/>
      <c r="P170" s="1130"/>
      <c r="Q170" s="1130"/>
      <c r="R170" s="1130"/>
      <c r="S170" s="1130"/>
      <c r="T170" s="1130"/>
      <c r="U170" s="1130"/>
      <c r="V170" s="1130"/>
      <c r="W170" s="1130"/>
      <c r="X170" s="1130"/>
      <c r="Y170" s="1130"/>
      <c r="Z170" s="1130"/>
    </row>
    <row r="171" spans="1:26" ht="15.75" customHeight="1">
      <c r="A171" s="1130"/>
      <c r="B171" s="1130"/>
      <c r="C171" s="1130"/>
      <c r="D171" s="1130"/>
      <c r="E171" s="1130"/>
      <c r="F171" s="1130"/>
      <c r="G171" s="1130"/>
      <c r="H171" s="1130"/>
      <c r="I171" s="1130"/>
      <c r="J171" s="1130"/>
      <c r="K171" s="1130"/>
      <c r="L171" s="1130"/>
      <c r="M171" s="1130"/>
      <c r="N171" s="1130"/>
      <c r="O171" s="1130"/>
      <c r="P171" s="1130"/>
      <c r="Q171" s="1130"/>
      <c r="R171" s="1130"/>
      <c r="S171" s="1130"/>
      <c r="T171" s="1130"/>
      <c r="U171" s="1130"/>
      <c r="V171" s="1130"/>
      <c r="W171" s="1130"/>
      <c r="X171" s="1130"/>
      <c r="Y171" s="1130"/>
      <c r="Z171" s="1130"/>
    </row>
    <row r="172" spans="1:26" ht="15.75" customHeight="1">
      <c r="A172" s="1130"/>
      <c r="B172" s="1130"/>
      <c r="C172" s="1130"/>
      <c r="D172" s="1130"/>
      <c r="E172" s="1130"/>
      <c r="F172" s="1130"/>
      <c r="G172" s="1130"/>
      <c r="H172" s="1130"/>
      <c r="I172" s="1130"/>
      <c r="J172" s="1130"/>
      <c r="K172" s="1130"/>
      <c r="L172" s="1130"/>
      <c r="M172" s="1130"/>
      <c r="N172" s="1130"/>
      <c r="O172" s="1130"/>
      <c r="P172" s="1130"/>
      <c r="Q172" s="1130"/>
      <c r="R172" s="1130"/>
      <c r="S172" s="1130"/>
      <c r="T172" s="1130"/>
      <c r="U172" s="1130"/>
      <c r="V172" s="1130"/>
      <c r="W172" s="1130"/>
      <c r="X172" s="1130"/>
      <c r="Y172" s="1130"/>
      <c r="Z172" s="1130"/>
    </row>
    <row r="173" spans="1:26" ht="15.75" customHeight="1">
      <c r="A173" s="1130"/>
      <c r="B173" s="1130"/>
      <c r="C173" s="1130"/>
      <c r="D173" s="1130"/>
      <c r="E173" s="1130"/>
      <c r="F173" s="1130"/>
      <c r="G173" s="1130"/>
      <c r="H173" s="1130"/>
      <c r="I173" s="1130"/>
      <c r="J173" s="1130"/>
      <c r="K173" s="1130"/>
      <c r="L173" s="1130"/>
      <c r="M173" s="1130"/>
      <c r="N173" s="1130"/>
      <c r="O173" s="1130"/>
      <c r="P173" s="1130"/>
      <c r="Q173" s="1130"/>
      <c r="R173" s="1130"/>
      <c r="S173" s="1130"/>
      <c r="T173" s="1130"/>
      <c r="U173" s="1130"/>
      <c r="V173" s="1130"/>
      <c r="W173" s="1130"/>
      <c r="X173" s="1130"/>
      <c r="Y173" s="1130"/>
      <c r="Z173" s="1130"/>
    </row>
    <row r="174" spans="1:26" ht="15.75" customHeight="1">
      <c r="A174" s="1130"/>
      <c r="B174" s="1130"/>
      <c r="C174" s="1130"/>
      <c r="D174" s="1130"/>
      <c r="E174" s="1130"/>
      <c r="F174" s="1130"/>
      <c r="G174" s="1130"/>
      <c r="H174" s="1130"/>
      <c r="I174" s="1130"/>
      <c r="J174" s="1130"/>
      <c r="K174" s="1130"/>
      <c r="L174" s="1130"/>
      <c r="M174" s="1130"/>
      <c r="N174" s="1130"/>
      <c r="O174" s="1130"/>
      <c r="P174" s="1130"/>
      <c r="Q174" s="1130"/>
      <c r="R174" s="1130"/>
      <c r="S174" s="1130"/>
      <c r="T174" s="1130"/>
      <c r="U174" s="1130"/>
      <c r="V174" s="1130"/>
      <c r="W174" s="1130"/>
      <c r="X174" s="1130"/>
      <c r="Y174" s="1130"/>
      <c r="Z174" s="1130"/>
    </row>
    <row r="175" spans="1:26" ht="15.75" customHeight="1">
      <c r="A175" s="1130"/>
      <c r="B175" s="1130"/>
      <c r="C175" s="1130"/>
      <c r="D175" s="1130"/>
      <c r="E175" s="1130"/>
      <c r="F175" s="1130"/>
      <c r="G175" s="1130"/>
      <c r="H175" s="1130"/>
      <c r="I175" s="1130"/>
      <c r="J175" s="1130"/>
      <c r="K175" s="1130"/>
      <c r="L175" s="1130"/>
      <c r="M175" s="1130"/>
      <c r="N175" s="1130"/>
      <c r="O175" s="1130"/>
      <c r="P175" s="1130"/>
      <c r="Q175" s="1130"/>
      <c r="R175" s="1130"/>
      <c r="S175" s="1130"/>
      <c r="T175" s="1130"/>
      <c r="U175" s="1130"/>
      <c r="V175" s="1130"/>
      <c r="W175" s="1130"/>
      <c r="X175" s="1130"/>
      <c r="Y175" s="1130"/>
      <c r="Z175" s="1130"/>
    </row>
    <row r="176" spans="1:26" ht="15.75" customHeight="1">
      <c r="A176" s="1130"/>
      <c r="B176" s="1130"/>
      <c r="C176" s="1130"/>
      <c r="D176" s="1130"/>
      <c r="E176" s="1130"/>
      <c r="F176" s="1130"/>
      <c r="G176" s="1130"/>
      <c r="H176" s="1130"/>
      <c r="I176" s="1130"/>
      <c r="J176" s="1130"/>
      <c r="K176" s="1130"/>
      <c r="L176" s="1130"/>
      <c r="M176" s="1130"/>
      <c r="N176" s="1130"/>
      <c r="O176" s="1130"/>
      <c r="P176" s="1130"/>
      <c r="Q176" s="1130"/>
      <c r="R176" s="1130"/>
      <c r="S176" s="1130"/>
      <c r="T176" s="1130"/>
      <c r="U176" s="1130"/>
      <c r="V176" s="1130"/>
      <c r="W176" s="1130"/>
      <c r="X176" s="1130"/>
      <c r="Y176" s="1130"/>
      <c r="Z176" s="1130"/>
    </row>
    <row r="177" spans="1:26" ht="15.75" customHeight="1">
      <c r="A177" s="1130"/>
      <c r="B177" s="1130"/>
      <c r="C177" s="1130"/>
      <c r="D177" s="1130"/>
      <c r="E177" s="1130"/>
      <c r="F177" s="1130"/>
      <c r="G177" s="1130"/>
      <c r="H177" s="1130"/>
      <c r="I177" s="1130"/>
      <c r="J177" s="1130"/>
      <c r="K177" s="1130"/>
      <c r="L177" s="1130"/>
      <c r="M177" s="1130"/>
      <c r="N177" s="1130"/>
      <c r="O177" s="1130"/>
      <c r="P177" s="1130"/>
      <c r="Q177" s="1130"/>
      <c r="R177" s="1130"/>
      <c r="S177" s="1130"/>
      <c r="T177" s="1130"/>
      <c r="U177" s="1130"/>
      <c r="V177" s="1130"/>
      <c r="W177" s="1130"/>
      <c r="X177" s="1130"/>
      <c r="Y177" s="1130"/>
      <c r="Z177" s="1130"/>
    </row>
    <row r="178" spans="1:26" ht="15.75" customHeight="1">
      <c r="A178" s="1130"/>
      <c r="B178" s="1130"/>
      <c r="C178" s="1130"/>
      <c r="D178" s="1130"/>
      <c r="E178" s="1130"/>
      <c r="F178" s="1130"/>
      <c r="G178" s="1130"/>
      <c r="H178" s="1130"/>
      <c r="I178" s="1130"/>
      <c r="J178" s="1130"/>
      <c r="K178" s="1130"/>
      <c r="L178" s="1130"/>
      <c r="M178" s="1130"/>
      <c r="N178" s="1130"/>
      <c r="O178" s="1130"/>
      <c r="P178" s="1130"/>
      <c r="Q178" s="1130"/>
      <c r="R178" s="1130"/>
      <c r="S178" s="1130"/>
      <c r="T178" s="1130"/>
      <c r="U178" s="1130"/>
      <c r="V178" s="1130"/>
      <c r="W178" s="1130"/>
      <c r="X178" s="1130"/>
      <c r="Y178" s="1130"/>
      <c r="Z178" s="1130"/>
    </row>
    <row r="179" spans="1:26" ht="15.75" customHeight="1">
      <c r="A179" s="1130"/>
      <c r="B179" s="1130"/>
      <c r="C179" s="1130"/>
      <c r="D179" s="1130"/>
      <c r="E179" s="1130"/>
      <c r="F179" s="1130"/>
      <c r="G179" s="1130"/>
      <c r="H179" s="1130"/>
      <c r="I179" s="1130"/>
      <c r="J179" s="1130"/>
      <c r="K179" s="1130"/>
      <c r="L179" s="1130"/>
      <c r="M179" s="1130"/>
      <c r="N179" s="1130"/>
      <c r="O179" s="1130"/>
      <c r="P179" s="1130"/>
      <c r="Q179" s="1130"/>
      <c r="R179" s="1130"/>
      <c r="S179" s="1130"/>
      <c r="T179" s="1130"/>
      <c r="U179" s="1130"/>
      <c r="V179" s="1130"/>
      <c r="W179" s="1130"/>
      <c r="X179" s="1130"/>
      <c r="Y179" s="1130"/>
      <c r="Z179" s="1130"/>
    </row>
    <row r="180" spans="1:26" ht="15.75" customHeight="1">
      <c r="A180" s="1130"/>
      <c r="B180" s="1130"/>
      <c r="C180" s="1130"/>
      <c r="D180" s="1130"/>
      <c r="E180" s="1130"/>
      <c r="F180" s="1130"/>
      <c r="G180" s="1130"/>
      <c r="H180" s="1130"/>
      <c r="I180" s="1130"/>
      <c r="J180" s="1130"/>
      <c r="K180" s="1130"/>
      <c r="L180" s="1130"/>
      <c r="M180" s="1130"/>
      <c r="N180" s="1130"/>
      <c r="O180" s="1130"/>
      <c r="P180" s="1130"/>
      <c r="Q180" s="1130"/>
      <c r="R180" s="1130"/>
      <c r="S180" s="1130"/>
      <c r="T180" s="1130"/>
      <c r="U180" s="1130"/>
      <c r="V180" s="1130"/>
      <c r="W180" s="1130"/>
      <c r="X180" s="1130"/>
      <c r="Y180" s="1130"/>
      <c r="Z180" s="1130"/>
    </row>
    <row r="181" spans="1:26" ht="15.75" customHeight="1">
      <c r="A181" s="1130"/>
      <c r="B181" s="1130"/>
      <c r="C181" s="1130"/>
      <c r="D181" s="1130"/>
      <c r="E181" s="1130"/>
      <c r="F181" s="1130"/>
      <c r="G181" s="1130"/>
      <c r="H181" s="1130"/>
      <c r="I181" s="1130"/>
      <c r="J181" s="1130"/>
      <c r="K181" s="1130"/>
      <c r="L181" s="1130"/>
      <c r="M181" s="1130"/>
      <c r="N181" s="1130"/>
      <c r="O181" s="1130"/>
      <c r="P181" s="1130"/>
      <c r="Q181" s="1130"/>
      <c r="R181" s="1130"/>
      <c r="S181" s="1130"/>
      <c r="T181" s="1130"/>
      <c r="U181" s="1130"/>
      <c r="V181" s="1130"/>
      <c r="W181" s="1130"/>
      <c r="X181" s="1130"/>
      <c r="Y181" s="1130"/>
      <c r="Z181" s="1130"/>
    </row>
    <row r="182" spans="1:26" ht="15.75" customHeight="1">
      <c r="A182" s="1130"/>
      <c r="B182" s="1130"/>
      <c r="C182" s="1130"/>
      <c r="D182" s="1130"/>
      <c r="E182" s="1130"/>
      <c r="F182" s="1130"/>
      <c r="G182" s="1130"/>
      <c r="H182" s="1130"/>
      <c r="I182" s="1130"/>
      <c r="J182" s="1130"/>
      <c r="K182" s="1130"/>
      <c r="L182" s="1130"/>
      <c r="M182" s="1130"/>
      <c r="N182" s="1130"/>
      <c r="O182" s="1130"/>
      <c r="P182" s="1130"/>
      <c r="Q182" s="1130"/>
      <c r="R182" s="1130"/>
      <c r="S182" s="1130"/>
      <c r="T182" s="1130"/>
      <c r="U182" s="1130"/>
      <c r="V182" s="1130"/>
      <c r="W182" s="1130"/>
      <c r="X182" s="1130"/>
      <c r="Y182" s="1130"/>
      <c r="Z182" s="1130"/>
    </row>
    <row r="183" spans="1:26" ht="15.75" customHeight="1">
      <c r="A183" s="1130"/>
      <c r="B183" s="1130"/>
      <c r="C183" s="1130"/>
      <c r="D183" s="1130"/>
      <c r="E183" s="1130"/>
      <c r="F183" s="1130"/>
      <c r="G183" s="1130"/>
      <c r="H183" s="1130"/>
      <c r="I183" s="1130"/>
      <c r="J183" s="1130"/>
      <c r="K183" s="1130"/>
      <c r="L183" s="1130"/>
      <c r="M183" s="1130"/>
      <c r="N183" s="1130"/>
      <c r="O183" s="1130"/>
      <c r="P183" s="1130"/>
      <c r="Q183" s="1130"/>
      <c r="R183" s="1130"/>
      <c r="S183" s="1130"/>
      <c r="T183" s="1130"/>
      <c r="U183" s="1130"/>
      <c r="V183" s="1130"/>
      <c r="W183" s="1130"/>
      <c r="X183" s="1130"/>
      <c r="Y183" s="1130"/>
      <c r="Z183" s="1130"/>
    </row>
    <row r="184" spans="1:26" ht="15.75" customHeight="1">
      <c r="A184" s="1130"/>
      <c r="B184" s="1130"/>
      <c r="C184" s="1130"/>
      <c r="D184" s="1130"/>
      <c r="E184" s="1130"/>
      <c r="F184" s="1130"/>
      <c r="G184" s="1130"/>
      <c r="H184" s="1130"/>
      <c r="I184" s="1130"/>
      <c r="J184" s="1130"/>
      <c r="K184" s="1130"/>
      <c r="L184" s="1130"/>
      <c r="M184" s="1130"/>
      <c r="N184" s="1130"/>
      <c r="O184" s="1130"/>
      <c r="P184" s="1130"/>
      <c r="Q184" s="1130"/>
      <c r="R184" s="1130"/>
      <c r="S184" s="1130"/>
      <c r="T184" s="1130"/>
      <c r="U184" s="1130"/>
      <c r="V184" s="1130"/>
      <c r="W184" s="1130"/>
      <c r="X184" s="1130"/>
      <c r="Y184" s="1130"/>
      <c r="Z184" s="1130"/>
    </row>
    <row r="185" spans="1:26" ht="15.75" customHeight="1">
      <c r="A185" s="1130"/>
      <c r="B185" s="1130"/>
      <c r="C185" s="1130"/>
      <c r="D185" s="1130"/>
      <c r="E185" s="1130"/>
      <c r="F185" s="1130"/>
      <c r="G185" s="1130"/>
      <c r="H185" s="1130"/>
      <c r="I185" s="1130"/>
      <c r="J185" s="1130"/>
      <c r="K185" s="1130"/>
      <c r="L185" s="1130"/>
      <c r="M185" s="1130"/>
      <c r="N185" s="1130"/>
      <c r="O185" s="1130"/>
      <c r="P185" s="1130"/>
      <c r="Q185" s="1130"/>
      <c r="R185" s="1130"/>
      <c r="S185" s="1130"/>
      <c r="T185" s="1130"/>
      <c r="U185" s="1130"/>
      <c r="V185" s="1130"/>
      <c r="W185" s="1130"/>
      <c r="X185" s="1130"/>
      <c r="Y185" s="1130"/>
      <c r="Z185" s="1130"/>
    </row>
    <row r="186" spans="1:26" ht="15.75" customHeight="1">
      <c r="A186" s="1130"/>
      <c r="B186" s="1130"/>
      <c r="C186" s="1130"/>
      <c r="D186" s="1130"/>
      <c r="E186" s="1130"/>
      <c r="F186" s="1130"/>
      <c r="G186" s="1130"/>
      <c r="H186" s="1130"/>
      <c r="I186" s="1130"/>
      <c r="J186" s="1130"/>
      <c r="K186" s="1130"/>
      <c r="L186" s="1130"/>
      <c r="M186" s="1130"/>
      <c r="N186" s="1130"/>
      <c r="O186" s="1130"/>
      <c r="P186" s="1130"/>
      <c r="Q186" s="1130"/>
      <c r="R186" s="1130"/>
      <c r="S186" s="1130"/>
      <c r="T186" s="1130"/>
      <c r="U186" s="1130"/>
      <c r="V186" s="1130"/>
      <c r="W186" s="1130"/>
      <c r="X186" s="1130"/>
      <c r="Y186" s="1130"/>
      <c r="Z186" s="1130"/>
    </row>
    <row r="187" spans="1:26" ht="15.75" customHeight="1">
      <c r="A187" s="1130"/>
      <c r="B187" s="1130"/>
      <c r="C187" s="1130"/>
      <c r="D187" s="1130"/>
      <c r="E187" s="1130"/>
      <c r="F187" s="1130"/>
      <c r="G187" s="1130"/>
      <c r="H187" s="1130"/>
      <c r="I187" s="1130"/>
      <c r="J187" s="1130"/>
      <c r="K187" s="1130"/>
      <c r="L187" s="1130"/>
      <c r="M187" s="1130"/>
      <c r="N187" s="1130"/>
      <c r="O187" s="1130"/>
      <c r="P187" s="1130"/>
      <c r="Q187" s="1130"/>
      <c r="R187" s="1130"/>
      <c r="S187" s="1130"/>
      <c r="T187" s="1130"/>
      <c r="U187" s="1130"/>
      <c r="V187" s="1130"/>
      <c r="W187" s="1130"/>
      <c r="X187" s="1130"/>
      <c r="Y187" s="1130"/>
      <c r="Z187" s="1130"/>
    </row>
    <row r="188" spans="1:26" ht="15.75" customHeight="1">
      <c r="A188" s="1130"/>
      <c r="B188" s="1130"/>
      <c r="C188" s="1130"/>
      <c r="D188" s="1130"/>
      <c r="E188" s="1130"/>
      <c r="F188" s="1130"/>
      <c r="G188" s="1130"/>
      <c r="H188" s="1130"/>
      <c r="I188" s="1130"/>
      <c r="J188" s="1130"/>
      <c r="K188" s="1130"/>
      <c r="L188" s="1130"/>
      <c r="M188" s="1130"/>
      <c r="N188" s="1130"/>
      <c r="O188" s="1130"/>
      <c r="P188" s="1130"/>
      <c r="Q188" s="1130"/>
      <c r="R188" s="1130"/>
      <c r="S188" s="1130"/>
      <c r="T188" s="1130"/>
      <c r="U188" s="1130"/>
      <c r="V188" s="1130"/>
      <c r="W188" s="1130"/>
      <c r="X188" s="1130"/>
      <c r="Y188" s="1130"/>
      <c r="Z188" s="1130"/>
    </row>
    <row r="189" spans="1:26" ht="15.75" customHeight="1">
      <c r="A189" s="1130"/>
      <c r="B189" s="1130"/>
      <c r="C189" s="1130"/>
      <c r="D189" s="1130"/>
      <c r="E189" s="1130"/>
      <c r="F189" s="1130"/>
      <c r="G189" s="1130"/>
      <c r="H189" s="1130"/>
      <c r="I189" s="1130"/>
      <c r="J189" s="1130"/>
      <c r="K189" s="1130"/>
      <c r="L189" s="1130"/>
      <c r="M189" s="1130"/>
      <c r="N189" s="1130"/>
      <c r="O189" s="1130"/>
      <c r="P189" s="1130"/>
      <c r="Q189" s="1130"/>
      <c r="R189" s="1130"/>
      <c r="S189" s="1130"/>
      <c r="T189" s="1130"/>
      <c r="U189" s="1130"/>
      <c r="V189" s="1130"/>
      <c r="W189" s="1130"/>
      <c r="X189" s="1130"/>
      <c r="Y189" s="1130"/>
      <c r="Z189" s="1130"/>
    </row>
    <row r="190" spans="1:26" ht="15.75" customHeight="1">
      <c r="A190" s="1130"/>
      <c r="B190" s="1130"/>
      <c r="C190" s="1130"/>
      <c r="D190" s="1130"/>
      <c r="E190" s="1130"/>
      <c r="F190" s="1130"/>
      <c r="G190" s="1130"/>
      <c r="H190" s="1130"/>
      <c r="I190" s="1130"/>
      <c r="J190" s="1130"/>
      <c r="K190" s="1130"/>
      <c r="L190" s="1130"/>
      <c r="M190" s="1130"/>
      <c r="N190" s="1130"/>
      <c r="O190" s="1130"/>
      <c r="P190" s="1130"/>
      <c r="Q190" s="1130"/>
      <c r="R190" s="1130"/>
      <c r="S190" s="1130"/>
      <c r="T190" s="1130"/>
      <c r="U190" s="1130"/>
      <c r="V190" s="1130"/>
      <c r="W190" s="1130"/>
      <c r="X190" s="1130"/>
      <c r="Y190" s="1130"/>
      <c r="Z190" s="1130"/>
    </row>
    <row r="191" spans="1:26" ht="15.75" customHeight="1">
      <c r="A191" s="1130"/>
      <c r="B191" s="1130"/>
      <c r="C191" s="1130"/>
      <c r="D191" s="1130"/>
      <c r="E191" s="1130"/>
      <c r="F191" s="1130"/>
      <c r="G191" s="1130"/>
      <c r="H191" s="1130"/>
      <c r="I191" s="1130"/>
      <c r="J191" s="1130"/>
      <c r="K191" s="1130"/>
      <c r="L191" s="1130"/>
      <c r="M191" s="1130"/>
      <c r="N191" s="1130"/>
      <c r="O191" s="1130"/>
      <c r="P191" s="1130"/>
      <c r="Q191" s="1130"/>
      <c r="R191" s="1130"/>
      <c r="S191" s="1130"/>
      <c r="T191" s="1130"/>
      <c r="U191" s="1130"/>
      <c r="V191" s="1130"/>
      <c r="W191" s="1130"/>
      <c r="X191" s="1130"/>
      <c r="Y191" s="1130"/>
      <c r="Z191" s="1130"/>
    </row>
    <row r="192" spans="1:26" ht="15.75" customHeight="1">
      <c r="A192" s="1130"/>
      <c r="B192" s="1130"/>
      <c r="C192" s="1130"/>
      <c r="D192" s="1130"/>
      <c r="E192" s="1130"/>
      <c r="F192" s="1130"/>
      <c r="G192" s="1130"/>
      <c r="H192" s="1130"/>
      <c r="I192" s="1130"/>
      <c r="J192" s="1130"/>
      <c r="K192" s="1130"/>
      <c r="L192" s="1130"/>
      <c r="M192" s="1130"/>
      <c r="N192" s="1130"/>
      <c r="O192" s="1130"/>
      <c r="P192" s="1130"/>
      <c r="Q192" s="1130"/>
      <c r="R192" s="1130"/>
      <c r="S192" s="1130"/>
      <c r="T192" s="1130"/>
      <c r="U192" s="1130"/>
      <c r="V192" s="1130"/>
      <c r="W192" s="1130"/>
      <c r="X192" s="1130"/>
      <c r="Y192" s="1130"/>
      <c r="Z192" s="1130"/>
    </row>
    <row r="193" spans="1:26" ht="15.75" customHeight="1">
      <c r="A193" s="1130"/>
      <c r="B193" s="1130"/>
      <c r="C193" s="1130"/>
      <c r="D193" s="1130"/>
      <c r="E193" s="1130"/>
      <c r="F193" s="1130"/>
      <c r="G193" s="1130"/>
      <c r="H193" s="1130"/>
      <c r="I193" s="1130"/>
      <c r="J193" s="1130"/>
      <c r="K193" s="1130"/>
      <c r="L193" s="1130"/>
      <c r="M193" s="1130"/>
      <c r="N193" s="1130"/>
      <c r="O193" s="1130"/>
      <c r="P193" s="1130"/>
      <c r="Q193" s="1130"/>
      <c r="R193" s="1130"/>
      <c r="S193" s="1130"/>
      <c r="T193" s="1130"/>
      <c r="U193" s="1130"/>
      <c r="V193" s="1130"/>
      <c r="W193" s="1130"/>
      <c r="X193" s="1130"/>
      <c r="Y193" s="1130"/>
      <c r="Z193" s="1130"/>
    </row>
    <row r="194" spans="1:26" ht="15.75" customHeight="1">
      <c r="A194" s="1130"/>
      <c r="B194" s="1130"/>
      <c r="C194" s="1130"/>
      <c r="D194" s="1130"/>
      <c r="E194" s="1130"/>
      <c r="F194" s="1130"/>
      <c r="G194" s="1130"/>
      <c r="H194" s="1130"/>
      <c r="I194" s="1130"/>
      <c r="J194" s="1130"/>
      <c r="K194" s="1130"/>
      <c r="L194" s="1130"/>
      <c r="M194" s="1130"/>
      <c r="N194" s="1130"/>
      <c r="O194" s="1130"/>
      <c r="P194" s="1130"/>
      <c r="Q194" s="1130"/>
      <c r="R194" s="1130"/>
      <c r="S194" s="1130"/>
      <c r="T194" s="1130"/>
      <c r="U194" s="1130"/>
      <c r="V194" s="1130"/>
      <c r="W194" s="1130"/>
      <c r="X194" s="1130"/>
      <c r="Y194" s="1130"/>
      <c r="Z194" s="1130"/>
    </row>
    <row r="195" spans="1:26" ht="15.75" customHeight="1">
      <c r="A195" s="1130"/>
      <c r="B195" s="1130"/>
      <c r="C195" s="1130"/>
      <c r="D195" s="1130"/>
      <c r="E195" s="1130"/>
      <c r="F195" s="1130"/>
      <c r="G195" s="1130"/>
      <c r="H195" s="1130"/>
      <c r="I195" s="1130"/>
      <c r="J195" s="1130"/>
      <c r="K195" s="1130"/>
      <c r="L195" s="1130"/>
      <c r="M195" s="1130"/>
      <c r="N195" s="1130"/>
      <c r="O195" s="1130"/>
      <c r="P195" s="1130"/>
      <c r="Q195" s="1130"/>
      <c r="R195" s="1130"/>
      <c r="S195" s="1130"/>
      <c r="T195" s="1130"/>
      <c r="U195" s="1130"/>
      <c r="V195" s="1130"/>
      <c r="W195" s="1130"/>
      <c r="X195" s="1130"/>
      <c r="Y195" s="1130"/>
      <c r="Z195" s="1130"/>
    </row>
    <row r="196" spans="1:26" ht="15.75" customHeight="1">
      <c r="A196" s="1130"/>
      <c r="B196" s="1130"/>
      <c r="C196" s="1130"/>
      <c r="D196" s="1130"/>
      <c r="E196" s="1130"/>
      <c r="F196" s="1130"/>
      <c r="G196" s="1130"/>
      <c r="H196" s="1130"/>
      <c r="I196" s="1130"/>
      <c r="J196" s="1130"/>
      <c r="K196" s="1130"/>
      <c r="L196" s="1130"/>
      <c r="M196" s="1130"/>
      <c r="N196" s="1130"/>
      <c r="O196" s="1130"/>
      <c r="P196" s="1130"/>
      <c r="Q196" s="1130"/>
      <c r="R196" s="1130"/>
      <c r="S196" s="1130"/>
      <c r="T196" s="1130"/>
      <c r="U196" s="1130"/>
      <c r="V196" s="1130"/>
      <c r="W196" s="1130"/>
      <c r="X196" s="1130"/>
      <c r="Y196" s="1130"/>
      <c r="Z196" s="1130"/>
    </row>
    <row r="197" spans="1:26" ht="15.75" customHeight="1">
      <c r="A197" s="1130"/>
      <c r="B197" s="1130"/>
      <c r="C197" s="1130"/>
      <c r="D197" s="1130"/>
      <c r="E197" s="1130"/>
      <c r="F197" s="1130"/>
      <c r="G197" s="1130"/>
      <c r="H197" s="1130"/>
      <c r="I197" s="1130"/>
      <c r="J197" s="1130"/>
      <c r="K197" s="1130"/>
      <c r="L197" s="1130"/>
      <c r="M197" s="1130"/>
      <c r="N197" s="1130"/>
      <c r="O197" s="1130"/>
      <c r="P197" s="1130"/>
      <c r="Q197" s="1130"/>
      <c r="R197" s="1130"/>
      <c r="S197" s="1130"/>
      <c r="T197" s="1130"/>
      <c r="U197" s="1130"/>
      <c r="V197" s="1130"/>
      <c r="W197" s="1130"/>
      <c r="X197" s="1130"/>
      <c r="Y197" s="1130"/>
      <c r="Z197" s="1130"/>
    </row>
    <row r="198" spans="1:26" ht="15.75" customHeight="1">
      <c r="A198" s="1130"/>
      <c r="B198" s="1130"/>
      <c r="C198" s="1130"/>
      <c r="D198" s="1130"/>
      <c r="E198" s="1130"/>
      <c r="F198" s="1130"/>
      <c r="G198" s="1130"/>
      <c r="H198" s="1130"/>
      <c r="I198" s="1130"/>
      <c r="J198" s="1130"/>
      <c r="K198" s="1130"/>
      <c r="L198" s="1130"/>
      <c r="M198" s="1130"/>
      <c r="N198" s="1130"/>
      <c r="O198" s="1130"/>
      <c r="P198" s="1130"/>
      <c r="Q198" s="1130"/>
      <c r="R198" s="1130"/>
      <c r="S198" s="1130"/>
      <c r="T198" s="1130"/>
      <c r="U198" s="1130"/>
      <c r="V198" s="1130"/>
      <c r="W198" s="1130"/>
      <c r="X198" s="1130"/>
      <c r="Y198" s="1130"/>
      <c r="Z198" s="1130"/>
    </row>
    <row r="199" spans="1:26" ht="15.75" customHeight="1">
      <c r="A199" s="1130"/>
      <c r="B199" s="1130"/>
      <c r="C199" s="1130"/>
      <c r="D199" s="1130"/>
      <c r="E199" s="1130"/>
      <c r="F199" s="1130"/>
      <c r="G199" s="1130"/>
      <c r="H199" s="1130"/>
      <c r="I199" s="1130"/>
      <c r="J199" s="1130"/>
      <c r="K199" s="1130"/>
      <c r="L199" s="1130"/>
      <c r="M199" s="1130"/>
      <c r="N199" s="1130"/>
      <c r="O199" s="1130"/>
      <c r="P199" s="1130"/>
      <c r="Q199" s="1130"/>
      <c r="R199" s="1130"/>
      <c r="S199" s="1130"/>
      <c r="T199" s="1130"/>
      <c r="U199" s="1130"/>
      <c r="V199" s="1130"/>
      <c r="W199" s="1130"/>
      <c r="X199" s="1130"/>
      <c r="Y199" s="1130"/>
      <c r="Z199" s="1130"/>
    </row>
    <row r="200" spans="1:26" ht="15.75" customHeight="1">
      <c r="A200" s="1130"/>
      <c r="B200" s="1130"/>
      <c r="C200" s="1130"/>
      <c r="D200" s="1130"/>
      <c r="E200" s="1130"/>
      <c r="F200" s="1130"/>
      <c r="G200" s="1130"/>
      <c r="H200" s="1130"/>
      <c r="I200" s="1130"/>
      <c r="J200" s="1130"/>
      <c r="K200" s="1130"/>
      <c r="L200" s="1130"/>
      <c r="M200" s="1130"/>
      <c r="N200" s="1130"/>
      <c r="O200" s="1130"/>
      <c r="P200" s="1130"/>
      <c r="Q200" s="1130"/>
      <c r="R200" s="1130"/>
      <c r="S200" s="1130"/>
      <c r="T200" s="1130"/>
      <c r="U200" s="1130"/>
      <c r="V200" s="1130"/>
      <c r="W200" s="1130"/>
      <c r="X200" s="1130"/>
      <c r="Y200" s="1130"/>
      <c r="Z200" s="1130"/>
    </row>
    <row r="201" spans="1:26" ht="15.75" customHeight="1">
      <c r="A201" s="1130"/>
      <c r="B201" s="1130"/>
      <c r="C201" s="1130"/>
      <c r="D201" s="1130"/>
      <c r="E201" s="1130"/>
      <c r="F201" s="1130"/>
      <c r="G201" s="1130"/>
      <c r="H201" s="1130"/>
      <c r="I201" s="1130"/>
      <c r="J201" s="1130"/>
      <c r="K201" s="1130"/>
      <c r="L201" s="1130"/>
      <c r="M201" s="1130"/>
      <c r="N201" s="1130"/>
      <c r="O201" s="1130"/>
      <c r="P201" s="1130"/>
      <c r="Q201" s="1130"/>
      <c r="R201" s="1130"/>
      <c r="S201" s="1130"/>
      <c r="T201" s="1130"/>
      <c r="U201" s="1130"/>
      <c r="V201" s="1130"/>
      <c r="W201" s="1130"/>
      <c r="X201" s="1130"/>
      <c r="Y201" s="1130"/>
      <c r="Z201" s="1130"/>
    </row>
    <row r="202" spans="1:26" ht="15.75" customHeight="1">
      <c r="A202" s="1130"/>
      <c r="B202" s="1130"/>
      <c r="C202" s="1130"/>
      <c r="D202" s="1130"/>
      <c r="E202" s="1130"/>
      <c r="F202" s="1130"/>
      <c r="G202" s="1130"/>
      <c r="H202" s="1130"/>
      <c r="I202" s="1130"/>
      <c r="J202" s="1130"/>
      <c r="K202" s="1130"/>
      <c r="L202" s="1130"/>
      <c r="M202" s="1130"/>
      <c r="N202" s="1130"/>
      <c r="O202" s="1130"/>
      <c r="P202" s="1130"/>
      <c r="Q202" s="1130"/>
      <c r="R202" s="1130"/>
      <c r="S202" s="1130"/>
      <c r="T202" s="1130"/>
      <c r="U202" s="1130"/>
      <c r="V202" s="1130"/>
      <c r="W202" s="1130"/>
      <c r="X202" s="1130"/>
      <c r="Y202" s="1130"/>
      <c r="Z202" s="1130"/>
    </row>
    <row r="203" spans="1:26" ht="15.75" customHeight="1">
      <c r="A203" s="1130"/>
      <c r="B203" s="1130"/>
      <c r="C203" s="1130"/>
      <c r="D203" s="1130"/>
      <c r="E203" s="1130"/>
      <c r="F203" s="1130"/>
      <c r="G203" s="1130"/>
      <c r="H203" s="1130"/>
      <c r="I203" s="1130"/>
      <c r="J203" s="1130"/>
      <c r="K203" s="1130"/>
      <c r="L203" s="1130"/>
      <c r="M203" s="1130"/>
      <c r="N203" s="1130"/>
      <c r="O203" s="1130"/>
      <c r="P203" s="1130"/>
      <c r="Q203" s="1130"/>
      <c r="R203" s="1130"/>
      <c r="S203" s="1130"/>
      <c r="T203" s="1130"/>
      <c r="U203" s="1130"/>
      <c r="V203" s="1130"/>
      <c r="W203" s="1130"/>
      <c r="X203" s="1130"/>
      <c r="Y203" s="1130"/>
      <c r="Z203" s="1130"/>
    </row>
    <row r="204" spans="1:26" ht="15.75" customHeight="1">
      <c r="A204" s="1130"/>
      <c r="B204" s="1130"/>
      <c r="C204" s="1130"/>
      <c r="D204" s="1130"/>
      <c r="E204" s="1130"/>
      <c r="F204" s="1130"/>
      <c r="G204" s="1130"/>
      <c r="H204" s="1130"/>
      <c r="I204" s="1130"/>
      <c r="J204" s="1130"/>
      <c r="K204" s="1130"/>
      <c r="L204" s="1130"/>
      <c r="M204" s="1130"/>
      <c r="N204" s="1130"/>
      <c r="O204" s="1130"/>
      <c r="P204" s="1130"/>
      <c r="Q204" s="1130"/>
      <c r="R204" s="1130"/>
      <c r="S204" s="1130"/>
      <c r="T204" s="1130"/>
      <c r="U204" s="1130"/>
      <c r="V204" s="1130"/>
      <c r="W204" s="1130"/>
      <c r="X204" s="1130"/>
      <c r="Y204" s="1130"/>
      <c r="Z204" s="1130"/>
    </row>
    <row r="205" spans="1:26" ht="15.75" customHeight="1">
      <c r="A205" s="1130"/>
      <c r="B205" s="1130"/>
      <c r="C205" s="1130"/>
      <c r="D205" s="1130"/>
      <c r="E205" s="1130"/>
      <c r="F205" s="1130"/>
      <c r="G205" s="1130"/>
      <c r="H205" s="1130"/>
      <c r="I205" s="1130"/>
      <c r="J205" s="1130"/>
      <c r="K205" s="1130"/>
      <c r="L205" s="1130"/>
      <c r="M205" s="1130"/>
      <c r="N205" s="1130"/>
      <c r="O205" s="1130"/>
      <c r="P205" s="1130"/>
      <c r="Q205" s="1130"/>
      <c r="R205" s="1130"/>
      <c r="S205" s="1130"/>
      <c r="T205" s="1130"/>
      <c r="U205" s="1130"/>
      <c r="V205" s="1130"/>
      <c r="W205" s="1130"/>
      <c r="X205" s="1130"/>
      <c r="Y205" s="1130"/>
      <c r="Z205" s="1130"/>
    </row>
    <row r="206" spans="1:26" ht="15.75" customHeight="1">
      <c r="A206" s="1130"/>
      <c r="B206" s="1130"/>
      <c r="C206" s="1130"/>
      <c r="D206" s="1130"/>
      <c r="E206" s="1130"/>
      <c r="F206" s="1130"/>
      <c r="G206" s="1130"/>
      <c r="H206" s="1130"/>
      <c r="I206" s="1130"/>
      <c r="J206" s="1130"/>
      <c r="K206" s="1130"/>
      <c r="L206" s="1130"/>
      <c r="M206" s="1130"/>
      <c r="N206" s="1130"/>
      <c r="O206" s="1130"/>
      <c r="P206" s="1130"/>
      <c r="Q206" s="1130"/>
      <c r="R206" s="1130"/>
      <c r="S206" s="1130"/>
      <c r="T206" s="1130"/>
      <c r="U206" s="1130"/>
      <c r="V206" s="1130"/>
      <c r="W206" s="1130"/>
      <c r="X206" s="1130"/>
      <c r="Y206" s="1130"/>
      <c r="Z206" s="1130"/>
    </row>
    <row r="207" spans="1:26" ht="15.75" customHeight="1">
      <c r="A207" s="1130"/>
      <c r="B207" s="1130"/>
      <c r="C207" s="1130"/>
      <c r="D207" s="1130"/>
      <c r="E207" s="1130"/>
      <c r="F207" s="1130"/>
      <c r="G207" s="1130"/>
      <c r="H207" s="1130"/>
      <c r="I207" s="1130"/>
      <c r="J207" s="1130"/>
      <c r="K207" s="1130"/>
      <c r="L207" s="1130"/>
      <c r="M207" s="1130"/>
      <c r="N207" s="1130"/>
      <c r="O207" s="1130"/>
      <c r="P207" s="1130"/>
      <c r="Q207" s="1130"/>
      <c r="R207" s="1130"/>
      <c r="S207" s="1130"/>
      <c r="T207" s="1130"/>
      <c r="U207" s="1130"/>
      <c r="V207" s="1130"/>
      <c r="W207" s="1130"/>
      <c r="X207" s="1130"/>
      <c r="Y207" s="1130"/>
      <c r="Z207" s="1130"/>
    </row>
    <row r="208" spans="1:26" ht="15.75" customHeight="1">
      <c r="A208" s="1130"/>
      <c r="B208" s="1130"/>
      <c r="C208" s="1130"/>
      <c r="D208" s="1130"/>
      <c r="E208" s="1130"/>
      <c r="F208" s="1130"/>
      <c r="G208" s="1130"/>
      <c r="H208" s="1130"/>
      <c r="I208" s="1130"/>
      <c r="J208" s="1130"/>
      <c r="K208" s="1130"/>
      <c r="L208" s="1130"/>
      <c r="M208" s="1130"/>
      <c r="N208" s="1130"/>
      <c r="O208" s="1130"/>
      <c r="P208" s="1130"/>
      <c r="Q208" s="1130"/>
      <c r="R208" s="1130"/>
      <c r="S208" s="1130"/>
      <c r="T208" s="1130"/>
      <c r="U208" s="1130"/>
      <c r="V208" s="1130"/>
      <c r="W208" s="1130"/>
      <c r="X208" s="1130"/>
      <c r="Y208" s="1130"/>
      <c r="Z208" s="1130"/>
    </row>
    <row r="209" spans="1:26" ht="15.75" customHeight="1">
      <c r="A209" s="1130"/>
      <c r="B209" s="1130"/>
      <c r="C209" s="1130"/>
      <c r="D209" s="1130"/>
      <c r="E209" s="1130"/>
      <c r="F209" s="1130"/>
      <c r="G209" s="1130"/>
      <c r="H209" s="1130"/>
      <c r="I209" s="1130"/>
      <c r="J209" s="1130"/>
      <c r="K209" s="1130"/>
      <c r="L209" s="1130"/>
      <c r="M209" s="1130"/>
      <c r="N209" s="1130"/>
      <c r="O209" s="1130"/>
      <c r="P209" s="1130"/>
      <c r="Q209" s="1130"/>
      <c r="R209" s="1130"/>
      <c r="S209" s="1130"/>
      <c r="T209" s="1130"/>
      <c r="U209" s="1130"/>
      <c r="V209" s="1130"/>
      <c r="W209" s="1130"/>
      <c r="X209" s="1130"/>
      <c r="Y209" s="1130"/>
      <c r="Z209" s="1130"/>
    </row>
    <row r="210" spans="1:26" ht="15.75" customHeight="1">
      <c r="A210" s="1130"/>
      <c r="B210" s="1130"/>
      <c r="C210" s="1130"/>
      <c r="D210" s="1130"/>
      <c r="E210" s="1130"/>
      <c r="F210" s="1130"/>
      <c r="G210" s="1130"/>
      <c r="H210" s="1130"/>
      <c r="I210" s="1130"/>
      <c r="J210" s="1130"/>
      <c r="K210" s="1130"/>
      <c r="L210" s="1130"/>
      <c r="M210" s="1130"/>
      <c r="N210" s="1130"/>
      <c r="O210" s="1130"/>
      <c r="P210" s="1130"/>
      <c r="Q210" s="1130"/>
      <c r="R210" s="1130"/>
      <c r="S210" s="1130"/>
      <c r="T210" s="1130"/>
      <c r="U210" s="1130"/>
      <c r="V210" s="1130"/>
      <c r="W210" s="1130"/>
      <c r="X210" s="1130"/>
      <c r="Y210" s="1130"/>
      <c r="Z210" s="1130"/>
    </row>
    <row r="211" spans="1:26" ht="15.75" customHeight="1">
      <c r="A211" s="1130"/>
      <c r="B211" s="1130"/>
      <c r="C211" s="1130"/>
      <c r="D211" s="1130"/>
      <c r="E211" s="1130"/>
      <c r="F211" s="1130"/>
      <c r="G211" s="1130"/>
      <c r="H211" s="1130"/>
      <c r="I211" s="1130"/>
      <c r="J211" s="1130"/>
      <c r="K211" s="1130"/>
      <c r="L211" s="1130"/>
      <c r="M211" s="1130"/>
      <c r="N211" s="1130"/>
      <c r="O211" s="1130"/>
      <c r="P211" s="1130"/>
      <c r="Q211" s="1130"/>
      <c r="R211" s="1130"/>
      <c r="S211" s="1130"/>
      <c r="T211" s="1130"/>
      <c r="U211" s="1130"/>
      <c r="V211" s="1130"/>
      <c r="W211" s="1130"/>
      <c r="X211" s="1130"/>
      <c r="Y211" s="1130"/>
      <c r="Z211" s="1130"/>
    </row>
    <row r="212" spans="1:26" ht="15.75" customHeight="1">
      <c r="A212" s="1130"/>
      <c r="B212" s="1130"/>
      <c r="C212" s="1130"/>
      <c r="D212" s="1130"/>
      <c r="E212" s="1130"/>
      <c r="F212" s="1130"/>
      <c r="G212" s="1130"/>
      <c r="H212" s="1130"/>
      <c r="I212" s="1130"/>
      <c r="J212" s="1130"/>
      <c r="K212" s="1130"/>
      <c r="L212" s="1130"/>
      <c r="M212" s="1130"/>
      <c r="N212" s="1130"/>
      <c r="O212" s="1130"/>
      <c r="P212" s="1130"/>
      <c r="Q212" s="1130"/>
      <c r="R212" s="1130"/>
      <c r="S212" s="1130"/>
      <c r="T212" s="1130"/>
      <c r="U212" s="1130"/>
      <c r="V212" s="1130"/>
      <c r="W212" s="1130"/>
      <c r="X212" s="1130"/>
      <c r="Y212" s="1130"/>
      <c r="Z212" s="1130"/>
    </row>
    <row r="213" spans="1:26" ht="15.75" customHeight="1">
      <c r="A213" s="1130"/>
      <c r="B213" s="1130"/>
      <c r="C213" s="1130"/>
      <c r="D213" s="1130"/>
      <c r="E213" s="1130"/>
      <c r="F213" s="1130"/>
      <c r="G213" s="1130"/>
      <c r="H213" s="1130"/>
      <c r="I213" s="1130"/>
      <c r="J213" s="1130"/>
      <c r="K213" s="1130"/>
      <c r="L213" s="1130"/>
      <c r="M213" s="1130"/>
      <c r="N213" s="1130"/>
      <c r="O213" s="1130"/>
      <c r="P213" s="1130"/>
      <c r="Q213" s="1130"/>
      <c r="R213" s="1130"/>
      <c r="S213" s="1130"/>
      <c r="T213" s="1130"/>
      <c r="U213" s="1130"/>
      <c r="V213" s="1130"/>
      <c r="W213" s="1130"/>
      <c r="X213" s="1130"/>
      <c r="Y213" s="1130"/>
      <c r="Z213" s="1130"/>
    </row>
    <row r="214" spans="1:26" ht="15.75" customHeight="1">
      <c r="A214" s="1130"/>
      <c r="B214" s="1130"/>
      <c r="C214" s="1130"/>
      <c r="D214" s="1130"/>
      <c r="E214" s="1130"/>
      <c r="F214" s="1130"/>
      <c r="G214" s="1130"/>
      <c r="H214" s="1130"/>
      <c r="I214" s="1130"/>
      <c r="J214" s="1130"/>
      <c r="K214" s="1130"/>
      <c r="L214" s="1130"/>
      <c r="M214" s="1130"/>
      <c r="N214" s="1130"/>
      <c r="O214" s="1130"/>
      <c r="P214" s="1130"/>
      <c r="Q214" s="1130"/>
      <c r="R214" s="1130"/>
      <c r="S214" s="1130"/>
      <c r="T214" s="1130"/>
      <c r="U214" s="1130"/>
      <c r="V214" s="1130"/>
      <c r="W214" s="1130"/>
      <c r="X214" s="1130"/>
      <c r="Y214" s="1130"/>
      <c r="Z214" s="1130"/>
    </row>
    <row r="215" spans="1:26" ht="15.75" customHeight="1">
      <c r="A215" s="1130"/>
      <c r="B215" s="1130"/>
      <c r="C215" s="1130"/>
      <c r="D215" s="1130"/>
      <c r="E215" s="1130"/>
      <c r="F215" s="1130"/>
      <c r="G215" s="1130"/>
      <c r="H215" s="1130"/>
      <c r="I215" s="1130"/>
      <c r="J215" s="1130"/>
      <c r="K215" s="1130"/>
      <c r="L215" s="1130"/>
      <c r="M215" s="1130"/>
      <c r="N215" s="1130"/>
      <c r="O215" s="1130"/>
      <c r="P215" s="1130"/>
      <c r="Q215" s="1130"/>
      <c r="R215" s="1130"/>
      <c r="S215" s="1130"/>
      <c r="T215" s="1130"/>
      <c r="U215" s="1130"/>
      <c r="V215" s="1130"/>
      <c r="W215" s="1130"/>
      <c r="X215" s="1130"/>
      <c r="Y215" s="1130"/>
      <c r="Z215" s="1130"/>
    </row>
    <row r="216" spans="1:26" ht="15.75" customHeight="1">
      <c r="A216" s="1130"/>
      <c r="B216" s="1130"/>
      <c r="C216" s="1130"/>
      <c r="D216" s="1130"/>
      <c r="E216" s="1130"/>
      <c r="F216" s="1130"/>
      <c r="G216" s="1130"/>
      <c r="H216" s="1130"/>
      <c r="I216" s="1130"/>
      <c r="J216" s="1130"/>
      <c r="K216" s="1130"/>
      <c r="L216" s="1130"/>
      <c r="M216" s="1130"/>
      <c r="N216" s="1130"/>
      <c r="O216" s="1130"/>
      <c r="P216" s="1130"/>
      <c r="Q216" s="1130"/>
      <c r="R216" s="1130"/>
      <c r="S216" s="1130"/>
      <c r="T216" s="1130"/>
      <c r="U216" s="1130"/>
      <c r="V216" s="1130"/>
      <c r="W216" s="1130"/>
      <c r="X216" s="1130"/>
      <c r="Y216" s="1130"/>
      <c r="Z216" s="1130"/>
    </row>
    <row r="217" spans="1:26" ht="15.75" customHeight="1">
      <c r="A217" s="1130"/>
      <c r="B217" s="1130"/>
      <c r="C217" s="1130"/>
      <c r="D217" s="1130"/>
      <c r="E217" s="1130"/>
      <c r="F217" s="1130"/>
      <c r="G217" s="1130"/>
      <c r="H217" s="1130"/>
      <c r="I217" s="1130"/>
      <c r="J217" s="1130"/>
      <c r="K217" s="1130"/>
      <c r="L217" s="1130"/>
      <c r="M217" s="1130"/>
      <c r="N217" s="1130"/>
      <c r="O217" s="1130"/>
      <c r="P217" s="1130"/>
      <c r="Q217" s="1130"/>
      <c r="R217" s="1130"/>
      <c r="S217" s="1130"/>
      <c r="T217" s="1130"/>
      <c r="U217" s="1130"/>
      <c r="V217" s="1130"/>
      <c r="W217" s="1130"/>
      <c r="X217" s="1130"/>
      <c r="Y217" s="1130"/>
      <c r="Z217" s="1130"/>
    </row>
    <row r="218" spans="1:26" ht="15.75" customHeight="1">
      <c r="A218" s="1130"/>
      <c r="B218" s="1130"/>
      <c r="C218" s="1130"/>
      <c r="D218" s="1130"/>
      <c r="E218" s="1130"/>
      <c r="F218" s="1130"/>
      <c r="G218" s="1130"/>
      <c r="H218" s="1130"/>
      <c r="I218" s="1130"/>
      <c r="J218" s="1130"/>
      <c r="K218" s="1130"/>
      <c r="L218" s="1130"/>
      <c r="M218" s="1130"/>
      <c r="N218" s="1130"/>
      <c r="O218" s="1130"/>
      <c r="P218" s="1130"/>
      <c r="Q218" s="1130"/>
      <c r="R218" s="1130"/>
      <c r="S218" s="1130"/>
      <c r="T218" s="1130"/>
      <c r="U218" s="1130"/>
      <c r="V218" s="1130"/>
      <c r="W218" s="1130"/>
      <c r="X218" s="1130"/>
      <c r="Y218" s="1130"/>
      <c r="Z218" s="1130"/>
    </row>
    <row r="219" spans="1:26" ht="15.75" customHeight="1">
      <c r="A219" s="1130"/>
      <c r="B219" s="1130"/>
      <c r="C219" s="1130"/>
      <c r="D219" s="1130"/>
      <c r="E219" s="1130"/>
      <c r="F219" s="1130"/>
      <c r="G219" s="1130"/>
      <c r="H219" s="1130"/>
      <c r="I219" s="1130"/>
      <c r="J219" s="1130"/>
      <c r="K219" s="1130"/>
      <c r="L219" s="1130"/>
      <c r="M219" s="1130"/>
      <c r="N219" s="1130"/>
      <c r="O219" s="1130"/>
      <c r="P219" s="1130"/>
      <c r="Q219" s="1130"/>
      <c r="R219" s="1130"/>
      <c r="S219" s="1130"/>
      <c r="T219" s="1130"/>
      <c r="U219" s="1130"/>
      <c r="V219" s="1130"/>
      <c r="W219" s="1130"/>
      <c r="X219" s="1130"/>
      <c r="Y219" s="1130"/>
      <c r="Z219" s="1130"/>
    </row>
    <row r="220" spans="1:26" ht="15.75" customHeight="1">
      <c r="A220" s="1130"/>
      <c r="B220" s="1130"/>
      <c r="C220" s="1130"/>
      <c r="D220" s="1130"/>
      <c r="E220" s="1130"/>
      <c r="F220" s="1130"/>
      <c r="G220" s="1130"/>
      <c r="H220" s="1130"/>
      <c r="I220" s="1130"/>
      <c r="J220" s="1130"/>
      <c r="K220" s="1130"/>
      <c r="L220" s="1130"/>
      <c r="M220" s="1130"/>
      <c r="N220" s="1130"/>
      <c r="O220" s="1130"/>
      <c r="P220" s="1130"/>
      <c r="Q220" s="1130"/>
      <c r="R220" s="1130"/>
      <c r="S220" s="1130"/>
      <c r="T220" s="1130"/>
      <c r="U220" s="1130"/>
      <c r="V220" s="1130"/>
      <c r="W220" s="1130"/>
      <c r="X220" s="1130"/>
      <c r="Y220" s="1130"/>
      <c r="Z220" s="1130"/>
    </row>
    <row r="221" spans="1:26" ht="15.75" customHeight="1">
      <c r="A221" s="1130"/>
      <c r="B221" s="1130"/>
      <c r="C221" s="1130"/>
      <c r="D221" s="1130"/>
      <c r="E221" s="1130"/>
      <c r="F221" s="1130"/>
      <c r="G221" s="1130"/>
      <c r="H221" s="1130"/>
      <c r="I221" s="1130"/>
      <c r="J221" s="1130"/>
      <c r="K221" s="1130"/>
      <c r="L221" s="1130"/>
      <c r="M221" s="1130"/>
      <c r="N221" s="1130"/>
      <c r="O221" s="1130"/>
      <c r="P221" s="1130"/>
      <c r="Q221" s="1130"/>
      <c r="R221" s="1130"/>
      <c r="S221" s="1130"/>
      <c r="T221" s="1130"/>
      <c r="U221" s="1130"/>
      <c r="V221" s="1130"/>
      <c r="W221" s="1130"/>
      <c r="X221" s="1130"/>
      <c r="Y221" s="1130"/>
      <c r="Z221" s="1130"/>
    </row>
    <row r="222" spans="1:26" ht="15.75" customHeight="1">
      <c r="A222" s="1130"/>
      <c r="B222" s="1130"/>
      <c r="C222" s="1130"/>
      <c r="D222" s="1130"/>
      <c r="E222" s="1130"/>
      <c r="F222" s="1130"/>
      <c r="G222" s="1130"/>
      <c r="H222" s="1130"/>
      <c r="I222" s="1130"/>
      <c r="J222" s="1130"/>
      <c r="K222" s="1130"/>
      <c r="L222" s="1130"/>
      <c r="M222" s="1130"/>
      <c r="N222" s="1130"/>
      <c r="O222" s="1130"/>
      <c r="P222" s="1130"/>
      <c r="Q222" s="1130"/>
      <c r="R222" s="1130"/>
      <c r="S222" s="1130"/>
      <c r="T222" s="1130"/>
      <c r="U222" s="1130"/>
      <c r="V222" s="1130"/>
      <c r="W222" s="1130"/>
      <c r="X222" s="1130"/>
      <c r="Y222" s="1130"/>
      <c r="Z222" s="1130"/>
    </row>
    <row r="223" spans="1:26" ht="15.75" customHeight="1">
      <c r="A223" s="1130"/>
      <c r="B223" s="1130"/>
      <c r="C223" s="1130"/>
      <c r="D223" s="1130"/>
      <c r="E223" s="1130"/>
      <c r="F223" s="1130"/>
      <c r="G223" s="1130"/>
      <c r="H223" s="1130"/>
      <c r="I223" s="1130"/>
      <c r="J223" s="1130"/>
      <c r="K223" s="1130"/>
      <c r="L223" s="1130"/>
      <c r="M223" s="1130"/>
      <c r="N223" s="1130"/>
      <c r="O223" s="1130"/>
      <c r="P223" s="1130"/>
      <c r="Q223" s="1130"/>
      <c r="R223" s="1130"/>
      <c r="S223" s="1130"/>
      <c r="T223" s="1130"/>
      <c r="U223" s="1130"/>
      <c r="V223" s="1130"/>
      <c r="W223" s="1130"/>
      <c r="X223" s="1130"/>
      <c r="Y223" s="1130"/>
      <c r="Z223" s="1130"/>
    </row>
    <row r="224" spans="1:26" ht="15.75" customHeight="1">
      <c r="A224" s="1130"/>
      <c r="B224" s="1130"/>
      <c r="C224" s="1130"/>
      <c r="D224" s="1130"/>
      <c r="E224" s="1130"/>
      <c r="F224" s="1130"/>
      <c r="G224" s="1130"/>
      <c r="H224" s="1130"/>
      <c r="I224" s="1130"/>
      <c r="J224" s="1130"/>
      <c r="K224" s="1130"/>
      <c r="L224" s="1130"/>
      <c r="M224" s="1130"/>
      <c r="N224" s="1130"/>
      <c r="O224" s="1130"/>
      <c r="P224" s="1130"/>
      <c r="Q224" s="1130"/>
      <c r="R224" s="1130"/>
      <c r="S224" s="1130"/>
      <c r="T224" s="1130"/>
      <c r="U224" s="1130"/>
      <c r="V224" s="1130"/>
      <c r="W224" s="1130"/>
      <c r="X224" s="1130"/>
      <c r="Y224" s="1130"/>
      <c r="Z224" s="1130"/>
    </row>
    <row r="225" spans="1:26" ht="15.75" customHeight="1">
      <c r="A225" s="1130"/>
      <c r="B225" s="1130"/>
      <c r="C225" s="1130"/>
      <c r="D225" s="1130"/>
      <c r="E225" s="1130"/>
      <c r="F225" s="1130"/>
      <c r="G225" s="1130"/>
      <c r="H225" s="1130"/>
      <c r="I225" s="1130"/>
      <c r="J225" s="1130"/>
      <c r="K225" s="1130"/>
      <c r="L225" s="1130"/>
      <c r="M225" s="1130"/>
      <c r="N225" s="1130"/>
      <c r="O225" s="1130"/>
      <c r="P225" s="1130"/>
      <c r="Q225" s="1130"/>
      <c r="R225" s="1130"/>
      <c r="S225" s="1130"/>
      <c r="T225" s="1130"/>
      <c r="U225" s="1130"/>
      <c r="V225" s="1130"/>
      <c r="W225" s="1130"/>
      <c r="X225" s="1130"/>
      <c r="Y225" s="1130"/>
      <c r="Z225" s="1130"/>
    </row>
    <row r="226" spans="1:26" ht="15.75" customHeight="1">
      <c r="A226" s="1130"/>
      <c r="B226" s="1130"/>
      <c r="C226" s="1130"/>
      <c r="D226" s="1130"/>
      <c r="E226" s="1130"/>
      <c r="F226" s="1130"/>
      <c r="G226" s="1130"/>
      <c r="H226" s="1130"/>
      <c r="I226" s="1130"/>
      <c r="J226" s="1130"/>
      <c r="K226" s="1130"/>
      <c r="L226" s="1130"/>
      <c r="M226" s="1130"/>
      <c r="N226" s="1130"/>
      <c r="O226" s="1130"/>
      <c r="P226" s="1130"/>
      <c r="Q226" s="1130"/>
      <c r="R226" s="1130"/>
      <c r="S226" s="1130"/>
      <c r="T226" s="1130"/>
      <c r="U226" s="1130"/>
      <c r="V226" s="1130"/>
      <c r="W226" s="1130"/>
      <c r="X226" s="1130"/>
      <c r="Y226" s="1130"/>
      <c r="Z226" s="1130"/>
    </row>
    <row r="227" spans="1:26" ht="15.75" customHeight="1">
      <c r="A227" s="1130"/>
      <c r="B227" s="1130"/>
      <c r="C227" s="1130"/>
      <c r="D227" s="1130"/>
      <c r="E227" s="1130"/>
      <c r="F227" s="1130"/>
      <c r="G227" s="1130"/>
      <c r="H227" s="1130"/>
      <c r="I227" s="1130"/>
      <c r="J227" s="1130"/>
      <c r="K227" s="1130"/>
      <c r="L227" s="1130"/>
      <c r="M227" s="1130"/>
      <c r="N227" s="1130"/>
      <c r="O227" s="1130"/>
      <c r="P227" s="1130"/>
      <c r="Q227" s="1130"/>
      <c r="R227" s="1130"/>
      <c r="S227" s="1130"/>
      <c r="T227" s="1130"/>
      <c r="U227" s="1130"/>
      <c r="V227" s="1130"/>
      <c r="W227" s="1130"/>
      <c r="X227" s="1130"/>
      <c r="Y227" s="1130"/>
      <c r="Z227" s="1130"/>
    </row>
    <row r="228" spans="1:26" ht="15.75" customHeight="1">
      <c r="A228" s="1130"/>
      <c r="B228" s="1130"/>
      <c r="C228" s="1130"/>
      <c r="D228" s="1130"/>
      <c r="E228" s="1130"/>
      <c r="F228" s="1130"/>
      <c r="G228" s="1130"/>
      <c r="H228" s="1130"/>
      <c r="I228" s="1130"/>
      <c r="J228" s="1130"/>
      <c r="K228" s="1130"/>
      <c r="L228" s="1130"/>
      <c r="M228" s="1130"/>
      <c r="N228" s="1130"/>
      <c r="O228" s="1130"/>
      <c r="P228" s="1130"/>
      <c r="Q228" s="1130"/>
      <c r="R228" s="1130"/>
      <c r="S228" s="1130"/>
      <c r="T228" s="1130"/>
      <c r="U228" s="1130"/>
      <c r="V228" s="1130"/>
      <c r="W228" s="1130"/>
      <c r="X228" s="1130"/>
      <c r="Y228" s="1130"/>
      <c r="Z228" s="1130"/>
    </row>
    <row r="229" spans="1:26" ht="15.75" customHeight="1">
      <c r="A229" s="1130"/>
      <c r="B229" s="1130"/>
      <c r="C229" s="1130"/>
      <c r="D229" s="1130"/>
      <c r="E229" s="1130"/>
      <c r="F229" s="1130"/>
      <c r="G229" s="1130"/>
      <c r="H229" s="1130"/>
      <c r="I229" s="1130"/>
      <c r="J229" s="1130"/>
      <c r="K229" s="1130"/>
      <c r="L229" s="1130"/>
      <c r="M229" s="1130"/>
      <c r="N229" s="1130"/>
      <c r="O229" s="1130"/>
      <c r="P229" s="1130"/>
      <c r="Q229" s="1130"/>
      <c r="R229" s="1130"/>
      <c r="S229" s="1130"/>
      <c r="T229" s="1130"/>
      <c r="U229" s="1130"/>
      <c r="V229" s="1130"/>
      <c r="W229" s="1130"/>
      <c r="X229" s="1130"/>
      <c r="Y229" s="1130"/>
      <c r="Z229" s="1130"/>
    </row>
    <row r="230" spans="1:26" ht="15.75" customHeight="1">
      <c r="A230" s="1130"/>
      <c r="B230" s="1130"/>
      <c r="C230" s="1130"/>
      <c r="D230" s="1130"/>
      <c r="E230" s="1130"/>
      <c r="F230" s="1130"/>
      <c r="G230" s="1130"/>
      <c r="H230" s="1130"/>
      <c r="I230" s="1130"/>
      <c r="J230" s="1130"/>
      <c r="K230" s="1130"/>
      <c r="L230" s="1130"/>
      <c r="M230" s="1130"/>
      <c r="N230" s="1130"/>
      <c r="O230" s="1130"/>
      <c r="P230" s="1130"/>
      <c r="Q230" s="1130"/>
      <c r="R230" s="1130"/>
      <c r="S230" s="1130"/>
      <c r="T230" s="1130"/>
      <c r="U230" s="1130"/>
      <c r="V230" s="1130"/>
      <c r="W230" s="1130"/>
      <c r="X230" s="1130"/>
      <c r="Y230" s="1130"/>
      <c r="Z230" s="1130"/>
    </row>
    <row r="231" spans="1:26" ht="15.75" customHeight="1">
      <c r="A231" s="1130"/>
      <c r="B231" s="1130"/>
      <c r="C231" s="1130"/>
      <c r="D231" s="1130"/>
      <c r="E231" s="1130"/>
      <c r="F231" s="1130"/>
      <c r="G231" s="1130"/>
      <c r="H231" s="1130"/>
      <c r="I231" s="1130"/>
      <c r="J231" s="1130"/>
      <c r="K231" s="1130"/>
      <c r="L231" s="1130"/>
      <c r="M231" s="1130"/>
      <c r="N231" s="1130"/>
      <c r="O231" s="1130"/>
      <c r="P231" s="1130"/>
      <c r="Q231" s="1130"/>
      <c r="R231" s="1130"/>
      <c r="S231" s="1130"/>
      <c r="T231" s="1130"/>
      <c r="U231" s="1130"/>
      <c r="V231" s="1130"/>
      <c r="W231" s="1130"/>
      <c r="X231" s="1130"/>
      <c r="Y231" s="1130"/>
      <c r="Z231" s="1130"/>
    </row>
    <row r="232" spans="1:26" ht="15.75" customHeight="1">
      <c r="A232" s="1130"/>
      <c r="B232" s="1130"/>
      <c r="C232" s="1130"/>
      <c r="D232" s="1130"/>
      <c r="E232" s="1130"/>
      <c r="F232" s="1130"/>
      <c r="G232" s="1130"/>
      <c r="H232" s="1130"/>
      <c r="I232" s="1130"/>
      <c r="J232" s="1130"/>
      <c r="K232" s="1130"/>
      <c r="L232" s="1130"/>
      <c r="M232" s="1130"/>
      <c r="N232" s="1130"/>
      <c r="O232" s="1130"/>
      <c r="P232" s="1130"/>
      <c r="Q232" s="1130"/>
      <c r="R232" s="1130"/>
      <c r="S232" s="1130"/>
      <c r="T232" s="1130"/>
      <c r="U232" s="1130"/>
      <c r="V232" s="1130"/>
      <c r="W232" s="1130"/>
      <c r="X232" s="1130"/>
      <c r="Y232" s="1130"/>
      <c r="Z232" s="1130"/>
    </row>
    <row r="233" spans="1:26" ht="15.75" customHeight="1">
      <c r="A233" s="1130"/>
      <c r="B233" s="1130"/>
      <c r="C233" s="1130"/>
      <c r="D233" s="1130"/>
      <c r="E233" s="1130"/>
      <c r="F233" s="1130"/>
      <c r="G233" s="1130"/>
      <c r="H233" s="1130"/>
      <c r="I233" s="1130"/>
      <c r="J233" s="1130"/>
      <c r="K233" s="1130"/>
      <c r="L233" s="1130"/>
      <c r="M233" s="1130"/>
      <c r="N233" s="1130"/>
      <c r="O233" s="1130"/>
      <c r="P233" s="1130"/>
      <c r="Q233" s="1130"/>
      <c r="R233" s="1130"/>
      <c r="S233" s="1130"/>
      <c r="T233" s="1130"/>
      <c r="U233" s="1130"/>
      <c r="V233" s="1130"/>
      <c r="W233" s="1130"/>
      <c r="X233" s="1130"/>
      <c r="Y233" s="1130"/>
      <c r="Z233" s="1130"/>
    </row>
    <row r="234" spans="1:26" ht="15.75" customHeight="1">
      <c r="A234" s="1130"/>
      <c r="B234" s="1130"/>
      <c r="C234" s="1130"/>
      <c r="D234" s="1130"/>
      <c r="E234" s="1130"/>
      <c r="F234" s="1130"/>
      <c r="G234" s="1130"/>
      <c r="H234" s="1130"/>
      <c r="I234" s="1130"/>
      <c r="J234" s="1130"/>
      <c r="K234" s="1130"/>
      <c r="L234" s="1130"/>
      <c r="M234" s="1130"/>
      <c r="N234" s="1130"/>
      <c r="O234" s="1130"/>
      <c r="P234" s="1130"/>
      <c r="Q234" s="1130"/>
      <c r="R234" s="1130"/>
      <c r="S234" s="1130"/>
      <c r="T234" s="1130"/>
      <c r="U234" s="1130"/>
      <c r="V234" s="1130"/>
      <c r="W234" s="1130"/>
      <c r="X234" s="1130"/>
      <c r="Y234" s="1130"/>
      <c r="Z234" s="1130"/>
    </row>
    <row r="235" spans="1:26" ht="15.75" customHeight="1">
      <c r="A235" s="1130"/>
      <c r="B235" s="1130"/>
      <c r="C235" s="1130"/>
      <c r="D235" s="1130"/>
      <c r="E235" s="1130"/>
      <c r="F235" s="1130"/>
      <c r="G235" s="1130"/>
      <c r="H235" s="1130"/>
      <c r="I235" s="1130"/>
      <c r="J235" s="1130"/>
      <c r="K235" s="1130"/>
      <c r="L235" s="1130"/>
      <c r="M235" s="1130"/>
      <c r="N235" s="1130"/>
      <c r="O235" s="1130"/>
      <c r="P235" s="1130"/>
      <c r="Q235" s="1130"/>
      <c r="R235" s="1130"/>
      <c r="S235" s="1130"/>
      <c r="T235" s="1130"/>
      <c r="U235" s="1130"/>
      <c r="V235" s="1130"/>
      <c r="W235" s="1130"/>
      <c r="X235" s="1130"/>
      <c r="Y235" s="1130"/>
      <c r="Z235" s="1130"/>
    </row>
    <row r="236" spans="1:26" ht="15.75" customHeight="1">
      <c r="A236" s="1130"/>
      <c r="B236" s="1130"/>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row>
    <row r="237" spans="1:26" ht="15.75" customHeight="1">
      <c r="A237" s="1130"/>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row>
    <row r="238" spans="1:26" ht="15.75" customHeight="1">
      <c r="A238" s="1130"/>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row>
    <row r="239" spans="1:26" ht="15.75" customHeight="1">
      <c r="A239" s="1130"/>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row>
    <row r="240" spans="1:26" ht="15.75" customHeight="1">
      <c r="A240" s="1130"/>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row>
    <row r="241" spans="1:26" ht="15.75" customHeight="1">
      <c r="A241" s="1130"/>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row>
    <row r="242" spans="1:26" ht="15.75" customHeight="1">
      <c r="A242" s="1130"/>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row>
    <row r="243" spans="1:26" ht="15.75" customHeight="1">
      <c r="A243" s="1130"/>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row>
    <row r="244" spans="1:26" ht="15.75" customHeight="1">
      <c r="A244" s="1130"/>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row>
    <row r="245" spans="1:26" ht="15.75" customHeight="1">
      <c r="A245" s="1130"/>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row>
    <row r="246" spans="1:26" ht="15.75" customHeight="1">
      <c r="A246" s="1130"/>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row>
    <row r="247" spans="1:26" ht="15.75" customHeight="1">
      <c r="A247" s="1130"/>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row>
    <row r="248" spans="1:26" ht="15.75" customHeight="1">
      <c r="A248" s="1130"/>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row>
    <row r="249" spans="1:26" ht="15.75" customHeight="1">
      <c r="A249" s="1130"/>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row>
    <row r="250" spans="1:26" ht="15.75" customHeight="1">
      <c r="A250" s="1130"/>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row>
    <row r="251" spans="1:26" ht="15.75" customHeight="1">
      <c r="A251" s="1130"/>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row>
    <row r="252" spans="1:26" ht="15.75" customHeight="1">
      <c r="A252" s="1130"/>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row>
    <row r="253" spans="1:26" ht="15.75" customHeight="1">
      <c r="A253" s="1130"/>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row>
    <row r="254" spans="1:26" ht="15.75" customHeight="1">
      <c r="A254" s="1130"/>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row>
    <row r="255" spans="1:26" ht="15.75" customHeight="1">
      <c r="A255" s="1130"/>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row>
    <row r="256" spans="1:26" ht="15.75" customHeight="1">
      <c r="A256" s="1130"/>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row>
    <row r="257" spans="1:26" ht="15.75" customHeight="1">
      <c r="A257" s="1130"/>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row>
    <row r="258" spans="1:26" ht="15.75" customHeight="1">
      <c r="A258" s="1130"/>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row>
    <row r="259" spans="1:26" ht="15.75" customHeight="1">
      <c r="A259" s="1130"/>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row>
    <row r="260" spans="1:26" ht="15.75" customHeight="1">
      <c r="A260" s="1130"/>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row>
    <row r="261" spans="1:26" ht="15.75" customHeight="1">
      <c r="A261" s="1130"/>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row>
    <row r="262" spans="1:26" ht="15.75" customHeight="1">
      <c r="A262" s="1130"/>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row>
    <row r="263" spans="1:26" ht="15.75" customHeight="1">
      <c r="A263" s="1130"/>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row>
    <row r="264" spans="1:26" ht="15.75" customHeight="1">
      <c r="A264" s="1130"/>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row>
    <row r="265" spans="1:26" ht="15.75" customHeight="1">
      <c r="A265" s="1130"/>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row>
    <row r="266" spans="1:26" ht="15.75" customHeight="1">
      <c r="A266" s="1130"/>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row>
    <row r="267" spans="1:26" ht="15.75" customHeight="1">
      <c r="A267" s="1130"/>
      <c r="B267" s="1130"/>
      <c r="C267" s="1130"/>
      <c r="D267" s="1130"/>
      <c r="E267" s="1130"/>
      <c r="F267" s="1130"/>
      <c r="G267" s="1130"/>
      <c r="H267" s="1130"/>
      <c r="I267" s="1130"/>
      <c r="J267" s="1130"/>
      <c r="K267" s="1130"/>
      <c r="L267" s="1130"/>
      <c r="M267" s="1130"/>
      <c r="N267" s="1130"/>
      <c r="O267" s="1130"/>
      <c r="P267" s="1130"/>
      <c r="Q267" s="1130"/>
      <c r="R267" s="1130"/>
      <c r="S267" s="1130"/>
      <c r="T267" s="1130"/>
      <c r="U267" s="1130"/>
      <c r="V267" s="1130"/>
      <c r="W267" s="1130"/>
      <c r="X267" s="1130"/>
      <c r="Y267" s="1130"/>
      <c r="Z267" s="1130"/>
    </row>
    <row r="268" spans="1:26" ht="15.75" customHeight="1">
      <c r="A268" s="1130"/>
      <c r="B268" s="1130"/>
      <c r="C268" s="1130"/>
      <c r="D268" s="1130"/>
      <c r="E268" s="1130"/>
      <c r="F268" s="1130"/>
      <c r="G268" s="1130"/>
      <c r="H268" s="1130"/>
      <c r="I268" s="1130"/>
      <c r="J268" s="1130"/>
      <c r="K268" s="1130"/>
      <c r="L268" s="1130"/>
      <c r="M268" s="1130"/>
      <c r="N268" s="1130"/>
      <c r="O268" s="1130"/>
      <c r="P268" s="1130"/>
      <c r="Q268" s="1130"/>
      <c r="R268" s="1130"/>
      <c r="S268" s="1130"/>
      <c r="T268" s="1130"/>
      <c r="U268" s="1130"/>
      <c r="V268" s="1130"/>
      <c r="W268" s="1130"/>
      <c r="X268" s="1130"/>
      <c r="Y268" s="1130"/>
      <c r="Z268" s="1130"/>
    </row>
    <row r="269" spans="1:26" ht="15.75" customHeight="1">
      <c r="A269" s="1130"/>
      <c r="B269" s="1130"/>
      <c r="C269" s="1130"/>
      <c r="D269" s="1130"/>
      <c r="E269" s="1130"/>
      <c r="F269" s="1130"/>
      <c r="G269" s="1130"/>
      <c r="H269" s="1130"/>
      <c r="I269" s="1130"/>
      <c r="J269" s="1130"/>
      <c r="K269" s="1130"/>
      <c r="L269" s="1130"/>
      <c r="M269" s="1130"/>
      <c r="N269" s="1130"/>
      <c r="O269" s="1130"/>
      <c r="P269" s="1130"/>
      <c r="Q269" s="1130"/>
      <c r="R269" s="1130"/>
      <c r="S269" s="1130"/>
      <c r="T269" s="1130"/>
      <c r="U269" s="1130"/>
      <c r="V269" s="1130"/>
      <c r="W269" s="1130"/>
      <c r="X269" s="1130"/>
      <c r="Y269" s="1130"/>
      <c r="Z269" s="1130"/>
    </row>
    <row r="270" spans="1:26" ht="15.75" customHeight="1">
      <c r="A270" s="1130"/>
      <c r="B270" s="1130"/>
      <c r="C270" s="1130"/>
      <c r="D270" s="1130"/>
      <c r="E270" s="1130"/>
      <c r="F270" s="1130"/>
      <c r="G270" s="1130"/>
      <c r="H270" s="1130"/>
      <c r="I270" s="1130"/>
      <c r="J270" s="1130"/>
      <c r="K270" s="1130"/>
      <c r="L270" s="1130"/>
      <c r="M270" s="1130"/>
      <c r="N270" s="1130"/>
      <c r="O270" s="1130"/>
      <c r="P270" s="1130"/>
      <c r="Q270" s="1130"/>
      <c r="R270" s="1130"/>
      <c r="S270" s="1130"/>
      <c r="T270" s="1130"/>
      <c r="U270" s="1130"/>
      <c r="V270" s="1130"/>
      <c r="W270" s="1130"/>
      <c r="X270" s="1130"/>
      <c r="Y270" s="1130"/>
      <c r="Z270" s="1130"/>
    </row>
    <row r="271" spans="1:26" ht="15.75" customHeight="1">
      <c r="A271" s="1130"/>
      <c r="B271" s="1130"/>
      <c r="C271" s="1130"/>
      <c r="D271" s="1130"/>
      <c r="E271" s="1130"/>
      <c r="F271" s="1130"/>
      <c r="G271" s="1130"/>
      <c r="H271" s="1130"/>
      <c r="I271" s="1130"/>
      <c r="J271" s="1130"/>
      <c r="K271" s="1130"/>
      <c r="L271" s="1130"/>
      <c r="M271" s="1130"/>
      <c r="N271" s="1130"/>
      <c r="O271" s="1130"/>
      <c r="P271" s="1130"/>
      <c r="Q271" s="1130"/>
      <c r="R271" s="1130"/>
      <c r="S271" s="1130"/>
      <c r="T271" s="1130"/>
      <c r="U271" s="1130"/>
      <c r="V271" s="1130"/>
      <c r="W271" s="1130"/>
      <c r="X271" s="1130"/>
      <c r="Y271" s="1130"/>
      <c r="Z271" s="1130"/>
    </row>
    <row r="272" spans="1:26" ht="15.75" customHeight="1">
      <c r="A272" s="1130"/>
      <c r="B272" s="1130"/>
      <c r="C272" s="1130"/>
      <c r="D272" s="1130"/>
      <c r="E272" s="1130"/>
      <c r="F272" s="1130"/>
      <c r="G272" s="1130"/>
      <c r="H272" s="1130"/>
      <c r="I272" s="1130"/>
      <c r="J272" s="1130"/>
      <c r="K272" s="1130"/>
      <c r="L272" s="1130"/>
      <c r="M272" s="1130"/>
      <c r="N272" s="1130"/>
      <c r="O272" s="1130"/>
      <c r="P272" s="1130"/>
      <c r="Q272" s="1130"/>
      <c r="R272" s="1130"/>
      <c r="S272" s="1130"/>
      <c r="T272" s="1130"/>
      <c r="U272" s="1130"/>
      <c r="V272" s="1130"/>
      <c r="W272" s="1130"/>
      <c r="X272" s="1130"/>
      <c r="Y272" s="1130"/>
      <c r="Z272" s="1130"/>
    </row>
    <row r="273" spans="1:26" ht="15.75" customHeight="1">
      <c r="A273" s="1130"/>
      <c r="B273" s="1130"/>
      <c r="C273" s="1130"/>
      <c r="D273" s="1130"/>
      <c r="E273" s="1130"/>
      <c r="F273" s="1130"/>
      <c r="G273" s="1130"/>
      <c r="H273" s="1130"/>
      <c r="I273" s="1130"/>
      <c r="J273" s="1130"/>
      <c r="K273" s="1130"/>
      <c r="L273" s="1130"/>
      <c r="M273" s="1130"/>
      <c r="N273" s="1130"/>
      <c r="O273" s="1130"/>
      <c r="P273" s="1130"/>
      <c r="Q273" s="1130"/>
      <c r="R273" s="1130"/>
      <c r="S273" s="1130"/>
      <c r="T273" s="1130"/>
      <c r="U273" s="1130"/>
      <c r="V273" s="1130"/>
      <c r="W273" s="1130"/>
      <c r="X273" s="1130"/>
      <c r="Y273" s="1130"/>
      <c r="Z273" s="1130"/>
    </row>
    <row r="274" spans="1:26" ht="15.75" customHeight="1">
      <c r="A274" s="1130"/>
      <c r="B274" s="1130"/>
      <c r="C274" s="1130"/>
      <c r="D274" s="1130"/>
      <c r="E274" s="1130"/>
      <c r="F274" s="1130"/>
      <c r="G274" s="1130"/>
      <c r="H274" s="1130"/>
      <c r="I274" s="1130"/>
      <c r="J274" s="1130"/>
      <c r="K274" s="1130"/>
      <c r="L274" s="1130"/>
      <c r="M274" s="1130"/>
      <c r="N274" s="1130"/>
      <c r="O274" s="1130"/>
      <c r="P274" s="1130"/>
      <c r="Q274" s="1130"/>
      <c r="R274" s="1130"/>
      <c r="S274" s="1130"/>
      <c r="T274" s="1130"/>
      <c r="U274" s="1130"/>
      <c r="V274" s="1130"/>
      <c r="W274" s="1130"/>
      <c r="X274" s="1130"/>
      <c r="Y274" s="1130"/>
      <c r="Z274" s="1130"/>
    </row>
    <row r="275" spans="1:26" ht="15.75" customHeight="1">
      <c r="A275" s="1130"/>
      <c r="B275" s="1130"/>
      <c r="C275" s="1130"/>
      <c r="D275" s="1130"/>
      <c r="E275" s="1130"/>
      <c r="F275" s="1130"/>
      <c r="G275" s="1130"/>
      <c r="H275" s="1130"/>
      <c r="I275" s="1130"/>
      <c r="J275" s="1130"/>
      <c r="K275" s="1130"/>
      <c r="L275" s="1130"/>
      <c r="M275" s="1130"/>
      <c r="N275" s="1130"/>
      <c r="O275" s="1130"/>
      <c r="P275" s="1130"/>
      <c r="Q275" s="1130"/>
      <c r="R275" s="1130"/>
      <c r="S275" s="1130"/>
      <c r="T275" s="1130"/>
      <c r="U275" s="1130"/>
      <c r="V275" s="1130"/>
      <c r="W275" s="1130"/>
      <c r="X275" s="1130"/>
      <c r="Y275" s="1130"/>
      <c r="Z275" s="1130"/>
    </row>
    <row r="276" spans="1:26" ht="15.75" customHeight="1">
      <c r="A276" s="1130"/>
      <c r="B276" s="1130"/>
      <c r="C276" s="1130"/>
      <c r="D276" s="1130"/>
      <c r="E276" s="1130"/>
      <c r="F276" s="1130"/>
      <c r="G276" s="1130"/>
      <c r="H276" s="1130"/>
      <c r="I276" s="1130"/>
      <c r="J276" s="1130"/>
      <c r="K276" s="1130"/>
      <c r="L276" s="1130"/>
      <c r="M276" s="1130"/>
      <c r="N276" s="1130"/>
      <c r="O276" s="1130"/>
      <c r="P276" s="1130"/>
      <c r="Q276" s="1130"/>
      <c r="R276" s="1130"/>
      <c r="S276" s="1130"/>
      <c r="T276" s="1130"/>
      <c r="U276" s="1130"/>
      <c r="V276" s="1130"/>
      <c r="W276" s="1130"/>
      <c r="X276" s="1130"/>
      <c r="Y276" s="1130"/>
      <c r="Z276" s="1130"/>
    </row>
    <row r="277" spans="1:26" ht="15.75" customHeight="1">
      <c r="A277" s="1130"/>
      <c r="B277" s="1130"/>
      <c r="C277" s="1130"/>
      <c r="D277" s="1130"/>
      <c r="E277" s="1130"/>
      <c r="F277" s="1130"/>
      <c r="G277" s="1130"/>
      <c r="H277" s="1130"/>
      <c r="I277" s="1130"/>
      <c r="J277" s="1130"/>
      <c r="K277" s="1130"/>
      <c r="L277" s="1130"/>
      <c r="M277" s="1130"/>
      <c r="N277" s="1130"/>
      <c r="O277" s="1130"/>
      <c r="P277" s="1130"/>
      <c r="Q277" s="1130"/>
      <c r="R277" s="1130"/>
      <c r="S277" s="1130"/>
      <c r="T277" s="1130"/>
      <c r="U277" s="1130"/>
      <c r="V277" s="1130"/>
      <c r="W277" s="1130"/>
      <c r="X277" s="1130"/>
      <c r="Y277" s="1130"/>
      <c r="Z277" s="1130"/>
    </row>
    <row r="278" spans="1:26" ht="15.75" customHeight="1">
      <c r="A278" s="1130"/>
      <c r="B278" s="1130"/>
      <c r="C278" s="1130"/>
      <c r="D278" s="1130"/>
      <c r="E278" s="1130"/>
      <c r="F278" s="1130"/>
      <c r="G278" s="1130"/>
      <c r="H278" s="1130"/>
      <c r="I278" s="1130"/>
      <c r="J278" s="1130"/>
      <c r="K278" s="1130"/>
      <c r="L278" s="1130"/>
      <c r="M278" s="1130"/>
      <c r="N278" s="1130"/>
      <c r="O278" s="1130"/>
      <c r="P278" s="1130"/>
      <c r="Q278" s="1130"/>
      <c r="R278" s="1130"/>
      <c r="S278" s="1130"/>
      <c r="T278" s="1130"/>
      <c r="U278" s="1130"/>
      <c r="V278" s="1130"/>
      <c r="W278" s="1130"/>
      <c r="X278" s="1130"/>
      <c r="Y278" s="1130"/>
      <c r="Z278" s="1130"/>
    </row>
    <row r="279" spans="1:26" ht="15.75" customHeight="1">
      <c r="A279" s="1130"/>
      <c r="B279" s="1130"/>
      <c r="C279" s="1130"/>
      <c r="D279" s="1130"/>
      <c r="E279" s="1130"/>
      <c r="F279" s="1130"/>
      <c r="G279" s="1130"/>
      <c r="H279" s="1130"/>
      <c r="I279" s="1130"/>
      <c r="J279" s="1130"/>
      <c r="K279" s="1130"/>
      <c r="L279" s="1130"/>
      <c r="M279" s="1130"/>
      <c r="N279" s="1130"/>
      <c r="O279" s="1130"/>
      <c r="P279" s="1130"/>
      <c r="Q279" s="1130"/>
      <c r="R279" s="1130"/>
      <c r="S279" s="1130"/>
      <c r="T279" s="1130"/>
      <c r="U279" s="1130"/>
      <c r="V279" s="1130"/>
      <c r="W279" s="1130"/>
      <c r="X279" s="1130"/>
      <c r="Y279" s="1130"/>
      <c r="Z279" s="1130"/>
    </row>
    <row r="280" spans="1:26" ht="15.75" customHeight="1">
      <c r="A280" s="1130"/>
      <c r="B280" s="1130"/>
      <c r="C280" s="1130"/>
      <c r="D280" s="1130"/>
      <c r="E280" s="1130"/>
      <c r="F280" s="1130"/>
      <c r="G280" s="1130"/>
      <c r="H280" s="1130"/>
      <c r="I280" s="1130"/>
      <c r="J280" s="1130"/>
      <c r="K280" s="1130"/>
      <c r="L280" s="1130"/>
      <c r="M280" s="1130"/>
      <c r="N280" s="1130"/>
      <c r="O280" s="1130"/>
      <c r="P280" s="1130"/>
      <c r="Q280" s="1130"/>
      <c r="R280" s="1130"/>
      <c r="S280" s="1130"/>
      <c r="T280" s="1130"/>
      <c r="U280" s="1130"/>
      <c r="V280" s="1130"/>
      <c r="W280" s="1130"/>
      <c r="X280" s="1130"/>
      <c r="Y280" s="1130"/>
      <c r="Z280" s="1130"/>
    </row>
    <row r="281" spans="1:26" ht="15.75" customHeight="1">
      <c r="A281" s="1130"/>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row>
    <row r="282" spans="1:26" ht="15.75" customHeight="1">
      <c r="A282" s="1130"/>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row>
    <row r="283" spans="1:26" ht="15.75" customHeight="1">
      <c r="A283" s="1130"/>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row>
    <row r="284" spans="1:26" ht="15.75" customHeight="1">
      <c r="A284" s="1130"/>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row>
    <row r="285" spans="1:26" ht="15.75" customHeight="1">
      <c r="A285" s="1130"/>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row>
    <row r="286" spans="1:26" ht="15.75" customHeight="1">
      <c r="A286" s="1130"/>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row>
    <row r="287" spans="1:26" ht="15.75" customHeight="1">
      <c r="A287" s="1130"/>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row>
    <row r="288" spans="1:26" ht="15.75" customHeight="1">
      <c r="A288" s="1130"/>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row>
    <row r="289" spans="1:26" ht="15.75" customHeight="1">
      <c r="A289" s="1130"/>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row>
    <row r="290" spans="1:26" ht="15.75" customHeight="1">
      <c r="A290" s="1130"/>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row>
    <row r="291" spans="1:26" ht="15.75" customHeight="1">
      <c r="A291" s="1130"/>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row>
    <row r="292" spans="1:26" ht="15.75" customHeight="1">
      <c r="A292" s="1130"/>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row>
    <row r="293" spans="1:26" ht="15.75" customHeight="1">
      <c r="A293" s="1130"/>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row>
    <row r="294" spans="1:26" ht="15.75" customHeight="1">
      <c r="A294" s="1130"/>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row>
    <row r="295" spans="1:26" ht="15.75" customHeight="1">
      <c r="A295" s="1130"/>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row>
    <row r="296" spans="1:26" ht="15.75" customHeight="1">
      <c r="A296" s="1130"/>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row>
    <row r="297" spans="1:26" ht="15.75" customHeight="1">
      <c r="A297" s="1130"/>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row>
    <row r="298" spans="1:26" ht="15.75" customHeight="1">
      <c r="A298" s="1130"/>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row>
    <row r="299" spans="1:26" ht="15.75" customHeight="1">
      <c r="A299" s="1130"/>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row>
    <row r="300" spans="1:26" ht="15.75" customHeight="1">
      <c r="A300" s="1130"/>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row>
    <row r="301" spans="1:26" ht="15.75" customHeight="1">
      <c r="A301" s="1130"/>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row>
    <row r="302" spans="1:26" ht="15.75" customHeight="1">
      <c r="A302" s="1130"/>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row>
    <row r="303" spans="1:26" ht="15.75" customHeight="1">
      <c r="A303" s="1130"/>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row>
    <row r="304" spans="1:26" ht="15.75" customHeight="1">
      <c r="A304" s="1130"/>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row>
    <row r="305" spans="1:26" ht="15.75" customHeight="1">
      <c r="A305" s="1130"/>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row>
    <row r="306" spans="1:26" ht="15.75" customHeight="1">
      <c r="A306" s="1130"/>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row>
    <row r="307" spans="1:26" ht="15.75" customHeight="1">
      <c r="A307" s="1130"/>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row>
    <row r="308" spans="1:26" ht="15.75" customHeight="1">
      <c r="A308" s="1130"/>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row>
    <row r="309" spans="1:26" ht="15.75" customHeight="1">
      <c r="A309" s="1130"/>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row>
    <row r="310" spans="1:26" ht="15.75" customHeight="1">
      <c r="A310" s="1130"/>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row>
    <row r="311" spans="1:26" ht="15.75" customHeight="1">
      <c r="A311" s="1130"/>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row>
    <row r="312" spans="1:26" ht="15.75" customHeight="1">
      <c r="A312" s="1130"/>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row>
    <row r="313" spans="1:26" ht="15.75" customHeight="1">
      <c r="A313" s="1130"/>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row>
    <row r="314" spans="1:26" ht="15.75" customHeight="1">
      <c r="A314" s="1130"/>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row>
    <row r="315" spans="1:26" ht="15.75" customHeight="1">
      <c r="A315" s="1130"/>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row>
    <row r="316" spans="1:26" ht="15.75" customHeight="1">
      <c r="A316" s="1130"/>
      <c r="B316" s="1130"/>
      <c r="C316" s="1130"/>
      <c r="D316" s="1130"/>
      <c r="E316" s="1130"/>
      <c r="F316" s="1130"/>
      <c r="G316" s="1130"/>
      <c r="H316" s="1130"/>
      <c r="I316" s="1130"/>
      <c r="J316" s="1130"/>
      <c r="K316" s="1130"/>
      <c r="L316" s="1130"/>
      <c r="M316" s="1130"/>
      <c r="N316" s="1130"/>
      <c r="O316" s="1130"/>
      <c r="P316" s="1130"/>
      <c r="Q316" s="1130"/>
      <c r="R316" s="1130"/>
      <c r="S316" s="1130"/>
      <c r="T316" s="1130"/>
      <c r="U316" s="1130"/>
      <c r="V316" s="1130"/>
      <c r="W316" s="1130"/>
      <c r="X316" s="1130"/>
      <c r="Y316" s="1130"/>
      <c r="Z316" s="1130"/>
    </row>
    <row r="317" spans="1:26" ht="15.75" customHeight="1">
      <c r="A317" s="1130"/>
      <c r="B317" s="1130"/>
      <c r="C317" s="1130"/>
      <c r="D317" s="1130"/>
      <c r="E317" s="1130"/>
      <c r="F317" s="1130"/>
      <c r="G317" s="1130"/>
      <c r="H317" s="1130"/>
      <c r="I317" s="1130"/>
      <c r="J317" s="1130"/>
      <c r="K317" s="1130"/>
      <c r="L317" s="1130"/>
      <c r="M317" s="1130"/>
      <c r="N317" s="1130"/>
      <c r="O317" s="1130"/>
      <c r="P317" s="1130"/>
      <c r="Q317" s="1130"/>
      <c r="R317" s="1130"/>
      <c r="S317" s="1130"/>
      <c r="T317" s="1130"/>
      <c r="U317" s="1130"/>
      <c r="V317" s="1130"/>
      <c r="W317" s="1130"/>
      <c r="X317" s="1130"/>
      <c r="Y317" s="1130"/>
      <c r="Z317" s="1130"/>
    </row>
    <row r="318" spans="1:26" ht="15.75" customHeight="1">
      <c r="A318" s="1130"/>
      <c r="B318" s="1130"/>
      <c r="C318" s="1130"/>
      <c r="D318" s="1130"/>
      <c r="E318" s="1130"/>
      <c r="F318" s="1130"/>
      <c r="G318" s="1130"/>
      <c r="H318" s="1130"/>
      <c r="I318" s="1130"/>
      <c r="J318" s="1130"/>
      <c r="K318" s="1130"/>
      <c r="L318" s="1130"/>
      <c r="M318" s="1130"/>
      <c r="N318" s="1130"/>
      <c r="O318" s="1130"/>
      <c r="P318" s="1130"/>
      <c r="Q318" s="1130"/>
      <c r="R318" s="1130"/>
      <c r="S318" s="1130"/>
      <c r="T318" s="1130"/>
      <c r="U318" s="1130"/>
      <c r="V318" s="1130"/>
      <c r="W318" s="1130"/>
      <c r="X318" s="1130"/>
      <c r="Y318" s="1130"/>
      <c r="Z318" s="1130"/>
    </row>
    <row r="319" spans="1:26" ht="15.75" customHeight="1">
      <c r="A319" s="1130"/>
      <c r="B319" s="1130"/>
      <c r="C319" s="1130"/>
      <c r="D319" s="1130"/>
      <c r="E319" s="1130"/>
      <c r="F319" s="1130"/>
      <c r="G319" s="1130"/>
      <c r="H319" s="1130"/>
      <c r="I319" s="1130"/>
      <c r="J319" s="1130"/>
      <c r="K319" s="1130"/>
      <c r="L319" s="1130"/>
      <c r="M319" s="1130"/>
      <c r="N319" s="1130"/>
      <c r="O319" s="1130"/>
      <c r="P319" s="1130"/>
      <c r="Q319" s="1130"/>
      <c r="R319" s="1130"/>
      <c r="S319" s="1130"/>
      <c r="T319" s="1130"/>
      <c r="U319" s="1130"/>
      <c r="V319" s="1130"/>
      <c r="W319" s="1130"/>
      <c r="X319" s="1130"/>
      <c r="Y319" s="1130"/>
      <c r="Z319" s="1130"/>
    </row>
    <row r="320" spans="1:26" ht="15.75" customHeight="1">
      <c r="A320" s="1130"/>
      <c r="B320" s="1130"/>
      <c r="C320" s="1130"/>
      <c r="D320" s="1130"/>
      <c r="E320" s="1130"/>
      <c r="F320" s="1130"/>
      <c r="G320" s="1130"/>
      <c r="H320" s="1130"/>
      <c r="I320" s="1130"/>
      <c r="J320" s="1130"/>
      <c r="K320" s="1130"/>
      <c r="L320" s="1130"/>
      <c r="M320" s="1130"/>
      <c r="N320" s="1130"/>
      <c r="O320" s="1130"/>
      <c r="P320" s="1130"/>
      <c r="Q320" s="1130"/>
      <c r="R320" s="1130"/>
      <c r="S320" s="1130"/>
      <c r="T320" s="1130"/>
      <c r="U320" s="1130"/>
      <c r="V320" s="1130"/>
      <c r="W320" s="1130"/>
      <c r="X320" s="1130"/>
      <c r="Y320" s="1130"/>
      <c r="Z320" s="1130"/>
    </row>
    <row r="321" spans="1:26" ht="15.75" customHeight="1">
      <c r="A321" s="1130"/>
      <c r="B321" s="1130"/>
      <c r="C321" s="1130"/>
      <c r="D321" s="1130"/>
      <c r="E321" s="1130"/>
      <c r="F321" s="1130"/>
      <c r="G321" s="1130"/>
      <c r="H321" s="1130"/>
      <c r="I321" s="1130"/>
      <c r="J321" s="1130"/>
      <c r="K321" s="1130"/>
      <c r="L321" s="1130"/>
      <c r="M321" s="1130"/>
      <c r="N321" s="1130"/>
      <c r="O321" s="1130"/>
      <c r="P321" s="1130"/>
      <c r="Q321" s="1130"/>
      <c r="R321" s="1130"/>
      <c r="S321" s="1130"/>
      <c r="T321" s="1130"/>
      <c r="U321" s="1130"/>
      <c r="V321" s="1130"/>
      <c r="W321" s="1130"/>
      <c r="X321" s="1130"/>
      <c r="Y321" s="1130"/>
      <c r="Z321" s="1130"/>
    </row>
    <row r="322" spans="1:26" ht="15.75" customHeight="1">
      <c r="A322" s="1130"/>
      <c r="B322" s="1130"/>
      <c r="C322" s="1130"/>
      <c r="D322" s="1130"/>
      <c r="E322" s="1130"/>
      <c r="F322" s="1130"/>
      <c r="G322" s="1130"/>
      <c r="H322" s="1130"/>
      <c r="I322" s="1130"/>
      <c r="J322" s="1130"/>
      <c r="K322" s="1130"/>
      <c r="L322" s="1130"/>
      <c r="M322" s="1130"/>
      <c r="N322" s="1130"/>
      <c r="O322" s="1130"/>
      <c r="P322" s="1130"/>
      <c r="Q322" s="1130"/>
      <c r="R322" s="1130"/>
      <c r="S322" s="1130"/>
      <c r="T322" s="1130"/>
      <c r="U322" s="1130"/>
      <c r="V322" s="1130"/>
      <c r="W322" s="1130"/>
      <c r="X322" s="1130"/>
      <c r="Y322" s="1130"/>
      <c r="Z322" s="1130"/>
    </row>
    <row r="323" spans="1:26" ht="15.75" customHeight="1">
      <c r="A323" s="1130"/>
      <c r="B323" s="1130"/>
      <c r="C323" s="1130"/>
      <c r="D323" s="1130"/>
      <c r="E323" s="1130"/>
      <c r="F323" s="1130"/>
      <c r="G323" s="1130"/>
      <c r="H323" s="1130"/>
      <c r="I323" s="1130"/>
      <c r="J323" s="1130"/>
      <c r="K323" s="1130"/>
      <c r="L323" s="1130"/>
      <c r="M323" s="1130"/>
      <c r="N323" s="1130"/>
      <c r="O323" s="1130"/>
      <c r="P323" s="1130"/>
      <c r="Q323" s="1130"/>
      <c r="R323" s="1130"/>
      <c r="S323" s="1130"/>
      <c r="T323" s="1130"/>
      <c r="U323" s="1130"/>
      <c r="V323" s="1130"/>
      <c r="W323" s="1130"/>
      <c r="X323" s="1130"/>
      <c r="Y323" s="1130"/>
      <c r="Z323" s="1130"/>
    </row>
    <row r="324" spans="1:26" ht="15.75" customHeight="1">
      <c r="A324" s="1130"/>
      <c r="B324" s="1130"/>
      <c r="C324" s="1130"/>
      <c r="D324" s="1130"/>
      <c r="E324" s="1130"/>
      <c r="F324" s="1130"/>
      <c r="G324" s="1130"/>
      <c r="H324" s="1130"/>
      <c r="I324" s="1130"/>
      <c r="J324" s="1130"/>
      <c r="K324" s="1130"/>
      <c r="L324" s="1130"/>
      <c r="M324" s="1130"/>
      <c r="N324" s="1130"/>
      <c r="O324" s="1130"/>
      <c r="P324" s="1130"/>
      <c r="Q324" s="1130"/>
      <c r="R324" s="1130"/>
      <c r="S324" s="1130"/>
      <c r="T324" s="1130"/>
      <c r="U324" s="1130"/>
      <c r="V324" s="1130"/>
      <c r="W324" s="1130"/>
      <c r="X324" s="1130"/>
      <c r="Y324" s="1130"/>
      <c r="Z324" s="1130"/>
    </row>
    <row r="325" spans="1:26" ht="15.75" customHeight="1">
      <c r="A325" s="1130"/>
      <c r="B325" s="1130"/>
      <c r="C325" s="1130"/>
      <c r="D325" s="1130"/>
      <c r="E325" s="1130"/>
      <c r="F325" s="1130"/>
      <c r="G325" s="1130"/>
      <c r="H325" s="1130"/>
      <c r="I325" s="1130"/>
      <c r="J325" s="1130"/>
      <c r="K325" s="1130"/>
      <c r="L325" s="1130"/>
      <c r="M325" s="1130"/>
      <c r="N325" s="1130"/>
      <c r="O325" s="1130"/>
      <c r="P325" s="1130"/>
      <c r="Q325" s="1130"/>
      <c r="R325" s="1130"/>
      <c r="S325" s="1130"/>
      <c r="T325" s="1130"/>
      <c r="U325" s="1130"/>
      <c r="V325" s="1130"/>
      <c r="W325" s="1130"/>
      <c r="X325" s="1130"/>
      <c r="Y325" s="1130"/>
      <c r="Z325" s="1130"/>
    </row>
    <row r="326" spans="1:26" ht="15.75" customHeight="1">
      <c r="A326" s="1130"/>
      <c r="B326" s="1130"/>
      <c r="C326" s="1130"/>
      <c r="D326" s="1130"/>
      <c r="E326" s="1130"/>
      <c r="F326" s="1130"/>
      <c r="G326" s="1130"/>
      <c r="H326" s="1130"/>
      <c r="I326" s="1130"/>
      <c r="J326" s="1130"/>
      <c r="K326" s="1130"/>
      <c r="L326" s="1130"/>
      <c r="M326" s="1130"/>
      <c r="N326" s="1130"/>
      <c r="O326" s="1130"/>
      <c r="P326" s="1130"/>
      <c r="Q326" s="1130"/>
      <c r="R326" s="1130"/>
      <c r="S326" s="1130"/>
      <c r="T326" s="1130"/>
      <c r="U326" s="1130"/>
      <c r="V326" s="1130"/>
      <c r="W326" s="1130"/>
      <c r="X326" s="1130"/>
      <c r="Y326" s="1130"/>
      <c r="Z326" s="1130"/>
    </row>
    <row r="327" spans="1:26" ht="15.75" customHeight="1">
      <c r="A327" s="1130"/>
      <c r="B327" s="1130"/>
      <c r="C327" s="1130"/>
      <c r="D327" s="1130"/>
      <c r="E327" s="1130"/>
      <c r="F327" s="1130"/>
      <c r="G327" s="1130"/>
      <c r="H327" s="1130"/>
      <c r="I327" s="1130"/>
      <c r="J327" s="1130"/>
      <c r="K327" s="1130"/>
      <c r="L327" s="1130"/>
      <c r="M327" s="1130"/>
      <c r="N327" s="1130"/>
      <c r="O327" s="1130"/>
      <c r="P327" s="1130"/>
      <c r="Q327" s="1130"/>
      <c r="R327" s="1130"/>
      <c r="S327" s="1130"/>
      <c r="T327" s="1130"/>
      <c r="U327" s="1130"/>
      <c r="V327" s="1130"/>
      <c r="W327" s="1130"/>
      <c r="X327" s="1130"/>
      <c r="Y327" s="1130"/>
      <c r="Z327" s="1130"/>
    </row>
    <row r="328" spans="1:26" ht="15.75" customHeight="1">
      <c r="A328" s="1130"/>
      <c r="B328" s="1130"/>
      <c r="C328" s="1130"/>
      <c r="D328" s="1130"/>
      <c r="E328" s="1130"/>
      <c r="F328" s="1130"/>
      <c r="G328" s="1130"/>
      <c r="H328" s="1130"/>
      <c r="I328" s="1130"/>
      <c r="J328" s="1130"/>
      <c r="K328" s="1130"/>
      <c r="L328" s="1130"/>
      <c r="M328" s="1130"/>
      <c r="N328" s="1130"/>
      <c r="O328" s="1130"/>
      <c r="P328" s="1130"/>
      <c r="Q328" s="1130"/>
      <c r="R328" s="1130"/>
      <c r="S328" s="1130"/>
      <c r="T328" s="1130"/>
      <c r="U328" s="1130"/>
      <c r="V328" s="1130"/>
      <c r="W328" s="1130"/>
      <c r="X328" s="1130"/>
      <c r="Y328" s="1130"/>
      <c r="Z328" s="1130"/>
    </row>
    <row r="329" spans="1:26" ht="15.75" customHeight="1">
      <c r="A329" s="1130"/>
      <c r="B329" s="1130"/>
      <c r="C329" s="1130"/>
      <c r="D329" s="1130"/>
      <c r="E329" s="1130"/>
      <c r="F329" s="1130"/>
      <c r="G329" s="1130"/>
      <c r="H329" s="1130"/>
      <c r="I329" s="1130"/>
      <c r="J329" s="1130"/>
      <c r="K329" s="1130"/>
      <c r="L329" s="1130"/>
      <c r="M329" s="1130"/>
      <c r="N329" s="1130"/>
      <c r="O329" s="1130"/>
      <c r="P329" s="1130"/>
      <c r="Q329" s="1130"/>
      <c r="R329" s="1130"/>
      <c r="S329" s="1130"/>
      <c r="T329" s="1130"/>
      <c r="U329" s="1130"/>
      <c r="V329" s="1130"/>
      <c r="W329" s="1130"/>
      <c r="X329" s="1130"/>
      <c r="Y329" s="1130"/>
      <c r="Z329" s="1130"/>
    </row>
    <row r="330" spans="1:26" ht="15.75" customHeight="1">
      <c r="A330" s="1130"/>
      <c r="B330" s="1130"/>
      <c r="C330" s="1130"/>
      <c r="D330" s="1130"/>
      <c r="E330" s="1130"/>
      <c r="F330" s="1130"/>
      <c r="G330" s="1130"/>
      <c r="H330" s="1130"/>
      <c r="I330" s="1130"/>
      <c r="J330" s="1130"/>
      <c r="K330" s="1130"/>
      <c r="L330" s="1130"/>
      <c r="M330" s="1130"/>
      <c r="N330" s="1130"/>
      <c r="O330" s="1130"/>
      <c r="P330" s="1130"/>
      <c r="Q330" s="1130"/>
      <c r="R330" s="1130"/>
      <c r="S330" s="1130"/>
      <c r="T330" s="1130"/>
      <c r="U330" s="1130"/>
      <c r="V330" s="1130"/>
      <c r="W330" s="1130"/>
      <c r="X330" s="1130"/>
      <c r="Y330" s="1130"/>
      <c r="Z330" s="1130"/>
    </row>
    <row r="331" spans="1:26" ht="15.75" customHeight="1">
      <c r="A331" s="1130"/>
      <c r="B331" s="1130"/>
      <c r="C331" s="1130"/>
      <c r="D331" s="1130"/>
      <c r="E331" s="1130"/>
      <c r="F331" s="1130"/>
      <c r="G331" s="1130"/>
      <c r="H331" s="1130"/>
      <c r="I331" s="1130"/>
      <c r="J331" s="1130"/>
      <c r="K331" s="1130"/>
      <c r="L331" s="1130"/>
      <c r="M331" s="1130"/>
      <c r="N331" s="1130"/>
      <c r="O331" s="1130"/>
      <c r="P331" s="1130"/>
      <c r="Q331" s="1130"/>
      <c r="R331" s="1130"/>
      <c r="S331" s="1130"/>
      <c r="T331" s="1130"/>
      <c r="U331" s="1130"/>
      <c r="V331" s="1130"/>
      <c r="W331" s="1130"/>
      <c r="X331" s="1130"/>
      <c r="Y331" s="1130"/>
      <c r="Z331" s="1130"/>
    </row>
    <row r="332" spans="1:26" ht="15.75" customHeight="1">
      <c r="A332" s="1130"/>
      <c r="B332" s="1130"/>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row>
    <row r="333" spans="1:26" ht="15.75" customHeight="1">
      <c r="A333" s="1130"/>
      <c r="B333" s="1130"/>
      <c r="C333" s="1130"/>
      <c r="D333" s="1130"/>
      <c r="E333" s="1130"/>
      <c r="F333" s="1130"/>
      <c r="G333" s="1130"/>
      <c r="H333" s="1130"/>
      <c r="I333" s="1130"/>
      <c r="J333" s="1130"/>
      <c r="K333" s="1130"/>
      <c r="L333" s="1130"/>
      <c r="M333" s="1130"/>
      <c r="N333" s="1130"/>
      <c r="O333" s="1130"/>
      <c r="P333" s="1130"/>
      <c r="Q333" s="1130"/>
      <c r="R333" s="1130"/>
      <c r="S333" s="1130"/>
      <c r="T333" s="1130"/>
      <c r="U333" s="1130"/>
      <c r="V333" s="1130"/>
      <c r="W333" s="1130"/>
      <c r="X333" s="1130"/>
      <c r="Y333" s="1130"/>
      <c r="Z333" s="1130"/>
    </row>
    <row r="334" spans="1:26" ht="15.75" customHeight="1">
      <c r="A334" s="1130"/>
      <c r="B334" s="1130"/>
      <c r="C334" s="1130"/>
      <c r="D334" s="1130"/>
      <c r="E334" s="1130"/>
      <c r="F334" s="1130"/>
      <c r="G334" s="1130"/>
      <c r="H334" s="1130"/>
      <c r="I334" s="1130"/>
      <c r="J334" s="1130"/>
      <c r="K334" s="1130"/>
      <c r="L334" s="1130"/>
      <c r="M334" s="1130"/>
      <c r="N334" s="1130"/>
      <c r="O334" s="1130"/>
      <c r="P334" s="1130"/>
      <c r="Q334" s="1130"/>
      <c r="R334" s="1130"/>
      <c r="S334" s="1130"/>
      <c r="T334" s="1130"/>
      <c r="U334" s="1130"/>
      <c r="V334" s="1130"/>
      <c r="W334" s="1130"/>
      <c r="X334" s="1130"/>
      <c r="Y334" s="1130"/>
      <c r="Z334" s="1130"/>
    </row>
    <row r="335" spans="1:26" ht="15.75" customHeight="1">
      <c r="A335" s="1130"/>
      <c r="B335" s="1130"/>
      <c r="C335" s="1130"/>
      <c r="D335" s="1130"/>
      <c r="E335" s="1130"/>
      <c r="F335" s="1130"/>
      <c r="G335" s="1130"/>
      <c r="H335" s="1130"/>
      <c r="I335" s="1130"/>
      <c r="J335" s="1130"/>
      <c r="K335" s="1130"/>
      <c r="L335" s="1130"/>
      <c r="M335" s="1130"/>
      <c r="N335" s="1130"/>
      <c r="O335" s="1130"/>
      <c r="P335" s="1130"/>
      <c r="Q335" s="1130"/>
      <c r="R335" s="1130"/>
      <c r="S335" s="1130"/>
      <c r="T335" s="1130"/>
      <c r="U335" s="1130"/>
      <c r="V335" s="1130"/>
      <c r="W335" s="1130"/>
      <c r="X335" s="1130"/>
      <c r="Y335" s="1130"/>
      <c r="Z335" s="1130"/>
    </row>
    <row r="336" spans="1:26" ht="15.75" customHeight="1">
      <c r="A336" s="1130"/>
      <c r="B336" s="1130"/>
      <c r="C336" s="1130"/>
      <c r="D336" s="1130"/>
      <c r="E336" s="1130"/>
      <c r="F336" s="1130"/>
      <c r="G336" s="1130"/>
      <c r="H336" s="1130"/>
      <c r="I336" s="1130"/>
      <c r="J336" s="1130"/>
      <c r="K336" s="1130"/>
      <c r="L336" s="1130"/>
      <c r="M336" s="1130"/>
      <c r="N336" s="1130"/>
      <c r="O336" s="1130"/>
      <c r="P336" s="1130"/>
      <c r="Q336" s="1130"/>
      <c r="R336" s="1130"/>
      <c r="S336" s="1130"/>
      <c r="T336" s="1130"/>
      <c r="U336" s="1130"/>
      <c r="V336" s="1130"/>
      <c r="W336" s="1130"/>
      <c r="X336" s="1130"/>
      <c r="Y336" s="1130"/>
      <c r="Z336" s="1130"/>
    </row>
    <row r="337" spans="1:26" ht="15.75" customHeight="1">
      <c r="A337" s="1130"/>
      <c r="B337" s="1130"/>
      <c r="C337" s="1130"/>
      <c r="D337" s="1130"/>
      <c r="E337" s="1130"/>
      <c r="F337" s="1130"/>
      <c r="G337" s="1130"/>
      <c r="H337" s="1130"/>
      <c r="I337" s="1130"/>
      <c r="J337" s="1130"/>
      <c r="K337" s="1130"/>
      <c r="L337" s="1130"/>
      <c r="M337" s="1130"/>
      <c r="N337" s="1130"/>
      <c r="O337" s="1130"/>
      <c r="P337" s="1130"/>
      <c r="Q337" s="1130"/>
      <c r="R337" s="1130"/>
      <c r="S337" s="1130"/>
      <c r="T337" s="1130"/>
      <c r="U337" s="1130"/>
      <c r="V337" s="1130"/>
      <c r="W337" s="1130"/>
      <c r="X337" s="1130"/>
      <c r="Y337" s="1130"/>
      <c r="Z337" s="1130"/>
    </row>
    <row r="338" spans="1:26" ht="15.75" customHeight="1">
      <c r="A338" s="1130"/>
      <c r="B338" s="1130"/>
      <c r="C338" s="1130"/>
      <c r="D338" s="1130"/>
      <c r="E338" s="1130"/>
      <c r="F338" s="1130"/>
      <c r="G338" s="1130"/>
      <c r="H338" s="1130"/>
      <c r="I338" s="1130"/>
      <c r="J338" s="1130"/>
      <c r="K338" s="1130"/>
      <c r="L338" s="1130"/>
      <c r="M338" s="1130"/>
      <c r="N338" s="1130"/>
      <c r="O338" s="1130"/>
      <c r="P338" s="1130"/>
      <c r="Q338" s="1130"/>
      <c r="R338" s="1130"/>
      <c r="S338" s="1130"/>
      <c r="T338" s="1130"/>
      <c r="U338" s="1130"/>
      <c r="V338" s="1130"/>
      <c r="W338" s="1130"/>
      <c r="X338" s="1130"/>
      <c r="Y338" s="1130"/>
      <c r="Z338" s="1130"/>
    </row>
    <row r="339" spans="1:26" ht="15.75" customHeight="1">
      <c r="A339" s="1130"/>
      <c r="B339" s="1130"/>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row>
    <row r="340" spans="1:26" ht="15.75" customHeight="1">
      <c r="A340" s="1130"/>
      <c r="B340" s="1130"/>
      <c r="C340" s="1130"/>
      <c r="D340" s="1130"/>
      <c r="E340" s="1130"/>
      <c r="F340" s="1130"/>
      <c r="G340" s="1130"/>
      <c r="H340" s="1130"/>
      <c r="I340" s="1130"/>
      <c r="J340" s="1130"/>
      <c r="K340" s="1130"/>
      <c r="L340" s="1130"/>
      <c r="M340" s="1130"/>
      <c r="N340" s="1130"/>
      <c r="O340" s="1130"/>
      <c r="P340" s="1130"/>
      <c r="Q340" s="1130"/>
      <c r="R340" s="1130"/>
      <c r="S340" s="1130"/>
      <c r="T340" s="1130"/>
      <c r="U340" s="1130"/>
      <c r="V340" s="1130"/>
      <c r="W340" s="1130"/>
      <c r="X340" s="1130"/>
      <c r="Y340" s="1130"/>
      <c r="Z340" s="1130"/>
    </row>
    <row r="341" spans="1:26" ht="15.75" customHeight="1">
      <c r="A341" s="1130"/>
      <c r="B341" s="1130"/>
      <c r="C341" s="1130"/>
      <c r="D341" s="1130"/>
      <c r="E341" s="1130"/>
      <c r="F341" s="1130"/>
      <c r="G341" s="1130"/>
      <c r="H341" s="1130"/>
      <c r="I341" s="1130"/>
      <c r="J341" s="1130"/>
      <c r="K341" s="1130"/>
      <c r="L341" s="1130"/>
      <c r="M341" s="1130"/>
      <c r="N341" s="1130"/>
      <c r="O341" s="1130"/>
      <c r="P341" s="1130"/>
      <c r="Q341" s="1130"/>
      <c r="R341" s="1130"/>
      <c r="S341" s="1130"/>
      <c r="T341" s="1130"/>
      <c r="U341" s="1130"/>
      <c r="V341" s="1130"/>
      <c r="W341" s="1130"/>
      <c r="X341" s="1130"/>
      <c r="Y341" s="1130"/>
      <c r="Z341" s="1130"/>
    </row>
    <row r="342" spans="1:26" ht="15.75" customHeight="1">
      <c r="A342" s="1130"/>
      <c r="B342" s="1130"/>
      <c r="C342" s="1130"/>
      <c r="D342" s="1130"/>
      <c r="E342" s="1130"/>
      <c r="F342" s="1130"/>
      <c r="G342" s="1130"/>
      <c r="H342" s="1130"/>
      <c r="I342" s="1130"/>
      <c r="J342" s="1130"/>
      <c r="K342" s="1130"/>
      <c r="L342" s="1130"/>
      <c r="M342" s="1130"/>
      <c r="N342" s="1130"/>
      <c r="O342" s="1130"/>
      <c r="P342" s="1130"/>
      <c r="Q342" s="1130"/>
      <c r="R342" s="1130"/>
      <c r="S342" s="1130"/>
      <c r="T342" s="1130"/>
      <c r="U342" s="1130"/>
      <c r="V342" s="1130"/>
      <c r="W342" s="1130"/>
      <c r="X342" s="1130"/>
      <c r="Y342" s="1130"/>
      <c r="Z342" s="1130"/>
    </row>
    <row r="343" spans="1:26" ht="15.75" customHeight="1">
      <c r="A343" s="1130"/>
      <c r="B343" s="1130"/>
      <c r="C343" s="1130"/>
      <c r="D343" s="1130"/>
      <c r="E343" s="1130"/>
      <c r="F343" s="1130"/>
      <c r="G343" s="1130"/>
      <c r="H343" s="1130"/>
      <c r="I343" s="1130"/>
      <c r="J343" s="1130"/>
      <c r="K343" s="1130"/>
      <c r="L343" s="1130"/>
      <c r="M343" s="1130"/>
      <c r="N343" s="1130"/>
      <c r="O343" s="1130"/>
      <c r="P343" s="1130"/>
      <c r="Q343" s="1130"/>
      <c r="R343" s="1130"/>
      <c r="S343" s="1130"/>
      <c r="T343" s="1130"/>
      <c r="U343" s="1130"/>
      <c r="V343" s="1130"/>
      <c r="W343" s="1130"/>
      <c r="X343" s="1130"/>
      <c r="Y343" s="1130"/>
      <c r="Z343" s="1130"/>
    </row>
    <row r="344" spans="1:26" ht="15.75" customHeight="1">
      <c r="A344" s="1130"/>
      <c r="B344" s="1130"/>
      <c r="C344" s="1130"/>
      <c r="D344" s="1130"/>
      <c r="E344" s="1130"/>
      <c r="F344" s="1130"/>
      <c r="G344" s="1130"/>
      <c r="H344" s="1130"/>
      <c r="I344" s="1130"/>
      <c r="J344" s="1130"/>
      <c r="K344" s="1130"/>
      <c r="L344" s="1130"/>
      <c r="M344" s="1130"/>
      <c r="N344" s="1130"/>
      <c r="O344" s="1130"/>
      <c r="P344" s="1130"/>
      <c r="Q344" s="1130"/>
      <c r="R344" s="1130"/>
      <c r="S344" s="1130"/>
      <c r="T344" s="1130"/>
      <c r="U344" s="1130"/>
      <c r="V344" s="1130"/>
      <c r="W344" s="1130"/>
      <c r="X344" s="1130"/>
      <c r="Y344" s="1130"/>
      <c r="Z344" s="1130"/>
    </row>
    <row r="345" spans="1:26" ht="15.75" customHeight="1">
      <c r="A345" s="1130"/>
      <c r="B345" s="1130"/>
      <c r="C345" s="1130"/>
      <c r="D345" s="1130"/>
      <c r="E345" s="1130"/>
      <c r="F345" s="1130"/>
      <c r="G345" s="1130"/>
      <c r="H345" s="1130"/>
      <c r="I345" s="1130"/>
      <c r="J345" s="1130"/>
      <c r="K345" s="1130"/>
      <c r="L345" s="1130"/>
      <c r="M345" s="1130"/>
      <c r="N345" s="1130"/>
      <c r="O345" s="1130"/>
      <c r="P345" s="1130"/>
      <c r="Q345" s="1130"/>
      <c r="R345" s="1130"/>
      <c r="S345" s="1130"/>
      <c r="T345" s="1130"/>
      <c r="U345" s="1130"/>
      <c r="V345" s="1130"/>
      <c r="W345" s="1130"/>
      <c r="X345" s="1130"/>
      <c r="Y345" s="1130"/>
      <c r="Z345" s="1130"/>
    </row>
    <row r="346" spans="1:26" ht="15.75" customHeight="1">
      <c r="A346" s="1130"/>
      <c r="B346" s="1130"/>
      <c r="C346" s="1130"/>
      <c r="D346" s="1130"/>
      <c r="E346" s="1130"/>
      <c r="F346" s="1130"/>
      <c r="G346" s="1130"/>
      <c r="H346" s="1130"/>
      <c r="I346" s="1130"/>
      <c r="J346" s="1130"/>
      <c r="K346" s="1130"/>
      <c r="L346" s="1130"/>
      <c r="M346" s="1130"/>
      <c r="N346" s="1130"/>
      <c r="O346" s="1130"/>
      <c r="P346" s="1130"/>
      <c r="Q346" s="1130"/>
      <c r="R346" s="1130"/>
      <c r="S346" s="1130"/>
      <c r="T346" s="1130"/>
      <c r="U346" s="1130"/>
      <c r="V346" s="1130"/>
      <c r="W346" s="1130"/>
      <c r="X346" s="1130"/>
      <c r="Y346" s="1130"/>
      <c r="Z346" s="1130"/>
    </row>
    <row r="347" spans="1:26" ht="15.75" customHeight="1">
      <c r="A347" s="1130"/>
      <c r="B347" s="1130"/>
      <c r="C347" s="1130"/>
      <c r="D347" s="1130"/>
      <c r="E347" s="1130"/>
      <c r="F347" s="1130"/>
      <c r="G347" s="1130"/>
      <c r="H347" s="1130"/>
      <c r="I347" s="1130"/>
      <c r="J347" s="1130"/>
      <c r="K347" s="1130"/>
      <c r="L347" s="1130"/>
      <c r="M347" s="1130"/>
      <c r="N347" s="1130"/>
      <c r="O347" s="1130"/>
      <c r="P347" s="1130"/>
      <c r="Q347" s="1130"/>
      <c r="R347" s="1130"/>
      <c r="S347" s="1130"/>
      <c r="T347" s="1130"/>
      <c r="U347" s="1130"/>
      <c r="V347" s="1130"/>
      <c r="W347" s="1130"/>
      <c r="X347" s="1130"/>
      <c r="Y347" s="1130"/>
      <c r="Z347" s="1130"/>
    </row>
    <row r="348" spans="1:26" ht="15.75" customHeight="1">
      <c r="A348" s="1130"/>
      <c r="B348" s="1130"/>
      <c r="C348" s="1130"/>
      <c r="D348" s="1130"/>
      <c r="E348" s="1130"/>
      <c r="F348" s="1130"/>
      <c r="G348" s="1130"/>
      <c r="H348" s="1130"/>
      <c r="I348" s="1130"/>
      <c r="J348" s="1130"/>
      <c r="K348" s="1130"/>
      <c r="L348" s="1130"/>
      <c r="M348" s="1130"/>
      <c r="N348" s="1130"/>
      <c r="O348" s="1130"/>
      <c r="P348" s="1130"/>
      <c r="Q348" s="1130"/>
      <c r="R348" s="1130"/>
      <c r="S348" s="1130"/>
      <c r="T348" s="1130"/>
      <c r="U348" s="1130"/>
      <c r="V348" s="1130"/>
      <c r="W348" s="1130"/>
      <c r="X348" s="1130"/>
      <c r="Y348" s="1130"/>
      <c r="Z348" s="1130"/>
    </row>
    <row r="349" spans="1:26" ht="15.75" customHeight="1">
      <c r="A349" s="1130"/>
      <c r="B349" s="1130"/>
      <c r="C349" s="1130"/>
      <c r="D349" s="1130"/>
      <c r="E349" s="1130"/>
      <c r="F349" s="1130"/>
      <c r="G349" s="1130"/>
      <c r="H349" s="1130"/>
      <c r="I349" s="1130"/>
      <c r="J349" s="1130"/>
      <c r="K349" s="1130"/>
      <c r="L349" s="1130"/>
      <c r="M349" s="1130"/>
      <c r="N349" s="1130"/>
      <c r="O349" s="1130"/>
      <c r="P349" s="1130"/>
      <c r="Q349" s="1130"/>
      <c r="R349" s="1130"/>
      <c r="S349" s="1130"/>
      <c r="T349" s="1130"/>
      <c r="U349" s="1130"/>
      <c r="V349" s="1130"/>
      <c r="W349" s="1130"/>
      <c r="X349" s="1130"/>
      <c r="Y349" s="1130"/>
      <c r="Z349" s="1130"/>
    </row>
    <row r="350" spans="1:26" ht="15.75" customHeight="1">
      <c r="A350" s="1130"/>
      <c r="B350" s="1130"/>
      <c r="C350" s="1130"/>
      <c r="D350" s="1130"/>
      <c r="E350" s="1130"/>
      <c r="F350" s="1130"/>
      <c r="G350" s="1130"/>
      <c r="H350" s="1130"/>
      <c r="I350" s="1130"/>
      <c r="J350" s="1130"/>
      <c r="K350" s="1130"/>
      <c r="L350" s="1130"/>
      <c r="M350" s="1130"/>
      <c r="N350" s="1130"/>
      <c r="O350" s="1130"/>
      <c r="P350" s="1130"/>
      <c r="Q350" s="1130"/>
      <c r="R350" s="1130"/>
      <c r="S350" s="1130"/>
      <c r="T350" s="1130"/>
      <c r="U350" s="1130"/>
      <c r="V350" s="1130"/>
      <c r="W350" s="1130"/>
      <c r="X350" s="1130"/>
      <c r="Y350" s="1130"/>
      <c r="Z350" s="1130"/>
    </row>
    <row r="351" spans="1:26" ht="15.75" customHeight="1">
      <c r="A351" s="1130"/>
      <c r="B351" s="1130"/>
      <c r="C351" s="1130"/>
      <c r="D351" s="1130"/>
      <c r="E351" s="1130"/>
      <c r="F351" s="1130"/>
      <c r="G351" s="1130"/>
      <c r="H351" s="1130"/>
      <c r="I351" s="1130"/>
      <c r="J351" s="1130"/>
      <c r="K351" s="1130"/>
      <c r="L351" s="1130"/>
      <c r="M351" s="1130"/>
      <c r="N351" s="1130"/>
      <c r="O351" s="1130"/>
      <c r="P351" s="1130"/>
      <c r="Q351" s="1130"/>
      <c r="R351" s="1130"/>
      <c r="S351" s="1130"/>
      <c r="T351" s="1130"/>
      <c r="U351" s="1130"/>
      <c r="V351" s="1130"/>
      <c r="W351" s="1130"/>
      <c r="X351" s="1130"/>
      <c r="Y351" s="1130"/>
      <c r="Z351" s="1130"/>
    </row>
    <row r="352" spans="1:26" ht="15.75" customHeight="1">
      <c r="A352" s="1130"/>
      <c r="B352" s="1130"/>
      <c r="C352" s="1130"/>
      <c r="D352" s="1130"/>
      <c r="E352" s="1130"/>
      <c r="F352" s="1130"/>
      <c r="G352" s="1130"/>
      <c r="H352" s="1130"/>
      <c r="I352" s="1130"/>
      <c r="J352" s="1130"/>
      <c r="K352" s="1130"/>
      <c r="L352" s="1130"/>
      <c r="M352" s="1130"/>
      <c r="N352" s="1130"/>
      <c r="O352" s="1130"/>
      <c r="P352" s="1130"/>
      <c r="Q352" s="1130"/>
      <c r="R352" s="1130"/>
      <c r="S352" s="1130"/>
      <c r="T352" s="1130"/>
      <c r="U352" s="1130"/>
      <c r="V352" s="1130"/>
      <c r="W352" s="1130"/>
      <c r="X352" s="1130"/>
      <c r="Y352" s="1130"/>
      <c r="Z352" s="1130"/>
    </row>
    <row r="353" spans="1:26" ht="15.75" customHeight="1">
      <c r="A353" s="1130"/>
      <c r="B353" s="1130"/>
      <c r="C353" s="1130"/>
      <c r="D353" s="1130"/>
      <c r="E353" s="1130"/>
      <c r="F353" s="1130"/>
      <c r="G353" s="1130"/>
      <c r="H353" s="1130"/>
      <c r="I353" s="1130"/>
      <c r="J353" s="1130"/>
      <c r="K353" s="1130"/>
      <c r="L353" s="1130"/>
      <c r="M353" s="1130"/>
      <c r="N353" s="1130"/>
      <c r="O353" s="1130"/>
      <c r="P353" s="1130"/>
      <c r="Q353" s="1130"/>
      <c r="R353" s="1130"/>
      <c r="S353" s="1130"/>
      <c r="T353" s="1130"/>
      <c r="U353" s="1130"/>
      <c r="V353" s="1130"/>
      <c r="W353" s="1130"/>
      <c r="X353" s="1130"/>
      <c r="Y353" s="1130"/>
      <c r="Z353" s="1130"/>
    </row>
    <row r="354" spans="1:26" ht="15.75" customHeight="1">
      <c r="A354" s="1130"/>
      <c r="B354" s="1130"/>
      <c r="C354" s="1130"/>
      <c r="D354" s="1130"/>
      <c r="E354" s="1130"/>
      <c r="F354" s="1130"/>
      <c r="G354" s="1130"/>
      <c r="H354" s="1130"/>
      <c r="I354" s="1130"/>
      <c r="J354" s="1130"/>
      <c r="K354" s="1130"/>
      <c r="L354" s="1130"/>
      <c r="M354" s="1130"/>
      <c r="N354" s="1130"/>
      <c r="O354" s="1130"/>
      <c r="P354" s="1130"/>
      <c r="Q354" s="1130"/>
      <c r="R354" s="1130"/>
      <c r="S354" s="1130"/>
      <c r="T354" s="1130"/>
      <c r="U354" s="1130"/>
      <c r="V354" s="1130"/>
      <c r="W354" s="1130"/>
      <c r="X354" s="1130"/>
      <c r="Y354" s="1130"/>
      <c r="Z354" s="1130"/>
    </row>
    <row r="355" spans="1:26" ht="15.75" customHeight="1">
      <c r="A355" s="1130"/>
      <c r="B355" s="1130"/>
      <c r="C355" s="1130"/>
      <c r="D355" s="1130"/>
      <c r="E355" s="1130"/>
      <c r="F355" s="1130"/>
      <c r="G355" s="1130"/>
      <c r="H355" s="1130"/>
      <c r="I355" s="1130"/>
      <c r="J355" s="1130"/>
      <c r="K355" s="1130"/>
      <c r="L355" s="1130"/>
      <c r="M355" s="1130"/>
      <c r="N355" s="1130"/>
      <c r="O355" s="1130"/>
      <c r="P355" s="1130"/>
      <c r="Q355" s="1130"/>
      <c r="R355" s="1130"/>
      <c r="S355" s="1130"/>
      <c r="T355" s="1130"/>
      <c r="U355" s="1130"/>
      <c r="V355" s="1130"/>
      <c r="W355" s="1130"/>
      <c r="X355" s="1130"/>
      <c r="Y355" s="1130"/>
      <c r="Z355" s="1130"/>
    </row>
    <row r="356" spans="1:26" ht="15.75" customHeight="1">
      <c r="A356" s="1130"/>
      <c r="B356" s="1130"/>
      <c r="C356" s="1130"/>
      <c r="D356" s="1130"/>
      <c r="E356" s="1130"/>
      <c r="F356" s="1130"/>
      <c r="G356" s="1130"/>
      <c r="H356" s="1130"/>
      <c r="I356" s="1130"/>
      <c r="J356" s="1130"/>
      <c r="K356" s="1130"/>
      <c r="L356" s="1130"/>
      <c r="M356" s="1130"/>
      <c r="N356" s="1130"/>
      <c r="O356" s="1130"/>
      <c r="P356" s="1130"/>
      <c r="Q356" s="1130"/>
      <c r="R356" s="1130"/>
      <c r="S356" s="1130"/>
      <c r="T356" s="1130"/>
      <c r="U356" s="1130"/>
      <c r="V356" s="1130"/>
      <c r="W356" s="1130"/>
      <c r="X356" s="1130"/>
      <c r="Y356" s="1130"/>
      <c r="Z356" s="1130"/>
    </row>
    <row r="357" spans="1:26" ht="15.75" customHeight="1">
      <c r="A357" s="1130"/>
      <c r="B357" s="1130"/>
      <c r="C357" s="1130"/>
      <c r="D357" s="1130"/>
      <c r="E357" s="1130"/>
      <c r="F357" s="1130"/>
      <c r="G357" s="1130"/>
      <c r="H357" s="1130"/>
      <c r="I357" s="1130"/>
      <c r="J357" s="1130"/>
      <c r="K357" s="1130"/>
      <c r="L357" s="1130"/>
      <c r="M357" s="1130"/>
      <c r="N357" s="1130"/>
      <c r="O357" s="1130"/>
      <c r="P357" s="1130"/>
      <c r="Q357" s="1130"/>
      <c r="R357" s="1130"/>
      <c r="S357" s="1130"/>
      <c r="T357" s="1130"/>
      <c r="U357" s="1130"/>
      <c r="V357" s="1130"/>
      <c r="W357" s="1130"/>
      <c r="X357" s="1130"/>
      <c r="Y357" s="1130"/>
      <c r="Z357" s="1130"/>
    </row>
    <row r="358" spans="1:26" ht="15.75" customHeight="1">
      <c r="A358" s="1130"/>
      <c r="B358" s="1130"/>
      <c r="C358" s="1130"/>
      <c r="D358" s="1130"/>
      <c r="E358" s="1130"/>
      <c r="F358" s="1130"/>
      <c r="G358" s="1130"/>
      <c r="H358" s="1130"/>
      <c r="I358" s="1130"/>
      <c r="J358" s="1130"/>
      <c r="K358" s="1130"/>
      <c r="L358" s="1130"/>
      <c r="M358" s="1130"/>
      <c r="N358" s="1130"/>
      <c r="O358" s="1130"/>
      <c r="P358" s="1130"/>
      <c r="Q358" s="1130"/>
      <c r="R358" s="1130"/>
      <c r="S358" s="1130"/>
      <c r="T358" s="1130"/>
      <c r="U358" s="1130"/>
      <c r="V358" s="1130"/>
      <c r="W358" s="1130"/>
      <c r="X358" s="1130"/>
      <c r="Y358" s="1130"/>
      <c r="Z358" s="1130"/>
    </row>
    <row r="359" spans="1:26" ht="15.75" customHeight="1">
      <c r="A359" s="1130"/>
      <c r="B359" s="1130"/>
      <c r="C359" s="1130"/>
      <c r="D359" s="1130"/>
      <c r="E359" s="1130"/>
      <c r="F359" s="1130"/>
      <c r="G359" s="1130"/>
      <c r="H359" s="1130"/>
      <c r="I359" s="1130"/>
      <c r="J359" s="1130"/>
      <c r="K359" s="1130"/>
      <c r="L359" s="1130"/>
      <c r="M359" s="1130"/>
      <c r="N359" s="1130"/>
      <c r="O359" s="1130"/>
      <c r="P359" s="1130"/>
      <c r="Q359" s="1130"/>
      <c r="R359" s="1130"/>
      <c r="S359" s="1130"/>
      <c r="T359" s="1130"/>
      <c r="U359" s="1130"/>
      <c r="V359" s="1130"/>
      <c r="W359" s="1130"/>
      <c r="X359" s="1130"/>
      <c r="Y359" s="1130"/>
      <c r="Z359" s="1130"/>
    </row>
    <row r="360" spans="1:26" ht="15.75" customHeight="1">
      <c r="A360" s="1130"/>
      <c r="B360" s="1130"/>
      <c r="C360" s="1130"/>
      <c r="D360" s="1130"/>
      <c r="E360" s="1130"/>
      <c r="F360" s="1130"/>
      <c r="G360" s="1130"/>
      <c r="H360" s="1130"/>
      <c r="I360" s="1130"/>
      <c r="J360" s="1130"/>
      <c r="K360" s="1130"/>
      <c r="L360" s="1130"/>
      <c r="M360" s="1130"/>
      <c r="N360" s="1130"/>
      <c r="O360" s="1130"/>
      <c r="P360" s="1130"/>
      <c r="Q360" s="1130"/>
      <c r="R360" s="1130"/>
      <c r="S360" s="1130"/>
      <c r="T360" s="1130"/>
      <c r="U360" s="1130"/>
      <c r="V360" s="1130"/>
      <c r="W360" s="1130"/>
      <c r="X360" s="1130"/>
      <c r="Y360" s="1130"/>
      <c r="Z360" s="1130"/>
    </row>
    <row r="361" spans="1:26" ht="15.75" customHeight="1">
      <c r="A361" s="1130"/>
      <c r="B361" s="1130"/>
      <c r="C361" s="1130"/>
      <c r="D361" s="1130"/>
      <c r="E361" s="1130"/>
      <c r="F361" s="1130"/>
      <c r="G361" s="1130"/>
      <c r="H361" s="1130"/>
      <c r="I361" s="1130"/>
      <c r="J361" s="1130"/>
      <c r="K361" s="1130"/>
      <c r="L361" s="1130"/>
      <c r="M361" s="1130"/>
      <c r="N361" s="1130"/>
      <c r="O361" s="1130"/>
      <c r="P361" s="1130"/>
      <c r="Q361" s="1130"/>
      <c r="R361" s="1130"/>
      <c r="S361" s="1130"/>
      <c r="T361" s="1130"/>
      <c r="U361" s="1130"/>
      <c r="V361" s="1130"/>
      <c r="W361" s="1130"/>
      <c r="X361" s="1130"/>
      <c r="Y361" s="1130"/>
      <c r="Z361" s="1130"/>
    </row>
    <row r="362" spans="1:26" ht="15.75" customHeight="1">
      <c r="A362" s="1130"/>
      <c r="B362" s="1130"/>
      <c r="C362" s="1130"/>
      <c r="D362" s="1130"/>
      <c r="E362" s="1130"/>
      <c r="F362" s="1130"/>
      <c r="G362" s="1130"/>
      <c r="H362" s="1130"/>
      <c r="I362" s="1130"/>
      <c r="J362" s="1130"/>
      <c r="K362" s="1130"/>
      <c r="L362" s="1130"/>
      <c r="M362" s="1130"/>
      <c r="N362" s="1130"/>
      <c r="O362" s="1130"/>
      <c r="P362" s="1130"/>
      <c r="Q362" s="1130"/>
      <c r="R362" s="1130"/>
      <c r="S362" s="1130"/>
      <c r="T362" s="1130"/>
      <c r="U362" s="1130"/>
      <c r="V362" s="1130"/>
      <c r="W362" s="1130"/>
      <c r="X362" s="1130"/>
      <c r="Y362" s="1130"/>
      <c r="Z362" s="1130"/>
    </row>
    <row r="363" spans="1:26" ht="15.75" customHeight="1">
      <c r="A363" s="1130"/>
      <c r="B363" s="1130"/>
      <c r="C363" s="1130"/>
      <c r="D363" s="1130"/>
      <c r="E363" s="1130"/>
      <c r="F363" s="1130"/>
      <c r="G363" s="1130"/>
      <c r="H363" s="1130"/>
      <c r="I363" s="1130"/>
      <c r="J363" s="1130"/>
      <c r="K363" s="1130"/>
      <c r="L363" s="1130"/>
      <c r="M363" s="1130"/>
      <c r="N363" s="1130"/>
      <c r="O363" s="1130"/>
      <c r="P363" s="1130"/>
      <c r="Q363" s="1130"/>
      <c r="R363" s="1130"/>
      <c r="S363" s="1130"/>
      <c r="T363" s="1130"/>
      <c r="U363" s="1130"/>
      <c r="V363" s="1130"/>
      <c r="W363" s="1130"/>
      <c r="X363" s="1130"/>
      <c r="Y363" s="1130"/>
      <c r="Z363" s="1130"/>
    </row>
    <row r="364" spans="1:26" ht="15.75" customHeight="1">
      <c r="A364" s="1130"/>
      <c r="B364" s="1130"/>
      <c r="C364" s="1130"/>
      <c r="D364" s="1130"/>
      <c r="E364" s="1130"/>
      <c r="F364" s="1130"/>
      <c r="G364" s="1130"/>
      <c r="H364" s="1130"/>
      <c r="I364" s="1130"/>
      <c r="J364" s="1130"/>
      <c r="K364" s="1130"/>
      <c r="L364" s="1130"/>
      <c r="M364" s="1130"/>
      <c r="N364" s="1130"/>
      <c r="O364" s="1130"/>
      <c r="P364" s="1130"/>
      <c r="Q364" s="1130"/>
      <c r="R364" s="1130"/>
      <c r="S364" s="1130"/>
      <c r="T364" s="1130"/>
      <c r="U364" s="1130"/>
      <c r="V364" s="1130"/>
      <c r="W364" s="1130"/>
      <c r="X364" s="1130"/>
      <c r="Y364" s="1130"/>
      <c r="Z364" s="1130"/>
    </row>
    <row r="365" spans="1:26" ht="15.75" customHeight="1">
      <c r="A365" s="1130"/>
      <c r="B365" s="1130"/>
      <c r="C365" s="1130"/>
      <c r="D365" s="1130"/>
      <c r="E365" s="1130"/>
      <c r="F365" s="1130"/>
      <c r="G365" s="1130"/>
      <c r="H365" s="1130"/>
      <c r="I365" s="1130"/>
      <c r="J365" s="1130"/>
      <c r="K365" s="1130"/>
      <c r="L365" s="1130"/>
      <c r="M365" s="1130"/>
      <c r="N365" s="1130"/>
      <c r="O365" s="1130"/>
      <c r="P365" s="1130"/>
      <c r="Q365" s="1130"/>
      <c r="R365" s="1130"/>
      <c r="S365" s="1130"/>
      <c r="T365" s="1130"/>
      <c r="U365" s="1130"/>
      <c r="V365" s="1130"/>
      <c r="W365" s="1130"/>
      <c r="X365" s="1130"/>
      <c r="Y365" s="1130"/>
      <c r="Z365" s="1130"/>
    </row>
    <row r="366" spans="1:26" ht="15.75" customHeight="1">
      <c r="A366" s="1130"/>
      <c r="B366" s="1130"/>
      <c r="C366" s="1130"/>
      <c r="D366" s="1130"/>
      <c r="E366" s="1130"/>
      <c r="F366" s="1130"/>
      <c r="G366" s="1130"/>
      <c r="H366" s="1130"/>
      <c r="I366" s="1130"/>
      <c r="J366" s="1130"/>
      <c r="K366" s="1130"/>
      <c r="L366" s="1130"/>
      <c r="M366" s="1130"/>
      <c r="N366" s="1130"/>
      <c r="O366" s="1130"/>
      <c r="P366" s="1130"/>
      <c r="Q366" s="1130"/>
      <c r="R366" s="1130"/>
      <c r="S366" s="1130"/>
      <c r="T366" s="1130"/>
      <c r="U366" s="1130"/>
      <c r="V366" s="1130"/>
      <c r="W366" s="1130"/>
      <c r="X366" s="1130"/>
      <c r="Y366" s="1130"/>
      <c r="Z366" s="1130"/>
    </row>
    <row r="367" spans="1:26" ht="15.75" customHeight="1">
      <c r="A367" s="1130"/>
      <c r="B367" s="1130"/>
      <c r="C367" s="1130"/>
      <c r="D367" s="1130"/>
      <c r="E367" s="1130"/>
      <c r="F367" s="1130"/>
      <c r="G367" s="1130"/>
      <c r="H367" s="1130"/>
      <c r="I367" s="1130"/>
      <c r="J367" s="1130"/>
      <c r="K367" s="1130"/>
      <c r="L367" s="1130"/>
      <c r="M367" s="1130"/>
      <c r="N367" s="1130"/>
      <c r="O367" s="1130"/>
      <c r="P367" s="1130"/>
      <c r="Q367" s="1130"/>
      <c r="R367" s="1130"/>
      <c r="S367" s="1130"/>
      <c r="T367" s="1130"/>
      <c r="U367" s="1130"/>
      <c r="V367" s="1130"/>
      <c r="W367" s="1130"/>
      <c r="X367" s="1130"/>
      <c r="Y367" s="1130"/>
      <c r="Z367" s="1130"/>
    </row>
    <row r="368" spans="1:26" ht="15.75" customHeight="1">
      <c r="A368" s="1130"/>
      <c r="B368" s="1130"/>
      <c r="C368" s="1130"/>
      <c r="D368" s="1130"/>
      <c r="E368" s="1130"/>
      <c r="F368" s="1130"/>
      <c r="G368" s="1130"/>
      <c r="H368" s="1130"/>
      <c r="I368" s="1130"/>
      <c r="J368" s="1130"/>
      <c r="K368" s="1130"/>
      <c r="L368" s="1130"/>
      <c r="M368" s="1130"/>
      <c r="N368" s="1130"/>
      <c r="O368" s="1130"/>
      <c r="P368" s="1130"/>
      <c r="Q368" s="1130"/>
      <c r="R368" s="1130"/>
      <c r="S368" s="1130"/>
      <c r="T368" s="1130"/>
      <c r="U368" s="1130"/>
      <c r="V368" s="1130"/>
      <c r="W368" s="1130"/>
      <c r="X368" s="1130"/>
      <c r="Y368" s="1130"/>
      <c r="Z368" s="1130"/>
    </row>
    <row r="369" spans="1:26" ht="15.75" customHeight="1">
      <c r="A369" s="1130"/>
      <c r="B369" s="1130"/>
      <c r="C369" s="1130"/>
      <c r="D369" s="1130"/>
      <c r="E369" s="1130"/>
      <c r="F369" s="1130"/>
      <c r="G369" s="1130"/>
      <c r="H369" s="1130"/>
      <c r="I369" s="1130"/>
      <c r="J369" s="1130"/>
      <c r="K369" s="1130"/>
      <c r="L369" s="1130"/>
      <c r="M369" s="1130"/>
      <c r="N369" s="1130"/>
      <c r="O369" s="1130"/>
      <c r="P369" s="1130"/>
      <c r="Q369" s="1130"/>
      <c r="R369" s="1130"/>
      <c r="S369" s="1130"/>
      <c r="T369" s="1130"/>
      <c r="U369" s="1130"/>
      <c r="V369" s="1130"/>
      <c r="W369" s="1130"/>
      <c r="X369" s="1130"/>
      <c r="Y369" s="1130"/>
      <c r="Z369" s="1130"/>
    </row>
    <row r="370" spans="1:26" ht="15.75" customHeight="1">
      <c r="A370" s="1130"/>
      <c r="B370" s="1130"/>
      <c r="C370" s="1130"/>
      <c r="D370" s="1130"/>
      <c r="E370" s="1130"/>
      <c r="F370" s="1130"/>
      <c r="G370" s="1130"/>
      <c r="H370" s="1130"/>
      <c r="I370" s="1130"/>
      <c r="J370" s="1130"/>
      <c r="K370" s="1130"/>
      <c r="L370" s="1130"/>
      <c r="M370" s="1130"/>
      <c r="N370" s="1130"/>
      <c r="O370" s="1130"/>
      <c r="P370" s="1130"/>
      <c r="Q370" s="1130"/>
      <c r="R370" s="1130"/>
      <c r="S370" s="1130"/>
      <c r="T370" s="1130"/>
      <c r="U370" s="1130"/>
      <c r="V370" s="1130"/>
      <c r="W370" s="1130"/>
      <c r="X370" s="1130"/>
      <c r="Y370" s="1130"/>
      <c r="Z370" s="1130"/>
    </row>
    <row r="371" spans="1:26" ht="15.75" customHeight="1">
      <c r="A371" s="1130"/>
      <c r="B371" s="1130"/>
      <c r="C371" s="1130"/>
      <c r="D371" s="1130"/>
      <c r="E371" s="1130"/>
      <c r="F371" s="1130"/>
      <c r="G371" s="1130"/>
      <c r="H371" s="1130"/>
      <c r="I371" s="1130"/>
      <c r="J371" s="1130"/>
      <c r="K371" s="1130"/>
      <c r="L371" s="1130"/>
      <c r="M371" s="1130"/>
      <c r="N371" s="1130"/>
      <c r="O371" s="1130"/>
      <c r="P371" s="1130"/>
      <c r="Q371" s="1130"/>
      <c r="R371" s="1130"/>
      <c r="S371" s="1130"/>
      <c r="T371" s="1130"/>
      <c r="U371" s="1130"/>
      <c r="V371" s="1130"/>
      <c r="W371" s="1130"/>
      <c r="X371" s="1130"/>
      <c r="Y371" s="1130"/>
      <c r="Z371" s="1130"/>
    </row>
    <row r="372" spans="1:26" ht="15.75" customHeight="1">
      <c r="A372" s="1130"/>
      <c r="B372" s="1130"/>
      <c r="C372" s="1130"/>
      <c r="D372" s="1130"/>
      <c r="E372" s="1130"/>
      <c r="F372" s="1130"/>
      <c r="G372" s="1130"/>
      <c r="H372" s="1130"/>
      <c r="I372" s="1130"/>
      <c r="J372" s="1130"/>
      <c r="K372" s="1130"/>
      <c r="L372" s="1130"/>
      <c r="M372" s="1130"/>
      <c r="N372" s="1130"/>
      <c r="O372" s="1130"/>
      <c r="P372" s="1130"/>
      <c r="Q372" s="1130"/>
      <c r="R372" s="1130"/>
      <c r="S372" s="1130"/>
      <c r="T372" s="1130"/>
      <c r="U372" s="1130"/>
      <c r="V372" s="1130"/>
      <c r="W372" s="1130"/>
      <c r="X372" s="1130"/>
      <c r="Y372" s="1130"/>
      <c r="Z372" s="1130"/>
    </row>
    <row r="373" spans="1:26" ht="15.75" customHeight="1">
      <c r="A373" s="1130"/>
      <c r="B373" s="1130"/>
      <c r="C373" s="1130"/>
      <c r="D373" s="1130"/>
      <c r="E373" s="1130"/>
      <c r="F373" s="1130"/>
      <c r="G373" s="1130"/>
      <c r="H373" s="1130"/>
      <c r="I373" s="1130"/>
      <c r="J373" s="1130"/>
      <c r="K373" s="1130"/>
      <c r="L373" s="1130"/>
      <c r="M373" s="1130"/>
      <c r="N373" s="1130"/>
      <c r="O373" s="1130"/>
      <c r="P373" s="1130"/>
      <c r="Q373" s="1130"/>
      <c r="R373" s="1130"/>
      <c r="S373" s="1130"/>
      <c r="T373" s="1130"/>
      <c r="U373" s="1130"/>
      <c r="V373" s="1130"/>
      <c r="W373" s="1130"/>
      <c r="X373" s="1130"/>
      <c r="Y373" s="1130"/>
      <c r="Z373" s="1130"/>
    </row>
    <row r="374" spans="1:26" ht="15.75" customHeight="1">
      <c r="A374" s="1130"/>
      <c r="B374" s="1130"/>
      <c r="C374" s="1130"/>
      <c r="D374" s="1130"/>
      <c r="E374" s="1130"/>
      <c r="F374" s="1130"/>
      <c r="G374" s="1130"/>
      <c r="H374" s="1130"/>
      <c r="I374" s="1130"/>
      <c r="J374" s="1130"/>
      <c r="K374" s="1130"/>
      <c r="L374" s="1130"/>
      <c r="M374" s="1130"/>
      <c r="N374" s="1130"/>
      <c r="O374" s="1130"/>
      <c r="P374" s="1130"/>
      <c r="Q374" s="1130"/>
      <c r="R374" s="1130"/>
      <c r="S374" s="1130"/>
      <c r="T374" s="1130"/>
      <c r="U374" s="1130"/>
      <c r="V374" s="1130"/>
      <c r="W374" s="1130"/>
      <c r="X374" s="1130"/>
      <c r="Y374" s="1130"/>
      <c r="Z374" s="1130"/>
    </row>
    <row r="375" spans="1:26" ht="15.75" customHeight="1">
      <c r="A375" s="1130"/>
      <c r="B375" s="1130"/>
      <c r="C375" s="1130"/>
      <c r="D375" s="1130"/>
      <c r="E375" s="1130"/>
      <c r="F375" s="1130"/>
      <c r="G375" s="1130"/>
      <c r="H375" s="1130"/>
      <c r="I375" s="1130"/>
      <c r="J375" s="1130"/>
      <c r="K375" s="1130"/>
      <c r="L375" s="1130"/>
      <c r="M375" s="1130"/>
      <c r="N375" s="1130"/>
      <c r="O375" s="1130"/>
      <c r="P375" s="1130"/>
      <c r="Q375" s="1130"/>
      <c r="R375" s="1130"/>
      <c r="S375" s="1130"/>
      <c r="T375" s="1130"/>
      <c r="U375" s="1130"/>
      <c r="V375" s="1130"/>
      <c r="W375" s="1130"/>
      <c r="X375" s="1130"/>
      <c r="Y375" s="1130"/>
      <c r="Z375" s="1130"/>
    </row>
    <row r="376" spans="1:26" ht="15.75" customHeight="1">
      <c r="A376" s="1130"/>
      <c r="B376" s="1130"/>
      <c r="C376" s="1130"/>
      <c r="D376" s="1130"/>
      <c r="E376" s="1130"/>
      <c r="F376" s="1130"/>
      <c r="G376" s="1130"/>
      <c r="H376" s="1130"/>
      <c r="I376" s="1130"/>
      <c r="J376" s="1130"/>
      <c r="K376" s="1130"/>
      <c r="L376" s="1130"/>
      <c r="M376" s="1130"/>
      <c r="N376" s="1130"/>
      <c r="O376" s="1130"/>
      <c r="P376" s="1130"/>
      <c r="Q376" s="1130"/>
      <c r="R376" s="1130"/>
      <c r="S376" s="1130"/>
      <c r="T376" s="1130"/>
      <c r="U376" s="1130"/>
      <c r="V376" s="1130"/>
      <c r="W376" s="1130"/>
      <c r="X376" s="1130"/>
      <c r="Y376" s="1130"/>
      <c r="Z376" s="1130"/>
    </row>
    <row r="377" spans="1:26" ht="15.75" customHeight="1">
      <c r="A377" s="1130"/>
      <c r="B377" s="1130"/>
      <c r="C377" s="1130"/>
      <c r="D377" s="1130"/>
      <c r="E377" s="1130"/>
      <c r="F377" s="1130"/>
      <c r="G377" s="1130"/>
      <c r="H377" s="1130"/>
      <c r="I377" s="1130"/>
      <c r="J377" s="1130"/>
      <c r="K377" s="1130"/>
      <c r="L377" s="1130"/>
      <c r="M377" s="1130"/>
      <c r="N377" s="1130"/>
      <c r="O377" s="1130"/>
      <c r="P377" s="1130"/>
      <c r="Q377" s="1130"/>
      <c r="R377" s="1130"/>
      <c r="S377" s="1130"/>
      <c r="T377" s="1130"/>
      <c r="U377" s="1130"/>
      <c r="V377" s="1130"/>
      <c r="W377" s="1130"/>
      <c r="X377" s="1130"/>
      <c r="Y377" s="1130"/>
      <c r="Z377" s="1130"/>
    </row>
    <row r="378" spans="1:26" ht="15.75" customHeight="1">
      <c r="A378" s="1130"/>
      <c r="B378" s="1130"/>
      <c r="C378" s="1130"/>
      <c r="D378" s="1130"/>
      <c r="E378" s="1130"/>
      <c r="F378" s="1130"/>
      <c r="G378" s="1130"/>
      <c r="H378" s="1130"/>
      <c r="I378" s="1130"/>
      <c r="J378" s="1130"/>
      <c r="K378" s="1130"/>
      <c r="L378" s="1130"/>
      <c r="M378" s="1130"/>
      <c r="N378" s="1130"/>
      <c r="O378" s="1130"/>
      <c r="P378" s="1130"/>
      <c r="Q378" s="1130"/>
      <c r="R378" s="1130"/>
      <c r="S378" s="1130"/>
      <c r="T378" s="1130"/>
      <c r="U378" s="1130"/>
      <c r="V378" s="1130"/>
      <c r="W378" s="1130"/>
      <c r="X378" s="1130"/>
      <c r="Y378" s="1130"/>
      <c r="Z378" s="1130"/>
    </row>
    <row r="379" spans="1:26" ht="15.75" customHeight="1">
      <c r="A379" s="1130"/>
      <c r="B379" s="1130"/>
      <c r="C379" s="1130"/>
      <c r="D379" s="1130"/>
      <c r="E379" s="1130"/>
      <c r="F379" s="1130"/>
      <c r="G379" s="1130"/>
      <c r="H379" s="1130"/>
      <c r="I379" s="1130"/>
      <c r="J379" s="1130"/>
      <c r="K379" s="1130"/>
      <c r="L379" s="1130"/>
      <c r="M379" s="1130"/>
      <c r="N379" s="1130"/>
      <c r="O379" s="1130"/>
      <c r="P379" s="1130"/>
      <c r="Q379" s="1130"/>
      <c r="R379" s="1130"/>
      <c r="S379" s="1130"/>
      <c r="T379" s="1130"/>
      <c r="U379" s="1130"/>
      <c r="V379" s="1130"/>
      <c r="W379" s="1130"/>
      <c r="X379" s="1130"/>
      <c r="Y379" s="1130"/>
      <c r="Z379" s="1130"/>
    </row>
    <row r="380" spans="1:26" ht="15.75" customHeight="1">
      <c r="A380" s="1130"/>
      <c r="B380" s="1130"/>
      <c r="C380" s="1130"/>
      <c r="D380" s="1130"/>
      <c r="E380" s="1130"/>
      <c r="F380" s="1130"/>
      <c r="G380" s="1130"/>
      <c r="H380" s="1130"/>
      <c r="I380" s="1130"/>
      <c r="J380" s="1130"/>
      <c r="K380" s="1130"/>
      <c r="L380" s="1130"/>
      <c r="M380" s="1130"/>
      <c r="N380" s="1130"/>
      <c r="O380" s="1130"/>
      <c r="P380" s="1130"/>
      <c r="Q380" s="1130"/>
      <c r="R380" s="1130"/>
      <c r="S380" s="1130"/>
      <c r="T380" s="1130"/>
      <c r="U380" s="1130"/>
      <c r="V380" s="1130"/>
      <c r="W380" s="1130"/>
      <c r="X380" s="1130"/>
      <c r="Y380" s="1130"/>
      <c r="Z380" s="1130"/>
    </row>
    <row r="381" spans="1:26" ht="15.75" customHeight="1">
      <c r="A381" s="1130"/>
      <c r="B381" s="1130"/>
      <c r="C381" s="1130"/>
      <c r="D381" s="1130"/>
      <c r="E381" s="1130"/>
      <c r="F381" s="1130"/>
      <c r="G381" s="1130"/>
      <c r="H381" s="1130"/>
      <c r="I381" s="1130"/>
      <c r="J381" s="1130"/>
      <c r="K381" s="1130"/>
      <c r="L381" s="1130"/>
      <c r="M381" s="1130"/>
      <c r="N381" s="1130"/>
      <c r="O381" s="1130"/>
      <c r="P381" s="1130"/>
      <c r="Q381" s="1130"/>
      <c r="R381" s="1130"/>
      <c r="S381" s="1130"/>
      <c r="T381" s="1130"/>
      <c r="U381" s="1130"/>
      <c r="V381" s="1130"/>
      <c r="W381" s="1130"/>
      <c r="X381" s="1130"/>
      <c r="Y381" s="1130"/>
      <c r="Z381" s="1130"/>
    </row>
    <row r="382" spans="1:26" ht="15.75" customHeight="1">
      <c r="A382" s="1130"/>
      <c r="B382" s="1130"/>
      <c r="C382" s="1130"/>
      <c r="D382" s="1130"/>
      <c r="E382" s="1130"/>
      <c r="F382" s="1130"/>
      <c r="G382" s="1130"/>
      <c r="H382" s="1130"/>
      <c r="I382" s="1130"/>
      <c r="J382" s="1130"/>
      <c r="K382" s="1130"/>
      <c r="L382" s="1130"/>
      <c r="M382" s="1130"/>
      <c r="N382" s="1130"/>
      <c r="O382" s="1130"/>
      <c r="P382" s="1130"/>
      <c r="Q382" s="1130"/>
      <c r="R382" s="1130"/>
      <c r="S382" s="1130"/>
      <c r="T382" s="1130"/>
      <c r="U382" s="1130"/>
      <c r="V382" s="1130"/>
      <c r="W382" s="1130"/>
      <c r="X382" s="1130"/>
      <c r="Y382" s="1130"/>
      <c r="Z382" s="1130"/>
    </row>
    <row r="383" spans="1:26" ht="15.75" customHeight="1">
      <c r="A383" s="1130"/>
      <c r="B383" s="1130"/>
      <c r="C383" s="1130"/>
      <c r="D383" s="1130"/>
      <c r="E383" s="1130"/>
      <c r="F383" s="1130"/>
      <c r="G383" s="1130"/>
      <c r="H383" s="1130"/>
      <c r="I383" s="1130"/>
      <c r="J383" s="1130"/>
      <c r="K383" s="1130"/>
      <c r="L383" s="1130"/>
      <c r="M383" s="1130"/>
      <c r="N383" s="1130"/>
      <c r="O383" s="1130"/>
      <c r="P383" s="1130"/>
      <c r="Q383" s="1130"/>
      <c r="R383" s="1130"/>
      <c r="S383" s="1130"/>
      <c r="T383" s="1130"/>
      <c r="U383" s="1130"/>
      <c r="V383" s="1130"/>
      <c r="W383" s="1130"/>
      <c r="X383" s="1130"/>
      <c r="Y383" s="1130"/>
      <c r="Z383" s="1130"/>
    </row>
    <row r="384" spans="1:26" ht="15.75" customHeight="1">
      <c r="A384" s="1130"/>
      <c r="B384" s="1130"/>
      <c r="C384" s="1130"/>
      <c r="D384" s="1130"/>
      <c r="E384" s="1130"/>
      <c r="F384" s="1130"/>
      <c r="G384" s="1130"/>
      <c r="H384" s="1130"/>
      <c r="I384" s="1130"/>
      <c r="J384" s="1130"/>
      <c r="K384" s="1130"/>
      <c r="L384" s="1130"/>
      <c r="M384" s="1130"/>
      <c r="N384" s="1130"/>
      <c r="O384" s="1130"/>
      <c r="P384" s="1130"/>
      <c r="Q384" s="1130"/>
      <c r="R384" s="1130"/>
      <c r="S384" s="1130"/>
      <c r="T384" s="1130"/>
      <c r="U384" s="1130"/>
      <c r="V384" s="1130"/>
      <c r="W384" s="1130"/>
      <c r="X384" s="1130"/>
      <c r="Y384" s="1130"/>
      <c r="Z384" s="1130"/>
    </row>
    <row r="385" spans="1:26" ht="15.75" customHeight="1">
      <c r="A385" s="1130"/>
      <c r="B385" s="1130"/>
      <c r="C385" s="1130"/>
      <c r="D385" s="1130"/>
      <c r="E385" s="1130"/>
      <c r="F385" s="1130"/>
      <c r="G385" s="1130"/>
      <c r="H385" s="1130"/>
      <c r="I385" s="1130"/>
      <c r="J385" s="1130"/>
      <c r="K385" s="1130"/>
      <c r="L385" s="1130"/>
      <c r="M385" s="1130"/>
      <c r="N385" s="1130"/>
      <c r="O385" s="1130"/>
      <c r="P385" s="1130"/>
      <c r="Q385" s="1130"/>
      <c r="R385" s="1130"/>
      <c r="S385" s="1130"/>
      <c r="T385" s="1130"/>
      <c r="U385" s="1130"/>
      <c r="V385" s="1130"/>
      <c r="W385" s="1130"/>
      <c r="X385" s="1130"/>
      <c r="Y385" s="1130"/>
      <c r="Z385" s="1130"/>
    </row>
    <row r="386" spans="1:26" ht="15.75" customHeight="1">
      <c r="A386" s="1130"/>
      <c r="B386" s="1130"/>
      <c r="C386" s="1130"/>
      <c r="D386" s="1130"/>
      <c r="E386" s="1130"/>
      <c r="F386" s="1130"/>
      <c r="G386" s="1130"/>
      <c r="H386" s="1130"/>
      <c r="I386" s="1130"/>
      <c r="J386" s="1130"/>
      <c r="K386" s="1130"/>
      <c r="L386" s="1130"/>
      <c r="M386" s="1130"/>
      <c r="N386" s="1130"/>
      <c r="O386" s="1130"/>
      <c r="P386" s="1130"/>
      <c r="Q386" s="1130"/>
      <c r="R386" s="1130"/>
      <c r="S386" s="1130"/>
      <c r="T386" s="1130"/>
      <c r="U386" s="1130"/>
      <c r="V386" s="1130"/>
      <c r="W386" s="1130"/>
      <c r="X386" s="1130"/>
      <c r="Y386" s="1130"/>
      <c r="Z386" s="1130"/>
    </row>
    <row r="387" spans="1:26" ht="15.75" customHeight="1">
      <c r="A387" s="1130"/>
      <c r="B387" s="1130"/>
      <c r="C387" s="1130"/>
      <c r="D387" s="1130"/>
      <c r="E387" s="1130"/>
      <c r="F387" s="1130"/>
      <c r="G387" s="1130"/>
      <c r="H387" s="1130"/>
      <c r="I387" s="1130"/>
      <c r="J387" s="1130"/>
      <c r="K387" s="1130"/>
      <c r="L387" s="1130"/>
      <c r="M387" s="1130"/>
      <c r="N387" s="1130"/>
      <c r="O387" s="1130"/>
      <c r="P387" s="1130"/>
      <c r="Q387" s="1130"/>
      <c r="R387" s="1130"/>
      <c r="S387" s="1130"/>
      <c r="T387" s="1130"/>
      <c r="U387" s="1130"/>
      <c r="V387" s="1130"/>
      <c r="W387" s="1130"/>
      <c r="X387" s="1130"/>
      <c r="Y387" s="1130"/>
      <c r="Z387" s="1130"/>
    </row>
    <row r="388" spans="1:26" ht="15.75" customHeight="1">
      <c r="A388" s="1130"/>
      <c r="B388" s="1130"/>
      <c r="C388" s="1130"/>
      <c r="D388" s="1130"/>
      <c r="E388" s="1130"/>
      <c r="F388" s="1130"/>
      <c r="G388" s="1130"/>
      <c r="H388" s="1130"/>
      <c r="I388" s="1130"/>
      <c r="J388" s="1130"/>
      <c r="K388" s="1130"/>
      <c r="L388" s="1130"/>
      <c r="M388" s="1130"/>
      <c r="N388" s="1130"/>
      <c r="O388" s="1130"/>
      <c r="P388" s="1130"/>
      <c r="Q388" s="1130"/>
      <c r="R388" s="1130"/>
      <c r="S388" s="1130"/>
      <c r="T388" s="1130"/>
      <c r="U388" s="1130"/>
      <c r="V388" s="1130"/>
      <c r="W388" s="1130"/>
      <c r="X388" s="1130"/>
      <c r="Y388" s="1130"/>
      <c r="Z388" s="1130"/>
    </row>
    <row r="389" spans="1:26" ht="15.75" customHeight="1">
      <c r="A389" s="1130"/>
      <c r="B389" s="1130"/>
      <c r="C389" s="1130"/>
      <c r="D389" s="1130"/>
      <c r="E389" s="1130"/>
      <c r="F389" s="1130"/>
      <c r="G389" s="1130"/>
      <c r="H389" s="1130"/>
      <c r="I389" s="1130"/>
      <c r="J389" s="1130"/>
      <c r="K389" s="1130"/>
      <c r="L389" s="1130"/>
      <c r="M389" s="1130"/>
      <c r="N389" s="1130"/>
      <c r="O389" s="1130"/>
      <c r="P389" s="1130"/>
      <c r="Q389" s="1130"/>
      <c r="R389" s="1130"/>
      <c r="S389" s="1130"/>
      <c r="T389" s="1130"/>
      <c r="U389" s="1130"/>
      <c r="V389" s="1130"/>
      <c r="W389" s="1130"/>
      <c r="X389" s="1130"/>
      <c r="Y389" s="1130"/>
      <c r="Z389" s="1130"/>
    </row>
    <row r="390" spans="1:26" ht="15.75" customHeight="1">
      <c r="A390" s="1130"/>
      <c r="B390" s="1130"/>
      <c r="C390" s="1130"/>
      <c r="D390" s="1130"/>
      <c r="E390" s="1130"/>
      <c r="F390" s="1130"/>
      <c r="G390" s="1130"/>
      <c r="H390" s="1130"/>
      <c r="I390" s="1130"/>
      <c r="J390" s="1130"/>
      <c r="K390" s="1130"/>
      <c r="L390" s="1130"/>
      <c r="M390" s="1130"/>
      <c r="N390" s="1130"/>
      <c r="O390" s="1130"/>
      <c r="P390" s="1130"/>
      <c r="Q390" s="1130"/>
      <c r="R390" s="1130"/>
      <c r="S390" s="1130"/>
      <c r="T390" s="1130"/>
      <c r="U390" s="1130"/>
      <c r="V390" s="1130"/>
      <c r="W390" s="1130"/>
      <c r="X390" s="1130"/>
      <c r="Y390" s="1130"/>
      <c r="Z390" s="1130"/>
    </row>
    <row r="391" spans="1:26" ht="15.75" customHeight="1">
      <c r="A391" s="1130"/>
      <c r="B391" s="1130"/>
      <c r="C391" s="1130"/>
      <c r="D391" s="1130"/>
      <c r="E391" s="1130"/>
      <c r="F391" s="1130"/>
      <c r="G391" s="1130"/>
      <c r="H391" s="1130"/>
      <c r="I391" s="1130"/>
      <c r="J391" s="1130"/>
      <c r="K391" s="1130"/>
      <c r="L391" s="1130"/>
      <c r="M391" s="1130"/>
      <c r="N391" s="1130"/>
      <c r="O391" s="1130"/>
      <c r="P391" s="1130"/>
      <c r="Q391" s="1130"/>
      <c r="R391" s="1130"/>
      <c r="S391" s="1130"/>
      <c r="T391" s="1130"/>
      <c r="U391" s="1130"/>
      <c r="V391" s="1130"/>
      <c r="W391" s="1130"/>
      <c r="X391" s="1130"/>
      <c r="Y391" s="1130"/>
      <c r="Z391" s="1130"/>
    </row>
    <row r="392" spans="1:26" ht="15.75" customHeight="1">
      <c r="A392" s="1130"/>
      <c r="B392" s="1130"/>
      <c r="C392" s="1130"/>
      <c r="D392" s="1130"/>
      <c r="E392" s="1130"/>
      <c r="F392" s="1130"/>
      <c r="G392" s="1130"/>
      <c r="H392" s="1130"/>
      <c r="I392" s="1130"/>
      <c r="J392" s="1130"/>
      <c r="K392" s="1130"/>
      <c r="L392" s="1130"/>
      <c r="M392" s="1130"/>
      <c r="N392" s="1130"/>
      <c r="O392" s="1130"/>
      <c r="P392" s="1130"/>
      <c r="Q392" s="1130"/>
      <c r="R392" s="1130"/>
      <c r="S392" s="1130"/>
      <c r="T392" s="1130"/>
      <c r="U392" s="1130"/>
      <c r="V392" s="1130"/>
      <c r="W392" s="1130"/>
      <c r="X392" s="1130"/>
      <c r="Y392" s="1130"/>
      <c r="Z392" s="1130"/>
    </row>
    <row r="393" spans="1:26" ht="15.75" customHeight="1">
      <c r="A393" s="1130"/>
      <c r="B393" s="1130"/>
      <c r="C393" s="1130"/>
      <c r="D393" s="1130"/>
      <c r="E393" s="1130"/>
      <c r="F393" s="1130"/>
      <c r="G393" s="1130"/>
      <c r="H393" s="1130"/>
      <c r="I393" s="1130"/>
      <c r="J393" s="1130"/>
      <c r="K393" s="1130"/>
      <c r="L393" s="1130"/>
      <c r="M393" s="1130"/>
      <c r="N393" s="1130"/>
      <c r="O393" s="1130"/>
      <c r="P393" s="1130"/>
      <c r="Q393" s="1130"/>
      <c r="R393" s="1130"/>
      <c r="S393" s="1130"/>
      <c r="T393" s="1130"/>
      <c r="U393" s="1130"/>
      <c r="V393" s="1130"/>
      <c r="W393" s="1130"/>
      <c r="X393" s="1130"/>
      <c r="Y393" s="1130"/>
      <c r="Z393" s="1130"/>
    </row>
    <row r="394" spans="1:26" ht="15.75" customHeight="1">
      <c r="A394" s="1130"/>
      <c r="B394" s="1130"/>
      <c r="C394" s="1130"/>
      <c r="D394" s="1130"/>
      <c r="E394" s="1130"/>
      <c r="F394" s="1130"/>
      <c r="G394" s="1130"/>
      <c r="H394" s="1130"/>
      <c r="I394" s="1130"/>
      <c r="J394" s="1130"/>
      <c r="K394" s="1130"/>
      <c r="L394" s="1130"/>
      <c r="M394" s="1130"/>
      <c r="N394" s="1130"/>
      <c r="O394" s="1130"/>
      <c r="P394" s="1130"/>
      <c r="Q394" s="1130"/>
      <c r="R394" s="1130"/>
      <c r="S394" s="1130"/>
      <c r="T394" s="1130"/>
      <c r="U394" s="1130"/>
      <c r="V394" s="1130"/>
      <c r="W394" s="1130"/>
      <c r="X394" s="1130"/>
      <c r="Y394" s="1130"/>
      <c r="Z394" s="1130"/>
    </row>
    <row r="395" spans="1:26" ht="15.75" customHeight="1">
      <c r="A395" s="1130"/>
      <c r="B395" s="1130"/>
      <c r="C395" s="1130"/>
      <c r="D395" s="1130"/>
      <c r="E395" s="1130"/>
      <c r="F395" s="1130"/>
      <c r="G395" s="1130"/>
      <c r="H395" s="1130"/>
      <c r="I395" s="1130"/>
      <c r="J395" s="1130"/>
      <c r="K395" s="1130"/>
      <c r="L395" s="1130"/>
      <c r="M395" s="1130"/>
      <c r="N395" s="1130"/>
      <c r="O395" s="1130"/>
      <c r="P395" s="1130"/>
      <c r="Q395" s="1130"/>
      <c r="R395" s="1130"/>
      <c r="S395" s="1130"/>
      <c r="T395" s="1130"/>
      <c r="U395" s="1130"/>
      <c r="V395" s="1130"/>
      <c r="W395" s="1130"/>
      <c r="X395" s="1130"/>
      <c r="Y395" s="1130"/>
      <c r="Z395" s="1130"/>
    </row>
    <row r="396" spans="1:26" ht="15.75" customHeight="1">
      <c r="A396" s="1130"/>
      <c r="B396" s="1130"/>
      <c r="C396" s="1130"/>
      <c r="D396" s="1130"/>
      <c r="E396" s="1130"/>
      <c r="F396" s="1130"/>
      <c r="G396" s="1130"/>
      <c r="H396" s="1130"/>
      <c r="I396" s="1130"/>
      <c r="J396" s="1130"/>
      <c r="K396" s="1130"/>
      <c r="L396" s="1130"/>
      <c r="M396" s="1130"/>
      <c r="N396" s="1130"/>
      <c r="O396" s="1130"/>
      <c r="P396" s="1130"/>
      <c r="Q396" s="1130"/>
      <c r="R396" s="1130"/>
      <c r="S396" s="1130"/>
      <c r="T396" s="1130"/>
      <c r="U396" s="1130"/>
      <c r="V396" s="1130"/>
      <c r="W396" s="1130"/>
      <c r="X396" s="1130"/>
      <c r="Y396" s="1130"/>
      <c r="Z396" s="1130"/>
    </row>
    <row r="397" spans="1:26" ht="15.75" customHeight="1">
      <c r="A397" s="1130"/>
      <c r="B397" s="1130"/>
      <c r="C397" s="1130"/>
      <c r="D397" s="1130"/>
      <c r="E397" s="1130"/>
      <c r="F397" s="1130"/>
      <c r="G397" s="1130"/>
      <c r="H397" s="1130"/>
      <c r="I397" s="1130"/>
      <c r="J397" s="1130"/>
      <c r="K397" s="1130"/>
      <c r="L397" s="1130"/>
      <c r="M397" s="1130"/>
      <c r="N397" s="1130"/>
      <c r="O397" s="1130"/>
      <c r="P397" s="1130"/>
      <c r="Q397" s="1130"/>
      <c r="R397" s="1130"/>
      <c r="S397" s="1130"/>
      <c r="T397" s="1130"/>
      <c r="U397" s="1130"/>
      <c r="V397" s="1130"/>
      <c r="W397" s="1130"/>
      <c r="X397" s="1130"/>
      <c r="Y397" s="1130"/>
      <c r="Z397" s="1130"/>
    </row>
    <row r="398" spans="1:26" ht="15.75" customHeight="1">
      <c r="A398" s="1130"/>
      <c r="B398" s="1130"/>
      <c r="C398" s="1130"/>
      <c r="D398" s="1130"/>
      <c r="E398" s="1130"/>
      <c r="F398" s="1130"/>
      <c r="G398" s="1130"/>
      <c r="H398" s="1130"/>
      <c r="I398" s="1130"/>
      <c r="J398" s="1130"/>
      <c r="K398" s="1130"/>
      <c r="L398" s="1130"/>
      <c r="M398" s="1130"/>
      <c r="N398" s="1130"/>
      <c r="O398" s="1130"/>
      <c r="P398" s="1130"/>
      <c r="Q398" s="1130"/>
      <c r="R398" s="1130"/>
      <c r="S398" s="1130"/>
      <c r="T398" s="1130"/>
      <c r="U398" s="1130"/>
      <c r="V398" s="1130"/>
      <c r="W398" s="1130"/>
      <c r="X398" s="1130"/>
      <c r="Y398" s="1130"/>
      <c r="Z398" s="1130"/>
    </row>
    <row r="399" spans="1:26" ht="15.75" customHeight="1">
      <c r="A399" s="1130"/>
      <c r="B399" s="1130"/>
      <c r="C399" s="1130"/>
      <c r="D399" s="1130"/>
      <c r="E399" s="1130"/>
      <c r="F399" s="1130"/>
      <c r="G399" s="1130"/>
      <c r="H399" s="1130"/>
      <c r="I399" s="1130"/>
      <c r="J399" s="1130"/>
      <c r="K399" s="1130"/>
      <c r="L399" s="1130"/>
      <c r="M399" s="1130"/>
      <c r="N399" s="1130"/>
      <c r="O399" s="1130"/>
      <c r="P399" s="1130"/>
      <c r="Q399" s="1130"/>
      <c r="R399" s="1130"/>
      <c r="S399" s="1130"/>
      <c r="T399" s="1130"/>
      <c r="U399" s="1130"/>
      <c r="V399" s="1130"/>
      <c r="W399" s="1130"/>
      <c r="X399" s="1130"/>
      <c r="Y399" s="1130"/>
      <c r="Z399" s="1130"/>
    </row>
    <row r="400" spans="1:26" ht="15.75" customHeight="1">
      <c r="A400" s="1130"/>
      <c r="B400" s="1130"/>
      <c r="C400" s="1130"/>
      <c r="D400" s="1130"/>
      <c r="E400" s="1130"/>
      <c r="F400" s="1130"/>
      <c r="G400" s="1130"/>
      <c r="H400" s="1130"/>
      <c r="I400" s="1130"/>
      <c r="J400" s="1130"/>
      <c r="K400" s="1130"/>
      <c r="L400" s="1130"/>
      <c r="M400" s="1130"/>
      <c r="N400" s="1130"/>
      <c r="O400" s="1130"/>
      <c r="P400" s="1130"/>
      <c r="Q400" s="1130"/>
      <c r="R400" s="1130"/>
      <c r="S400" s="1130"/>
      <c r="T400" s="1130"/>
      <c r="U400" s="1130"/>
      <c r="V400" s="1130"/>
      <c r="W400" s="1130"/>
      <c r="X400" s="1130"/>
      <c r="Y400" s="1130"/>
      <c r="Z400" s="1130"/>
    </row>
    <row r="401" spans="1:26" ht="15.75" customHeight="1">
      <c r="A401" s="1130"/>
      <c r="B401" s="1130"/>
      <c r="C401" s="1130"/>
      <c r="D401" s="1130"/>
      <c r="E401" s="1130"/>
      <c r="F401" s="1130"/>
      <c r="G401" s="1130"/>
      <c r="H401" s="1130"/>
      <c r="I401" s="1130"/>
      <c r="J401" s="1130"/>
      <c r="K401" s="1130"/>
      <c r="L401" s="1130"/>
      <c r="M401" s="1130"/>
      <c r="N401" s="1130"/>
      <c r="O401" s="1130"/>
      <c r="P401" s="1130"/>
      <c r="Q401" s="1130"/>
      <c r="R401" s="1130"/>
      <c r="S401" s="1130"/>
      <c r="T401" s="1130"/>
      <c r="U401" s="1130"/>
      <c r="V401" s="1130"/>
      <c r="W401" s="1130"/>
      <c r="X401" s="1130"/>
      <c r="Y401" s="1130"/>
      <c r="Z401" s="1130"/>
    </row>
    <row r="402" spans="1:26" ht="15.75" customHeight="1">
      <c r="A402" s="1130"/>
      <c r="B402" s="1130"/>
      <c r="C402" s="1130"/>
      <c r="D402" s="1130"/>
      <c r="E402" s="1130"/>
      <c r="F402" s="1130"/>
      <c r="G402" s="1130"/>
      <c r="H402" s="1130"/>
      <c r="I402" s="1130"/>
      <c r="J402" s="1130"/>
      <c r="K402" s="1130"/>
      <c r="L402" s="1130"/>
      <c r="M402" s="1130"/>
      <c r="N402" s="1130"/>
      <c r="O402" s="1130"/>
      <c r="P402" s="1130"/>
      <c r="Q402" s="1130"/>
      <c r="R402" s="1130"/>
      <c r="S402" s="1130"/>
      <c r="T402" s="1130"/>
      <c r="U402" s="1130"/>
      <c r="V402" s="1130"/>
      <c r="W402" s="1130"/>
      <c r="X402" s="1130"/>
      <c r="Y402" s="1130"/>
      <c r="Z402" s="1130"/>
    </row>
    <row r="403" spans="1:26" ht="15.75" customHeight="1">
      <c r="A403" s="1130"/>
      <c r="B403" s="1130"/>
      <c r="C403" s="1130"/>
      <c r="D403" s="1130"/>
      <c r="E403" s="1130"/>
      <c r="F403" s="1130"/>
      <c r="G403" s="1130"/>
      <c r="H403" s="1130"/>
      <c r="I403" s="1130"/>
      <c r="J403" s="1130"/>
      <c r="K403" s="1130"/>
      <c r="L403" s="1130"/>
      <c r="M403" s="1130"/>
      <c r="N403" s="1130"/>
      <c r="O403" s="1130"/>
      <c r="P403" s="1130"/>
      <c r="Q403" s="1130"/>
      <c r="R403" s="1130"/>
      <c r="S403" s="1130"/>
      <c r="T403" s="1130"/>
      <c r="U403" s="1130"/>
      <c r="V403" s="1130"/>
      <c r="W403" s="1130"/>
      <c r="X403" s="1130"/>
      <c r="Y403" s="1130"/>
      <c r="Z403" s="1130"/>
    </row>
    <row r="404" spans="1:26" ht="15.75" customHeight="1">
      <c r="A404" s="1130"/>
      <c r="B404" s="1130"/>
      <c r="C404" s="1130"/>
      <c r="D404" s="1130"/>
      <c r="E404" s="1130"/>
      <c r="F404" s="1130"/>
      <c r="G404" s="1130"/>
      <c r="H404" s="1130"/>
      <c r="I404" s="1130"/>
      <c r="J404" s="1130"/>
      <c r="K404" s="1130"/>
      <c r="L404" s="1130"/>
      <c r="M404" s="1130"/>
      <c r="N404" s="1130"/>
      <c r="O404" s="1130"/>
      <c r="P404" s="1130"/>
      <c r="Q404" s="1130"/>
      <c r="R404" s="1130"/>
      <c r="S404" s="1130"/>
      <c r="T404" s="1130"/>
      <c r="U404" s="1130"/>
      <c r="V404" s="1130"/>
      <c r="W404" s="1130"/>
      <c r="X404" s="1130"/>
      <c r="Y404" s="1130"/>
      <c r="Z404" s="1130"/>
    </row>
    <row r="405" spans="1:26" ht="15.75" customHeight="1">
      <c r="A405" s="1130"/>
      <c r="B405" s="1130"/>
      <c r="C405" s="1130"/>
      <c r="D405" s="1130"/>
      <c r="E405" s="1130"/>
      <c r="F405" s="1130"/>
      <c r="G405" s="1130"/>
      <c r="H405" s="1130"/>
      <c r="I405" s="1130"/>
      <c r="J405" s="1130"/>
      <c r="K405" s="1130"/>
      <c r="L405" s="1130"/>
      <c r="M405" s="1130"/>
      <c r="N405" s="1130"/>
      <c r="O405" s="1130"/>
      <c r="P405" s="1130"/>
      <c r="Q405" s="1130"/>
      <c r="R405" s="1130"/>
      <c r="S405" s="1130"/>
      <c r="T405" s="1130"/>
      <c r="U405" s="1130"/>
      <c r="V405" s="1130"/>
      <c r="W405" s="1130"/>
      <c r="X405" s="1130"/>
      <c r="Y405" s="1130"/>
      <c r="Z405" s="1130"/>
    </row>
    <row r="406" spans="1:26" ht="15.75" customHeight="1">
      <c r="A406" s="1130"/>
      <c r="B406" s="1130"/>
      <c r="C406" s="1130"/>
      <c r="D406" s="1130"/>
      <c r="E406" s="1130"/>
      <c r="F406" s="1130"/>
      <c r="G406" s="1130"/>
      <c r="H406" s="1130"/>
      <c r="I406" s="1130"/>
      <c r="J406" s="1130"/>
      <c r="K406" s="1130"/>
      <c r="L406" s="1130"/>
      <c r="M406" s="1130"/>
      <c r="N406" s="1130"/>
      <c r="O406" s="1130"/>
      <c r="P406" s="1130"/>
      <c r="Q406" s="1130"/>
      <c r="R406" s="1130"/>
      <c r="S406" s="1130"/>
      <c r="T406" s="1130"/>
      <c r="U406" s="1130"/>
      <c r="V406" s="1130"/>
      <c r="W406" s="1130"/>
      <c r="X406" s="1130"/>
      <c r="Y406" s="1130"/>
      <c r="Z406" s="1130"/>
    </row>
    <row r="407" spans="1:26" ht="15.75" customHeight="1">
      <c r="A407" s="1130"/>
      <c r="B407" s="1130"/>
      <c r="C407" s="1130"/>
      <c r="D407" s="1130"/>
      <c r="E407" s="1130"/>
      <c r="F407" s="1130"/>
      <c r="G407" s="1130"/>
      <c r="H407" s="1130"/>
      <c r="I407" s="1130"/>
      <c r="J407" s="1130"/>
      <c r="K407" s="1130"/>
      <c r="L407" s="1130"/>
      <c r="M407" s="1130"/>
      <c r="N407" s="1130"/>
      <c r="O407" s="1130"/>
      <c r="P407" s="1130"/>
      <c r="Q407" s="1130"/>
      <c r="R407" s="1130"/>
      <c r="S407" s="1130"/>
      <c r="T407" s="1130"/>
      <c r="U407" s="1130"/>
      <c r="V407" s="1130"/>
      <c r="W407" s="1130"/>
      <c r="X407" s="1130"/>
      <c r="Y407" s="1130"/>
      <c r="Z407" s="1130"/>
    </row>
    <row r="408" spans="1:26" ht="15.75" customHeight="1">
      <c r="A408" s="1130"/>
      <c r="B408" s="1130"/>
      <c r="C408" s="1130"/>
      <c r="D408" s="1130"/>
      <c r="E408" s="1130"/>
      <c r="F408" s="1130"/>
      <c r="G408" s="1130"/>
      <c r="H408" s="1130"/>
      <c r="I408" s="1130"/>
      <c r="J408" s="1130"/>
      <c r="K408" s="1130"/>
      <c r="L408" s="1130"/>
      <c r="M408" s="1130"/>
      <c r="N408" s="1130"/>
      <c r="O408" s="1130"/>
      <c r="P408" s="1130"/>
      <c r="Q408" s="1130"/>
      <c r="R408" s="1130"/>
      <c r="S408" s="1130"/>
      <c r="T408" s="1130"/>
      <c r="U408" s="1130"/>
      <c r="V408" s="1130"/>
      <c r="W408" s="1130"/>
      <c r="X408" s="1130"/>
      <c r="Y408" s="1130"/>
      <c r="Z408" s="1130"/>
    </row>
    <row r="409" spans="1:26" ht="15.75" customHeight="1">
      <c r="A409" s="1130"/>
      <c r="B409" s="1130"/>
      <c r="C409" s="1130"/>
      <c r="D409" s="1130"/>
      <c r="E409" s="1130"/>
      <c r="F409" s="1130"/>
      <c r="G409" s="1130"/>
      <c r="H409" s="1130"/>
      <c r="I409" s="1130"/>
      <c r="J409" s="1130"/>
      <c r="K409" s="1130"/>
      <c r="L409" s="1130"/>
      <c r="M409" s="1130"/>
      <c r="N409" s="1130"/>
      <c r="O409" s="1130"/>
      <c r="P409" s="1130"/>
      <c r="Q409" s="1130"/>
      <c r="R409" s="1130"/>
      <c r="S409" s="1130"/>
      <c r="T409" s="1130"/>
      <c r="U409" s="1130"/>
      <c r="V409" s="1130"/>
      <c r="W409" s="1130"/>
      <c r="X409" s="1130"/>
      <c r="Y409" s="1130"/>
      <c r="Z409" s="1130"/>
    </row>
    <row r="410" spans="1:26" ht="15.75" customHeight="1">
      <c r="A410" s="1130"/>
      <c r="B410" s="1130"/>
      <c r="C410" s="1130"/>
      <c r="D410" s="1130"/>
      <c r="E410" s="1130"/>
      <c r="F410" s="1130"/>
      <c r="G410" s="1130"/>
      <c r="H410" s="1130"/>
      <c r="I410" s="1130"/>
      <c r="J410" s="1130"/>
      <c r="K410" s="1130"/>
      <c r="L410" s="1130"/>
      <c r="M410" s="1130"/>
      <c r="N410" s="1130"/>
      <c r="O410" s="1130"/>
      <c r="P410" s="1130"/>
      <c r="Q410" s="1130"/>
      <c r="R410" s="1130"/>
      <c r="S410" s="1130"/>
      <c r="T410" s="1130"/>
      <c r="U410" s="1130"/>
      <c r="V410" s="1130"/>
      <c r="W410" s="1130"/>
      <c r="X410" s="1130"/>
      <c r="Y410" s="1130"/>
      <c r="Z410" s="1130"/>
    </row>
    <row r="411" spans="1:26" ht="15.75" customHeight="1">
      <c r="A411" s="1130"/>
      <c r="B411" s="1130"/>
      <c r="C411" s="1130"/>
      <c r="D411" s="1130"/>
      <c r="E411" s="1130"/>
      <c r="F411" s="1130"/>
      <c r="G411" s="1130"/>
      <c r="H411" s="1130"/>
      <c r="I411" s="1130"/>
      <c r="J411" s="1130"/>
      <c r="K411" s="1130"/>
      <c r="L411" s="1130"/>
      <c r="M411" s="1130"/>
      <c r="N411" s="1130"/>
      <c r="O411" s="1130"/>
      <c r="P411" s="1130"/>
      <c r="Q411" s="1130"/>
      <c r="R411" s="1130"/>
      <c r="S411" s="1130"/>
      <c r="T411" s="1130"/>
      <c r="U411" s="1130"/>
      <c r="V411" s="1130"/>
      <c r="W411" s="1130"/>
      <c r="X411" s="1130"/>
      <c r="Y411" s="1130"/>
      <c r="Z411" s="1130"/>
    </row>
    <row r="412" spans="1:26" ht="15.75" customHeight="1">
      <c r="A412" s="1130"/>
      <c r="B412" s="1130"/>
      <c r="C412" s="1130"/>
      <c r="D412" s="1130"/>
      <c r="E412" s="1130"/>
      <c r="F412" s="1130"/>
      <c r="G412" s="1130"/>
      <c r="H412" s="1130"/>
      <c r="I412" s="1130"/>
      <c r="J412" s="1130"/>
      <c r="K412" s="1130"/>
      <c r="L412" s="1130"/>
      <c r="M412" s="1130"/>
      <c r="N412" s="1130"/>
      <c r="O412" s="1130"/>
      <c r="P412" s="1130"/>
      <c r="Q412" s="1130"/>
      <c r="R412" s="1130"/>
      <c r="S412" s="1130"/>
      <c r="T412" s="1130"/>
      <c r="U412" s="1130"/>
      <c r="V412" s="1130"/>
      <c r="W412" s="1130"/>
      <c r="X412" s="1130"/>
      <c r="Y412" s="1130"/>
      <c r="Z412" s="1130"/>
    </row>
    <row r="413" spans="1:26" ht="15.75" customHeight="1">
      <c r="A413" s="1130"/>
      <c r="B413" s="1130"/>
      <c r="C413" s="1130"/>
      <c r="D413" s="1130"/>
      <c r="E413" s="1130"/>
      <c r="F413" s="1130"/>
      <c r="G413" s="1130"/>
      <c r="H413" s="1130"/>
      <c r="I413" s="1130"/>
      <c r="J413" s="1130"/>
      <c r="K413" s="1130"/>
      <c r="L413" s="1130"/>
      <c r="M413" s="1130"/>
      <c r="N413" s="1130"/>
      <c r="O413" s="1130"/>
      <c r="P413" s="1130"/>
      <c r="Q413" s="1130"/>
      <c r="R413" s="1130"/>
      <c r="S413" s="1130"/>
      <c r="T413" s="1130"/>
      <c r="U413" s="1130"/>
      <c r="V413" s="1130"/>
      <c r="W413" s="1130"/>
      <c r="X413" s="1130"/>
      <c r="Y413" s="1130"/>
      <c r="Z413" s="1130"/>
    </row>
    <row r="414" spans="1:26" ht="15.75" customHeight="1">
      <c r="A414" s="1130"/>
      <c r="B414" s="1130"/>
      <c r="C414" s="1130"/>
      <c r="D414" s="1130"/>
      <c r="E414" s="1130"/>
      <c r="F414" s="1130"/>
      <c r="G414" s="1130"/>
      <c r="H414" s="1130"/>
      <c r="I414" s="1130"/>
      <c r="J414" s="1130"/>
      <c r="K414" s="1130"/>
      <c r="L414" s="1130"/>
      <c r="M414" s="1130"/>
      <c r="N414" s="1130"/>
      <c r="O414" s="1130"/>
      <c r="P414" s="1130"/>
      <c r="Q414" s="1130"/>
      <c r="R414" s="1130"/>
      <c r="S414" s="1130"/>
      <c r="T414" s="1130"/>
      <c r="U414" s="1130"/>
      <c r="V414" s="1130"/>
      <c r="W414" s="1130"/>
      <c r="X414" s="1130"/>
      <c r="Y414" s="1130"/>
      <c r="Z414" s="1130"/>
    </row>
    <row r="415" spans="1:26" ht="15.75" customHeight="1">
      <c r="A415" s="1130"/>
      <c r="B415" s="1130"/>
      <c r="C415" s="1130"/>
      <c r="D415" s="1130"/>
      <c r="E415" s="1130"/>
      <c r="F415" s="1130"/>
      <c r="G415" s="1130"/>
      <c r="H415" s="1130"/>
      <c r="I415" s="1130"/>
      <c r="J415" s="1130"/>
      <c r="K415" s="1130"/>
      <c r="L415" s="1130"/>
      <c r="M415" s="1130"/>
      <c r="N415" s="1130"/>
      <c r="O415" s="1130"/>
      <c r="P415" s="1130"/>
      <c r="Q415" s="1130"/>
      <c r="R415" s="1130"/>
      <c r="S415" s="1130"/>
      <c r="T415" s="1130"/>
      <c r="U415" s="1130"/>
      <c r="V415" s="1130"/>
      <c r="W415" s="1130"/>
      <c r="X415" s="1130"/>
      <c r="Y415" s="1130"/>
      <c r="Z415" s="1130"/>
    </row>
    <row r="416" spans="1:26" ht="15.75" customHeight="1">
      <c r="A416" s="1130"/>
      <c r="B416" s="1130"/>
      <c r="C416" s="1130"/>
      <c r="D416" s="1130"/>
      <c r="E416" s="1130"/>
      <c r="F416" s="1130"/>
      <c r="G416" s="1130"/>
      <c r="H416" s="1130"/>
      <c r="I416" s="1130"/>
      <c r="J416" s="1130"/>
      <c r="K416" s="1130"/>
      <c r="L416" s="1130"/>
      <c r="M416" s="1130"/>
      <c r="N416" s="1130"/>
      <c r="O416" s="1130"/>
      <c r="P416" s="1130"/>
      <c r="Q416" s="1130"/>
      <c r="R416" s="1130"/>
      <c r="S416" s="1130"/>
      <c r="T416" s="1130"/>
      <c r="U416" s="1130"/>
      <c r="V416" s="1130"/>
      <c r="W416" s="1130"/>
      <c r="X416" s="1130"/>
      <c r="Y416" s="1130"/>
      <c r="Z416" s="1130"/>
    </row>
    <row r="417" spans="1:26" ht="15.75" customHeight="1">
      <c r="A417" s="1130"/>
      <c r="B417" s="1130"/>
      <c r="C417" s="1130"/>
      <c r="D417" s="1130"/>
      <c r="E417" s="1130"/>
      <c r="F417" s="1130"/>
      <c r="G417" s="1130"/>
      <c r="H417" s="1130"/>
      <c r="I417" s="1130"/>
      <c r="J417" s="1130"/>
      <c r="K417" s="1130"/>
      <c r="L417" s="1130"/>
      <c r="M417" s="1130"/>
      <c r="N417" s="1130"/>
      <c r="O417" s="1130"/>
      <c r="P417" s="1130"/>
      <c r="Q417" s="1130"/>
      <c r="R417" s="1130"/>
      <c r="S417" s="1130"/>
      <c r="T417" s="1130"/>
      <c r="U417" s="1130"/>
      <c r="V417" s="1130"/>
      <c r="W417" s="1130"/>
      <c r="X417" s="1130"/>
      <c r="Y417" s="1130"/>
      <c r="Z417" s="1130"/>
    </row>
    <row r="418" spans="1:26" ht="15.75" customHeight="1">
      <c r="A418" s="1130"/>
      <c r="B418" s="1130"/>
      <c r="C418" s="1130"/>
      <c r="D418" s="1130"/>
      <c r="E418" s="1130"/>
      <c r="F418" s="1130"/>
      <c r="G418" s="1130"/>
      <c r="H418" s="1130"/>
      <c r="I418" s="1130"/>
      <c r="J418" s="1130"/>
      <c r="K418" s="1130"/>
      <c r="L418" s="1130"/>
      <c r="M418" s="1130"/>
      <c r="N418" s="1130"/>
      <c r="O418" s="1130"/>
      <c r="P418" s="1130"/>
      <c r="Q418" s="1130"/>
      <c r="R418" s="1130"/>
      <c r="S418" s="1130"/>
      <c r="T418" s="1130"/>
      <c r="U418" s="1130"/>
      <c r="V418" s="1130"/>
      <c r="W418" s="1130"/>
      <c r="X418" s="1130"/>
      <c r="Y418" s="1130"/>
      <c r="Z418" s="1130"/>
    </row>
    <row r="419" spans="1:26" ht="15.75" customHeight="1">
      <c r="A419" s="1130"/>
      <c r="B419" s="1130"/>
      <c r="C419" s="1130"/>
      <c r="D419" s="1130"/>
      <c r="E419" s="1130"/>
      <c r="F419" s="1130"/>
      <c r="G419" s="1130"/>
      <c r="H419" s="1130"/>
      <c r="I419" s="1130"/>
      <c r="J419" s="1130"/>
      <c r="K419" s="1130"/>
      <c r="L419" s="1130"/>
      <c r="M419" s="1130"/>
      <c r="N419" s="1130"/>
      <c r="O419" s="1130"/>
      <c r="P419" s="1130"/>
      <c r="Q419" s="1130"/>
      <c r="R419" s="1130"/>
      <c r="S419" s="1130"/>
      <c r="T419" s="1130"/>
      <c r="U419" s="1130"/>
      <c r="V419" s="1130"/>
      <c r="W419" s="1130"/>
      <c r="X419" s="1130"/>
      <c r="Y419" s="1130"/>
      <c r="Z419" s="1130"/>
    </row>
    <row r="420" spans="1:26" ht="15.75" customHeight="1">
      <c r="A420" s="1130"/>
      <c r="B420" s="1130"/>
      <c r="C420" s="1130"/>
      <c r="D420" s="1130"/>
      <c r="E420" s="1130"/>
      <c r="F420" s="1130"/>
      <c r="G420" s="1130"/>
      <c r="H420" s="1130"/>
      <c r="I420" s="1130"/>
      <c r="J420" s="1130"/>
      <c r="K420" s="1130"/>
      <c r="L420" s="1130"/>
      <c r="M420" s="1130"/>
      <c r="N420" s="1130"/>
      <c r="O420" s="1130"/>
      <c r="P420" s="1130"/>
      <c r="Q420" s="1130"/>
      <c r="R420" s="1130"/>
      <c r="S420" s="1130"/>
      <c r="T420" s="1130"/>
      <c r="U420" s="1130"/>
      <c r="V420" s="1130"/>
      <c r="W420" s="1130"/>
      <c r="X420" s="1130"/>
      <c r="Y420" s="1130"/>
      <c r="Z420" s="1130"/>
    </row>
    <row r="421" spans="1:26" ht="15.75" customHeight="1">
      <c r="A421" s="1130"/>
      <c r="B421" s="1130"/>
      <c r="C421" s="1130"/>
      <c r="D421" s="1130"/>
      <c r="E421" s="1130"/>
      <c r="F421" s="1130"/>
      <c r="G421" s="1130"/>
      <c r="H421" s="1130"/>
      <c r="I421" s="1130"/>
      <c r="J421" s="1130"/>
      <c r="K421" s="1130"/>
      <c r="L421" s="1130"/>
      <c r="M421" s="1130"/>
      <c r="N421" s="1130"/>
      <c r="O421" s="1130"/>
      <c r="P421" s="1130"/>
      <c r="Q421" s="1130"/>
      <c r="R421" s="1130"/>
      <c r="S421" s="1130"/>
      <c r="T421" s="1130"/>
      <c r="U421" s="1130"/>
      <c r="V421" s="1130"/>
      <c r="W421" s="1130"/>
      <c r="X421" s="1130"/>
      <c r="Y421" s="1130"/>
      <c r="Z421" s="1130"/>
    </row>
    <row r="422" spans="1:26" ht="15.75" customHeight="1">
      <c r="A422" s="1130"/>
      <c r="B422" s="1130"/>
      <c r="C422" s="1130"/>
      <c r="D422" s="1130"/>
      <c r="E422" s="1130"/>
      <c r="F422" s="1130"/>
      <c r="G422" s="1130"/>
      <c r="H422" s="1130"/>
      <c r="I422" s="1130"/>
      <c r="J422" s="1130"/>
      <c r="K422" s="1130"/>
      <c r="L422" s="1130"/>
      <c r="M422" s="1130"/>
      <c r="N422" s="1130"/>
      <c r="O422" s="1130"/>
      <c r="P422" s="1130"/>
      <c r="Q422" s="1130"/>
      <c r="R422" s="1130"/>
      <c r="S422" s="1130"/>
      <c r="T422" s="1130"/>
      <c r="U422" s="1130"/>
      <c r="V422" s="1130"/>
      <c r="W422" s="1130"/>
      <c r="X422" s="1130"/>
      <c r="Y422" s="1130"/>
      <c r="Z422" s="1130"/>
    </row>
    <row r="423" spans="1:26" ht="15.75" customHeight="1">
      <c r="A423" s="1130"/>
      <c r="B423" s="1130"/>
      <c r="C423" s="1130"/>
      <c r="D423" s="1130"/>
      <c r="E423" s="1130"/>
      <c r="F423" s="1130"/>
      <c r="G423" s="1130"/>
      <c r="H423" s="1130"/>
      <c r="I423" s="1130"/>
      <c r="J423" s="1130"/>
      <c r="K423" s="1130"/>
      <c r="L423" s="1130"/>
      <c r="M423" s="1130"/>
      <c r="N423" s="1130"/>
      <c r="O423" s="1130"/>
      <c r="P423" s="1130"/>
      <c r="Q423" s="1130"/>
      <c r="R423" s="1130"/>
      <c r="S423" s="1130"/>
      <c r="T423" s="1130"/>
      <c r="U423" s="1130"/>
      <c r="V423" s="1130"/>
      <c r="W423" s="1130"/>
      <c r="X423" s="1130"/>
      <c r="Y423" s="1130"/>
      <c r="Z423" s="1130"/>
    </row>
    <row r="424" spans="1:26" ht="15.75" customHeight="1">
      <c r="A424" s="1130"/>
      <c r="B424" s="1130"/>
      <c r="C424" s="1130"/>
      <c r="D424" s="1130"/>
      <c r="E424" s="1130"/>
      <c r="F424" s="1130"/>
      <c r="G424" s="1130"/>
      <c r="H424" s="1130"/>
      <c r="I424" s="1130"/>
      <c r="J424" s="1130"/>
      <c r="K424" s="1130"/>
      <c r="L424" s="1130"/>
      <c r="M424" s="1130"/>
      <c r="N424" s="1130"/>
      <c r="O424" s="1130"/>
      <c r="P424" s="1130"/>
      <c r="Q424" s="1130"/>
      <c r="R424" s="1130"/>
      <c r="S424" s="1130"/>
      <c r="T424" s="1130"/>
      <c r="U424" s="1130"/>
      <c r="V424" s="1130"/>
      <c r="W424" s="1130"/>
      <c r="X424" s="1130"/>
      <c r="Y424" s="1130"/>
      <c r="Z424" s="1130"/>
    </row>
    <row r="425" spans="1:26" ht="15.75" customHeight="1">
      <c r="A425" s="1130"/>
      <c r="B425" s="1130"/>
      <c r="C425" s="1130"/>
      <c r="D425" s="1130"/>
      <c r="E425" s="1130"/>
      <c r="F425" s="1130"/>
      <c r="G425" s="1130"/>
      <c r="H425" s="1130"/>
      <c r="I425" s="1130"/>
      <c r="J425" s="1130"/>
      <c r="K425" s="1130"/>
      <c r="L425" s="1130"/>
      <c r="M425" s="1130"/>
      <c r="N425" s="1130"/>
      <c r="O425" s="1130"/>
      <c r="P425" s="1130"/>
      <c r="Q425" s="1130"/>
      <c r="R425" s="1130"/>
      <c r="S425" s="1130"/>
      <c r="T425" s="1130"/>
      <c r="U425" s="1130"/>
      <c r="V425" s="1130"/>
      <c r="W425" s="1130"/>
      <c r="X425" s="1130"/>
      <c r="Y425" s="1130"/>
      <c r="Z425" s="1130"/>
    </row>
    <row r="426" spans="1:26" ht="15.75" customHeight="1">
      <c r="A426" s="1130"/>
      <c r="B426" s="1130"/>
      <c r="C426" s="1130"/>
      <c r="D426" s="1130"/>
      <c r="E426" s="1130"/>
      <c r="F426" s="1130"/>
      <c r="G426" s="1130"/>
      <c r="H426" s="1130"/>
      <c r="I426" s="1130"/>
      <c r="J426" s="1130"/>
      <c r="K426" s="1130"/>
      <c r="L426" s="1130"/>
      <c r="M426" s="1130"/>
      <c r="N426" s="1130"/>
      <c r="O426" s="1130"/>
      <c r="P426" s="1130"/>
      <c r="Q426" s="1130"/>
      <c r="R426" s="1130"/>
      <c r="S426" s="1130"/>
      <c r="T426" s="1130"/>
      <c r="U426" s="1130"/>
      <c r="V426" s="1130"/>
      <c r="W426" s="1130"/>
      <c r="X426" s="1130"/>
      <c r="Y426" s="1130"/>
      <c r="Z426" s="1130"/>
    </row>
    <row r="427" spans="1:26" ht="15.75" customHeight="1">
      <c r="A427" s="1130"/>
      <c r="B427" s="1130"/>
      <c r="C427" s="1130"/>
      <c r="D427" s="1130"/>
      <c r="E427" s="1130"/>
      <c r="F427" s="1130"/>
      <c r="G427" s="1130"/>
      <c r="H427" s="1130"/>
      <c r="I427" s="1130"/>
      <c r="J427" s="1130"/>
      <c r="K427" s="1130"/>
      <c r="L427" s="1130"/>
      <c r="M427" s="1130"/>
      <c r="N427" s="1130"/>
      <c r="O427" s="1130"/>
      <c r="P427" s="1130"/>
      <c r="Q427" s="1130"/>
      <c r="R427" s="1130"/>
      <c r="S427" s="1130"/>
      <c r="T427" s="1130"/>
      <c r="U427" s="1130"/>
      <c r="V427" s="1130"/>
      <c r="W427" s="1130"/>
      <c r="X427" s="1130"/>
      <c r="Y427" s="1130"/>
      <c r="Z427" s="1130"/>
    </row>
    <row r="428" spans="1:26" ht="15.75" customHeight="1">
      <c r="A428" s="1130"/>
      <c r="B428" s="1130"/>
      <c r="C428" s="1130"/>
      <c r="D428" s="1130"/>
      <c r="E428" s="1130"/>
      <c r="F428" s="1130"/>
      <c r="G428" s="1130"/>
      <c r="H428" s="1130"/>
      <c r="I428" s="1130"/>
      <c r="J428" s="1130"/>
      <c r="K428" s="1130"/>
      <c r="L428" s="1130"/>
      <c r="M428" s="1130"/>
      <c r="N428" s="1130"/>
      <c r="O428" s="1130"/>
      <c r="P428" s="1130"/>
      <c r="Q428" s="1130"/>
      <c r="R428" s="1130"/>
      <c r="S428" s="1130"/>
      <c r="T428" s="1130"/>
      <c r="U428" s="1130"/>
      <c r="V428" s="1130"/>
      <c r="W428" s="1130"/>
      <c r="X428" s="1130"/>
      <c r="Y428" s="1130"/>
      <c r="Z428" s="1130"/>
    </row>
    <row r="429" spans="1:26" ht="15.75" customHeight="1">
      <c r="A429" s="1130"/>
      <c r="B429" s="1130"/>
      <c r="C429" s="1130"/>
      <c r="D429" s="1130"/>
      <c r="E429" s="1130"/>
      <c r="F429" s="1130"/>
      <c r="G429" s="1130"/>
      <c r="H429" s="1130"/>
      <c r="I429" s="1130"/>
      <c r="J429" s="1130"/>
      <c r="K429" s="1130"/>
      <c r="L429" s="1130"/>
      <c r="M429" s="1130"/>
      <c r="N429" s="1130"/>
      <c r="O429" s="1130"/>
      <c r="P429" s="1130"/>
      <c r="Q429" s="1130"/>
      <c r="R429" s="1130"/>
      <c r="S429" s="1130"/>
      <c r="T429" s="1130"/>
      <c r="U429" s="1130"/>
      <c r="V429" s="1130"/>
      <c r="W429" s="1130"/>
      <c r="X429" s="1130"/>
      <c r="Y429" s="1130"/>
      <c r="Z429" s="1130"/>
    </row>
    <row r="430" spans="1:26" ht="15.75" customHeight="1">
      <c r="A430" s="1130"/>
      <c r="B430" s="1130"/>
      <c r="C430" s="1130"/>
      <c r="D430" s="1130"/>
      <c r="E430" s="1130"/>
      <c r="F430" s="1130"/>
      <c r="G430" s="1130"/>
      <c r="H430" s="1130"/>
      <c r="I430" s="1130"/>
      <c r="J430" s="1130"/>
      <c r="K430" s="1130"/>
      <c r="L430" s="1130"/>
      <c r="M430" s="1130"/>
      <c r="N430" s="1130"/>
      <c r="O430" s="1130"/>
      <c r="P430" s="1130"/>
      <c r="Q430" s="1130"/>
      <c r="R430" s="1130"/>
      <c r="S430" s="1130"/>
      <c r="T430" s="1130"/>
      <c r="U430" s="1130"/>
      <c r="V430" s="1130"/>
      <c r="W430" s="1130"/>
      <c r="X430" s="1130"/>
      <c r="Y430" s="1130"/>
      <c r="Z430" s="1130"/>
    </row>
    <row r="431" spans="1:26" ht="15.75" customHeight="1">
      <c r="A431" s="1130"/>
      <c r="B431" s="1130"/>
      <c r="C431" s="1130"/>
      <c r="D431" s="1130"/>
      <c r="E431" s="1130"/>
      <c r="F431" s="1130"/>
      <c r="G431" s="1130"/>
      <c r="H431" s="1130"/>
      <c r="I431" s="1130"/>
      <c r="J431" s="1130"/>
      <c r="K431" s="1130"/>
      <c r="L431" s="1130"/>
      <c r="M431" s="1130"/>
      <c r="N431" s="1130"/>
      <c r="O431" s="1130"/>
      <c r="P431" s="1130"/>
      <c r="Q431" s="1130"/>
      <c r="R431" s="1130"/>
      <c r="S431" s="1130"/>
      <c r="T431" s="1130"/>
      <c r="U431" s="1130"/>
      <c r="V431" s="1130"/>
      <c r="W431" s="1130"/>
      <c r="X431" s="1130"/>
      <c r="Y431" s="1130"/>
      <c r="Z431" s="1130"/>
    </row>
    <row r="432" spans="1:26" ht="15.75" customHeight="1">
      <c r="A432" s="1130"/>
      <c r="B432" s="1130"/>
      <c r="C432" s="1130"/>
      <c r="D432" s="1130"/>
      <c r="E432" s="1130"/>
      <c r="F432" s="1130"/>
      <c r="G432" s="1130"/>
      <c r="H432" s="1130"/>
      <c r="I432" s="1130"/>
      <c r="J432" s="1130"/>
      <c r="K432" s="1130"/>
      <c r="L432" s="1130"/>
      <c r="M432" s="1130"/>
      <c r="N432" s="1130"/>
      <c r="O432" s="1130"/>
      <c r="P432" s="1130"/>
      <c r="Q432" s="1130"/>
      <c r="R432" s="1130"/>
      <c r="S432" s="1130"/>
      <c r="T432" s="1130"/>
      <c r="U432" s="1130"/>
      <c r="V432" s="1130"/>
      <c r="W432" s="1130"/>
      <c r="X432" s="1130"/>
      <c r="Y432" s="1130"/>
      <c r="Z432" s="1130"/>
    </row>
    <row r="433" spans="1:26" ht="15.75" customHeight="1">
      <c r="A433" s="1130"/>
      <c r="B433" s="1130"/>
      <c r="C433" s="1130"/>
      <c r="D433" s="1130"/>
      <c r="E433" s="1130"/>
      <c r="F433" s="1130"/>
      <c r="G433" s="1130"/>
      <c r="H433" s="1130"/>
      <c r="I433" s="1130"/>
      <c r="J433" s="1130"/>
      <c r="K433" s="1130"/>
      <c r="L433" s="1130"/>
      <c r="M433" s="1130"/>
      <c r="N433" s="1130"/>
      <c r="O433" s="1130"/>
      <c r="P433" s="1130"/>
      <c r="Q433" s="1130"/>
      <c r="R433" s="1130"/>
      <c r="S433" s="1130"/>
      <c r="T433" s="1130"/>
      <c r="U433" s="1130"/>
      <c r="V433" s="1130"/>
      <c r="W433" s="1130"/>
      <c r="X433" s="1130"/>
      <c r="Y433" s="1130"/>
      <c r="Z433" s="1130"/>
    </row>
    <row r="434" spans="1:26" ht="15.75" customHeight="1">
      <c r="A434" s="1130"/>
      <c r="B434" s="1130"/>
      <c r="C434" s="1130"/>
      <c r="D434" s="1130"/>
      <c r="E434" s="1130"/>
      <c r="F434" s="1130"/>
      <c r="G434" s="1130"/>
      <c r="H434" s="1130"/>
      <c r="I434" s="1130"/>
      <c r="J434" s="1130"/>
      <c r="K434" s="1130"/>
      <c r="L434" s="1130"/>
      <c r="M434" s="1130"/>
      <c r="N434" s="1130"/>
      <c r="O434" s="1130"/>
      <c r="P434" s="1130"/>
      <c r="Q434" s="1130"/>
      <c r="R434" s="1130"/>
      <c r="S434" s="1130"/>
      <c r="T434" s="1130"/>
      <c r="U434" s="1130"/>
      <c r="V434" s="1130"/>
      <c r="W434" s="1130"/>
      <c r="X434" s="1130"/>
      <c r="Y434" s="1130"/>
      <c r="Z434" s="1130"/>
    </row>
    <row r="435" spans="1:26" ht="15.75" customHeight="1">
      <c r="A435" s="1130"/>
      <c r="B435" s="1130"/>
      <c r="C435" s="1130"/>
      <c r="D435" s="1130"/>
      <c r="E435" s="1130"/>
      <c r="F435" s="1130"/>
      <c r="G435" s="1130"/>
      <c r="H435" s="1130"/>
      <c r="I435" s="1130"/>
      <c r="J435" s="1130"/>
      <c r="K435" s="1130"/>
      <c r="L435" s="1130"/>
      <c r="M435" s="1130"/>
      <c r="N435" s="1130"/>
      <c r="O435" s="1130"/>
      <c r="P435" s="1130"/>
      <c r="Q435" s="1130"/>
      <c r="R435" s="1130"/>
      <c r="S435" s="1130"/>
      <c r="T435" s="1130"/>
      <c r="U435" s="1130"/>
      <c r="V435" s="1130"/>
      <c r="W435" s="1130"/>
      <c r="X435" s="1130"/>
      <c r="Y435" s="1130"/>
      <c r="Z435" s="1130"/>
    </row>
    <row r="436" spans="1:26" ht="15.75" customHeight="1">
      <c r="A436" s="1130"/>
      <c r="B436" s="1130"/>
      <c r="C436" s="1130"/>
      <c r="D436" s="1130"/>
      <c r="E436" s="1130"/>
      <c r="F436" s="1130"/>
      <c r="G436" s="1130"/>
      <c r="H436" s="1130"/>
      <c r="I436" s="1130"/>
      <c r="J436" s="1130"/>
      <c r="K436" s="1130"/>
      <c r="L436" s="1130"/>
      <c r="M436" s="1130"/>
      <c r="N436" s="1130"/>
      <c r="O436" s="1130"/>
      <c r="P436" s="1130"/>
      <c r="Q436" s="1130"/>
      <c r="R436" s="1130"/>
      <c r="S436" s="1130"/>
      <c r="T436" s="1130"/>
      <c r="U436" s="1130"/>
      <c r="V436" s="1130"/>
      <c r="W436" s="1130"/>
      <c r="X436" s="1130"/>
      <c r="Y436" s="1130"/>
      <c r="Z436" s="1130"/>
    </row>
    <row r="437" spans="1:26" ht="15.75" customHeight="1">
      <c r="A437" s="1130"/>
      <c r="B437" s="1130"/>
      <c r="C437" s="1130"/>
      <c r="D437" s="1130"/>
      <c r="E437" s="1130"/>
      <c r="F437" s="1130"/>
      <c r="G437" s="1130"/>
      <c r="H437" s="1130"/>
      <c r="I437" s="1130"/>
      <c r="J437" s="1130"/>
      <c r="K437" s="1130"/>
      <c r="L437" s="1130"/>
      <c r="M437" s="1130"/>
      <c r="N437" s="1130"/>
      <c r="O437" s="1130"/>
      <c r="P437" s="1130"/>
      <c r="Q437" s="1130"/>
      <c r="R437" s="1130"/>
      <c r="S437" s="1130"/>
      <c r="T437" s="1130"/>
      <c r="U437" s="1130"/>
      <c r="V437" s="1130"/>
      <c r="W437" s="1130"/>
      <c r="X437" s="1130"/>
      <c r="Y437" s="1130"/>
      <c r="Z437" s="1130"/>
    </row>
    <row r="438" spans="1:26" ht="15.75" customHeight="1">
      <c r="A438" s="1130"/>
      <c r="B438" s="1130"/>
      <c r="C438" s="1130"/>
      <c r="D438" s="1130"/>
      <c r="E438" s="1130"/>
      <c r="F438" s="1130"/>
      <c r="G438" s="1130"/>
      <c r="H438" s="1130"/>
      <c r="I438" s="1130"/>
      <c r="J438" s="1130"/>
      <c r="K438" s="1130"/>
      <c r="L438" s="1130"/>
      <c r="M438" s="1130"/>
      <c r="N438" s="1130"/>
      <c r="O438" s="1130"/>
      <c r="P438" s="1130"/>
      <c r="Q438" s="1130"/>
      <c r="R438" s="1130"/>
      <c r="S438" s="1130"/>
      <c r="T438" s="1130"/>
      <c r="U438" s="1130"/>
      <c r="V438" s="1130"/>
      <c r="W438" s="1130"/>
      <c r="X438" s="1130"/>
      <c r="Y438" s="1130"/>
      <c r="Z438" s="1130"/>
    </row>
    <row r="439" spans="1:26" ht="15.75" customHeight="1">
      <c r="A439" s="1130"/>
      <c r="B439" s="1130"/>
      <c r="C439" s="1130"/>
      <c r="D439" s="1130"/>
      <c r="E439" s="1130"/>
      <c r="F439" s="1130"/>
      <c r="G439" s="1130"/>
      <c r="H439" s="1130"/>
      <c r="I439" s="1130"/>
      <c r="J439" s="1130"/>
      <c r="K439" s="1130"/>
      <c r="L439" s="1130"/>
      <c r="M439" s="1130"/>
      <c r="N439" s="1130"/>
      <c r="O439" s="1130"/>
      <c r="P439" s="1130"/>
      <c r="Q439" s="1130"/>
      <c r="R439" s="1130"/>
      <c r="S439" s="1130"/>
      <c r="T439" s="1130"/>
      <c r="U439" s="1130"/>
      <c r="V439" s="1130"/>
      <c r="W439" s="1130"/>
      <c r="X439" s="1130"/>
      <c r="Y439" s="1130"/>
      <c r="Z439" s="1130"/>
    </row>
    <row r="440" spans="1:26" ht="15.75" customHeight="1">
      <c r="A440" s="1130"/>
      <c r="B440" s="1130"/>
      <c r="C440" s="1130"/>
      <c r="D440" s="1130"/>
      <c r="E440" s="1130"/>
      <c r="F440" s="1130"/>
      <c r="G440" s="1130"/>
      <c r="H440" s="1130"/>
      <c r="I440" s="1130"/>
      <c r="J440" s="1130"/>
      <c r="K440" s="1130"/>
      <c r="L440" s="1130"/>
      <c r="M440" s="1130"/>
      <c r="N440" s="1130"/>
      <c r="O440" s="1130"/>
      <c r="P440" s="1130"/>
      <c r="Q440" s="1130"/>
      <c r="R440" s="1130"/>
      <c r="S440" s="1130"/>
      <c r="T440" s="1130"/>
      <c r="U440" s="1130"/>
      <c r="V440" s="1130"/>
      <c r="W440" s="1130"/>
      <c r="X440" s="1130"/>
      <c r="Y440" s="1130"/>
      <c r="Z440" s="1130"/>
    </row>
    <row r="441" spans="1:26" ht="15.75" customHeight="1">
      <c r="A441" s="1130"/>
      <c r="B441" s="1130"/>
      <c r="C441" s="1130"/>
      <c r="D441" s="1130"/>
      <c r="E441" s="1130"/>
      <c r="F441" s="1130"/>
      <c r="G441" s="1130"/>
      <c r="H441" s="1130"/>
      <c r="I441" s="1130"/>
      <c r="J441" s="1130"/>
      <c r="K441" s="1130"/>
      <c r="L441" s="1130"/>
      <c r="M441" s="1130"/>
      <c r="N441" s="1130"/>
      <c r="O441" s="1130"/>
      <c r="P441" s="1130"/>
      <c r="Q441" s="1130"/>
      <c r="R441" s="1130"/>
      <c r="S441" s="1130"/>
      <c r="T441" s="1130"/>
      <c r="U441" s="1130"/>
      <c r="V441" s="1130"/>
      <c r="W441" s="1130"/>
      <c r="X441" s="1130"/>
      <c r="Y441" s="1130"/>
      <c r="Z441" s="1130"/>
    </row>
    <row r="442" spans="1:26" ht="15.75" customHeight="1">
      <c r="A442" s="1130"/>
      <c r="B442" s="1130"/>
      <c r="C442" s="1130"/>
      <c r="D442" s="1130"/>
      <c r="E442" s="1130"/>
      <c r="F442" s="1130"/>
      <c r="G442" s="1130"/>
      <c r="H442" s="1130"/>
      <c r="I442" s="1130"/>
      <c r="J442" s="1130"/>
      <c r="K442" s="1130"/>
      <c r="L442" s="1130"/>
      <c r="M442" s="1130"/>
      <c r="N442" s="1130"/>
      <c r="O442" s="1130"/>
      <c r="P442" s="1130"/>
      <c r="Q442" s="1130"/>
      <c r="R442" s="1130"/>
      <c r="S442" s="1130"/>
      <c r="T442" s="1130"/>
      <c r="U442" s="1130"/>
      <c r="V442" s="1130"/>
      <c r="W442" s="1130"/>
      <c r="X442" s="1130"/>
      <c r="Y442" s="1130"/>
      <c r="Z442" s="1130"/>
    </row>
    <row r="443" spans="1:26" ht="15.75" customHeight="1">
      <c r="A443" s="1130"/>
      <c r="B443" s="1130"/>
      <c r="C443" s="1130"/>
      <c r="D443" s="1130"/>
      <c r="E443" s="1130"/>
      <c r="F443" s="1130"/>
      <c r="G443" s="1130"/>
      <c r="H443" s="1130"/>
      <c r="I443" s="1130"/>
      <c r="J443" s="1130"/>
      <c r="K443" s="1130"/>
      <c r="L443" s="1130"/>
      <c r="M443" s="1130"/>
      <c r="N443" s="1130"/>
      <c r="O443" s="1130"/>
      <c r="P443" s="1130"/>
      <c r="Q443" s="1130"/>
      <c r="R443" s="1130"/>
      <c r="S443" s="1130"/>
      <c r="T443" s="1130"/>
      <c r="U443" s="1130"/>
      <c r="V443" s="1130"/>
      <c r="W443" s="1130"/>
      <c r="X443" s="1130"/>
      <c r="Y443" s="1130"/>
      <c r="Z443" s="1130"/>
    </row>
    <row r="444" spans="1:26" ht="15.75" customHeight="1">
      <c r="A444" s="1130"/>
      <c r="B444" s="1130"/>
      <c r="C444" s="1130"/>
      <c r="D444" s="1130"/>
      <c r="E444" s="1130"/>
      <c r="F444" s="1130"/>
      <c r="G444" s="1130"/>
      <c r="H444" s="1130"/>
      <c r="I444" s="1130"/>
      <c r="J444" s="1130"/>
      <c r="K444" s="1130"/>
      <c r="L444" s="1130"/>
      <c r="M444" s="1130"/>
      <c r="N444" s="1130"/>
      <c r="O444" s="1130"/>
      <c r="P444" s="1130"/>
      <c r="Q444" s="1130"/>
      <c r="R444" s="1130"/>
      <c r="S444" s="1130"/>
      <c r="T444" s="1130"/>
      <c r="U444" s="1130"/>
      <c r="V444" s="1130"/>
      <c r="W444" s="1130"/>
      <c r="X444" s="1130"/>
      <c r="Y444" s="1130"/>
      <c r="Z444" s="1130"/>
    </row>
    <row r="445" spans="1:26" ht="15.75" customHeight="1">
      <c r="A445" s="1130"/>
      <c r="B445" s="1130"/>
      <c r="C445" s="1130"/>
      <c r="D445" s="1130"/>
      <c r="E445" s="1130"/>
      <c r="F445" s="1130"/>
      <c r="G445" s="1130"/>
      <c r="H445" s="1130"/>
      <c r="I445" s="1130"/>
      <c r="J445" s="1130"/>
      <c r="K445" s="1130"/>
      <c r="L445" s="1130"/>
      <c r="M445" s="1130"/>
      <c r="N445" s="1130"/>
      <c r="O445" s="1130"/>
      <c r="P445" s="1130"/>
      <c r="Q445" s="1130"/>
      <c r="R445" s="1130"/>
      <c r="S445" s="1130"/>
      <c r="T445" s="1130"/>
      <c r="U445" s="1130"/>
      <c r="V445" s="1130"/>
      <c r="W445" s="1130"/>
      <c r="X445" s="1130"/>
      <c r="Y445" s="1130"/>
      <c r="Z445" s="1130"/>
    </row>
    <row r="446" spans="1:26" ht="15.75" customHeight="1">
      <c r="A446" s="1130"/>
      <c r="B446" s="1130"/>
      <c r="C446" s="1130"/>
      <c r="D446" s="1130"/>
      <c r="E446" s="1130"/>
      <c r="F446" s="1130"/>
      <c r="G446" s="1130"/>
      <c r="H446" s="1130"/>
      <c r="I446" s="1130"/>
      <c r="J446" s="1130"/>
      <c r="K446" s="1130"/>
      <c r="L446" s="1130"/>
      <c r="M446" s="1130"/>
      <c r="N446" s="1130"/>
      <c r="O446" s="1130"/>
      <c r="P446" s="1130"/>
      <c r="Q446" s="1130"/>
      <c r="R446" s="1130"/>
      <c r="S446" s="1130"/>
      <c r="T446" s="1130"/>
      <c r="U446" s="1130"/>
      <c r="V446" s="1130"/>
      <c r="W446" s="1130"/>
      <c r="X446" s="1130"/>
      <c r="Y446" s="1130"/>
      <c r="Z446" s="1130"/>
    </row>
    <row r="447" spans="1:26" ht="15.75" customHeight="1">
      <c r="A447" s="1130"/>
      <c r="B447" s="1130"/>
      <c r="C447" s="1130"/>
      <c r="D447" s="1130"/>
      <c r="E447" s="1130"/>
      <c r="F447" s="1130"/>
      <c r="G447" s="1130"/>
      <c r="H447" s="1130"/>
      <c r="I447" s="1130"/>
      <c r="J447" s="1130"/>
      <c r="K447" s="1130"/>
      <c r="L447" s="1130"/>
      <c r="M447" s="1130"/>
      <c r="N447" s="1130"/>
      <c r="O447" s="1130"/>
      <c r="P447" s="1130"/>
      <c r="Q447" s="1130"/>
      <c r="R447" s="1130"/>
      <c r="S447" s="1130"/>
      <c r="T447" s="1130"/>
      <c r="U447" s="1130"/>
      <c r="V447" s="1130"/>
      <c r="W447" s="1130"/>
      <c r="X447" s="1130"/>
      <c r="Y447" s="1130"/>
      <c r="Z447" s="1130"/>
    </row>
    <row r="448" spans="1:26" ht="15.75" customHeight="1">
      <c r="A448" s="1130"/>
      <c r="B448" s="1130"/>
      <c r="C448" s="1130"/>
      <c r="D448" s="1130"/>
      <c r="E448" s="1130"/>
      <c r="F448" s="1130"/>
      <c r="G448" s="1130"/>
      <c r="H448" s="1130"/>
      <c r="I448" s="1130"/>
      <c r="J448" s="1130"/>
      <c r="K448" s="1130"/>
      <c r="L448" s="1130"/>
      <c r="M448" s="1130"/>
      <c r="N448" s="1130"/>
      <c r="O448" s="1130"/>
      <c r="P448" s="1130"/>
      <c r="Q448" s="1130"/>
      <c r="R448" s="1130"/>
      <c r="S448" s="1130"/>
      <c r="T448" s="1130"/>
      <c r="U448" s="1130"/>
      <c r="V448" s="1130"/>
      <c r="W448" s="1130"/>
      <c r="X448" s="1130"/>
      <c r="Y448" s="1130"/>
      <c r="Z448" s="1130"/>
    </row>
    <row r="449" spans="1:26" ht="15.75" customHeight="1">
      <c r="A449" s="1130"/>
      <c r="B449" s="1130"/>
      <c r="C449" s="1130"/>
      <c r="D449" s="1130"/>
      <c r="E449" s="1130"/>
      <c r="F449" s="1130"/>
      <c r="G449" s="1130"/>
      <c r="H449" s="1130"/>
      <c r="I449" s="1130"/>
      <c r="J449" s="1130"/>
      <c r="K449" s="1130"/>
      <c r="L449" s="1130"/>
      <c r="M449" s="1130"/>
      <c r="N449" s="1130"/>
      <c r="O449" s="1130"/>
      <c r="P449" s="1130"/>
      <c r="Q449" s="1130"/>
      <c r="R449" s="1130"/>
      <c r="S449" s="1130"/>
      <c r="T449" s="1130"/>
      <c r="U449" s="1130"/>
      <c r="V449" s="1130"/>
      <c r="W449" s="1130"/>
      <c r="X449" s="1130"/>
      <c r="Y449" s="1130"/>
      <c r="Z449" s="1130"/>
    </row>
    <row r="450" spans="1:26" ht="15.75" customHeight="1">
      <c r="A450" s="1130"/>
      <c r="B450" s="1130"/>
      <c r="C450" s="1130"/>
      <c r="D450" s="1130"/>
      <c r="E450" s="1130"/>
      <c r="F450" s="1130"/>
      <c r="G450" s="1130"/>
      <c r="H450" s="1130"/>
      <c r="I450" s="1130"/>
      <c r="J450" s="1130"/>
      <c r="K450" s="1130"/>
      <c r="L450" s="1130"/>
      <c r="M450" s="1130"/>
      <c r="N450" s="1130"/>
      <c r="O450" s="1130"/>
      <c r="P450" s="1130"/>
      <c r="Q450" s="1130"/>
      <c r="R450" s="1130"/>
      <c r="S450" s="1130"/>
      <c r="T450" s="1130"/>
      <c r="U450" s="1130"/>
      <c r="V450" s="1130"/>
      <c r="W450" s="1130"/>
      <c r="X450" s="1130"/>
      <c r="Y450" s="1130"/>
      <c r="Z450" s="1130"/>
    </row>
    <row r="451" spans="1:26" ht="15.75" customHeight="1">
      <c r="A451" s="1130"/>
      <c r="B451" s="1130"/>
      <c r="C451" s="1130"/>
      <c r="D451" s="1130"/>
      <c r="E451" s="1130"/>
      <c r="F451" s="1130"/>
      <c r="G451" s="1130"/>
      <c r="H451" s="1130"/>
      <c r="I451" s="1130"/>
      <c r="J451" s="1130"/>
      <c r="K451" s="1130"/>
      <c r="L451" s="1130"/>
      <c r="M451" s="1130"/>
      <c r="N451" s="1130"/>
      <c r="O451" s="1130"/>
      <c r="P451" s="1130"/>
      <c r="Q451" s="1130"/>
      <c r="R451" s="1130"/>
      <c r="S451" s="1130"/>
      <c r="T451" s="1130"/>
      <c r="U451" s="1130"/>
      <c r="V451" s="1130"/>
      <c r="W451" s="1130"/>
      <c r="X451" s="1130"/>
      <c r="Y451" s="1130"/>
      <c r="Z451" s="1130"/>
    </row>
    <row r="452" spans="1:26" ht="15.75" customHeight="1">
      <c r="A452" s="1130"/>
      <c r="B452" s="1130"/>
      <c r="C452" s="1130"/>
      <c r="D452" s="1130"/>
      <c r="E452" s="1130"/>
      <c r="F452" s="1130"/>
      <c r="G452" s="1130"/>
      <c r="H452" s="1130"/>
      <c r="I452" s="1130"/>
      <c r="J452" s="1130"/>
      <c r="K452" s="1130"/>
      <c r="L452" s="1130"/>
      <c r="M452" s="1130"/>
      <c r="N452" s="1130"/>
      <c r="O452" s="1130"/>
      <c r="P452" s="1130"/>
      <c r="Q452" s="1130"/>
      <c r="R452" s="1130"/>
      <c r="S452" s="1130"/>
      <c r="T452" s="1130"/>
      <c r="U452" s="1130"/>
      <c r="V452" s="1130"/>
      <c r="W452" s="1130"/>
      <c r="X452" s="1130"/>
      <c r="Y452" s="1130"/>
      <c r="Z452" s="1130"/>
    </row>
    <row r="453" spans="1:26" ht="15.75" customHeight="1">
      <c r="A453" s="1130"/>
      <c r="B453" s="1130"/>
      <c r="C453" s="1130"/>
      <c r="D453" s="1130"/>
      <c r="E453" s="1130"/>
      <c r="F453" s="1130"/>
      <c r="G453" s="1130"/>
      <c r="H453" s="1130"/>
      <c r="I453" s="1130"/>
      <c r="J453" s="1130"/>
      <c r="K453" s="1130"/>
      <c r="L453" s="1130"/>
      <c r="M453" s="1130"/>
      <c r="N453" s="1130"/>
      <c r="O453" s="1130"/>
      <c r="P453" s="1130"/>
      <c r="Q453" s="1130"/>
      <c r="R453" s="1130"/>
      <c r="S453" s="1130"/>
      <c r="T453" s="1130"/>
      <c r="U453" s="1130"/>
      <c r="V453" s="1130"/>
      <c r="W453" s="1130"/>
      <c r="X453" s="1130"/>
      <c r="Y453" s="1130"/>
      <c r="Z453" s="1130"/>
    </row>
    <row r="454" spans="1:26" ht="15.75" customHeight="1">
      <c r="A454" s="1130"/>
      <c r="B454" s="1130"/>
      <c r="C454" s="1130"/>
      <c r="D454" s="1130"/>
      <c r="E454" s="1130"/>
      <c r="F454" s="1130"/>
      <c r="G454" s="1130"/>
      <c r="H454" s="1130"/>
      <c r="I454" s="1130"/>
      <c r="J454" s="1130"/>
      <c r="K454" s="1130"/>
      <c r="L454" s="1130"/>
      <c r="M454" s="1130"/>
      <c r="N454" s="1130"/>
      <c r="O454" s="1130"/>
      <c r="P454" s="1130"/>
      <c r="Q454" s="1130"/>
      <c r="R454" s="1130"/>
      <c r="S454" s="1130"/>
      <c r="T454" s="1130"/>
      <c r="U454" s="1130"/>
      <c r="V454" s="1130"/>
      <c r="W454" s="1130"/>
      <c r="X454" s="1130"/>
      <c r="Y454" s="1130"/>
      <c r="Z454" s="1130"/>
    </row>
    <row r="455" spans="1:26" ht="15.75" customHeight="1">
      <c r="A455" s="1130"/>
      <c r="B455" s="1130"/>
      <c r="C455" s="1130"/>
      <c r="D455" s="1130"/>
      <c r="E455" s="1130"/>
      <c r="F455" s="1130"/>
      <c r="G455" s="1130"/>
      <c r="H455" s="1130"/>
      <c r="I455" s="1130"/>
      <c r="J455" s="1130"/>
      <c r="K455" s="1130"/>
      <c r="L455" s="1130"/>
      <c r="M455" s="1130"/>
      <c r="N455" s="1130"/>
      <c r="O455" s="1130"/>
      <c r="P455" s="1130"/>
      <c r="Q455" s="1130"/>
      <c r="R455" s="1130"/>
      <c r="S455" s="1130"/>
      <c r="T455" s="1130"/>
      <c r="U455" s="1130"/>
      <c r="V455" s="1130"/>
      <c r="W455" s="1130"/>
      <c r="X455" s="1130"/>
      <c r="Y455" s="1130"/>
      <c r="Z455" s="1130"/>
    </row>
    <row r="456" spans="1:26" ht="15.75" customHeight="1">
      <c r="A456" s="1130"/>
      <c r="B456" s="1130"/>
      <c r="C456" s="1130"/>
      <c r="D456" s="1130"/>
      <c r="E456" s="1130"/>
      <c r="F456" s="1130"/>
      <c r="G456" s="1130"/>
      <c r="H456" s="1130"/>
      <c r="I456" s="1130"/>
      <c r="J456" s="1130"/>
      <c r="K456" s="1130"/>
      <c r="L456" s="1130"/>
      <c r="M456" s="1130"/>
      <c r="N456" s="1130"/>
      <c r="O456" s="1130"/>
      <c r="P456" s="1130"/>
      <c r="Q456" s="1130"/>
      <c r="R456" s="1130"/>
      <c r="S456" s="1130"/>
      <c r="T456" s="1130"/>
      <c r="U456" s="1130"/>
      <c r="V456" s="1130"/>
      <c r="W456" s="1130"/>
      <c r="X456" s="1130"/>
      <c r="Y456" s="1130"/>
      <c r="Z456" s="1130"/>
    </row>
    <row r="457" spans="1:26" ht="15.75" customHeight="1">
      <c r="A457" s="1130"/>
      <c r="B457" s="1130"/>
      <c r="C457" s="1130"/>
      <c r="D457" s="1130"/>
      <c r="E457" s="1130"/>
      <c r="F457" s="1130"/>
      <c r="G457" s="1130"/>
      <c r="H457" s="1130"/>
      <c r="I457" s="1130"/>
      <c r="J457" s="1130"/>
      <c r="K457" s="1130"/>
      <c r="L457" s="1130"/>
      <c r="M457" s="1130"/>
      <c r="N457" s="1130"/>
      <c r="O457" s="1130"/>
      <c r="P457" s="1130"/>
      <c r="Q457" s="1130"/>
      <c r="R457" s="1130"/>
      <c r="S457" s="1130"/>
      <c r="T457" s="1130"/>
      <c r="U457" s="1130"/>
      <c r="V457" s="1130"/>
      <c r="W457" s="1130"/>
      <c r="X457" s="1130"/>
      <c r="Y457" s="1130"/>
      <c r="Z457" s="1130"/>
    </row>
    <row r="458" spans="1:26" ht="15.75" customHeight="1">
      <c r="A458" s="1130"/>
      <c r="B458" s="1130"/>
      <c r="C458" s="1130"/>
      <c r="D458" s="1130"/>
      <c r="E458" s="1130"/>
      <c r="F458" s="1130"/>
      <c r="G458" s="1130"/>
      <c r="H458" s="1130"/>
      <c r="I458" s="1130"/>
      <c r="J458" s="1130"/>
      <c r="K458" s="1130"/>
      <c r="L458" s="1130"/>
      <c r="M458" s="1130"/>
      <c r="N458" s="1130"/>
      <c r="O458" s="1130"/>
      <c r="P458" s="1130"/>
      <c r="Q458" s="1130"/>
      <c r="R458" s="1130"/>
      <c r="S458" s="1130"/>
      <c r="T458" s="1130"/>
      <c r="U458" s="1130"/>
      <c r="V458" s="1130"/>
      <c r="W458" s="1130"/>
      <c r="X458" s="1130"/>
      <c r="Y458" s="1130"/>
      <c r="Z458" s="1130"/>
    </row>
    <row r="459" spans="1:26" ht="15.75" customHeight="1">
      <c r="A459" s="1130"/>
      <c r="B459" s="1130"/>
      <c r="C459" s="1130"/>
      <c r="D459" s="1130"/>
      <c r="E459" s="1130"/>
      <c r="F459" s="1130"/>
      <c r="G459" s="1130"/>
      <c r="H459" s="1130"/>
      <c r="I459" s="1130"/>
      <c r="J459" s="1130"/>
      <c r="K459" s="1130"/>
      <c r="L459" s="1130"/>
      <c r="M459" s="1130"/>
      <c r="N459" s="1130"/>
      <c r="O459" s="1130"/>
      <c r="P459" s="1130"/>
      <c r="Q459" s="1130"/>
      <c r="R459" s="1130"/>
      <c r="S459" s="1130"/>
      <c r="T459" s="1130"/>
      <c r="U459" s="1130"/>
      <c r="V459" s="1130"/>
      <c r="W459" s="1130"/>
      <c r="X459" s="1130"/>
      <c r="Y459" s="1130"/>
      <c r="Z459" s="1130"/>
    </row>
    <row r="460" spans="1:26" ht="15.75" customHeight="1">
      <c r="A460" s="1130"/>
      <c r="B460" s="1130"/>
      <c r="C460" s="1130"/>
      <c r="D460" s="1130"/>
      <c r="E460" s="1130"/>
      <c r="F460" s="1130"/>
      <c r="G460" s="1130"/>
      <c r="H460" s="1130"/>
      <c r="I460" s="1130"/>
      <c r="J460" s="1130"/>
      <c r="K460" s="1130"/>
      <c r="L460" s="1130"/>
      <c r="M460" s="1130"/>
      <c r="N460" s="1130"/>
      <c r="O460" s="1130"/>
      <c r="P460" s="1130"/>
      <c r="Q460" s="1130"/>
      <c r="R460" s="1130"/>
      <c r="S460" s="1130"/>
      <c r="T460" s="1130"/>
      <c r="U460" s="1130"/>
      <c r="V460" s="1130"/>
      <c r="W460" s="1130"/>
      <c r="X460" s="1130"/>
      <c r="Y460" s="1130"/>
      <c r="Z460" s="1130"/>
    </row>
    <row r="461" spans="1:26" ht="15.75" customHeight="1">
      <c r="A461" s="1130"/>
      <c r="B461" s="1130"/>
      <c r="C461" s="1130"/>
      <c r="D461" s="1130"/>
      <c r="E461" s="1130"/>
      <c r="F461" s="1130"/>
      <c r="G461" s="1130"/>
      <c r="H461" s="1130"/>
      <c r="I461" s="1130"/>
      <c r="J461" s="1130"/>
      <c r="K461" s="1130"/>
      <c r="L461" s="1130"/>
      <c r="M461" s="1130"/>
      <c r="N461" s="1130"/>
      <c r="O461" s="1130"/>
      <c r="P461" s="1130"/>
      <c r="Q461" s="1130"/>
      <c r="R461" s="1130"/>
      <c r="S461" s="1130"/>
      <c r="T461" s="1130"/>
      <c r="U461" s="1130"/>
      <c r="V461" s="1130"/>
      <c r="W461" s="1130"/>
      <c r="X461" s="1130"/>
      <c r="Y461" s="1130"/>
      <c r="Z461" s="1130"/>
    </row>
    <row r="462" spans="1:26" ht="15.75" customHeight="1">
      <c r="A462" s="1130"/>
      <c r="B462" s="1130"/>
      <c r="C462" s="1130"/>
      <c r="D462" s="1130"/>
      <c r="E462" s="1130"/>
      <c r="F462" s="1130"/>
      <c r="G462" s="1130"/>
      <c r="H462" s="1130"/>
      <c r="I462" s="1130"/>
      <c r="J462" s="1130"/>
      <c r="K462" s="1130"/>
      <c r="L462" s="1130"/>
      <c r="M462" s="1130"/>
      <c r="N462" s="1130"/>
      <c r="O462" s="1130"/>
      <c r="P462" s="1130"/>
      <c r="Q462" s="1130"/>
      <c r="R462" s="1130"/>
      <c r="S462" s="1130"/>
      <c r="T462" s="1130"/>
      <c r="U462" s="1130"/>
      <c r="V462" s="1130"/>
      <c r="W462" s="1130"/>
      <c r="X462" s="1130"/>
      <c r="Y462" s="1130"/>
      <c r="Z462" s="1130"/>
    </row>
    <row r="463" spans="1:26" ht="15.75" customHeight="1">
      <c r="A463" s="1130"/>
      <c r="B463" s="1130"/>
      <c r="C463" s="1130"/>
      <c r="D463" s="1130"/>
      <c r="E463" s="1130"/>
      <c r="F463" s="1130"/>
      <c r="G463" s="1130"/>
      <c r="H463" s="1130"/>
      <c r="I463" s="1130"/>
      <c r="J463" s="1130"/>
      <c r="K463" s="1130"/>
      <c r="L463" s="1130"/>
      <c r="M463" s="1130"/>
      <c r="N463" s="1130"/>
      <c r="O463" s="1130"/>
      <c r="P463" s="1130"/>
      <c r="Q463" s="1130"/>
      <c r="R463" s="1130"/>
      <c r="S463" s="1130"/>
      <c r="T463" s="1130"/>
      <c r="U463" s="1130"/>
      <c r="V463" s="1130"/>
      <c r="W463" s="1130"/>
      <c r="X463" s="1130"/>
      <c r="Y463" s="1130"/>
      <c r="Z463" s="1130"/>
    </row>
    <row r="464" spans="1:26" ht="15.75" customHeight="1">
      <c r="A464" s="1130"/>
      <c r="B464" s="1130"/>
      <c r="C464" s="1130"/>
      <c r="D464" s="1130"/>
      <c r="E464" s="1130"/>
      <c r="F464" s="1130"/>
      <c r="G464" s="1130"/>
      <c r="H464" s="1130"/>
      <c r="I464" s="1130"/>
      <c r="J464" s="1130"/>
      <c r="K464" s="1130"/>
      <c r="L464" s="1130"/>
      <c r="M464" s="1130"/>
      <c r="N464" s="1130"/>
      <c r="O464" s="1130"/>
      <c r="P464" s="1130"/>
      <c r="Q464" s="1130"/>
      <c r="R464" s="1130"/>
      <c r="S464" s="1130"/>
      <c r="T464" s="1130"/>
      <c r="U464" s="1130"/>
      <c r="V464" s="1130"/>
      <c r="W464" s="1130"/>
      <c r="X464" s="1130"/>
      <c r="Y464" s="1130"/>
      <c r="Z464" s="1130"/>
    </row>
    <row r="465" spans="1:26" ht="15.75" customHeight="1">
      <c r="A465" s="1130"/>
      <c r="B465" s="1130"/>
      <c r="C465" s="1130"/>
      <c r="D465" s="1130"/>
      <c r="E465" s="1130"/>
      <c r="F465" s="1130"/>
      <c r="G465" s="1130"/>
      <c r="H465" s="1130"/>
      <c r="I465" s="1130"/>
      <c r="J465" s="1130"/>
      <c r="K465" s="1130"/>
      <c r="L465" s="1130"/>
      <c r="M465" s="1130"/>
      <c r="N465" s="1130"/>
      <c r="O465" s="1130"/>
      <c r="P465" s="1130"/>
      <c r="Q465" s="1130"/>
      <c r="R465" s="1130"/>
      <c r="S465" s="1130"/>
      <c r="T465" s="1130"/>
      <c r="U465" s="1130"/>
      <c r="V465" s="1130"/>
      <c r="W465" s="1130"/>
      <c r="X465" s="1130"/>
      <c r="Y465" s="1130"/>
      <c r="Z465" s="1130"/>
    </row>
    <row r="466" spans="1:26" ht="15.75" customHeight="1">
      <c r="A466" s="1130"/>
      <c r="B466" s="1130"/>
      <c r="C466" s="1130"/>
      <c r="D466" s="1130"/>
      <c r="E466" s="1130"/>
      <c r="F466" s="1130"/>
      <c r="G466" s="1130"/>
      <c r="H466" s="1130"/>
      <c r="I466" s="1130"/>
      <c r="J466" s="1130"/>
      <c r="K466" s="1130"/>
      <c r="L466" s="1130"/>
      <c r="M466" s="1130"/>
      <c r="N466" s="1130"/>
      <c r="O466" s="1130"/>
      <c r="P466" s="1130"/>
      <c r="Q466" s="1130"/>
      <c r="R466" s="1130"/>
      <c r="S466" s="1130"/>
      <c r="T466" s="1130"/>
      <c r="U466" s="1130"/>
      <c r="V466" s="1130"/>
      <c r="W466" s="1130"/>
      <c r="X466" s="1130"/>
      <c r="Y466" s="1130"/>
      <c r="Z466" s="1130"/>
    </row>
    <row r="467" spans="1:26" ht="15.75" customHeight="1">
      <c r="A467" s="1130"/>
      <c r="B467" s="1130"/>
      <c r="C467" s="1130"/>
      <c r="D467" s="1130"/>
      <c r="E467" s="1130"/>
      <c r="F467" s="1130"/>
      <c r="G467" s="1130"/>
      <c r="H467" s="1130"/>
      <c r="I467" s="1130"/>
      <c r="J467" s="1130"/>
      <c r="K467" s="1130"/>
      <c r="L467" s="1130"/>
      <c r="M467" s="1130"/>
      <c r="N467" s="1130"/>
      <c r="O467" s="1130"/>
      <c r="P467" s="1130"/>
      <c r="Q467" s="1130"/>
      <c r="R467" s="1130"/>
      <c r="S467" s="1130"/>
      <c r="T467" s="1130"/>
      <c r="U467" s="1130"/>
      <c r="V467" s="1130"/>
      <c r="W467" s="1130"/>
      <c r="X467" s="1130"/>
      <c r="Y467" s="1130"/>
      <c r="Z467" s="1130"/>
    </row>
    <row r="468" spans="1:26" ht="15.75" customHeight="1">
      <c r="A468" s="1130"/>
      <c r="B468" s="1130"/>
      <c r="C468" s="1130"/>
      <c r="D468" s="1130"/>
      <c r="E468" s="1130"/>
      <c r="F468" s="1130"/>
      <c r="G468" s="1130"/>
      <c r="H468" s="1130"/>
      <c r="I468" s="1130"/>
      <c r="J468" s="1130"/>
      <c r="K468" s="1130"/>
      <c r="L468" s="1130"/>
      <c r="M468" s="1130"/>
      <c r="N468" s="1130"/>
      <c r="O468" s="1130"/>
      <c r="P468" s="1130"/>
      <c r="Q468" s="1130"/>
      <c r="R468" s="1130"/>
      <c r="S468" s="1130"/>
      <c r="T468" s="1130"/>
      <c r="U468" s="1130"/>
      <c r="V468" s="1130"/>
      <c r="W468" s="1130"/>
      <c r="X468" s="1130"/>
      <c r="Y468" s="1130"/>
      <c r="Z468" s="1130"/>
    </row>
    <row r="469" spans="1:26" ht="15.75" customHeight="1">
      <c r="A469" s="1130"/>
      <c r="B469" s="1130"/>
      <c r="C469" s="1130"/>
      <c r="D469" s="1130"/>
      <c r="E469" s="1130"/>
      <c r="F469" s="1130"/>
      <c r="G469" s="1130"/>
      <c r="H469" s="1130"/>
      <c r="I469" s="1130"/>
      <c r="J469" s="1130"/>
      <c r="K469" s="1130"/>
      <c r="L469" s="1130"/>
      <c r="M469" s="1130"/>
      <c r="N469" s="1130"/>
      <c r="O469" s="1130"/>
      <c r="P469" s="1130"/>
      <c r="Q469" s="1130"/>
      <c r="R469" s="1130"/>
      <c r="S469" s="1130"/>
      <c r="T469" s="1130"/>
      <c r="U469" s="1130"/>
      <c r="V469" s="1130"/>
      <c r="W469" s="1130"/>
      <c r="X469" s="1130"/>
      <c r="Y469" s="1130"/>
      <c r="Z469" s="1130"/>
    </row>
    <row r="470" spans="1:26" ht="15.75" customHeight="1">
      <c r="A470" s="1130"/>
      <c r="B470" s="1130"/>
      <c r="C470" s="1130"/>
      <c r="D470" s="1130"/>
      <c r="E470" s="1130"/>
      <c r="F470" s="1130"/>
      <c r="G470" s="1130"/>
      <c r="H470" s="1130"/>
      <c r="I470" s="1130"/>
      <c r="J470" s="1130"/>
      <c r="K470" s="1130"/>
      <c r="L470" s="1130"/>
      <c r="M470" s="1130"/>
      <c r="N470" s="1130"/>
      <c r="O470" s="1130"/>
      <c r="P470" s="1130"/>
      <c r="Q470" s="1130"/>
      <c r="R470" s="1130"/>
      <c r="S470" s="1130"/>
      <c r="T470" s="1130"/>
      <c r="U470" s="1130"/>
      <c r="V470" s="1130"/>
      <c r="W470" s="1130"/>
      <c r="X470" s="1130"/>
      <c r="Y470" s="1130"/>
      <c r="Z470" s="1130"/>
    </row>
    <row r="471" spans="1:26" ht="15.75" customHeight="1">
      <c r="A471" s="1130"/>
      <c r="B471" s="1130"/>
      <c r="C471" s="1130"/>
      <c r="D471" s="1130"/>
      <c r="E471" s="1130"/>
      <c r="F471" s="1130"/>
      <c r="G471" s="1130"/>
      <c r="H471" s="1130"/>
      <c r="I471" s="1130"/>
      <c r="J471" s="1130"/>
      <c r="K471" s="1130"/>
      <c r="L471" s="1130"/>
      <c r="M471" s="1130"/>
      <c r="N471" s="1130"/>
      <c r="O471" s="1130"/>
      <c r="P471" s="1130"/>
      <c r="Q471" s="1130"/>
      <c r="R471" s="1130"/>
      <c r="S471" s="1130"/>
      <c r="T471" s="1130"/>
      <c r="U471" s="1130"/>
      <c r="V471" s="1130"/>
      <c r="W471" s="1130"/>
      <c r="X471" s="1130"/>
      <c r="Y471" s="1130"/>
      <c r="Z471" s="1130"/>
    </row>
    <row r="472" spans="1:26" ht="15.75" customHeight="1">
      <c r="A472" s="1130"/>
      <c r="B472" s="1130"/>
      <c r="C472" s="1130"/>
      <c r="D472" s="1130"/>
      <c r="E472" s="1130"/>
      <c r="F472" s="1130"/>
      <c r="G472" s="1130"/>
      <c r="H472" s="1130"/>
      <c r="I472" s="1130"/>
      <c r="J472" s="1130"/>
      <c r="K472" s="1130"/>
      <c r="L472" s="1130"/>
      <c r="M472" s="1130"/>
      <c r="N472" s="1130"/>
      <c r="O472" s="1130"/>
      <c r="P472" s="1130"/>
      <c r="Q472" s="1130"/>
      <c r="R472" s="1130"/>
      <c r="S472" s="1130"/>
      <c r="T472" s="1130"/>
      <c r="U472" s="1130"/>
      <c r="V472" s="1130"/>
      <c r="W472" s="1130"/>
      <c r="X472" s="1130"/>
      <c r="Y472" s="1130"/>
      <c r="Z472" s="1130"/>
    </row>
    <row r="473" spans="1:26" ht="15.75" customHeight="1">
      <c r="A473" s="1130"/>
      <c r="B473" s="1130"/>
      <c r="C473" s="1130"/>
      <c r="D473" s="1130"/>
      <c r="E473" s="1130"/>
      <c r="F473" s="1130"/>
      <c r="G473" s="1130"/>
      <c r="H473" s="1130"/>
      <c r="I473" s="1130"/>
      <c r="J473" s="1130"/>
      <c r="K473" s="1130"/>
      <c r="L473" s="1130"/>
      <c r="M473" s="1130"/>
      <c r="N473" s="1130"/>
      <c r="O473" s="1130"/>
      <c r="P473" s="1130"/>
      <c r="Q473" s="1130"/>
      <c r="R473" s="1130"/>
      <c r="S473" s="1130"/>
      <c r="T473" s="1130"/>
      <c r="U473" s="1130"/>
      <c r="V473" s="1130"/>
      <c r="W473" s="1130"/>
      <c r="X473" s="1130"/>
      <c r="Y473" s="1130"/>
      <c r="Z473" s="1130"/>
    </row>
    <row r="474" spans="1:26" ht="15.75" customHeight="1">
      <c r="A474" s="1130"/>
      <c r="B474" s="1130"/>
      <c r="C474" s="1130"/>
      <c r="D474" s="1130"/>
      <c r="E474" s="1130"/>
      <c r="F474" s="1130"/>
      <c r="G474" s="1130"/>
      <c r="H474" s="1130"/>
      <c r="I474" s="1130"/>
      <c r="J474" s="1130"/>
      <c r="K474" s="1130"/>
      <c r="L474" s="1130"/>
      <c r="M474" s="1130"/>
      <c r="N474" s="1130"/>
      <c r="O474" s="1130"/>
      <c r="P474" s="1130"/>
      <c r="Q474" s="1130"/>
      <c r="R474" s="1130"/>
      <c r="S474" s="1130"/>
      <c r="T474" s="1130"/>
      <c r="U474" s="1130"/>
      <c r="V474" s="1130"/>
      <c r="W474" s="1130"/>
      <c r="X474" s="1130"/>
      <c r="Y474" s="1130"/>
      <c r="Z474" s="1130"/>
    </row>
    <row r="475" spans="1:26" ht="15.75" customHeight="1">
      <c r="A475" s="1130"/>
      <c r="B475" s="1130"/>
      <c r="C475" s="1130"/>
      <c r="D475" s="1130"/>
      <c r="E475" s="1130"/>
      <c r="F475" s="1130"/>
      <c r="G475" s="1130"/>
      <c r="H475" s="1130"/>
      <c r="I475" s="1130"/>
      <c r="J475" s="1130"/>
      <c r="K475" s="1130"/>
      <c r="L475" s="1130"/>
      <c r="M475" s="1130"/>
      <c r="N475" s="1130"/>
      <c r="O475" s="1130"/>
      <c r="P475" s="1130"/>
      <c r="Q475" s="1130"/>
      <c r="R475" s="1130"/>
      <c r="S475" s="1130"/>
      <c r="T475" s="1130"/>
      <c r="U475" s="1130"/>
      <c r="V475" s="1130"/>
      <c r="W475" s="1130"/>
      <c r="X475" s="1130"/>
      <c r="Y475" s="1130"/>
      <c r="Z475" s="1130"/>
    </row>
    <row r="476" spans="1:26" ht="15.75" customHeight="1">
      <c r="A476" s="1130"/>
      <c r="B476" s="1130"/>
      <c r="C476" s="1130"/>
      <c r="D476" s="1130"/>
      <c r="E476" s="1130"/>
      <c r="F476" s="1130"/>
      <c r="G476" s="1130"/>
      <c r="H476" s="1130"/>
      <c r="I476" s="1130"/>
      <c r="J476" s="1130"/>
      <c r="K476" s="1130"/>
      <c r="L476" s="1130"/>
      <c r="M476" s="1130"/>
      <c r="N476" s="1130"/>
      <c r="O476" s="1130"/>
      <c r="P476" s="1130"/>
      <c r="Q476" s="1130"/>
      <c r="R476" s="1130"/>
      <c r="S476" s="1130"/>
      <c r="T476" s="1130"/>
      <c r="U476" s="1130"/>
      <c r="V476" s="1130"/>
      <c r="W476" s="1130"/>
      <c r="X476" s="1130"/>
      <c r="Y476" s="1130"/>
      <c r="Z476" s="1130"/>
    </row>
    <row r="477" spans="1:26" ht="15.75" customHeight="1">
      <c r="A477" s="1130"/>
      <c r="B477" s="1130"/>
      <c r="C477" s="1130"/>
      <c r="D477" s="1130"/>
      <c r="E477" s="1130"/>
      <c r="F477" s="1130"/>
      <c r="G477" s="1130"/>
      <c r="H477" s="1130"/>
      <c r="I477" s="1130"/>
      <c r="J477" s="1130"/>
      <c r="K477" s="1130"/>
      <c r="L477" s="1130"/>
      <c r="M477" s="1130"/>
      <c r="N477" s="1130"/>
      <c r="O477" s="1130"/>
      <c r="P477" s="1130"/>
      <c r="Q477" s="1130"/>
      <c r="R477" s="1130"/>
      <c r="S477" s="1130"/>
      <c r="T477" s="1130"/>
      <c r="U477" s="1130"/>
      <c r="V477" s="1130"/>
      <c r="W477" s="1130"/>
      <c r="X477" s="1130"/>
      <c r="Y477" s="1130"/>
      <c r="Z477" s="1130"/>
    </row>
    <row r="478" spans="1:26" ht="15.75" customHeight="1">
      <c r="A478" s="1130"/>
      <c r="B478" s="1130"/>
      <c r="C478" s="1130"/>
      <c r="D478" s="1130"/>
      <c r="E478" s="1130"/>
      <c r="F478" s="1130"/>
      <c r="G478" s="1130"/>
      <c r="H478" s="1130"/>
      <c r="I478" s="1130"/>
      <c r="J478" s="1130"/>
      <c r="K478" s="1130"/>
      <c r="L478" s="1130"/>
      <c r="M478" s="1130"/>
      <c r="N478" s="1130"/>
      <c r="O478" s="1130"/>
      <c r="P478" s="1130"/>
      <c r="Q478" s="1130"/>
      <c r="R478" s="1130"/>
      <c r="S478" s="1130"/>
      <c r="T478" s="1130"/>
      <c r="U478" s="1130"/>
      <c r="V478" s="1130"/>
      <c r="W478" s="1130"/>
      <c r="X478" s="1130"/>
      <c r="Y478" s="1130"/>
      <c r="Z478" s="1130"/>
    </row>
    <row r="479" spans="1:26" ht="15.75" customHeight="1">
      <c r="A479" s="1130"/>
      <c r="B479" s="1130"/>
      <c r="C479" s="1130"/>
      <c r="D479" s="1130"/>
      <c r="E479" s="1130"/>
      <c r="F479" s="1130"/>
      <c r="G479" s="1130"/>
      <c r="H479" s="1130"/>
      <c r="I479" s="1130"/>
      <c r="J479" s="1130"/>
      <c r="K479" s="1130"/>
      <c r="L479" s="1130"/>
      <c r="M479" s="1130"/>
      <c r="N479" s="1130"/>
      <c r="O479" s="1130"/>
      <c r="P479" s="1130"/>
      <c r="Q479" s="1130"/>
      <c r="R479" s="1130"/>
      <c r="S479" s="1130"/>
      <c r="T479" s="1130"/>
      <c r="U479" s="1130"/>
      <c r="V479" s="1130"/>
      <c r="W479" s="1130"/>
      <c r="X479" s="1130"/>
      <c r="Y479" s="1130"/>
      <c r="Z479" s="1130"/>
    </row>
    <row r="480" spans="1:26" ht="15.75" customHeight="1">
      <c r="A480" s="1130"/>
      <c r="B480" s="1130"/>
      <c r="C480" s="1130"/>
      <c r="D480" s="1130"/>
      <c r="E480" s="1130"/>
      <c r="F480" s="1130"/>
      <c r="G480" s="1130"/>
      <c r="H480" s="1130"/>
      <c r="I480" s="1130"/>
      <c r="J480" s="1130"/>
      <c r="K480" s="1130"/>
      <c r="L480" s="1130"/>
      <c r="M480" s="1130"/>
      <c r="N480" s="1130"/>
      <c r="O480" s="1130"/>
      <c r="P480" s="1130"/>
      <c r="Q480" s="1130"/>
      <c r="R480" s="1130"/>
      <c r="S480" s="1130"/>
      <c r="T480" s="1130"/>
      <c r="U480" s="1130"/>
      <c r="V480" s="1130"/>
      <c r="W480" s="1130"/>
      <c r="X480" s="1130"/>
      <c r="Y480" s="1130"/>
      <c r="Z480" s="1130"/>
    </row>
    <row r="481" spans="1:26" ht="15.75" customHeight="1">
      <c r="A481" s="1130"/>
      <c r="B481" s="1130"/>
      <c r="C481" s="1130"/>
      <c r="D481" s="1130"/>
      <c r="E481" s="1130"/>
      <c r="F481" s="1130"/>
      <c r="G481" s="1130"/>
      <c r="H481" s="1130"/>
      <c r="I481" s="1130"/>
      <c r="J481" s="1130"/>
      <c r="K481" s="1130"/>
      <c r="L481" s="1130"/>
      <c r="M481" s="1130"/>
      <c r="N481" s="1130"/>
      <c r="O481" s="1130"/>
      <c r="P481" s="1130"/>
      <c r="Q481" s="1130"/>
      <c r="R481" s="1130"/>
      <c r="S481" s="1130"/>
      <c r="T481" s="1130"/>
      <c r="U481" s="1130"/>
      <c r="V481" s="1130"/>
      <c r="W481" s="1130"/>
      <c r="X481" s="1130"/>
      <c r="Y481" s="1130"/>
      <c r="Z481" s="1130"/>
    </row>
    <row r="482" spans="1:26" ht="15.75" customHeight="1">
      <c r="A482" s="1130"/>
      <c r="B482" s="1130"/>
      <c r="C482" s="1130"/>
      <c r="D482" s="1130"/>
      <c r="E482" s="1130"/>
      <c r="F482" s="1130"/>
      <c r="G482" s="1130"/>
      <c r="H482" s="1130"/>
      <c r="I482" s="1130"/>
      <c r="J482" s="1130"/>
      <c r="K482" s="1130"/>
      <c r="L482" s="1130"/>
      <c r="M482" s="1130"/>
      <c r="N482" s="1130"/>
      <c r="O482" s="1130"/>
      <c r="P482" s="1130"/>
      <c r="Q482" s="1130"/>
      <c r="R482" s="1130"/>
      <c r="S482" s="1130"/>
      <c r="T482" s="1130"/>
      <c r="U482" s="1130"/>
      <c r="V482" s="1130"/>
      <c r="W482" s="1130"/>
      <c r="X482" s="1130"/>
      <c r="Y482" s="1130"/>
      <c r="Z482" s="1130"/>
    </row>
    <row r="483" spans="1:26" ht="15.75" customHeight="1">
      <c r="A483" s="1130"/>
      <c r="B483" s="1130"/>
      <c r="C483" s="1130"/>
      <c r="D483" s="1130"/>
      <c r="E483" s="1130"/>
      <c r="F483" s="1130"/>
      <c r="G483" s="1130"/>
      <c r="H483" s="1130"/>
      <c r="I483" s="1130"/>
      <c r="J483" s="1130"/>
      <c r="K483" s="1130"/>
      <c r="L483" s="1130"/>
      <c r="M483" s="1130"/>
      <c r="N483" s="1130"/>
      <c r="O483" s="1130"/>
      <c r="P483" s="1130"/>
      <c r="Q483" s="1130"/>
      <c r="R483" s="1130"/>
      <c r="S483" s="1130"/>
      <c r="T483" s="1130"/>
      <c r="U483" s="1130"/>
      <c r="V483" s="1130"/>
      <c r="W483" s="1130"/>
      <c r="X483" s="1130"/>
      <c r="Y483" s="1130"/>
      <c r="Z483" s="1130"/>
    </row>
    <row r="484" spans="1:26" ht="15.75" customHeight="1">
      <c r="A484" s="1130"/>
      <c r="B484" s="1130"/>
      <c r="C484" s="1130"/>
      <c r="D484" s="1130"/>
      <c r="E484" s="1130"/>
      <c r="F484" s="1130"/>
      <c r="G484" s="1130"/>
      <c r="H484" s="1130"/>
      <c r="I484" s="1130"/>
      <c r="J484" s="1130"/>
      <c r="K484" s="1130"/>
      <c r="L484" s="1130"/>
      <c r="M484" s="1130"/>
      <c r="N484" s="1130"/>
      <c r="O484" s="1130"/>
      <c r="P484" s="1130"/>
      <c r="Q484" s="1130"/>
      <c r="R484" s="1130"/>
      <c r="S484" s="1130"/>
      <c r="T484" s="1130"/>
      <c r="U484" s="1130"/>
      <c r="V484" s="1130"/>
      <c r="W484" s="1130"/>
      <c r="X484" s="1130"/>
      <c r="Y484" s="1130"/>
      <c r="Z484" s="1130"/>
    </row>
    <row r="485" spans="1:26" ht="15.75" customHeight="1">
      <c r="A485" s="1130"/>
      <c r="B485" s="1130"/>
      <c r="C485" s="1130"/>
      <c r="D485" s="1130"/>
      <c r="E485" s="1130"/>
      <c r="F485" s="1130"/>
      <c r="G485" s="1130"/>
      <c r="H485" s="1130"/>
      <c r="I485" s="1130"/>
      <c r="J485" s="1130"/>
      <c r="K485" s="1130"/>
      <c r="L485" s="1130"/>
      <c r="M485" s="1130"/>
      <c r="N485" s="1130"/>
      <c r="O485" s="1130"/>
      <c r="P485" s="1130"/>
      <c r="Q485" s="1130"/>
      <c r="R485" s="1130"/>
      <c r="S485" s="1130"/>
      <c r="T485" s="1130"/>
      <c r="U485" s="1130"/>
      <c r="V485" s="1130"/>
      <c r="W485" s="1130"/>
      <c r="X485" s="1130"/>
      <c r="Y485" s="1130"/>
      <c r="Z485" s="1130"/>
    </row>
    <row r="486" spans="1:26" ht="15.75" customHeight="1">
      <c r="A486" s="1130"/>
      <c r="B486" s="1130"/>
      <c r="C486" s="1130"/>
      <c r="D486" s="1130"/>
      <c r="E486" s="1130"/>
      <c r="F486" s="1130"/>
      <c r="G486" s="1130"/>
      <c r="H486" s="1130"/>
      <c r="I486" s="1130"/>
      <c r="J486" s="1130"/>
      <c r="K486" s="1130"/>
      <c r="L486" s="1130"/>
      <c r="M486" s="1130"/>
      <c r="N486" s="1130"/>
      <c r="O486" s="1130"/>
      <c r="P486" s="1130"/>
      <c r="Q486" s="1130"/>
      <c r="R486" s="1130"/>
      <c r="S486" s="1130"/>
      <c r="T486" s="1130"/>
      <c r="U486" s="1130"/>
      <c r="V486" s="1130"/>
      <c r="W486" s="1130"/>
      <c r="X486" s="1130"/>
      <c r="Y486" s="1130"/>
      <c r="Z486" s="1130"/>
    </row>
    <row r="487" spans="1:26" ht="15.75" customHeight="1">
      <c r="A487" s="1130"/>
      <c r="B487" s="1130"/>
      <c r="C487" s="1130"/>
      <c r="D487" s="1130"/>
      <c r="E487" s="1130"/>
      <c r="F487" s="1130"/>
      <c r="G487" s="1130"/>
      <c r="H487" s="1130"/>
      <c r="I487" s="1130"/>
      <c r="J487" s="1130"/>
      <c r="K487" s="1130"/>
      <c r="L487" s="1130"/>
      <c r="M487" s="1130"/>
      <c r="N487" s="1130"/>
      <c r="O487" s="1130"/>
      <c r="P487" s="1130"/>
      <c r="Q487" s="1130"/>
      <c r="R487" s="1130"/>
      <c r="S487" s="1130"/>
      <c r="T487" s="1130"/>
      <c r="U487" s="1130"/>
      <c r="V487" s="1130"/>
      <c r="W487" s="1130"/>
      <c r="X487" s="1130"/>
      <c r="Y487" s="1130"/>
      <c r="Z487" s="1130"/>
    </row>
    <row r="488" spans="1:26" ht="15.75" customHeight="1">
      <c r="A488" s="1130"/>
      <c r="B488" s="1130"/>
      <c r="C488" s="1130"/>
      <c r="D488" s="1130"/>
      <c r="E488" s="1130"/>
      <c r="F488" s="1130"/>
      <c r="G488" s="1130"/>
      <c r="H488" s="1130"/>
      <c r="I488" s="1130"/>
      <c r="J488" s="1130"/>
      <c r="K488" s="1130"/>
      <c r="L488" s="1130"/>
      <c r="M488" s="1130"/>
      <c r="N488" s="1130"/>
      <c r="O488" s="1130"/>
      <c r="P488" s="1130"/>
      <c r="Q488" s="1130"/>
      <c r="R488" s="1130"/>
      <c r="S488" s="1130"/>
      <c r="T488" s="1130"/>
      <c r="U488" s="1130"/>
      <c r="V488" s="1130"/>
      <c r="W488" s="1130"/>
      <c r="X488" s="1130"/>
      <c r="Y488" s="1130"/>
      <c r="Z488" s="1130"/>
    </row>
    <row r="489" spans="1:26" ht="15.75" customHeight="1">
      <c r="A489" s="1130"/>
      <c r="B489" s="1130"/>
      <c r="C489" s="1130"/>
      <c r="D489" s="1130"/>
      <c r="E489" s="1130"/>
      <c r="F489" s="1130"/>
      <c r="G489" s="1130"/>
      <c r="H489" s="1130"/>
      <c r="I489" s="1130"/>
      <c r="J489" s="1130"/>
      <c r="K489" s="1130"/>
      <c r="L489" s="1130"/>
      <c r="M489" s="1130"/>
      <c r="N489" s="1130"/>
      <c r="O489" s="1130"/>
      <c r="P489" s="1130"/>
      <c r="Q489" s="1130"/>
      <c r="R489" s="1130"/>
      <c r="S489" s="1130"/>
      <c r="T489" s="1130"/>
      <c r="U489" s="1130"/>
      <c r="V489" s="1130"/>
      <c r="W489" s="1130"/>
      <c r="X489" s="1130"/>
      <c r="Y489" s="1130"/>
      <c r="Z489" s="1130"/>
    </row>
    <row r="490" spans="1:26" ht="15.75" customHeight="1">
      <c r="A490" s="1130"/>
      <c r="B490" s="1130"/>
      <c r="C490" s="1130"/>
      <c r="D490" s="1130"/>
      <c r="E490" s="1130"/>
      <c r="F490" s="1130"/>
      <c r="G490" s="1130"/>
      <c r="H490" s="1130"/>
      <c r="I490" s="1130"/>
      <c r="J490" s="1130"/>
      <c r="K490" s="1130"/>
      <c r="L490" s="1130"/>
      <c r="M490" s="1130"/>
      <c r="N490" s="1130"/>
      <c r="O490" s="1130"/>
      <c r="P490" s="1130"/>
      <c r="Q490" s="1130"/>
      <c r="R490" s="1130"/>
      <c r="S490" s="1130"/>
      <c r="T490" s="1130"/>
      <c r="U490" s="1130"/>
      <c r="V490" s="1130"/>
      <c r="W490" s="1130"/>
      <c r="X490" s="1130"/>
      <c r="Y490" s="1130"/>
      <c r="Z490" s="1130"/>
    </row>
    <row r="491" spans="1:26" ht="15.75" customHeight="1">
      <c r="A491" s="1130"/>
      <c r="B491" s="1130"/>
      <c r="C491" s="1130"/>
      <c r="D491" s="1130"/>
      <c r="E491" s="1130"/>
      <c r="F491" s="1130"/>
      <c r="G491" s="1130"/>
      <c r="H491" s="1130"/>
      <c r="I491" s="1130"/>
      <c r="J491" s="1130"/>
      <c r="K491" s="1130"/>
      <c r="L491" s="1130"/>
      <c r="M491" s="1130"/>
      <c r="N491" s="1130"/>
      <c r="O491" s="1130"/>
      <c r="P491" s="1130"/>
      <c r="Q491" s="1130"/>
      <c r="R491" s="1130"/>
      <c r="S491" s="1130"/>
      <c r="T491" s="1130"/>
      <c r="U491" s="1130"/>
      <c r="V491" s="1130"/>
      <c r="W491" s="1130"/>
      <c r="X491" s="1130"/>
      <c r="Y491" s="1130"/>
      <c r="Z491" s="1130"/>
    </row>
    <row r="492" spans="1:26" ht="15.75" customHeight="1">
      <c r="A492" s="1130"/>
      <c r="B492" s="1130"/>
      <c r="C492" s="1130"/>
      <c r="D492" s="1130"/>
      <c r="E492" s="1130"/>
      <c r="F492" s="1130"/>
      <c r="G492" s="1130"/>
      <c r="H492" s="1130"/>
      <c r="I492" s="1130"/>
      <c r="J492" s="1130"/>
      <c r="K492" s="1130"/>
      <c r="L492" s="1130"/>
      <c r="M492" s="1130"/>
      <c r="N492" s="1130"/>
      <c r="O492" s="1130"/>
      <c r="P492" s="1130"/>
      <c r="Q492" s="1130"/>
      <c r="R492" s="1130"/>
      <c r="S492" s="1130"/>
      <c r="T492" s="1130"/>
      <c r="U492" s="1130"/>
      <c r="V492" s="1130"/>
      <c r="W492" s="1130"/>
      <c r="X492" s="1130"/>
      <c r="Y492" s="1130"/>
      <c r="Z492" s="1130"/>
    </row>
    <row r="493" spans="1:26" ht="15.75" customHeight="1">
      <c r="A493" s="1130"/>
      <c r="B493" s="1130"/>
      <c r="C493" s="1130"/>
      <c r="D493" s="1130"/>
      <c r="E493" s="1130"/>
      <c r="F493" s="1130"/>
      <c r="G493" s="1130"/>
      <c r="H493" s="1130"/>
      <c r="I493" s="1130"/>
      <c r="J493" s="1130"/>
      <c r="K493" s="1130"/>
      <c r="L493" s="1130"/>
      <c r="M493" s="1130"/>
      <c r="N493" s="1130"/>
      <c r="O493" s="1130"/>
      <c r="P493" s="1130"/>
      <c r="Q493" s="1130"/>
      <c r="R493" s="1130"/>
      <c r="S493" s="1130"/>
      <c r="T493" s="1130"/>
      <c r="U493" s="1130"/>
      <c r="V493" s="1130"/>
      <c r="W493" s="1130"/>
      <c r="X493" s="1130"/>
      <c r="Y493" s="1130"/>
      <c r="Z493" s="1130"/>
    </row>
    <row r="494" spans="1:26" ht="15.75" customHeight="1">
      <c r="A494" s="1130"/>
      <c r="B494" s="1130"/>
      <c r="C494" s="1130"/>
      <c r="D494" s="1130"/>
      <c r="E494" s="1130"/>
      <c r="F494" s="1130"/>
      <c r="G494" s="1130"/>
      <c r="H494" s="1130"/>
      <c r="I494" s="1130"/>
      <c r="J494" s="1130"/>
      <c r="K494" s="1130"/>
      <c r="L494" s="1130"/>
      <c r="M494" s="1130"/>
      <c r="N494" s="1130"/>
      <c r="O494" s="1130"/>
      <c r="P494" s="1130"/>
      <c r="Q494" s="1130"/>
      <c r="R494" s="1130"/>
      <c r="S494" s="1130"/>
      <c r="T494" s="1130"/>
      <c r="U494" s="1130"/>
      <c r="V494" s="1130"/>
      <c r="W494" s="1130"/>
      <c r="X494" s="1130"/>
      <c r="Y494" s="1130"/>
      <c r="Z494" s="1130"/>
    </row>
    <row r="495" spans="1:26" ht="15.75" customHeight="1">
      <c r="A495" s="1130"/>
      <c r="B495" s="1130"/>
      <c r="C495" s="1130"/>
      <c r="D495" s="1130"/>
      <c r="E495" s="1130"/>
      <c r="F495" s="1130"/>
      <c r="G495" s="1130"/>
      <c r="H495" s="1130"/>
      <c r="I495" s="1130"/>
      <c r="J495" s="1130"/>
      <c r="K495" s="1130"/>
      <c r="L495" s="1130"/>
      <c r="M495" s="1130"/>
      <c r="N495" s="1130"/>
      <c r="O495" s="1130"/>
      <c r="P495" s="1130"/>
      <c r="Q495" s="1130"/>
      <c r="R495" s="1130"/>
      <c r="S495" s="1130"/>
      <c r="T495" s="1130"/>
      <c r="U495" s="1130"/>
      <c r="V495" s="1130"/>
      <c r="W495" s="1130"/>
      <c r="X495" s="1130"/>
      <c r="Y495" s="1130"/>
      <c r="Z495" s="1130"/>
    </row>
    <row r="496" spans="1:26" ht="15.75" customHeight="1">
      <c r="A496" s="1130"/>
      <c r="B496" s="1130"/>
      <c r="C496" s="1130"/>
      <c r="D496" s="1130"/>
      <c r="E496" s="1130"/>
      <c r="F496" s="1130"/>
      <c r="G496" s="1130"/>
      <c r="H496" s="1130"/>
      <c r="I496" s="1130"/>
      <c r="J496" s="1130"/>
      <c r="K496" s="1130"/>
      <c r="L496" s="1130"/>
      <c r="M496" s="1130"/>
      <c r="N496" s="1130"/>
      <c r="O496" s="1130"/>
      <c r="P496" s="1130"/>
      <c r="Q496" s="1130"/>
      <c r="R496" s="1130"/>
      <c r="S496" s="1130"/>
      <c r="T496" s="1130"/>
      <c r="U496" s="1130"/>
      <c r="V496" s="1130"/>
      <c r="W496" s="1130"/>
      <c r="X496" s="1130"/>
      <c r="Y496" s="1130"/>
      <c r="Z496" s="1130"/>
    </row>
    <row r="497" spans="1:26" ht="15.75" customHeight="1">
      <c r="A497" s="1130"/>
      <c r="B497" s="1130"/>
      <c r="C497" s="1130"/>
      <c r="D497" s="1130"/>
      <c r="E497" s="1130"/>
      <c r="F497" s="1130"/>
      <c r="G497" s="1130"/>
      <c r="H497" s="1130"/>
      <c r="I497" s="1130"/>
      <c r="J497" s="1130"/>
      <c r="K497" s="1130"/>
      <c r="L497" s="1130"/>
      <c r="M497" s="1130"/>
      <c r="N497" s="1130"/>
      <c r="O497" s="1130"/>
      <c r="P497" s="1130"/>
      <c r="Q497" s="1130"/>
      <c r="R497" s="1130"/>
      <c r="S497" s="1130"/>
      <c r="T497" s="1130"/>
      <c r="U497" s="1130"/>
      <c r="V497" s="1130"/>
      <c r="W497" s="1130"/>
      <c r="X497" s="1130"/>
      <c r="Y497" s="1130"/>
      <c r="Z497" s="1130"/>
    </row>
    <row r="498" spans="1:26" ht="15.75" customHeight="1">
      <c r="A498" s="1130"/>
      <c r="B498" s="1130"/>
      <c r="C498" s="1130"/>
      <c r="D498" s="1130"/>
      <c r="E498" s="1130"/>
      <c r="F498" s="1130"/>
      <c r="G498" s="1130"/>
      <c r="H498" s="1130"/>
      <c r="I498" s="1130"/>
      <c r="J498" s="1130"/>
      <c r="K498" s="1130"/>
      <c r="L498" s="1130"/>
      <c r="M498" s="1130"/>
      <c r="N498" s="1130"/>
      <c r="O498" s="1130"/>
      <c r="P498" s="1130"/>
      <c r="Q498" s="1130"/>
      <c r="R498" s="1130"/>
      <c r="S498" s="1130"/>
      <c r="T498" s="1130"/>
      <c r="U498" s="1130"/>
      <c r="V498" s="1130"/>
      <c r="W498" s="1130"/>
      <c r="X498" s="1130"/>
      <c r="Y498" s="1130"/>
      <c r="Z498" s="1130"/>
    </row>
    <row r="499" spans="1:26" ht="15.75" customHeight="1">
      <c r="A499" s="1130"/>
      <c r="B499" s="1130"/>
      <c r="C499" s="1130"/>
      <c r="D499" s="1130"/>
      <c r="E499" s="1130"/>
      <c r="F499" s="1130"/>
      <c r="G499" s="1130"/>
      <c r="H499" s="1130"/>
      <c r="I499" s="1130"/>
      <c r="J499" s="1130"/>
      <c r="K499" s="1130"/>
      <c r="L499" s="1130"/>
      <c r="M499" s="1130"/>
      <c r="N499" s="1130"/>
      <c r="O499" s="1130"/>
      <c r="P499" s="1130"/>
      <c r="Q499" s="1130"/>
      <c r="R499" s="1130"/>
      <c r="S499" s="1130"/>
      <c r="T499" s="1130"/>
      <c r="U499" s="1130"/>
      <c r="V499" s="1130"/>
      <c r="W499" s="1130"/>
      <c r="X499" s="1130"/>
      <c r="Y499" s="1130"/>
      <c r="Z499" s="1130"/>
    </row>
    <row r="500" spans="1:26" ht="15.75" customHeight="1">
      <c r="A500" s="1130"/>
      <c r="B500" s="1130"/>
      <c r="C500" s="1130"/>
      <c r="D500" s="1130"/>
      <c r="E500" s="1130"/>
      <c r="F500" s="1130"/>
      <c r="G500" s="1130"/>
      <c r="H500" s="1130"/>
      <c r="I500" s="1130"/>
      <c r="J500" s="1130"/>
      <c r="K500" s="1130"/>
      <c r="L500" s="1130"/>
      <c r="M500" s="1130"/>
      <c r="N500" s="1130"/>
      <c r="O500" s="1130"/>
      <c r="P500" s="1130"/>
      <c r="Q500" s="1130"/>
      <c r="R500" s="1130"/>
      <c r="S500" s="1130"/>
      <c r="T500" s="1130"/>
      <c r="U500" s="1130"/>
      <c r="V500" s="1130"/>
      <c r="W500" s="1130"/>
      <c r="X500" s="1130"/>
      <c r="Y500" s="1130"/>
      <c r="Z500" s="1130"/>
    </row>
    <row r="501" spans="1:26" ht="15.75" customHeight="1">
      <c r="A501" s="1130"/>
      <c r="B501" s="1130"/>
      <c r="C501" s="1130"/>
      <c r="D501" s="1130"/>
      <c r="E501" s="1130"/>
      <c r="F501" s="1130"/>
      <c r="G501" s="1130"/>
      <c r="H501" s="1130"/>
      <c r="I501" s="1130"/>
      <c r="J501" s="1130"/>
      <c r="K501" s="1130"/>
      <c r="L501" s="1130"/>
      <c r="M501" s="1130"/>
      <c r="N501" s="1130"/>
      <c r="O501" s="1130"/>
      <c r="P501" s="1130"/>
      <c r="Q501" s="1130"/>
      <c r="R501" s="1130"/>
      <c r="S501" s="1130"/>
      <c r="T501" s="1130"/>
      <c r="U501" s="1130"/>
      <c r="V501" s="1130"/>
      <c r="W501" s="1130"/>
      <c r="X501" s="1130"/>
      <c r="Y501" s="1130"/>
      <c r="Z501" s="1130"/>
    </row>
    <row r="502" spans="1:26" ht="15.75" customHeight="1">
      <c r="A502" s="1130"/>
      <c r="B502" s="1130"/>
      <c r="C502" s="1130"/>
      <c r="D502" s="1130"/>
      <c r="E502" s="1130"/>
      <c r="F502" s="1130"/>
      <c r="G502" s="1130"/>
      <c r="H502" s="1130"/>
      <c r="I502" s="1130"/>
      <c r="J502" s="1130"/>
      <c r="K502" s="1130"/>
      <c r="L502" s="1130"/>
      <c r="M502" s="1130"/>
      <c r="N502" s="1130"/>
      <c r="O502" s="1130"/>
      <c r="P502" s="1130"/>
      <c r="Q502" s="1130"/>
      <c r="R502" s="1130"/>
      <c r="S502" s="1130"/>
      <c r="T502" s="1130"/>
      <c r="U502" s="1130"/>
      <c r="V502" s="1130"/>
      <c r="W502" s="1130"/>
      <c r="X502" s="1130"/>
      <c r="Y502" s="1130"/>
      <c r="Z502" s="1130"/>
    </row>
    <row r="503" spans="1:26" ht="15.75" customHeight="1">
      <c r="A503" s="1130"/>
      <c r="B503" s="1130"/>
      <c r="C503" s="1130"/>
      <c r="D503" s="1130"/>
      <c r="E503" s="1130"/>
      <c r="F503" s="1130"/>
      <c r="G503" s="1130"/>
      <c r="H503" s="1130"/>
      <c r="I503" s="1130"/>
      <c r="J503" s="1130"/>
      <c r="K503" s="1130"/>
      <c r="L503" s="1130"/>
      <c r="M503" s="1130"/>
      <c r="N503" s="1130"/>
      <c r="O503" s="1130"/>
      <c r="P503" s="1130"/>
      <c r="Q503" s="1130"/>
      <c r="R503" s="1130"/>
      <c r="S503" s="1130"/>
      <c r="T503" s="1130"/>
      <c r="U503" s="1130"/>
      <c r="V503" s="1130"/>
      <c r="W503" s="1130"/>
      <c r="X503" s="1130"/>
      <c r="Y503" s="1130"/>
      <c r="Z503" s="1130"/>
    </row>
    <row r="504" spans="1:26" ht="15.75" customHeight="1">
      <c r="A504" s="1130"/>
      <c r="B504" s="1130"/>
      <c r="C504" s="1130"/>
      <c r="D504" s="1130"/>
      <c r="E504" s="1130"/>
      <c r="F504" s="1130"/>
      <c r="G504" s="1130"/>
      <c r="H504" s="1130"/>
      <c r="I504" s="1130"/>
      <c r="J504" s="1130"/>
      <c r="K504" s="1130"/>
      <c r="L504" s="1130"/>
      <c r="M504" s="1130"/>
      <c r="N504" s="1130"/>
      <c r="O504" s="1130"/>
      <c r="P504" s="1130"/>
      <c r="Q504" s="1130"/>
      <c r="R504" s="1130"/>
      <c r="S504" s="1130"/>
      <c r="T504" s="1130"/>
      <c r="U504" s="1130"/>
      <c r="V504" s="1130"/>
      <c r="W504" s="1130"/>
      <c r="X504" s="1130"/>
      <c r="Y504" s="1130"/>
      <c r="Z504" s="1130"/>
    </row>
    <row r="505" spans="1:26" ht="15.75" customHeight="1">
      <c r="A505" s="1130"/>
      <c r="B505" s="1130"/>
      <c r="C505" s="1130"/>
      <c r="D505" s="1130"/>
      <c r="E505" s="1130"/>
      <c r="F505" s="1130"/>
      <c r="G505" s="1130"/>
      <c r="H505" s="1130"/>
      <c r="I505" s="1130"/>
      <c r="J505" s="1130"/>
      <c r="K505" s="1130"/>
      <c r="L505" s="1130"/>
      <c r="M505" s="1130"/>
      <c r="N505" s="1130"/>
      <c r="O505" s="1130"/>
      <c r="P505" s="1130"/>
      <c r="Q505" s="1130"/>
      <c r="R505" s="1130"/>
      <c r="S505" s="1130"/>
      <c r="T505" s="1130"/>
      <c r="U505" s="1130"/>
      <c r="V505" s="1130"/>
      <c r="W505" s="1130"/>
      <c r="X505" s="1130"/>
      <c r="Y505" s="1130"/>
      <c r="Z505" s="1130"/>
    </row>
    <row r="506" spans="1:26" ht="15.75" customHeight="1">
      <c r="A506" s="1130"/>
      <c r="B506" s="1130"/>
      <c r="C506" s="1130"/>
      <c r="D506" s="1130"/>
      <c r="E506" s="1130"/>
      <c r="F506" s="1130"/>
      <c r="G506" s="1130"/>
      <c r="H506" s="1130"/>
      <c r="I506" s="1130"/>
      <c r="J506" s="1130"/>
      <c r="K506" s="1130"/>
      <c r="L506" s="1130"/>
      <c r="M506" s="1130"/>
      <c r="N506" s="1130"/>
      <c r="O506" s="1130"/>
      <c r="P506" s="1130"/>
      <c r="Q506" s="1130"/>
      <c r="R506" s="1130"/>
      <c r="S506" s="1130"/>
      <c r="T506" s="1130"/>
      <c r="U506" s="1130"/>
      <c r="V506" s="1130"/>
      <c r="W506" s="1130"/>
      <c r="X506" s="1130"/>
      <c r="Y506" s="1130"/>
      <c r="Z506" s="1130"/>
    </row>
    <row r="507" spans="1:26" ht="15.75" customHeight="1">
      <c r="A507" s="1130"/>
      <c r="B507" s="1130"/>
      <c r="C507" s="1130"/>
      <c r="D507" s="1130"/>
      <c r="E507" s="1130"/>
      <c r="F507" s="1130"/>
      <c r="G507" s="1130"/>
      <c r="H507" s="1130"/>
      <c r="I507" s="1130"/>
      <c r="J507" s="1130"/>
      <c r="K507" s="1130"/>
      <c r="L507" s="1130"/>
      <c r="M507" s="1130"/>
      <c r="N507" s="1130"/>
      <c r="O507" s="1130"/>
      <c r="P507" s="1130"/>
      <c r="Q507" s="1130"/>
      <c r="R507" s="1130"/>
      <c r="S507" s="1130"/>
      <c r="T507" s="1130"/>
      <c r="U507" s="1130"/>
      <c r="V507" s="1130"/>
      <c r="W507" s="1130"/>
      <c r="X507" s="1130"/>
      <c r="Y507" s="1130"/>
      <c r="Z507" s="1130"/>
    </row>
    <row r="508" spans="1:26" ht="15.75" customHeight="1">
      <c r="A508" s="1130"/>
      <c r="B508" s="1130"/>
      <c r="C508" s="1130"/>
      <c r="D508" s="1130"/>
      <c r="E508" s="1130"/>
      <c r="F508" s="1130"/>
      <c r="G508" s="1130"/>
      <c r="H508" s="1130"/>
      <c r="I508" s="1130"/>
      <c r="J508" s="1130"/>
      <c r="K508" s="1130"/>
      <c r="L508" s="1130"/>
      <c r="M508" s="1130"/>
      <c r="N508" s="1130"/>
      <c r="O508" s="1130"/>
      <c r="P508" s="1130"/>
      <c r="Q508" s="1130"/>
      <c r="R508" s="1130"/>
      <c r="S508" s="1130"/>
      <c r="T508" s="1130"/>
      <c r="U508" s="1130"/>
      <c r="V508" s="1130"/>
      <c r="W508" s="1130"/>
      <c r="X508" s="1130"/>
      <c r="Y508" s="1130"/>
      <c r="Z508" s="1130"/>
    </row>
    <row r="509" spans="1:26" ht="15.75" customHeight="1">
      <c r="A509" s="1130"/>
      <c r="B509" s="1130"/>
      <c r="C509" s="1130"/>
      <c r="D509" s="1130"/>
      <c r="E509" s="1130"/>
      <c r="F509" s="1130"/>
      <c r="G509" s="1130"/>
      <c r="H509" s="1130"/>
      <c r="I509" s="1130"/>
      <c r="J509" s="1130"/>
      <c r="K509" s="1130"/>
      <c r="L509" s="1130"/>
      <c r="M509" s="1130"/>
      <c r="N509" s="1130"/>
      <c r="O509" s="1130"/>
      <c r="P509" s="1130"/>
      <c r="Q509" s="1130"/>
      <c r="R509" s="1130"/>
      <c r="S509" s="1130"/>
      <c r="T509" s="1130"/>
      <c r="U509" s="1130"/>
      <c r="V509" s="1130"/>
      <c r="W509" s="1130"/>
      <c r="X509" s="1130"/>
      <c r="Y509" s="1130"/>
      <c r="Z509" s="1130"/>
    </row>
    <row r="510" spans="1:26" ht="15.75" customHeight="1">
      <c r="A510" s="1130"/>
      <c r="B510" s="1130"/>
      <c r="C510" s="1130"/>
      <c r="D510" s="1130"/>
      <c r="E510" s="1130"/>
      <c r="F510" s="1130"/>
      <c r="G510" s="1130"/>
      <c r="H510" s="1130"/>
      <c r="I510" s="1130"/>
      <c r="J510" s="1130"/>
      <c r="K510" s="1130"/>
      <c r="L510" s="1130"/>
      <c r="M510" s="1130"/>
      <c r="N510" s="1130"/>
      <c r="O510" s="1130"/>
      <c r="P510" s="1130"/>
      <c r="Q510" s="1130"/>
      <c r="R510" s="1130"/>
      <c r="S510" s="1130"/>
      <c r="T510" s="1130"/>
      <c r="U510" s="1130"/>
      <c r="V510" s="1130"/>
      <c r="W510" s="1130"/>
      <c r="X510" s="1130"/>
      <c r="Y510" s="1130"/>
      <c r="Z510" s="1130"/>
    </row>
    <row r="511" spans="1:26" ht="15.75" customHeight="1">
      <c r="A511" s="1130"/>
      <c r="B511" s="1130"/>
      <c r="C511" s="1130"/>
      <c r="D511" s="1130"/>
      <c r="E511" s="1130"/>
      <c r="F511" s="1130"/>
      <c r="G511" s="1130"/>
      <c r="H511" s="1130"/>
      <c r="I511" s="1130"/>
      <c r="J511" s="1130"/>
      <c r="K511" s="1130"/>
      <c r="L511" s="1130"/>
      <c r="M511" s="1130"/>
      <c r="N511" s="1130"/>
      <c r="O511" s="1130"/>
      <c r="P511" s="1130"/>
      <c r="Q511" s="1130"/>
      <c r="R511" s="1130"/>
      <c r="S511" s="1130"/>
      <c r="T511" s="1130"/>
      <c r="U511" s="1130"/>
      <c r="V511" s="1130"/>
      <c r="W511" s="1130"/>
      <c r="X511" s="1130"/>
      <c r="Y511" s="1130"/>
      <c r="Z511" s="1130"/>
    </row>
    <row r="512" spans="1:26" ht="15.75" customHeight="1">
      <c r="A512" s="1130"/>
      <c r="B512" s="1130"/>
      <c r="C512" s="1130"/>
      <c r="D512" s="1130"/>
      <c r="E512" s="1130"/>
      <c r="F512" s="1130"/>
      <c r="G512" s="1130"/>
      <c r="H512" s="1130"/>
      <c r="I512" s="1130"/>
      <c r="J512" s="1130"/>
      <c r="K512" s="1130"/>
      <c r="L512" s="1130"/>
      <c r="M512" s="1130"/>
      <c r="N512" s="1130"/>
      <c r="O512" s="1130"/>
      <c r="P512" s="1130"/>
      <c r="Q512" s="1130"/>
      <c r="R512" s="1130"/>
      <c r="S512" s="1130"/>
      <c r="T512" s="1130"/>
      <c r="U512" s="1130"/>
      <c r="V512" s="1130"/>
      <c r="W512" s="1130"/>
      <c r="X512" s="1130"/>
      <c r="Y512" s="1130"/>
      <c r="Z512" s="1130"/>
    </row>
    <row r="513" spans="1:26" ht="15.75" customHeight="1">
      <c r="A513" s="1130"/>
      <c r="B513" s="1130"/>
      <c r="C513" s="1130"/>
      <c r="D513" s="1130"/>
      <c r="E513" s="1130"/>
      <c r="F513" s="1130"/>
      <c r="G513" s="1130"/>
      <c r="H513" s="1130"/>
      <c r="I513" s="1130"/>
      <c r="J513" s="1130"/>
      <c r="K513" s="1130"/>
      <c r="L513" s="1130"/>
      <c r="M513" s="1130"/>
      <c r="N513" s="1130"/>
      <c r="O513" s="1130"/>
      <c r="P513" s="1130"/>
      <c r="Q513" s="1130"/>
      <c r="R513" s="1130"/>
      <c r="S513" s="1130"/>
      <c r="T513" s="1130"/>
      <c r="U513" s="1130"/>
      <c r="V513" s="1130"/>
      <c r="W513" s="1130"/>
      <c r="X513" s="1130"/>
      <c r="Y513" s="1130"/>
      <c r="Z513" s="1130"/>
    </row>
    <row r="514" spans="1:26" ht="15.75" customHeight="1">
      <c r="A514" s="1130"/>
      <c r="B514" s="1130"/>
      <c r="C514" s="1130"/>
      <c r="D514" s="1130"/>
      <c r="E514" s="1130"/>
      <c r="F514" s="1130"/>
      <c r="G514" s="1130"/>
      <c r="H514" s="1130"/>
      <c r="I514" s="1130"/>
      <c r="J514" s="1130"/>
      <c r="K514" s="1130"/>
      <c r="L514" s="1130"/>
      <c r="M514" s="1130"/>
      <c r="N514" s="1130"/>
      <c r="O514" s="1130"/>
      <c r="P514" s="1130"/>
      <c r="Q514" s="1130"/>
      <c r="R514" s="1130"/>
      <c r="S514" s="1130"/>
      <c r="T514" s="1130"/>
      <c r="U514" s="1130"/>
      <c r="V514" s="1130"/>
      <c r="W514" s="1130"/>
      <c r="X514" s="1130"/>
      <c r="Y514" s="1130"/>
      <c r="Z514" s="1130"/>
    </row>
    <row r="515" spans="1:26" ht="15.75" customHeight="1">
      <c r="A515" s="1130"/>
      <c r="B515" s="1130"/>
      <c r="C515" s="1130"/>
      <c r="D515" s="1130"/>
      <c r="E515" s="1130"/>
      <c r="F515" s="1130"/>
      <c r="G515" s="1130"/>
      <c r="H515" s="1130"/>
      <c r="I515" s="1130"/>
      <c r="J515" s="1130"/>
      <c r="K515" s="1130"/>
      <c r="L515" s="1130"/>
      <c r="M515" s="1130"/>
      <c r="N515" s="1130"/>
      <c r="O515" s="1130"/>
      <c r="P515" s="1130"/>
      <c r="Q515" s="1130"/>
      <c r="R515" s="1130"/>
      <c r="S515" s="1130"/>
      <c r="T515" s="1130"/>
      <c r="U515" s="1130"/>
      <c r="V515" s="1130"/>
      <c r="W515" s="1130"/>
      <c r="X515" s="1130"/>
      <c r="Y515" s="1130"/>
      <c r="Z515" s="1130"/>
    </row>
    <row r="516" spans="1:26" ht="15.75" customHeight="1">
      <c r="A516" s="1130"/>
      <c r="B516" s="1130"/>
      <c r="C516" s="1130"/>
      <c r="D516" s="1130"/>
      <c r="E516" s="1130"/>
      <c r="F516" s="1130"/>
      <c r="G516" s="1130"/>
      <c r="H516" s="1130"/>
      <c r="I516" s="1130"/>
      <c r="J516" s="1130"/>
      <c r="K516" s="1130"/>
      <c r="L516" s="1130"/>
      <c r="M516" s="1130"/>
      <c r="N516" s="1130"/>
      <c r="O516" s="1130"/>
      <c r="P516" s="1130"/>
      <c r="Q516" s="1130"/>
      <c r="R516" s="1130"/>
      <c r="S516" s="1130"/>
      <c r="T516" s="1130"/>
      <c r="U516" s="1130"/>
      <c r="V516" s="1130"/>
      <c r="W516" s="1130"/>
      <c r="X516" s="1130"/>
      <c r="Y516" s="1130"/>
      <c r="Z516" s="1130"/>
    </row>
    <row r="517" spans="1:26" ht="15.75" customHeight="1">
      <c r="A517" s="1130"/>
      <c r="B517" s="1130"/>
      <c r="C517" s="1130"/>
      <c r="D517" s="1130"/>
      <c r="E517" s="1130"/>
      <c r="F517" s="1130"/>
      <c r="G517" s="1130"/>
      <c r="H517" s="1130"/>
      <c r="I517" s="1130"/>
      <c r="J517" s="1130"/>
      <c r="K517" s="1130"/>
      <c r="L517" s="1130"/>
      <c r="M517" s="1130"/>
      <c r="N517" s="1130"/>
      <c r="O517" s="1130"/>
      <c r="P517" s="1130"/>
      <c r="Q517" s="1130"/>
      <c r="R517" s="1130"/>
      <c r="S517" s="1130"/>
      <c r="T517" s="1130"/>
      <c r="U517" s="1130"/>
      <c r="V517" s="1130"/>
      <c r="W517" s="1130"/>
      <c r="X517" s="1130"/>
      <c r="Y517" s="1130"/>
      <c r="Z517" s="1130"/>
    </row>
    <row r="518" spans="1:26" ht="15.75" customHeight="1">
      <c r="A518" s="1130"/>
      <c r="B518" s="1130"/>
      <c r="C518" s="1130"/>
      <c r="D518" s="1130"/>
      <c r="E518" s="1130"/>
      <c r="F518" s="1130"/>
      <c r="G518" s="1130"/>
      <c r="H518" s="1130"/>
      <c r="I518" s="1130"/>
      <c r="J518" s="1130"/>
      <c r="K518" s="1130"/>
      <c r="L518" s="1130"/>
      <c r="M518" s="1130"/>
      <c r="N518" s="1130"/>
      <c r="O518" s="1130"/>
      <c r="P518" s="1130"/>
      <c r="Q518" s="1130"/>
      <c r="R518" s="1130"/>
      <c r="S518" s="1130"/>
      <c r="T518" s="1130"/>
      <c r="U518" s="1130"/>
      <c r="V518" s="1130"/>
      <c r="W518" s="1130"/>
      <c r="X518" s="1130"/>
      <c r="Y518" s="1130"/>
      <c r="Z518" s="1130"/>
    </row>
    <row r="519" spans="1:26" ht="15.75" customHeight="1">
      <c r="A519" s="1130"/>
      <c r="B519" s="1130"/>
      <c r="C519" s="1130"/>
      <c r="D519" s="1130"/>
      <c r="E519" s="1130"/>
      <c r="F519" s="1130"/>
      <c r="G519" s="1130"/>
      <c r="H519" s="1130"/>
      <c r="I519" s="1130"/>
      <c r="J519" s="1130"/>
      <c r="K519" s="1130"/>
      <c r="L519" s="1130"/>
      <c r="M519" s="1130"/>
      <c r="N519" s="1130"/>
      <c r="O519" s="1130"/>
      <c r="P519" s="1130"/>
      <c r="Q519" s="1130"/>
      <c r="R519" s="1130"/>
      <c r="S519" s="1130"/>
      <c r="T519" s="1130"/>
      <c r="U519" s="1130"/>
      <c r="V519" s="1130"/>
      <c r="W519" s="1130"/>
      <c r="X519" s="1130"/>
      <c r="Y519" s="1130"/>
      <c r="Z519" s="1130"/>
    </row>
    <row r="520" spans="1:26" ht="15.75" customHeight="1">
      <c r="A520" s="1130"/>
      <c r="B520" s="1130"/>
      <c r="C520" s="1130"/>
      <c r="D520" s="1130"/>
      <c r="E520" s="1130"/>
      <c r="F520" s="1130"/>
      <c r="G520" s="1130"/>
      <c r="H520" s="1130"/>
      <c r="I520" s="1130"/>
      <c r="J520" s="1130"/>
      <c r="K520" s="1130"/>
      <c r="L520" s="1130"/>
      <c r="M520" s="1130"/>
      <c r="N520" s="1130"/>
      <c r="O520" s="1130"/>
      <c r="P520" s="1130"/>
      <c r="Q520" s="1130"/>
      <c r="R520" s="1130"/>
      <c r="S520" s="1130"/>
      <c r="T520" s="1130"/>
      <c r="U520" s="1130"/>
      <c r="V520" s="1130"/>
      <c r="W520" s="1130"/>
      <c r="X520" s="1130"/>
      <c r="Y520" s="1130"/>
      <c r="Z520" s="1130"/>
    </row>
    <row r="521" spans="1:26" ht="15.75" customHeight="1">
      <c r="A521" s="1130"/>
      <c r="B521" s="1130"/>
      <c r="C521" s="1130"/>
      <c r="D521" s="1130"/>
      <c r="E521" s="1130"/>
      <c r="F521" s="1130"/>
      <c r="G521" s="1130"/>
      <c r="H521" s="1130"/>
      <c r="I521" s="1130"/>
      <c r="J521" s="1130"/>
      <c r="K521" s="1130"/>
      <c r="L521" s="1130"/>
      <c r="M521" s="1130"/>
      <c r="N521" s="1130"/>
      <c r="O521" s="1130"/>
      <c r="P521" s="1130"/>
      <c r="Q521" s="1130"/>
      <c r="R521" s="1130"/>
      <c r="S521" s="1130"/>
      <c r="T521" s="1130"/>
      <c r="U521" s="1130"/>
      <c r="V521" s="1130"/>
      <c r="W521" s="1130"/>
      <c r="X521" s="1130"/>
      <c r="Y521" s="1130"/>
      <c r="Z521" s="1130"/>
    </row>
    <row r="522" spans="1:26" ht="15.75" customHeight="1">
      <c r="A522" s="1130"/>
      <c r="B522" s="1130"/>
      <c r="C522" s="1130"/>
      <c r="D522" s="1130"/>
      <c r="E522" s="1130"/>
      <c r="F522" s="1130"/>
      <c r="G522" s="1130"/>
      <c r="H522" s="1130"/>
      <c r="I522" s="1130"/>
      <c r="J522" s="1130"/>
      <c r="K522" s="1130"/>
      <c r="L522" s="1130"/>
      <c r="M522" s="1130"/>
      <c r="N522" s="1130"/>
      <c r="O522" s="1130"/>
      <c r="P522" s="1130"/>
      <c r="Q522" s="1130"/>
      <c r="R522" s="1130"/>
      <c r="S522" s="1130"/>
      <c r="T522" s="1130"/>
      <c r="U522" s="1130"/>
      <c r="V522" s="1130"/>
      <c r="W522" s="1130"/>
      <c r="X522" s="1130"/>
      <c r="Y522" s="1130"/>
      <c r="Z522" s="1130"/>
    </row>
    <row r="523" spans="1:26" ht="15.75" customHeight="1">
      <c r="A523" s="1130"/>
      <c r="B523" s="1130"/>
      <c r="C523" s="1130"/>
      <c r="D523" s="1130"/>
      <c r="E523" s="1130"/>
      <c r="F523" s="1130"/>
      <c r="G523" s="1130"/>
      <c r="H523" s="1130"/>
      <c r="I523" s="1130"/>
      <c r="J523" s="1130"/>
      <c r="K523" s="1130"/>
      <c r="L523" s="1130"/>
      <c r="M523" s="1130"/>
      <c r="N523" s="1130"/>
      <c r="O523" s="1130"/>
      <c r="P523" s="1130"/>
      <c r="Q523" s="1130"/>
      <c r="R523" s="1130"/>
      <c r="S523" s="1130"/>
      <c r="T523" s="1130"/>
      <c r="U523" s="1130"/>
      <c r="V523" s="1130"/>
      <c r="W523" s="1130"/>
      <c r="X523" s="1130"/>
      <c r="Y523" s="1130"/>
      <c r="Z523" s="1130"/>
    </row>
    <row r="524" spans="1:26" ht="15.75" customHeight="1">
      <c r="A524" s="1130"/>
      <c r="B524" s="1130"/>
      <c r="C524" s="1130"/>
      <c r="D524" s="1130"/>
      <c r="E524" s="1130"/>
      <c r="F524" s="1130"/>
      <c r="G524" s="1130"/>
      <c r="H524" s="1130"/>
      <c r="I524" s="1130"/>
      <c r="J524" s="1130"/>
      <c r="K524" s="1130"/>
      <c r="L524" s="1130"/>
      <c r="M524" s="1130"/>
      <c r="N524" s="1130"/>
      <c r="O524" s="1130"/>
      <c r="P524" s="1130"/>
      <c r="Q524" s="1130"/>
      <c r="R524" s="1130"/>
      <c r="S524" s="1130"/>
      <c r="T524" s="1130"/>
      <c r="U524" s="1130"/>
      <c r="V524" s="1130"/>
      <c r="W524" s="1130"/>
      <c r="X524" s="1130"/>
      <c r="Y524" s="1130"/>
      <c r="Z524" s="1130"/>
    </row>
    <row r="525" spans="1:26" ht="15.75" customHeight="1">
      <c r="A525" s="1130"/>
      <c r="B525" s="1130"/>
      <c r="C525" s="1130"/>
      <c r="D525" s="1130"/>
      <c r="E525" s="1130"/>
      <c r="F525" s="1130"/>
      <c r="G525" s="1130"/>
      <c r="H525" s="1130"/>
      <c r="I525" s="1130"/>
      <c r="J525" s="1130"/>
      <c r="K525" s="1130"/>
      <c r="L525" s="1130"/>
      <c r="M525" s="1130"/>
      <c r="N525" s="1130"/>
      <c r="O525" s="1130"/>
      <c r="P525" s="1130"/>
      <c r="Q525" s="1130"/>
      <c r="R525" s="1130"/>
      <c r="S525" s="1130"/>
      <c r="T525" s="1130"/>
      <c r="U525" s="1130"/>
      <c r="V525" s="1130"/>
      <c r="W525" s="1130"/>
      <c r="X525" s="1130"/>
      <c r="Y525" s="1130"/>
      <c r="Z525" s="1130"/>
    </row>
    <row r="526" spans="1:26" ht="15.75" customHeight="1">
      <c r="A526" s="1130"/>
      <c r="B526" s="1130"/>
      <c r="C526" s="1130"/>
      <c r="D526" s="1130"/>
      <c r="E526" s="1130"/>
      <c r="F526" s="1130"/>
      <c r="G526" s="1130"/>
      <c r="H526" s="1130"/>
      <c r="I526" s="1130"/>
      <c r="J526" s="1130"/>
      <c r="K526" s="1130"/>
      <c r="L526" s="1130"/>
      <c r="M526" s="1130"/>
      <c r="N526" s="1130"/>
      <c r="O526" s="1130"/>
      <c r="P526" s="1130"/>
      <c r="Q526" s="1130"/>
      <c r="R526" s="1130"/>
      <c r="S526" s="1130"/>
      <c r="T526" s="1130"/>
      <c r="U526" s="1130"/>
      <c r="V526" s="1130"/>
      <c r="W526" s="1130"/>
      <c r="X526" s="1130"/>
      <c r="Y526" s="1130"/>
      <c r="Z526" s="1130"/>
    </row>
    <row r="527" spans="1:26" ht="15.75" customHeight="1">
      <c r="A527" s="1130"/>
      <c r="B527" s="1130"/>
      <c r="C527" s="1130"/>
      <c r="D527" s="1130"/>
      <c r="E527" s="1130"/>
      <c r="F527" s="1130"/>
      <c r="G527" s="1130"/>
      <c r="H527" s="1130"/>
      <c r="I527" s="1130"/>
      <c r="J527" s="1130"/>
      <c r="K527" s="1130"/>
      <c r="L527" s="1130"/>
      <c r="M527" s="1130"/>
      <c r="N527" s="1130"/>
      <c r="O527" s="1130"/>
      <c r="P527" s="1130"/>
      <c r="Q527" s="1130"/>
      <c r="R527" s="1130"/>
      <c r="S527" s="1130"/>
      <c r="T527" s="1130"/>
      <c r="U527" s="1130"/>
      <c r="V527" s="1130"/>
      <c r="W527" s="1130"/>
      <c r="X527" s="1130"/>
      <c r="Y527" s="1130"/>
      <c r="Z527" s="1130"/>
    </row>
    <row r="528" spans="1:26" ht="15.75" customHeight="1">
      <c r="A528" s="1130"/>
      <c r="B528" s="1130"/>
      <c r="C528" s="1130"/>
      <c r="D528" s="1130"/>
      <c r="E528" s="1130"/>
      <c r="F528" s="1130"/>
      <c r="G528" s="1130"/>
      <c r="H528" s="1130"/>
      <c r="I528" s="1130"/>
      <c r="J528" s="1130"/>
      <c r="K528" s="1130"/>
      <c r="L528" s="1130"/>
      <c r="M528" s="1130"/>
      <c r="N528" s="1130"/>
      <c r="O528" s="1130"/>
      <c r="P528" s="1130"/>
      <c r="Q528" s="1130"/>
      <c r="R528" s="1130"/>
      <c r="S528" s="1130"/>
      <c r="T528" s="1130"/>
      <c r="U528" s="1130"/>
      <c r="V528" s="1130"/>
      <c r="W528" s="1130"/>
      <c r="X528" s="1130"/>
      <c r="Y528" s="1130"/>
      <c r="Z528" s="1130"/>
    </row>
    <row r="529" spans="1:26" ht="15.75" customHeight="1">
      <c r="A529" s="1130"/>
      <c r="B529" s="1130"/>
      <c r="C529" s="1130"/>
      <c r="D529" s="1130"/>
      <c r="E529" s="1130"/>
      <c r="F529" s="1130"/>
      <c r="G529" s="1130"/>
      <c r="H529" s="1130"/>
      <c r="I529" s="1130"/>
      <c r="J529" s="1130"/>
      <c r="K529" s="1130"/>
      <c r="L529" s="1130"/>
      <c r="M529" s="1130"/>
      <c r="N529" s="1130"/>
      <c r="O529" s="1130"/>
      <c r="P529" s="1130"/>
      <c r="Q529" s="1130"/>
      <c r="R529" s="1130"/>
      <c r="S529" s="1130"/>
      <c r="T529" s="1130"/>
      <c r="U529" s="1130"/>
      <c r="V529" s="1130"/>
      <c r="W529" s="1130"/>
      <c r="X529" s="1130"/>
      <c r="Y529" s="1130"/>
      <c r="Z529" s="1130"/>
    </row>
    <row r="530" spans="1:26" ht="15.75" customHeight="1">
      <c r="A530" s="1130"/>
      <c r="B530" s="1130"/>
      <c r="C530" s="1130"/>
      <c r="D530" s="1130"/>
      <c r="E530" s="1130"/>
      <c r="F530" s="1130"/>
      <c r="G530" s="1130"/>
      <c r="H530" s="1130"/>
      <c r="I530" s="1130"/>
      <c r="J530" s="1130"/>
      <c r="K530" s="1130"/>
      <c r="L530" s="1130"/>
      <c r="M530" s="1130"/>
      <c r="N530" s="1130"/>
      <c r="O530" s="1130"/>
      <c r="P530" s="1130"/>
      <c r="Q530" s="1130"/>
      <c r="R530" s="1130"/>
      <c r="S530" s="1130"/>
      <c r="T530" s="1130"/>
      <c r="U530" s="1130"/>
      <c r="V530" s="1130"/>
      <c r="W530" s="1130"/>
      <c r="X530" s="1130"/>
      <c r="Y530" s="1130"/>
      <c r="Z530" s="1130"/>
    </row>
    <row r="531" spans="1:26" ht="15.75" customHeight="1">
      <c r="A531" s="1130"/>
      <c r="B531" s="1130"/>
      <c r="C531" s="1130"/>
      <c r="D531" s="1130"/>
      <c r="E531" s="1130"/>
      <c r="F531" s="1130"/>
      <c r="G531" s="1130"/>
      <c r="H531" s="1130"/>
      <c r="I531" s="1130"/>
      <c r="J531" s="1130"/>
      <c r="K531" s="1130"/>
      <c r="L531" s="1130"/>
      <c r="M531" s="1130"/>
      <c r="N531" s="1130"/>
      <c r="O531" s="1130"/>
      <c r="P531" s="1130"/>
      <c r="Q531" s="1130"/>
      <c r="R531" s="1130"/>
      <c r="S531" s="1130"/>
      <c r="T531" s="1130"/>
      <c r="U531" s="1130"/>
      <c r="V531" s="1130"/>
      <c r="W531" s="1130"/>
      <c r="X531" s="1130"/>
      <c r="Y531" s="1130"/>
      <c r="Z531" s="1130"/>
    </row>
    <row r="532" spans="1:26" ht="15.75" customHeight="1">
      <c r="A532" s="1130"/>
      <c r="B532" s="1130"/>
      <c r="C532" s="1130"/>
      <c r="D532" s="1130"/>
      <c r="E532" s="1130"/>
      <c r="F532" s="1130"/>
      <c r="G532" s="1130"/>
      <c r="H532" s="1130"/>
      <c r="I532" s="1130"/>
      <c r="J532" s="1130"/>
      <c r="K532" s="1130"/>
      <c r="L532" s="1130"/>
      <c r="M532" s="1130"/>
      <c r="N532" s="1130"/>
      <c r="O532" s="1130"/>
      <c r="P532" s="1130"/>
      <c r="Q532" s="1130"/>
      <c r="R532" s="1130"/>
      <c r="S532" s="1130"/>
      <c r="T532" s="1130"/>
      <c r="U532" s="1130"/>
      <c r="V532" s="1130"/>
      <c r="W532" s="1130"/>
      <c r="X532" s="1130"/>
      <c r="Y532" s="1130"/>
      <c r="Z532" s="1130"/>
    </row>
    <row r="533" spans="1:26" ht="15.75" customHeight="1">
      <c r="A533" s="1130"/>
      <c r="B533" s="1130"/>
      <c r="C533" s="1130"/>
      <c r="D533" s="1130"/>
      <c r="E533" s="1130"/>
      <c r="F533" s="1130"/>
      <c r="G533" s="1130"/>
      <c r="H533" s="1130"/>
      <c r="I533" s="1130"/>
      <c r="J533" s="1130"/>
      <c r="K533" s="1130"/>
      <c r="L533" s="1130"/>
      <c r="M533" s="1130"/>
      <c r="N533" s="1130"/>
      <c r="O533" s="1130"/>
      <c r="P533" s="1130"/>
      <c r="Q533" s="1130"/>
      <c r="R533" s="1130"/>
      <c r="S533" s="1130"/>
      <c r="T533" s="1130"/>
      <c r="U533" s="1130"/>
      <c r="V533" s="1130"/>
      <c r="W533" s="1130"/>
      <c r="X533" s="1130"/>
      <c r="Y533" s="1130"/>
      <c r="Z533" s="1130"/>
    </row>
    <row r="534" spans="1:26" ht="15.75" customHeight="1">
      <c r="A534" s="1130"/>
      <c r="B534" s="1130"/>
      <c r="C534" s="1130"/>
      <c r="D534" s="1130"/>
      <c r="E534" s="1130"/>
      <c r="F534" s="1130"/>
      <c r="G534" s="1130"/>
      <c r="H534" s="1130"/>
      <c r="I534" s="1130"/>
      <c r="J534" s="1130"/>
      <c r="K534" s="1130"/>
      <c r="L534" s="1130"/>
      <c r="M534" s="1130"/>
      <c r="N534" s="1130"/>
      <c r="O534" s="1130"/>
      <c r="P534" s="1130"/>
      <c r="Q534" s="1130"/>
      <c r="R534" s="1130"/>
      <c r="S534" s="1130"/>
      <c r="T534" s="1130"/>
      <c r="U534" s="1130"/>
      <c r="V534" s="1130"/>
      <c r="W534" s="1130"/>
      <c r="X534" s="1130"/>
      <c r="Y534" s="1130"/>
      <c r="Z534" s="1130"/>
    </row>
    <row r="535" spans="1:26" ht="15.75" customHeight="1">
      <c r="A535" s="1130"/>
      <c r="B535" s="1130"/>
      <c r="C535" s="1130"/>
      <c r="D535" s="1130"/>
      <c r="E535" s="1130"/>
      <c r="F535" s="1130"/>
      <c r="G535" s="1130"/>
      <c r="H535" s="1130"/>
      <c r="I535" s="1130"/>
      <c r="J535" s="1130"/>
      <c r="K535" s="1130"/>
      <c r="L535" s="1130"/>
      <c r="M535" s="1130"/>
      <c r="N535" s="1130"/>
      <c r="O535" s="1130"/>
      <c r="P535" s="1130"/>
      <c r="Q535" s="1130"/>
      <c r="R535" s="1130"/>
      <c r="S535" s="1130"/>
      <c r="T535" s="1130"/>
      <c r="U535" s="1130"/>
      <c r="V535" s="1130"/>
      <c r="W535" s="1130"/>
      <c r="X535" s="1130"/>
      <c r="Y535" s="1130"/>
      <c r="Z535" s="1130"/>
    </row>
    <row r="536" spans="1:26" ht="15.75" customHeight="1">
      <c r="A536" s="1130"/>
      <c r="B536" s="1130"/>
      <c r="C536" s="1130"/>
      <c r="D536" s="1130"/>
      <c r="E536" s="1130"/>
      <c r="F536" s="1130"/>
      <c r="G536" s="1130"/>
      <c r="H536" s="1130"/>
      <c r="I536" s="1130"/>
      <c r="J536" s="1130"/>
      <c r="K536" s="1130"/>
      <c r="L536" s="1130"/>
      <c r="M536" s="1130"/>
      <c r="N536" s="1130"/>
      <c r="O536" s="1130"/>
      <c r="P536" s="1130"/>
      <c r="Q536" s="1130"/>
      <c r="R536" s="1130"/>
      <c r="S536" s="1130"/>
      <c r="T536" s="1130"/>
      <c r="U536" s="1130"/>
      <c r="V536" s="1130"/>
      <c r="W536" s="1130"/>
      <c r="X536" s="1130"/>
      <c r="Y536" s="1130"/>
      <c r="Z536" s="1130"/>
    </row>
    <row r="537" spans="1:26" ht="15.75" customHeight="1">
      <c r="A537" s="1130"/>
      <c r="B537" s="1130"/>
      <c r="C537" s="1130"/>
      <c r="D537" s="1130"/>
      <c r="E537" s="1130"/>
      <c r="F537" s="1130"/>
      <c r="G537" s="1130"/>
      <c r="H537" s="1130"/>
      <c r="I537" s="1130"/>
      <c r="J537" s="1130"/>
      <c r="K537" s="1130"/>
      <c r="L537" s="1130"/>
      <c r="M537" s="1130"/>
      <c r="N537" s="1130"/>
      <c r="O537" s="1130"/>
      <c r="P537" s="1130"/>
      <c r="Q537" s="1130"/>
      <c r="R537" s="1130"/>
      <c r="S537" s="1130"/>
      <c r="T537" s="1130"/>
      <c r="U537" s="1130"/>
      <c r="V537" s="1130"/>
      <c r="W537" s="1130"/>
      <c r="X537" s="1130"/>
      <c r="Y537" s="1130"/>
      <c r="Z537" s="1130"/>
    </row>
    <row r="538" spans="1:26" ht="15.75" customHeight="1">
      <c r="A538" s="1130"/>
      <c r="B538" s="1130"/>
      <c r="C538" s="1130"/>
      <c r="D538" s="1130"/>
      <c r="E538" s="1130"/>
      <c r="F538" s="1130"/>
      <c r="G538" s="1130"/>
      <c r="H538" s="1130"/>
      <c r="I538" s="1130"/>
      <c r="J538" s="1130"/>
      <c r="K538" s="1130"/>
      <c r="L538" s="1130"/>
      <c r="M538" s="1130"/>
      <c r="N538" s="1130"/>
      <c r="O538" s="1130"/>
      <c r="P538" s="1130"/>
      <c r="Q538" s="1130"/>
      <c r="R538" s="1130"/>
      <c r="S538" s="1130"/>
      <c r="T538" s="1130"/>
      <c r="U538" s="1130"/>
      <c r="V538" s="1130"/>
      <c r="W538" s="1130"/>
      <c r="X538" s="1130"/>
      <c r="Y538" s="1130"/>
      <c r="Z538" s="1130"/>
    </row>
    <row r="539" spans="1:26" ht="15.75" customHeight="1">
      <c r="A539" s="1130"/>
      <c r="B539" s="1130"/>
      <c r="C539" s="1130"/>
      <c r="D539" s="1130"/>
      <c r="E539" s="1130"/>
      <c r="F539" s="1130"/>
      <c r="G539" s="1130"/>
      <c r="H539" s="1130"/>
      <c r="I539" s="1130"/>
      <c r="J539" s="1130"/>
      <c r="K539" s="1130"/>
      <c r="L539" s="1130"/>
      <c r="M539" s="1130"/>
      <c r="N539" s="1130"/>
      <c r="O539" s="1130"/>
      <c r="P539" s="1130"/>
      <c r="Q539" s="1130"/>
      <c r="R539" s="1130"/>
      <c r="S539" s="1130"/>
      <c r="T539" s="1130"/>
      <c r="U539" s="1130"/>
      <c r="V539" s="1130"/>
      <c r="W539" s="1130"/>
      <c r="X539" s="1130"/>
      <c r="Y539" s="1130"/>
      <c r="Z539" s="1130"/>
    </row>
    <row r="540" spans="1:26" ht="15.75" customHeight="1">
      <c r="A540" s="1130"/>
      <c r="B540" s="1130"/>
      <c r="C540" s="1130"/>
      <c r="D540" s="1130"/>
      <c r="E540" s="1130"/>
      <c r="F540" s="1130"/>
      <c r="G540" s="1130"/>
      <c r="H540" s="1130"/>
      <c r="I540" s="1130"/>
      <c r="J540" s="1130"/>
      <c r="K540" s="1130"/>
      <c r="L540" s="1130"/>
      <c r="M540" s="1130"/>
      <c r="N540" s="1130"/>
      <c r="O540" s="1130"/>
      <c r="P540" s="1130"/>
      <c r="Q540" s="1130"/>
      <c r="R540" s="1130"/>
      <c r="S540" s="1130"/>
      <c r="T540" s="1130"/>
      <c r="U540" s="1130"/>
      <c r="V540" s="1130"/>
      <c r="W540" s="1130"/>
      <c r="X540" s="1130"/>
      <c r="Y540" s="1130"/>
      <c r="Z540" s="1130"/>
    </row>
    <row r="541" spans="1:26" ht="15.75" customHeight="1">
      <c r="A541" s="1130"/>
      <c r="B541" s="1130"/>
      <c r="C541" s="1130"/>
      <c r="D541" s="1130"/>
      <c r="E541" s="1130"/>
      <c r="F541" s="1130"/>
      <c r="G541" s="1130"/>
      <c r="H541" s="1130"/>
      <c r="I541" s="1130"/>
      <c r="J541" s="1130"/>
      <c r="K541" s="1130"/>
      <c r="L541" s="1130"/>
      <c r="M541" s="1130"/>
      <c r="N541" s="1130"/>
      <c r="O541" s="1130"/>
      <c r="P541" s="1130"/>
      <c r="Q541" s="1130"/>
      <c r="R541" s="1130"/>
      <c r="S541" s="1130"/>
      <c r="T541" s="1130"/>
      <c r="U541" s="1130"/>
      <c r="V541" s="1130"/>
      <c r="W541" s="1130"/>
      <c r="X541" s="1130"/>
      <c r="Y541" s="1130"/>
      <c r="Z541" s="1130"/>
    </row>
    <row r="542" spans="1:26" ht="15.75" customHeight="1">
      <c r="A542" s="1130"/>
      <c r="B542" s="1130"/>
      <c r="C542" s="1130"/>
      <c r="D542" s="1130"/>
      <c r="E542" s="1130"/>
      <c r="F542" s="1130"/>
      <c r="G542" s="1130"/>
      <c r="H542" s="1130"/>
      <c r="I542" s="1130"/>
      <c r="J542" s="1130"/>
      <c r="K542" s="1130"/>
      <c r="L542" s="1130"/>
      <c r="M542" s="1130"/>
      <c r="N542" s="1130"/>
      <c r="O542" s="1130"/>
      <c r="P542" s="1130"/>
      <c r="Q542" s="1130"/>
      <c r="R542" s="1130"/>
      <c r="S542" s="1130"/>
      <c r="T542" s="1130"/>
      <c r="U542" s="1130"/>
      <c r="V542" s="1130"/>
      <c r="W542" s="1130"/>
      <c r="X542" s="1130"/>
      <c r="Y542" s="1130"/>
      <c r="Z542" s="1130"/>
    </row>
    <row r="543" spans="1:26" ht="15.75" customHeight="1">
      <c r="A543" s="1130"/>
      <c r="B543" s="1130"/>
      <c r="C543" s="1130"/>
      <c r="D543" s="1130"/>
      <c r="E543" s="1130"/>
      <c r="F543" s="1130"/>
      <c r="G543" s="1130"/>
      <c r="H543" s="1130"/>
      <c r="I543" s="1130"/>
      <c r="J543" s="1130"/>
      <c r="K543" s="1130"/>
      <c r="L543" s="1130"/>
      <c r="M543" s="1130"/>
      <c r="N543" s="1130"/>
      <c r="O543" s="1130"/>
      <c r="P543" s="1130"/>
      <c r="Q543" s="1130"/>
      <c r="R543" s="1130"/>
      <c r="S543" s="1130"/>
      <c r="T543" s="1130"/>
      <c r="U543" s="1130"/>
      <c r="V543" s="1130"/>
      <c r="W543" s="1130"/>
      <c r="X543" s="1130"/>
      <c r="Y543" s="1130"/>
      <c r="Z543" s="1130"/>
    </row>
    <row r="544" spans="1:26" ht="15.75" customHeight="1">
      <c r="A544" s="1130"/>
      <c r="B544" s="1130"/>
      <c r="C544" s="1130"/>
      <c r="D544" s="1130"/>
      <c r="E544" s="1130"/>
      <c r="F544" s="1130"/>
      <c r="G544" s="1130"/>
      <c r="H544" s="1130"/>
      <c r="I544" s="1130"/>
      <c r="J544" s="1130"/>
      <c r="K544" s="1130"/>
      <c r="L544" s="1130"/>
      <c r="M544" s="1130"/>
      <c r="N544" s="1130"/>
      <c r="O544" s="1130"/>
      <c r="P544" s="1130"/>
      <c r="Q544" s="1130"/>
      <c r="R544" s="1130"/>
      <c r="S544" s="1130"/>
      <c r="T544" s="1130"/>
      <c r="U544" s="1130"/>
      <c r="V544" s="1130"/>
      <c r="W544" s="1130"/>
      <c r="X544" s="1130"/>
      <c r="Y544" s="1130"/>
      <c r="Z544" s="1130"/>
    </row>
    <row r="545" spans="1:26" ht="15.75" customHeight="1">
      <c r="A545" s="1130"/>
      <c r="B545" s="1130"/>
      <c r="C545" s="1130"/>
      <c r="D545" s="1130"/>
      <c r="E545" s="1130"/>
      <c r="F545" s="1130"/>
      <c r="G545" s="1130"/>
      <c r="H545" s="1130"/>
      <c r="I545" s="1130"/>
      <c r="J545" s="1130"/>
      <c r="K545" s="1130"/>
      <c r="L545" s="1130"/>
      <c r="M545" s="1130"/>
      <c r="N545" s="1130"/>
      <c r="O545" s="1130"/>
      <c r="P545" s="1130"/>
      <c r="Q545" s="1130"/>
      <c r="R545" s="1130"/>
      <c r="S545" s="1130"/>
      <c r="T545" s="1130"/>
      <c r="U545" s="1130"/>
      <c r="V545" s="1130"/>
      <c r="W545" s="1130"/>
      <c r="X545" s="1130"/>
      <c r="Y545" s="1130"/>
      <c r="Z545" s="1130"/>
    </row>
    <row r="546" spans="1:26" ht="15.75" customHeight="1">
      <c r="A546" s="1130"/>
      <c r="B546" s="1130"/>
      <c r="C546" s="1130"/>
      <c r="D546" s="1130"/>
      <c r="E546" s="1130"/>
      <c r="F546" s="1130"/>
      <c r="G546" s="1130"/>
      <c r="H546" s="1130"/>
      <c r="I546" s="1130"/>
      <c r="J546" s="1130"/>
      <c r="K546" s="1130"/>
      <c r="L546" s="1130"/>
      <c r="M546" s="1130"/>
      <c r="N546" s="1130"/>
      <c r="O546" s="1130"/>
      <c r="P546" s="1130"/>
      <c r="Q546" s="1130"/>
      <c r="R546" s="1130"/>
      <c r="S546" s="1130"/>
      <c r="T546" s="1130"/>
      <c r="U546" s="1130"/>
      <c r="V546" s="1130"/>
      <c r="W546" s="1130"/>
      <c r="X546" s="1130"/>
      <c r="Y546" s="1130"/>
      <c r="Z546" s="1130"/>
    </row>
    <row r="547" spans="1:26" ht="15.75" customHeight="1">
      <c r="A547" s="1130"/>
      <c r="B547" s="1130"/>
      <c r="C547" s="1130"/>
      <c r="D547" s="1130"/>
      <c r="E547" s="1130"/>
      <c r="F547" s="1130"/>
      <c r="G547" s="1130"/>
      <c r="H547" s="1130"/>
      <c r="I547" s="1130"/>
      <c r="J547" s="1130"/>
      <c r="K547" s="1130"/>
      <c r="L547" s="1130"/>
      <c r="M547" s="1130"/>
      <c r="N547" s="1130"/>
      <c r="O547" s="1130"/>
      <c r="P547" s="1130"/>
      <c r="Q547" s="1130"/>
      <c r="R547" s="1130"/>
      <c r="S547" s="1130"/>
      <c r="T547" s="1130"/>
      <c r="U547" s="1130"/>
      <c r="V547" s="1130"/>
      <c r="W547" s="1130"/>
      <c r="X547" s="1130"/>
      <c r="Y547" s="1130"/>
      <c r="Z547" s="1130"/>
    </row>
    <row r="548" spans="1:26" ht="15.75" customHeight="1">
      <c r="A548" s="1130"/>
      <c r="B548" s="1130"/>
      <c r="C548" s="1130"/>
      <c r="D548" s="1130"/>
      <c r="E548" s="1130"/>
      <c r="F548" s="1130"/>
      <c r="G548" s="1130"/>
      <c r="H548" s="1130"/>
      <c r="I548" s="1130"/>
      <c r="J548" s="1130"/>
      <c r="K548" s="1130"/>
      <c r="L548" s="1130"/>
      <c r="M548" s="1130"/>
      <c r="N548" s="1130"/>
      <c r="O548" s="1130"/>
      <c r="P548" s="1130"/>
      <c r="Q548" s="1130"/>
      <c r="R548" s="1130"/>
      <c r="S548" s="1130"/>
      <c r="T548" s="1130"/>
      <c r="U548" s="1130"/>
      <c r="V548" s="1130"/>
      <c r="W548" s="1130"/>
      <c r="X548" s="1130"/>
      <c r="Y548" s="1130"/>
      <c r="Z548" s="1130"/>
    </row>
    <row r="549" spans="1:26" ht="15.75" customHeight="1">
      <c r="A549" s="1130"/>
      <c r="B549" s="1130"/>
      <c r="C549" s="1130"/>
      <c r="D549" s="1130"/>
      <c r="E549" s="1130"/>
      <c r="F549" s="1130"/>
      <c r="G549" s="1130"/>
      <c r="H549" s="1130"/>
      <c r="I549" s="1130"/>
      <c r="J549" s="1130"/>
      <c r="K549" s="1130"/>
      <c r="L549" s="1130"/>
      <c r="M549" s="1130"/>
      <c r="N549" s="1130"/>
      <c r="O549" s="1130"/>
      <c r="P549" s="1130"/>
      <c r="Q549" s="1130"/>
      <c r="R549" s="1130"/>
      <c r="S549" s="1130"/>
      <c r="T549" s="1130"/>
      <c r="U549" s="1130"/>
      <c r="V549" s="1130"/>
      <c r="W549" s="1130"/>
      <c r="X549" s="1130"/>
      <c r="Y549" s="1130"/>
      <c r="Z549" s="1130"/>
    </row>
    <row r="550" spans="1:26" ht="15.75" customHeight="1">
      <c r="A550" s="1130"/>
      <c r="B550" s="1130"/>
      <c r="C550" s="1130"/>
      <c r="D550" s="1130"/>
      <c r="E550" s="1130"/>
      <c r="F550" s="1130"/>
      <c r="G550" s="1130"/>
      <c r="H550" s="1130"/>
      <c r="I550" s="1130"/>
      <c r="J550" s="1130"/>
      <c r="K550" s="1130"/>
      <c r="L550" s="1130"/>
      <c r="M550" s="1130"/>
      <c r="N550" s="1130"/>
      <c r="O550" s="1130"/>
      <c r="P550" s="1130"/>
      <c r="Q550" s="1130"/>
      <c r="R550" s="1130"/>
      <c r="S550" s="1130"/>
      <c r="T550" s="1130"/>
      <c r="U550" s="1130"/>
      <c r="V550" s="1130"/>
      <c r="W550" s="1130"/>
      <c r="X550" s="1130"/>
      <c r="Y550" s="1130"/>
      <c r="Z550" s="1130"/>
    </row>
    <row r="551" spans="1:26" ht="15.75" customHeight="1">
      <c r="A551" s="1130"/>
      <c r="B551" s="1130"/>
      <c r="C551" s="1130"/>
      <c r="D551" s="1130"/>
      <c r="E551" s="1130"/>
      <c r="F551" s="1130"/>
      <c r="G551" s="1130"/>
      <c r="H551" s="1130"/>
      <c r="I551" s="1130"/>
      <c r="J551" s="1130"/>
      <c r="K551" s="1130"/>
      <c r="L551" s="1130"/>
      <c r="M551" s="1130"/>
      <c r="N551" s="1130"/>
      <c r="O551" s="1130"/>
      <c r="P551" s="1130"/>
      <c r="Q551" s="1130"/>
      <c r="R551" s="1130"/>
      <c r="S551" s="1130"/>
      <c r="T551" s="1130"/>
      <c r="U551" s="1130"/>
      <c r="V551" s="1130"/>
      <c r="W551" s="1130"/>
      <c r="X551" s="1130"/>
      <c r="Y551" s="1130"/>
      <c r="Z551" s="1130"/>
    </row>
    <row r="552" spans="1:26" ht="15.75" customHeight="1">
      <c r="A552" s="1130"/>
      <c r="B552" s="1130"/>
      <c r="C552" s="1130"/>
      <c r="D552" s="1130"/>
      <c r="E552" s="1130"/>
      <c r="F552" s="1130"/>
      <c r="G552" s="1130"/>
      <c r="H552" s="1130"/>
      <c r="I552" s="1130"/>
      <c r="J552" s="1130"/>
      <c r="K552" s="1130"/>
      <c r="L552" s="1130"/>
      <c r="M552" s="1130"/>
      <c r="N552" s="1130"/>
      <c r="O552" s="1130"/>
      <c r="P552" s="1130"/>
      <c r="Q552" s="1130"/>
      <c r="R552" s="1130"/>
      <c r="S552" s="1130"/>
      <c r="T552" s="1130"/>
      <c r="U552" s="1130"/>
      <c r="V552" s="1130"/>
      <c r="W552" s="1130"/>
      <c r="X552" s="1130"/>
      <c r="Y552" s="1130"/>
      <c r="Z552" s="1130"/>
    </row>
    <row r="553" spans="1:26" ht="15.75" customHeight="1">
      <c r="A553" s="1130"/>
      <c r="B553" s="1130"/>
      <c r="C553" s="1130"/>
      <c r="D553" s="1130"/>
      <c r="E553" s="1130"/>
      <c r="F553" s="1130"/>
      <c r="G553" s="1130"/>
      <c r="H553" s="1130"/>
      <c r="I553" s="1130"/>
      <c r="J553" s="1130"/>
      <c r="K553" s="1130"/>
      <c r="L553" s="1130"/>
      <c r="M553" s="1130"/>
      <c r="N553" s="1130"/>
      <c r="O553" s="1130"/>
      <c r="P553" s="1130"/>
      <c r="Q553" s="1130"/>
      <c r="R553" s="1130"/>
      <c r="S553" s="1130"/>
      <c r="T553" s="1130"/>
      <c r="U553" s="1130"/>
      <c r="V553" s="1130"/>
      <c r="W553" s="1130"/>
      <c r="X553" s="1130"/>
      <c r="Y553" s="1130"/>
      <c r="Z553" s="1130"/>
    </row>
    <row r="554" spans="1:26" ht="15.75" customHeight="1">
      <c r="A554" s="1130"/>
      <c r="B554" s="1130"/>
      <c r="C554" s="1130"/>
      <c r="D554" s="1130"/>
      <c r="E554" s="1130"/>
      <c r="F554" s="1130"/>
      <c r="G554" s="1130"/>
      <c r="H554" s="1130"/>
      <c r="I554" s="1130"/>
      <c r="J554" s="1130"/>
      <c r="K554" s="1130"/>
      <c r="L554" s="1130"/>
      <c r="M554" s="1130"/>
      <c r="N554" s="1130"/>
      <c r="O554" s="1130"/>
      <c r="P554" s="1130"/>
      <c r="Q554" s="1130"/>
      <c r="R554" s="1130"/>
      <c r="S554" s="1130"/>
      <c r="T554" s="1130"/>
      <c r="U554" s="1130"/>
      <c r="V554" s="1130"/>
      <c r="W554" s="1130"/>
      <c r="X554" s="1130"/>
      <c r="Y554" s="1130"/>
      <c r="Z554" s="1130"/>
    </row>
    <row r="555" spans="1:26" ht="15.75" customHeight="1">
      <c r="A555" s="1130"/>
      <c r="B555" s="1130"/>
      <c r="C555" s="1130"/>
      <c r="D555" s="1130"/>
      <c r="E555" s="1130"/>
      <c r="F555" s="1130"/>
      <c r="G555" s="1130"/>
      <c r="H555" s="1130"/>
      <c r="I555" s="1130"/>
      <c r="J555" s="1130"/>
      <c r="K555" s="1130"/>
      <c r="L555" s="1130"/>
      <c r="M555" s="1130"/>
      <c r="N555" s="1130"/>
      <c r="O555" s="1130"/>
      <c r="P555" s="1130"/>
      <c r="Q555" s="1130"/>
      <c r="R555" s="1130"/>
      <c r="S555" s="1130"/>
      <c r="T555" s="1130"/>
      <c r="U555" s="1130"/>
      <c r="V555" s="1130"/>
      <c r="W555" s="1130"/>
      <c r="X555" s="1130"/>
      <c r="Y555" s="1130"/>
      <c r="Z555" s="1130"/>
    </row>
    <row r="556" spans="1:26" ht="15.75" customHeight="1">
      <c r="A556" s="1130"/>
      <c r="B556" s="1130"/>
      <c r="C556" s="1130"/>
      <c r="D556" s="1130"/>
      <c r="E556" s="1130"/>
      <c r="F556" s="1130"/>
      <c r="G556" s="1130"/>
      <c r="H556" s="1130"/>
      <c r="I556" s="1130"/>
      <c r="J556" s="1130"/>
      <c r="K556" s="1130"/>
      <c r="L556" s="1130"/>
      <c r="M556" s="1130"/>
      <c r="N556" s="1130"/>
      <c r="O556" s="1130"/>
      <c r="P556" s="1130"/>
      <c r="Q556" s="1130"/>
      <c r="R556" s="1130"/>
      <c r="S556" s="1130"/>
      <c r="T556" s="1130"/>
      <c r="U556" s="1130"/>
      <c r="V556" s="1130"/>
      <c r="W556" s="1130"/>
      <c r="X556" s="1130"/>
      <c r="Y556" s="1130"/>
      <c r="Z556" s="1130"/>
    </row>
    <row r="557" spans="1:26" ht="15.75" customHeight="1">
      <c r="A557" s="1130"/>
      <c r="B557" s="1130"/>
      <c r="C557" s="1130"/>
      <c r="D557" s="1130"/>
      <c r="E557" s="1130"/>
      <c r="F557" s="1130"/>
      <c r="G557" s="1130"/>
      <c r="H557" s="1130"/>
      <c r="I557" s="1130"/>
      <c r="J557" s="1130"/>
      <c r="K557" s="1130"/>
      <c r="L557" s="1130"/>
      <c r="M557" s="1130"/>
      <c r="N557" s="1130"/>
      <c r="O557" s="1130"/>
      <c r="P557" s="1130"/>
      <c r="Q557" s="1130"/>
      <c r="R557" s="1130"/>
      <c r="S557" s="1130"/>
      <c r="T557" s="1130"/>
      <c r="U557" s="1130"/>
      <c r="V557" s="1130"/>
      <c r="W557" s="1130"/>
      <c r="X557" s="1130"/>
      <c r="Y557" s="1130"/>
      <c r="Z557" s="1130"/>
    </row>
    <row r="558" spans="1:26" ht="15.75" customHeight="1">
      <c r="A558" s="1130"/>
      <c r="B558" s="1130"/>
      <c r="C558" s="1130"/>
      <c r="D558" s="1130"/>
      <c r="E558" s="1130"/>
      <c r="F558" s="1130"/>
      <c r="G558" s="1130"/>
      <c r="H558" s="1130"/>
      <c r="I558" s="1130"/>
      <c r="J558" s="1130"/>
      <c r="K558" s="1130"/>
      <c r="L558" s="1130"/>
      <c r="M558" s="1130"/>
      <c r="N558" s="1130"/>
      <c r="O558" s="1130"/>
      <c r="P558" s="1130"/>
      <c r="Q558" s="1130"/>
      <c r="R558" s="1130"/>
      <c r="S558" s="1130"/>
      <c r="T558" s="1130"/>
      <c r="U558" s="1130"/>
      <c r="V558" s="1130"/>
      <c r="W558" s="1130"/>
      <c r="X558" s="1130"/>
      <c r="Y558" s="1130"/>
      <c r="Z558" s="1130"/>
    </row>
    <row r="559" spans="1:26" ht="15.75" customHeight="1">
      <c r="A559" s="1130"/>
      <c r="B559" s="1130"/>
      <c r="C559" s="1130"/>
      <c r="D559" s="1130"/>
      <c r="E559" s="1130"/>
      <c r="F559" s="1130"/>
      <c r="G559" s="1130"/>
      <c r="H559" s="1130"/>
      <c r="I559" s="1130"/>
      <c r="J559" s="1130"/>
      <c r="K559" s="1130"/>
      <c r="L559" s="1130"/>
      <c r="M559" s="1130"/>
      <c r="N559" s="1130"/>
      <c r="O559" s="1130"/>
      <c r="P559" s="1130"/>
      <c r="Q559" s="1130"/>
      <c r="R559" s="1130"/>
      <c r="S559" s="1130"/>
      <c r="T559" s="1130"/>
      <c r="U559" s="1130"/>
      <c r="V559" s="1130"/>
      <c r="W559" s="1130"/>
      <c r="X559" s="1130"/>
      <c r="Y559" s="1130"/>
      <c r="Z559" s="1130"/>
    </row>
    <row r="560" spans="1:26" ht="15.75" customHeight="1">
      <c r="A560" s="1130"/>
      <c r="B560" s="1130"/>
      <c r="C560" s="1130"/>
      <c r="D560" s="1130"/>
      <c r="E560" s="1130"/>
      <c r="F560" s="1130"/>
      <c r="G560" s="1130"/>
      <c r="H560" s="1130"/>
      <c r="I560" s="1130"/>
      <c r="J560" s="1130"/>
      <c r="K560" s="1130"/>
      <c r="L560" s="1130"/>
      <c r="M560" s="1130"/>
      <c r="N560" s="1130"/>
      <c r="O560" s="1130"/>
      <c r="P560" s="1130"/>
      <c r="Q560" s="1130"/>
      <c r="R560" s="1130"/>
      <c r="S560" s="1130"/>
      <c r="T560" s="1130"/>
      <c r="U560" s="1130"/>
      <c r="V560" s="1130"/>
      <c r="W560" s="1130"/>
      <c r="X560" s="1130"/>
      <c r="Y560" s="1130"/>
      <c r="Z560" s="1130"/>
    </row>
    <row r="561" spans="1:26" ht="15.75" customHeight="1">
      <c r="A561" s="1130"/>
      <c r="B561" s="1130"/>
      <c r="C561" s="1130"/>
      <c r="D561" s="1130"/>
      <c r="E561" s="1130"/>
      <c r="F561" s="1130"/>
      <c r="G561" s="1130"/>
      <c r="H561" s="1130"/>
      <c r="I561" s="1130"/>
      <c r="J561" s="1130"/>
      <c r="K561" s="1130"/>
      <c r="L561" s="1130"/>
      <c r="M561" s="1130"/>
      <c r="N561" s="1130"/>
      <c r="O561" s="1130"/>
      <c r="P561" s="1130"/>
      <c r="Q561" s="1130"/>
      <c r="R561" s="1130"/>
      <c r="S561" s="1130"/>
      <c r="T561" s="1130"/>
      <c r="U561" s="1130"/>
      <c r="V561" s="1130"/>
      <c r="W561" s="1130"/>
      <c r="X561" s="1130"/>
      <c r="Y561" s="1130"/>
      <c r="Z561" s="1130"/>
    </row>
    <row r="562" spans="1:26" ht="15.75" customHeight="1">
      <c r="A562" s="1130"/>
      <c r="B562" s="1130"/>
      <c r="C562" s="1130"/>
      <c r="D562" s="1130"/>
      <c r="E562" s="1130"/>
      <c r="F562" s="1130"/>
      <c r="G562" s="1130"/>
      <c r="H562" s="1130"/>
      <c r="I562" s="1130"/>
      <c r="J562" s="1130"/>
      <c r="K562" s="1130"/>
      <c r="L562" s="1130"/>
      <c r="M562" s="1130"/>
      <c r="N562" s="1130"/>
      <c r="O562" s="1130"/>
      <c r="P562" s="1130"/>
      <c r="Q562" s="1130"/>
      <c r="R562" s="1130"/>
      <c r="S562" s="1130"/>
      <c r="T562" s="1130"/>
      <c r="U562" s="1130"/>
      <c r="V562" s="1130"/>
      <c r="W562" s="1130"/>
      <c r="X562" s="1130"/>
      <c r="Y562" s="1130"/>
      <c r="Z562" s="1130"/>
    </row>
    <row r="563" spans="1:26" ht="15.75" customHeight="1">
      <c r="A563" s="1130"/>
      <c r="B563" s="1130"/>
      <c r="C563" s="1130"/>
      <c r="D563" s="1130"/>
      <c r="E563" s="1130"/>
      <c r="F563" s="1130"/>
      <c r="G563" s="1130"/>
      <c r="H563" s="1130"/>
      <c r="I563" s="1130"/>
      <c r="J563" s="1130"/>
      <c r="K563" s="1130"/>
      <c r="L563" s="1130"/>
      <c r="M563" s="1130"/>
      <c r="N563" s="1130"/>
      <c r="O563" s="1130"/>
      <c r="P563" s="1130"/>
      <c r="Q563" s="1130"/>
      <c r="R563" s="1130"/>
      <c r="S563" s="1130"/>
      <c r="T563" s="1130"/>
      <c r="U563" s="1130"/>
      <c r="V563" s="1130"/>
      <c r="W563" s="1130"/>
      <c r="X563" s="1130"/>
      <c r="Y563" s="1130"/>
      <c r="Z563" s="1130"/>
    </row>
    <row r="564" spans="1:26" ht="15.75" customHeight="1">
      <c r="A564" s="1130"/>
      <c r="B564" s="1130"/>
      <c r="C564" s="1130"/>
      <c r="D564" s="1130"/>
      <c r="E564" s="1130"/>
      <c r="F564" s="1130"/>
      <c r="G564" s="1130"/>
      <c r="H564" s="1130"/>
      <c r="I564" s="1130"/>
      <c r="J564" s="1130"/>
      <c r="K564" s="1130"/>
      <c r="L564" s="1130"/>
      <c r="M564" s="1130"/>
      <c r="N564" s="1130"/>
      <c r="O564" s="1130"/>
      <c r="P564" s="1130"/>
      <c r="Q564" s="1130"/>
      <c r="R564" s="1130"/>
      <c r="S564" s="1130"/>
      <c r="T564" s="1130"/>
      <c r="U564" s="1130"/>
      <c r="V564" s="1130"/>
      <c r="W564" s="1130"/>
      <c r="X564" s="1130"/>
      <c r="Y564" s="1130"/>
      <c r="Z564" s="1130"/>
    </row>
    <row r="565" spans="1:26" ht="15.75" customHeight="1">
      <c r="A565" s="1130"/>
      <c r="B565" s="1130"/>
      <c r="C565" s="1130"/>
      <c r="D565" s="1130"/>
      <c r="E565" s="1130"/>
      <c r="F565" s="1130"/>
      <c r="G565" s="1130"/>
      <c r="H565" s="1130"/>
      <c r="I565" s="1130"/>
      <c r="J565" s="1130"/>
      <c r="K565" s="1130"/>
      <c r="L565" s="1130"/>
      <c r="M565" s="1130"/>
      <c r="N565" s="1130"/>
      <c r="O565" s="1130"/>
      <c r="P565" s="1130"/>
      <c r="Q565" s="1130"/>
      <c r="R565" s="1130"/>
      <c r="S565" s="1130"/>
      <c r="T565" s="1130"/>
      <c r="U565" s="1130"/>
      <c r="V565" s="1130"/>
      <c r="W565" s="1130"/>
      <c r="X565" s="1130"/>
      <c r="Y565" s="1130"/>
      <c r="Z565" s="1130"/>
    </row>
    <row r="566" spans="1:26" ht="15.75" customHeight="1">
      <c r="A566" s="1130"/>
      <c r="B566" s="1130"/>
      <c r="C566" s="1130"/>
      <c r="D566" s="1130"/>
      <c r="E566" s="1130"/>
      <c r="F566" s="1130"/>
      <c r="G566" s="1130"/>
      <c r="H566" s="1130"/>
      <c r="I566" s="1130"/>
      <c r="J566" s="1130"/>
      <c r="K566" s="1130"/>
      <c r="L566" s="1130"/>
      <c r="M566" s="1130"/>
      <c r="N566" s="1130"/>
      <c r="O566" s="1130"/>
      <c r="P566" s="1130"/>
      <c r="Q566" s="1130"/>
      <c r="R566" s="1130"/>
      <c r="S566" s="1130"/>
      <c r="T566" s="1130"/>
      <c r="U566" s="1130"/>
      <c r="V566" s="1130"/>
      <c r="W566" s="1130"/>
      <c r="X566" s="1130"/>
      <c r="Y566" s="1130"/>
      <c r="Z566" s="1130"/>
    </row>
    <row r="567" spans="1:26" ht="15.75" customHeight="1">
      <c r="A567" s="1130"/>
      <c r="B567" s="1130"/>
      <c r="C567" s="1130"/>
      <c r="D567" s="1130"/>
      <c r="E567" s="1130"/>
      <c r="F567" s="1130"/>
      <c r="G567" s="1130"/>
      <c r="H567" s="1130"/>
      <c r="I567" s="1130"/>
      <c r="J567" s="1130"/>
      <c r="K567" s="1130"/>
      <c r="L567" s="1130"/>
      <c r="M567" s="1130"/>
      <c r="N567" s="1130"/>
      <c r="O567" s="1130"/>
      <c r="P567" s="1130"/>
      <c r="Q567" s="1130"/>
      <c r="R567" s="1130"/>
      <c r="S567" s="1130"/>
      <c r="T567" s="1130"/>
      <c r="U567" s="1130"/>
      <c r="V567" s="1130"/>
      <c r="W567" s="1130"/>
      <c r="X567" s="1130"/>
      <c r="Y567" s="1130"/>
      <c r="Z567" s="1130"/>
    </row>
    <row r="568" spans="1:26" ht="15.75" customHeight="1">
      <c r="A568" s="1130"/>
      <c r="B568" s="1130"/>
      <c r="C568" s="1130"/>
      <c r="D568" s="1130"/>
      <c r="E568" s="1130"/>
      <c r="F568" s="1130"/>
      <c r="G568" s="1130"/>
      <c r="H568" s="1130"/>
      <c r="I568" s="1130"/>
      <c r="J568" s="1130"/>
      <c r="K568" s="1130"/>
      <c r="L568" s="1130"/>
      <c r="M568" s="1130"/>
      <c r="N568" s="1130"/>
      <c r="O568" s="1130"/>
      <c r="P568" s="1130"/>
      <c r="Q568" s="1130"/>
      <c r="R568" s="1130"/>
      <c r="S568" s="1130"/>
      <c r="T568" s="1130"/>
      <c r="U568" s="1130"/>
      <c r="V568" s="1130"/>
      <c r="W568" s="1130"/>
      <c r="X568" s="1130"/>
      <c r="Y568" s="1130"/>
      <c r="Z568" s="1130"/>
    </row>
    <row r="569" spans="1:26" ht="15.75" customHeight="1">
      <c r="A569" s="1130"/>
      <c r="B569" s="1130"/>
      <c r="C569" s="1130"/>
      <c r="D569" s="1130"/>
      <c r="E569" s="1130"/>
      <c r="F569" s="1130"/>
      <c r="G569" s="1130"/>
      <c r="H569" s="1130"/>
      <c r="I569" s="1130"/>
      <c r="J569" s="1130"/>
      <c r="K569" s="1130"/>
      <c r="L569" s="1130"/>
      <c r="M569" s="1130"/>
      <c r="N569" s="1130"/>
      <c r="O569" s="1130"/>
      <c r="P569" s="1130"/>
      <c r="Q569" s="1130"/>
      <c r="R569" s="1130"/>
      <c r="S569" s="1130"/>
      <c r="T569" s="1130"/>
      <c r="U569" s="1130"/>
      <c r="V569" s="1130"/>
      <c r="W569" s="1130"/>
      <c r="X569" s="1130"/>
      <c r="Y569" s="1130"/>
      <c r="Z569" s="1130"/>
    </row>
    <row r="570" spans="1:26" ht="15.75" customHeight="1">
      <c r="A570" s="1130"/>
      <c r="B570" s="1130"/>
      <c r="C570" s="1130"/>
      <c r="D570" s="1130"/>
      <c r="E570" s="1130"/>
      <c r="F570" s="1130"/>
      <c r="G570" s="1130"/>
      <c r="H570" s="1130"/>
      <c r="I570" s="1130"/>
      <c r="J570" s="1130"/>
      <c r="K570" s="1130"/>
      <c r="L570" s="1130"/>
      <c r="M570" s="1130"/>
      <c r="N570" s="1130"/>
      <c r="O570" s="1130"/>
      <c r="P570" s="1130"/>
      <c r="Q570" s="1130"/>
      <c r="R570" s="1130"/>
      <c r="S570" s="1130"/>
      <c r="T570" s="1130"/>
      <c r="U570" s="1130"/>
      <c r="V570" s="1130"/>
      <c r="W570" s="1130"/>
      <c r="X570" s="1130"/>
      <c r="Y570" s="1130"/>
      <c r="Z570" s="1130"/>
    </row>
    <row r="571" spans="1:26" ht="15.75" customHeight="1">
      <c r="A571" s="1130"/>
      <c r="B571" s="1130"/>
      <c r="C571" s="1130"/>
      <c r="D571" s="1130"/>
      <c r="E571" s="1130"/>
      <c r="F571" s="1130"/>
      <c r="G571" s="1130"/>
      <c r="H571" s="1130"/>
      <c r="I571" s="1130"/>
      <c r="J571" s="1130"/>
      <c r="K571" s="1130"/>
      <c r="L571" s="1130"/>
      <c r="M571" s="1130"/>
      <c r="N571" s="1130"/>
      <c r="O571" s="1130"/>
      <c r="P571" s="1130"/>
      <c r="Q571" s="1130"/>
      <c r="R571" s="1130"/>
      <c r="S571" s="1130"/>
      <c r="T571" s="1130"/>
      <c r="U571" s="1130"/>
      <c r="V571" s="1130"/>
      <c r="W571" s="1130"/>
      <c r="X571" s="1130"/>
      <c r="Y571" s="1130"/>
      <c r="Z571" s="1130"/>
    </row>
    <row r="572" spans="1:26" ht="15.75" customHeight="1">
      <c r="A572" s="1130"/>
      <c r="B572" s="1130"/>
      <c r="C572" s="1130"/>
      <c r="D572" s="1130"/>
      <c r="E572" s="1130"/>
      <c r="F572" s="1130"/>
      <c r="G572" s="1130"/>
      <c r="H572" s="1130"/>
      <c r="I572" s="1130"/>
      <c r="J572" s="1130"/>
      <c r="K572" s="1130"/>
      <c r="L572" s="1130"/>
      <c r="M572" s="1130"/>
      <c r="N572" s="1130"/>
      <c r="O572" s="1130"/>
      <c r="P572" s="1130"/>
      <c r="Q572" s="1130"/>
      <c r="R572" s="1130"/>
      <c r="S572" s="1130"/>
      <c r="T572" s="1130"/>
      <c r="U572" s="1130"/>
      <c r="V572" s="1130"/>
      <c r="W572" s="1130"/>
      <c r="X572" s="1130"/>
      <c r="Y572" s="1130"/>
      <c r="Z572" s="1130"/>
    </row>
    <row r="573" spans="1:26" ht="15.75" customHeight="1">
      <c r="A573" s="1130"/>
      <c r="B573" s="1130"/>
      <c r="C573" s="1130"/>
      <c r="D573" s="1130"/>
      <c r="E573" s="1130"/>
      <c r="F573" s="1130"/>
      <c r="G573" s="1130"/>
      <c r="H573" s="1130"/>
      <c r="I573" s="1130"/>
      <c r="J573" s="1130"/>
      <c r="K573" s="1130"/>
      <c r="L573" s="1130"/>
      <c r="M573" s="1130"/>
      <c r="N573" s="1130"/>
      <c r="O573" s="1130"/>
      <c r="P573" s="1130"/>
      <c r="Q573" s="1130"/>
      <c r="R573" s="1130"/>
      <c r="S573" s="1130"/>
      <c r="T573" s="1130"/>
      <c r="U573" s="1130"/>
      <c r="V573" s="1130"/>
      <c r="W573" s="1130"/>
      <c r="X573" s="1130"/>
      <c r="Y573" s="1130"/>
      <c r="Z573" s="1130"/>
    </row>
    <row r="574" spans="1:26" ht="15.75" customHeight="1">
      <c r="A574" s="1130"/>
      <c r="B574" s="1130"/>
      <c r="C574" s="1130"/>
      <c r="D574" s="1130"/>
      <c r="E574" s="1130"/>
      <c r="F574" s="1130"/>
      <c r="G574" s="1130"/>
      <c r="H574" s="1130"/>
      <c r="I574" s="1130"/>
      <c r="J574" s="1130"/>
      <c r="K574" s="1130"/>
      <c r="L574" s="1130"/>
      <c r="M574" s="1130"/>
      <c r="N574" s="1130"/>
      <c r="O574" s="1130"/>
      <c r="P574" s="1130"/>
      <c r="Q574" s="1130"/>
      <c r="R574" s="1130"/>
      <c r="S574" s="1130"/>
      <c r="T574" s="1130"/>
      <c r="U574" s="1130"/>
      <c r="V574" s="1130"/>
      <c r="W574" s="1130"/>
      <c r="X574" s="1130"/>
      <c r="Y574" s="1130"/>
      <c r="Z574" s="1130"/>
    </row>
    <row r="575" spans="1:26" ht="15.75" customHeight="1">
      <c r="A575" s="1130"/>
      <c r="B575" s="1130"/>
      <c r="C575" s="1130"/>
      <c r="D575" s="1130"/>
      <c r="E575" s="1130"/>
      <c r="F575" s="1130"/>
      <c r="G575" s="1130"/>
      <c r="H575" s="1130"/>
      <c r="I575" s="1130"/>
      <c r="J575" s="1130"/>
      <c r="K575" s="1130"/>
      <c r="L575" s="1130"/>
      <c r="M575" s="1130"/>
      <c r="N575" s="1130"/>
      <c r="O575" s="1130"/>
      <c r="P575" s="1130"/>
      <c r="Q575" s="1130"/>
      <c r="R575" s="1130"/>
      <c r="S575" s="1130"/>
      <c r="T575" s="1130"/>
      <c r="U575" s="1130"/>
      <c r="V575" s="1130"/>
      <c r="W575" s="1130"/>
      <c r="X575" s="1130"/>
      <c r="Y575" s="1130"/>
      <c r="Z575" s="1130"/>
    </row>
    <row r="576" spans="1:26" ht="15.75" customHeight="1">
      <c r="A576" s="1130"/>
      <c r="B576" s="1130"/>
      <c r="C576" s="1130"/>
      <c r="D576" s="1130"/>
      <c r="E576" s="1130"/>
      <c r="F576" s="1130"/>
      <c r="G576" s="1130"/>
      <c r="H576" s="1130"/>
      <c r="I576" s="1130"/>
      <c r="J576" s="1130"/>
      <c r="K576" s="1130"/>
      <c r="L576" s="1130"/>
      <c r="M576" s="1130"/>
      <c r="N576" s="1130"/>
      <c r="O576" s="1130"/>
      <c r="P576" s="1130"/>
      <c r="Q576" s="1130"/>
      <c r="R576" s="1130"/>
      <c r="S576" s="1130"/>
      <c r="T576" s="1130"/>
      <c r="U576" s="1130"/>
      <c r="V576" s="1130"/>
      <c r="W576" s="1130"/>
      <c r="X576" s="1130"/>
      <c r="Y576" s="1130"/>
      <c r="Z576" s="1130"/>
    </row>
    <row r="577" spans="1:26" ht="15.75" customHeight="1">
      <c r="A577" s="1130"/>
      <c r="B577" s="1130"/>
      <c r="C577" s="1130"/>
      <c r="D577" s="1130"/>
      <c r="E577" s="1130"/>
      <c r="F577" s="1130"/>
      <c r="G577" s="1130"/>
      <c r="H577" s="1130"/>
      <c r="I577" s="1130"/>
      <c r="J577" s="1130"/>
      <c r="K577" s="1130"/>
      <c r="L577" s="1130"/>
      <c r="M577" s="1130"/>
      <c r="N577" s="1130"/>
      <c r="O577" s="1130"/>
      <c r="P577" s="1130"/>
      <c r="Q577" s="1130"/>
      <c r="R577" s="1130"/>
      <c r="S577" s="1130"/>
      <c r="T577" s="1130"/>
      <c r="U577" s="1130"/>
      <c r="V577" s="1130"/>
      <c r="W577" s="1130"/>
      <c r="X577" s="1130"/>
      <c r="Y577" s="1130"/>
      <c r="Z577" s="1130"/>
    </row>
    <row r="578" spans="1:26" ht="15.75" customHeight="1">
      <c r="A578" s="1130"/>
      <c r="B578" s="1130"/>
      <c r="C578" s="1130"/>
      <c r="D578" s="1130"/>
      <c r="E578" s="1130"/>
      <c r="F578" s="1130"/>
      <c r="G578" s="1130"/>
      <c r="H578" s="1130"/>
      <c r="I578" s="1130"/>
      <c r="J578" s="1130"/>
      <c r="K578" s="1130"/>
      <c r="L578" s="1130"/>
      <c r="M578" s="1130"/>
      <c r="N578" s="1130"/>
      <c r="O578" s="1130"/>
      <c r="P578" s="1130"/>
      <c r="Q578" s="1130"/>
      <c r="R578" s="1130"/>
      <c r="S578" s="1130"/>
      <c r="T578" s="1130"/>
      <c r="U578" s="1130"/>
      <c r="V578" s="1130"/>
      <c r="W578" s="1130"/>
      <c r="X578" s="1130"/>
      <c r="Y578" s="1130"/>
      <c r="Z578" s="1130"/>
    </row>
    <row r="579" spans="1:26" ht="15.75" customHeight="1">
      <c r="A579" s="1130"/>
      <c r="B579" s="1130"/>
      <c r="C579" s="1130"/>
      <c r="D579" s="1130"/>
      <c r="E579" s="1130"/>
      <c r="F579" s="1130"/>
      <c r="G579" s="1130"/>
      <c r="H579" s="1130"/>
      <c r="I579" s="1130"/>
      <c r="J579" s="1130"/>
      <c r="K579" s="1130"/>
      <c r="L579" s="1130"/>
      <c r="M579" s="1130"/>
      <c r="N579" s="1130"/>
      <c r="O579" s="1130"/>
      <c r="P579" s="1130"/>
      <c r="Q579" s="1130"/>
      <c r="R579" s="1130"/>
      <c r="S579" s="1130"/>
      <c r="T579" s="1130"/>
      <c r="U579" s="1130"/>
      <c r="V579" s="1130"/>
      <c r="W579" s="1130"/>
      <c r="X579" s="1130"/>
      <c r="Y579" s="1130"/>
      <c r="Z579" s="1130"/>
    </row>
    <row r="580" spans="1:26" ht="15.75" customHeight="1">
      <c r="A580" s="1130"/>
      <c r="B580" s="1130"/>
      <c r="C580" s="1130"/>
      <c r="D580" s="1130"/>
      <c r="E580" s="1130"/>
      <c r="F580" s="1130"/>
      <c r="G580" s="1130"/>
      <c r="H580" s="1130"/>
      <c r="I580" s="1130"/>
      <c r="J580" s="1130"/>
      <c r="K580" s="1130"/>
      <c r="L580" s="1130"/>
      <c r="M580" s="1130"/>
      <c r="N580" s="1130"/>
      <c r="O580" s="1130"/>
      <c r="P580" s="1130"/>
      <c r="Q580" s="1130"/>
      <c r="R580" s="1130"/>
      <c r="S580" s="1130"/>
      <c r="T580" s="1130"/>
      <c r="U580" s="1130"/>
      <c r="V580" s="1130"/>
      <c r="W580" s="1130"/>
      <c r="X580" s="1130"/>
      <c r="Y580" s="1130"/>
      <c r="Z580" s="1130"/>
    </row>
    <row r="581" spans="1:26" ht="15.75" customHeight="1">
      <c r="A581" s="1130"/>
      <c r="B581" s="1130"/>
      <c r="C581" s="1130"/>
      <c r="D581" s="1130"/>
      <c r="E581" s="1130"/>
      <c r="F581" s="1130"/>
      <c r="G581" s="1130"/>
      <c r="H581" s="1130"/>
      <c r="I581" s="1130"/>
      <c r="J581" s="1130"/>
      <c r="K581" s="1130"/>
      <c r="L581" s="1130"/>
      <c r="M581" s="1130"/>
      <c r="N581" s="1130"/>
      <c r="O581" s="1130"/>
      <c r="P581" s="1130"/>
      <c r="Q581" s="1130"/>
      <c r="R581" s="1130"/>
      <c r="S581" s="1130"/>
      <c r="T581" s="1130"/>
      <c r="U581" s="1130"/>
      <c r="V581" s="1130"/>
      <c r="W581" s="1130"/>
      <c r="X581" s="1130"/>
      <c r="Y581" s="1130"/>
      <c r="Z581" s="1130"/>
    </row>
    <row r="582" spans="1:26" ht="15.75" customHeight="1">
      <c r="A582" s="1130"/>
      <c r="B582" s="1130"/>
      <c r="C582" s="1130"/>
      <c r="D582" s="1130"/>
      <c r="E582" s="1130"/>
      <c r="F582" s="1130"/>
      <c r="G582" s="1130"/>
      <c r="H582" s="1130"/>
      <c r="I582" s="1130"/>
      <c r="J582" s="1130"/>
      <c r="K582" s="1130"/>
      <c r="L582" s="1130"/>
      <c r="M582" s="1130"/>
      <c r="N582" s="1130"/>
      <c r="O582" s="1130"/>
      <c r="P582" s="1130"/>
      <c r="Q582" s="1130"/>
      <c r="R582" s="1130"/>
      <c r="S582" s="1130"/>
      <c r="T582" s="1130"/>
      <c r="U582" s="1130"/>
      <c r="V582" s="1130"/>
      <c r="W582" s="1130"/>
      <c r="X582" s="1130"/>
      <c r="Y582" s="1130"/>
      <c r="Z582" s="1130"/>
    </row>
    <row r="583" spans="1:26" ht="15.75" customHeight="1">
      <c r="A583" s="1130"/>
      <c r="B583" s="1130"/>
      <c r="C583" s="1130"/>
      <c r="D583" s="1130"/>
      <c r="E583" s="1130"/>
      <c r="F583" s="1130"/>
      <c r="G583" s="1130"/>
      <c r="H583" s="1130"/>
      <c r="I583" s="1130"/>
      <c r="J583" s="1130"/>
      <c r="K583" s="1130"/>
      <c r="L583" s="1130"/>
      <c r="M583" s="1130"/>
      <c r="N583" s="1130"/>
      <c r="O583" s="1130"/>
      <c r="P583" s="1130"/>
      <c r="Q583" s="1130"/>
      <c r="R583" s="1130"/>
      <c r="S583" s="1130"/>
      <c r="T583" s="1130"/>
      <c r="U583" s="1130"/>
      <c r="V583" s="1130"/>
      <c r="W583" s="1130"/>
      <c r="X583" s="1130"/>
      <c r="Y583" s="1130"/>
      <c r="Z583" s="1130"/>
    </row>
    <row r="584" spans="1:26" ht="15.75" customHeight="1">
      <c r="A584" s="1130"/>
      <c r="B584" s="1130"/>
      <c r="C584" s="1130"/>
      <c r="D584" s="1130"/>
      <c r="E584" s="1130"/>
      <c r="F584" s="1130"/>
      <c r="G584" s="1130"/>
      <c r="H584" s="1130"/>
      <c r="I584" s="1130"/>
      <c r="J584" s="1130"/>
      <c r="K584" s="1130"/>
      <c r="L584" s="1130"/>
      <c r="M584" s="1130"/>
      <c r="N584" s="1130"/>
      <c r="O584" s="1130"/>
      <c r="P584" s="1130"/>
      <c r="Q584" s="1130"/>
      <c r="R584" s="1130"/>
      <c r="S584" s="1130"/>
      <c r="T584" s="1130"/>
      <c r="U584" s="1130"/>
      <c r="V584" s="1130"/>
      <c r="W584" s="1130"/>
      <c r="X584" s="1130"/>
      <c r="Y584" s="1130"/>
      <c r="Z584" s="1130"/>
    </row>
    <row r="585" spans="1:26" ht="15.75" customHeight="1">
      <c r="A585" s="1130"/>
      <c r="B585" s="1130"/>
      <c r="C585" s="1130"/>
      <c r="D585" s="1130"/>
      <c r="E585" s="1130"/>
      <c r="F585" s="1130"/>
      <c r="G585" s="1130"/>
      <c r="H585" s="1130"/>
      <c r="I585" s="1130"/>
      <c r="J585" s="1130"/>
      <c r="K585" s="1130"/>
      <c r="L585" s="1130"/>
      <c r="M585" s="1130"/>
      <c r="N585" s="1130"/>
      <c r="O585" s="1130"/>
      <c r="P585" s="1130"/>
      <c r="Q585" s="1130"/>
      <c r="R585" s="1130"/>
      <c r="S585" s="1130"/>
      <c r="T585" s="1130"/>
      <c r="U585" s="1130"/>
      <c r="V585" s="1130"/>
      <c r="W585" s="1130"/>
      <c r="X585" s="1130"/>
      <c r="Y585" s="1130"/>
      <c r="Z585" s="1130"/>
    </row>
    <row r="586" spans="1:26" ht="15.75" customHeight="1">
      <c r="A586" s="1130"/>
      <c r="B586" s="1130"/>
      <c r="C586" s="1130"/>
      <c r="D586" s="1130"/>
      <c r="E586" s="1130"/>
      <c r="F586" s="1130"/>
      <c r="G586" s="1130"/>
      <c r="H586" s="1130"/>
      <c r="I586" s="1130"/>
      <c r="J586" s="1130"/>
      <c r="K586" s="1130"/>
      <c r="L586" s="1130"/>
      <c r="M586" s="1130"/>
      <c r="N586" s="1130"/>
      <c r="O586" s="1130"/>
      <c r="P586" s="1130"/>
      <c r="Q586" s="1130"/>
      <c r="R586" s="1130"/>
      <c r="S586" s="1130"/>
      <c r="T586" s="1130"/>
      <c r="U586" s="1130"/>
      <c r="V586" s="1130"/>
      <c r="W586" s="1130"/>
      <c r="X586" s="1130"/>
      <c r="Y586" s="1130"/>
      <c r="Z586" s="1130"/>
    </row>
    <row r="587" spans="1:26" ht="15.75" customHeight="1">
      <c r="A587" s="1130"/>
      <c r="B587" s="1130"/>
      <c r="C587" s="1130"/>
      <c r="D587" s="1130"/>
      <c r="E587" s="1130"/>
      <c r="F587" s="1130"/>
      <c r="G587" s="1130"/>
      <c r="H587" s="1130"/>
      <c r="I587" s="1130"/>
      <c r="J587" s="1130"/>
      <c r="K587" s="1130"/>
      <c r="L587" s="1130"/>
      <c r="M587" s="1130"/>
      <c r="N587" s="1130"/>
      <c r="O587" s="1130"/>
      <c r="P587" s="1130"/>
      <c r="Q587" s="1130"/>
      <c r="R587" s="1130"/>
      <c r="S587" s="1130"/>
      <c r="T587" s="1130"/>
      <c r="U587" s="1130"/>
      <c r="V587" s="1130"/>
      <c r="W587" s="1130"/>
      <c r="X587" s="1130"/>
      <c r="Y587" s="1130"/>
      <c r="Z587" s="1130"/>
    </row>
    <row r="588" spans="1:26" ht="15.75" customHeight="1">
      <c r="A588" s="1130"/>
      <c r="B588" s="1130"/>
      <c r="C588" s="1130"/>
      <c r="D588" s="1130"/>
      <c r="E588" s="1130"/>
      <c r="F588" s="1130"/>
      <c r="G588" s="1130"/>
      <c r="H588" s="1130"/>
      <c r="I588" s="1130"/>
      <c r="J588" s="1130"/>
      <c r="K588" s="1130"/>
      <c r="L588" s="1130"/>
      <c r="M588" s="1130"/>
      <c r="N588" s="1130"/>
      <c r="O588" s="1130"/>
      <c r="P588" s="1130"/>
      <c r="Q588" s="1130"/>
      <c r="R588" s="1130"/>
      <c r="S588" s="1130"/>
      <c r="T588" s="1130"/>
      <c r="U588" s="1130"/>
      <c r="V588" s="1130"/>
      <c r="W588" s="1130"/>
      <c r="X588" s="1130"/>
      <c r="Y588" s="1130"/>
      <c r="Z588" s="1130"/>
    </row>
    <row r="589" spans="1:26" ht="15.75" customHeight="1">
      <c r="A589" s="1130"/>
      <c r="B589" s="1130"/>
      <c r="C589" s="1130"/>
      <c r="D589" s="1130"/>
      <c r="E589" s="1130"/>
      <c r="F589" s="1130"/>
      <c r="G589" s="1130"/>
      <c r="H589" s="1130"/>
      <c r="I589" s="1130"/>
      <c r="J589" s="1130"/>
      <c r="K589" s="1130"/>
      <c r="L589" s="1130"/>
      <c r="M589" s="1130"/>
      <c r="N589" s="1130"/>
      <c r="O589" s="1130"/>
      <c r="P589" s="1130"/>
      <c r="Q589" s="1130"/>
      <c r="R589" s="1130"/>
      <c r="S589" s="1130"/>
      <c r="T589" s="1130"/>
      <c r="U589" s="1130"/>
      <c r="V589" s="1130"/>
      <c r="W589" s="1130"/>
      <c r="X589" s="1130"/>
      <c r="Y589" s="1130"/>
      <c r="Z589" s="1130"/>
    </row>
    <row r="590" spans="1:26" ht="15.75" customHeight="1">
      <c r="A590" s="1130"/>
      <c r="B590" s="1130"/>
      <c r="C590" s="1130"/>
      <c r="D590" s="1130"/>
      <c r="E590" s="1130"/>
      <c r="F590" s="1130"/>
      <c r="G590" s="1130"/>
      <c r="H590" s="1130"/>
      <c r="I590" s="1130"/>
      <c r="J590" s="1130"/>
      <c r="K590" s="1130"/>
      <c r="L590" s="1130"/>
      <c r="M590" s="1130"/>
      <c r="N590" s="1130"/>
      <c r="O590" s="1130"/>
      <c r="P590" s="1130"/>
      <c r="Q590" s="1130"/>
      <c r="R590" s="1130"/>
      <c r="S590" s="1130"/>
      <c r="T590" s="1130"/>
      <c r="U590" s="1130"/>
      <c r="V590" s="1130"/>
      <c r="W590" s="1130"/>
      <c r="X590" s="1130"/>
      <c r="Y590" s="1130"/>
      <c r="Z590" s="1130"/>
    </row>
    <row r="591" spans="1:26" ht="15.75" customHeight="1">
      <c r="A591" s="1130"/>
      <c r="B591" s="1130"/>
      <c r="C591" s="1130"/>
      <c r="D591" s="1130"/>
      <c r="E591" s="1130"/>
      <c r="F591" s="1130"/>
      <c r="G591" s="1130"/>
      <c r="H591" s="1130"/>
      <c r="I591" s="1130"/>
      <c r="J591" s="1130"/>
      <c r="K591" s="1130"/>
      <c r="L591" s="1130"/>
      <c r="M591" s="1130"/>
      <c r="N591" s="1130"/>
      <c r="O591" s="1130"/>
      <c r="P591" s="1130"/>
      <c r="Q591" s="1130"/>
      <c r="R591" s="1130"/>
      <c r="S591" s="1130"/>
      <c r="T591" s="1130"/>
      <c r="U591" s="1130"/>
      <c r="V591" s="1130"/>
      <c r="W591" s="1130"/>
      <c r="X591" s="1130"/>
      <c r="Y591" s="1130"/>
      <c r="Z591" s="1130"/>
    </row>
    <row r="592" spans="1:26" ht="15.75" customHeight="1">
      <c r="A592" s="1130"/>
      <c r="B592" s="1130"/>
      <c r="C592" s="1130"/>
      <c r="D592" s="1130"/>
      <c r="E592" s="1130"/>
      <c r="F592" s="1130"/>
      <c r="G592" s="1130"/>
      <c r="H592" s="1130"/>
      <c r="I592" s="1130"/>
      <c r="J592" s="1130"/>
      <c r="K592" s="1130"/>
      <c r="L592" s="1130"/>
      <c r="M592" s="1130"/>
      <c r="N592" s="1130"/>
      <c r="O592" s="1130"/>
      <c r="P592" s="1130"/>
      <c r="Q592" s="1130"/>
      <c r="R592" s="1130"/>
      <c r="S592" s="1130"/>
      <c r="T592" s="1130"/>
      <c r="U592" s="1130"/>
      <c r="V592" s="1130"/>
      <c r="W592" s="1130"/>
      <c r="X592" s="1130"/>
      <c r="Y592" s="1130"/>
      <c r="Z592" s="1130"/>
    </row>
    <row r="593" spans="1:26" ht="15.75" customHeight="1">
      <c r="A593" s="1130"/>
      <c r="B593" s="1130"/>
      <c r="C593" s="1130"/>
      <c r="D593" s="1130"/>
      <c r="E593" s="1130"/>
      <c r="F593" s="1130"/>
      <c r="G593" s="1130"/>
      <c r="H593" s="1130"/>
      <c r="I593" s="1130"/>
      <c r="J593" s="1130"/>
      <c r="K593" s="1130"/>
      <c r="L593" s="1130"/>
      <c r="M593" s="1130"/>
      <c r="N593" s="1130"/>
      <c r="O593" s="1130"/>
      <c r="P593" s="1130"/>
      <c r="Q593" s="1130"/>
      <c r="R593" s="1130"/>
      <c r="S593" s="1130"/>
      <c r="T593" s="1130"/>
      <c r="U593" s="1130"/>
      <c r="V593" s="1130"/>
      <c r="W593" s="1130"/>
      <c r="X593" s="1130"/>
      <c r="Y593" s="1130"/>
      <c r="Z593" s="1130"/>
    </row>
    <row r="594" spans="1:26" ht="15.75" customHeight="1">
      <c r="A594" s="1130"/>
      <c r="B594" s="1130"/>
      <c r="C594" s="1130"/>
      <c r="D594" s="1130"/>
      <c r="E594" s="1130"/>
      <c r="F594" s="1130"/>
      <c r="G594" s="1130"/>
      <c r="H594" s="1130"/>
      <c r="I594" s="1130"/>
      <c r="J594" s="1130"/>
      <c r="K594" s="1130"/>
      <c r="L594" s="1130"/>
      <c r="M594" s="1130"/>
      <c r="N594" s="1130"/>
      <c r="O594" s="1130"/>
      <c r="P594" s="1130"/>
      <c r="Q594" s="1130"/>
      <c r="R594" s="1130"/>
      <c r="S594" s="1130"/>
      <c r="T594" s="1130"/>
      <c r="U594" s="1130"/>
      <c r="V594" s="1130"/>
      <c r="W594" s="1130"/>
      <c r="X594" s="1130"/>
      <c r="Y594" s="1130"/>
      <c r="Z594" s="1130"/>
    </row>
    <row r="595" spans="1:26" ht="15.75" customHeight="1">
      <c r="A595" s="1130"/>
      <c r="B595" s="1130"/>
      <c r="C595" s="1130"/>
      <c r="D595" s="1130"/>
      <c r="E595" s="1130"/>
      <c r="F595" s="1130"/>
      <c r="G595" s="1130"/>
      <c r="H595" s="1130"/>
      <c r="I595" s="1130"/>
      <c r="J595" s="1130"/>
      <c r="K595" s="1130"/>
      <c r="L595" s="1130"/>
      <c r="M595" s="1130"/>
      <c r="N595" s="1130"/>
      <c r="O595" s="1130"/>
      <c r="P595" s="1130"/>
      <c r="Q595" s="1130"/>
      <c r="R595" s="1130"/>
      <c r="S595" s="1130"/>
      <c r="T595" s="1130"/>
      <c r="U595" s="1130"/>
      <c r="V595" s="1130"/>
      <c r="W595" s="1130"/>
      <c r="X595" s="1130"/>
      <c r="Y595" s="1130"/>
      <c r="Z595" s="1130"/>
    </row>
    <row r="596" spans="1:26" ht="15.75" customHeight="1">
      <c r="A596" s="1130"/>
      <c r="B596" s="1130"/>
      <c r="C596" s="1130"/>
      <c r="D596" s="1130"/>
      <c r="E596" s="1130"/>
      <c r="F596" s="1130"/>
      <c r="G596" s="1130"/>
      <c r="H596" s="1130"/>
      <c r="I596" s="1130"/>
      <c r="J596" s="1130"/>
      <c r="K596" s="1130"/>
      <c r="L596" s="1130"/>
      <c r="M596" s="1130"/>
      <c r="N596" s="1130"/>
      <c r="O596" s="1130"/>
      <c r="P596" s="1130"/>
      <c r="Q596" s="1130"/>
      <c r="R596" s="1130"/>
      <c r="S596" s="1130"/>
      <c r="T596" s="1130"/>
      <c r="U596" s="1130"/>
      <c r="V596" s="1130"/>
      <c r="W596" s="1130"/>
      <c r="X596" s="1130"/>
      <c r="Y596" s="1130"/>
      <c r="Z596" s="1130"/>
    </row>
    <row r="597" spans="1:26" ht="15.75" customHeight="1">
      <c r="A597" s="1130"/>
      <c r="B597" s="1130"/>
      <c r="C597" s="1130"/>
      <c r="D597" s="1130"/>
      <c r="E597" s="1130"/>
      <c r="F597" s="1130"/>
      <c r="G597" s="1130"/>
      <c r="H597" s="1130"/>
      <c r="I597" s="1130"/>
      <c r="J597" s="1130"/>
      <c r="K597" s="1130"/>
      <c r="L597" s="1130"/>
      <c r="M597" s="1130"/>
      <c r="N597" s="1130"/>
      <c r="O597" s="1130"/>
      <c r="P597" s="1130"/>
      <c r="Q597" s="1130"/>
      <c r="R597" s="1130"/>
      <c r="S597" s="1130"/>
      <c r="T597" s="1130"/>
      <c r="U597" s="1130"/>
      <c r="V597" s="1130"/>
      <c r="W597" s="1130"/>
      <c r="X597" s="1130"/>
      <c r="Y597" s="1130"/>
      <c r="Z597" s="1130"/>
    </row>
    <row r="598" spans="1:26" ht="15.75" customHeight="1">
      <c r="A598" s="1130"/>
      <c r="B598" s="1130"/>
      <c r="C598" s="1130"/>
      <c r="D598" s="1130"/>
      <c r="E598" s="1130"/>
      <c r="F598" s="1130"/>
      <c r="G598" s="1130"/>
      <c r="H598" s="1130"/>
      <c r="I598" s="1130"/>
      <c r="J598" s="1130"/>
      <c r="K598" s="1130"/>
      <c r="L598" s="1130"/>
      <c r="M598" s="1130"/>
      <c r="N598" s="1130"/>
      <c r="O598" s="1130"/>
      <c r="P598" s="1130"/>
      <c r="Q598" s="1130"/>
      <c r="R598" s="1130"/>
      <c r="S598" s="1130"/>
      <c r="T598" s="1130"/>
      <c r="U598" s="1130"/>
      <c r="V598" s="1130"/>
      <c r="W598" s="1130"/>
      <c r="X598" s="1130"/>
      <c r="Y598" s="1130"/>
      <c r="Z598" s="1130"/>
    </row>
    <row r="599" spans="1:26" ht="15.75" customHeight="1">
      <c r="A599" s="1130"/>
      <c r="B599" s="1130"/>
      <c r="C599" s="1130"/>
      <c r="D599" s="1130"/>
      <c r="E599" s="1130"/>
      <c r="F599" s="1130"/>
      <c r="G599" s="1130"/>
      <c r="H599" s="1130"/>
      <c r="I599" s="1130"/>
      <c r="J599" s="1130"/>
      <c r="K599" s="1130"/>
      <c r="L599" s="1130"/>
      <c r="M599" s="1130"/>
      <c r="N599" s="1130"/>
      <c r="O599" s="1130"/>
      <c r="P599" s="1130"/>
      <c r="Q599" s="1130"/>
      <c r="R599" s="1130"/>
      <c r="S599" s="1130"/>
      <c r="T599" s="1130"/>
      <c r="U599" s="1130"/>
      <c r="V599" s="1130"/>
      <c r="W599" s="1130"/>
      <c r="X599" s="1130"/>
      <c r="Y599" s="1130"/>
      <c r="Z599" s="1130"/>
    </row>
    <row r="600" spans="1:26" ht="15.75" customHeight="1">
      <c r="A600" s="1130"/>
      <c r="B600" s="1130"/>
      <c r="C600" s="1130"/>
      <c r="D600" s="1130"/>
      <c r="E600" s="1130"/>
      <c r="F600" s="1130"/>
      <c r="G600" s="1130"/>
      <c r="H600" s="1130"/>
      <c r="I600" s="1130"/>
      <c r="J600" s="1130"/>
      <c r="K600" s="1130"/>
      <c r="L600" s="1130"/>
      <c r="M600" s="1130"/>
      <c r="N600" s="1130"/>
      <c r="O600" s="1130"/>
      <c r="P600" s="1130"/>
      <c r="Q600" s="1130"/>
      <c r="R600" s="1130"/>
      <c r="S600" s="1130"/>
      <c r="T600" s="1130"/>
      <c r="U600" s="1130"/>
      <c r="V600" s="1130"/>
      <c r="W600" s="1130"/>
      <c r="X600" s="1130"/>
      <c r="Y600" s="1130"/>
      <c r="Z600" s="1130"/>
    </row>
    <row r="601" spans="1:26" ht="15.75" customHeight="1">
      <c r="A601" s="1130"/>
      <c r="B601" s="1130"/>
      <c r="C601" s="1130"/>
      <c r="D601" s="1130"/>
      <c r="E601" s="1130"/>
      <c r="F601" s="1130"/>
      <c r="G601" s="1130"/>
      <c r="H601" s="1130"/>
      <c r="I601" s="1130"/>
      <c r="J601" s="1130"/>
      <c r="K601" s="1130"/>
      <c r="L601" s="1130"/>
      <c r="M601" s="1130"/>
      <c r="N601" s="1130"/>
      <c r="O601" s="1130"/>
      <c r="P601" s="1130"/>
      <c r="Q601" s="1130"/>
      <c r="R601" s="1130"/>
      <c r="S601" s="1130"/>
      <c r="T601" s="1130"/>
      <c r="U601" s="1130"/>
      <c r="V601" s="1130"/>
      <c r="W601" s="1130"/>
      <c r="X601" s="1130"/>
      <c r="Y601" s="1130"/>
      <c r="Z601" s="1130"/>
    </row>
    <row r="602" spans="1:26" ht="15.75" customHeight="1">
      <c r="A602" s="1130"/>
      <c r="B602" s="1130"/>
      <c r="C602" s="1130"/>
      <c r="D602" s="1130"/>
      <c r="E602" s="1130"/>
      <c r="F602" s="1130"/>
      <c r="G602" s="1130"/>
      <c r="H602" s="1130"/>
      <c r="I602" s="1130"/>
      <c r="J602" s="1130"/>
      <c r="K602" s="1130"/>
      <c r="L602" s="1130"/>
      <c r="M602" s="1130"/>
      <c r="N602" s="1130"/>
      <c r="O602" s="1130"/>
      <c r="P602" s="1130"/>
      <c r="Q602" s="1130"/>
      <c r="R602" s="1130"/>
      <c r="S602" s="1130"/>
      <c r="T602" s="1130"/>
      <c r="U602" s="1130"/>
      <c r="V602" s="1130"/>
      <c r="W602" s="1130"/>
      <c r="X602" s="1130"/>
      <c r="Y602" s="1130"/>
      <c r="Z602" s="1130"/>
    </row>
    <row r="603" spans="1:26" ht="15.75" customHeight="1">
      <c r="A603" s="1130"/>
      <c r="B603" s="1130"/>
      <c r="C603" s="1130"/>
      <c r="D603" s="1130"/>
      <c r="E603" s="1130"/>
      <c r="F603" s="1130"/>
      <c r="G603" s="1130"/>
      <c r="H603" s="1130"/>
      <c r="I603" s="1130"/>
      <c r="J603" s="1130"/>
      <c r="K603" s="1130"/>
      <c r="L603" s="1130"/>
      <c r="M603" s="1130"/>
      <c r="N603" s="1130"/>
      <c r="O603" s="1130"/>
      <c r="P603" s="1130"/>
      <c r="Q603" s="1130"/>
      <c r="R603" s="1130"/>
      <c r="S603" s="1130"/>
      <c r="T603" s="1130"/>
      <c r="U603" s="1130"/>
      <c r="V603" s="1130"/>
      <c r="W603" s="1130"/>
      <c r="X603" s="1130"/>
      <c r="Y603" s="1130"/>
      <c r="Z603" s="1130"/>
    </row>
    <row r="604" spans="1:26" ht="15.75" customHeight="1">
      <c r="A604" s="1130"/>
      <c r="B604" s="1130"/>
      <c r="C604" s="1130"/>
      <c r="D604" s="1130"/>
      <c r="E604" s="1130"/>
      <c r="F604" s="1130"/>
      <c r="G604" s="1130"/>
      <c r="H604" s="1130"/>
      <c r="I604" s="1130"/>
      <c r="J604" s="1130"/>
      <c r="K604" s="1130"/>
      <c r="L604" s="1130"/>
      <c r="M604" s="1130"/>
      <c r="N604" s="1130"/>
      <c r="O604" s="1130"/>
      <c r="P604" s="1130"/>
      <c r="Q604" s="1130"/>
      <c r="R604" s="1130"/>
      <c r="S604" s="1130"/>
      <c r="T604" s="1130"/>
      <c r="U604" s="1130"/>
      <c r="V604" s="1130"/>
      <c r="W604" s="1130"/>
      <c r="X604" s="1130"/>
      <c r="Y604" s="1130"/>
      <c r="Z604" s="1130"/>
    </row>
    <row r="605" spans="1:26" ht="15.75" customHeight="1">
      <c r="A605" s="1130"/>
      <c r="B605" s="1130"/>
      <c r="C605" s="1130"/>
      <c r="D605" s="1130"/>
      <c r="E605" s="1130"/>
      <c r="F605" s="1130"/>
      <c r="G605" s="1130"/>
      <c r="H605" s="1130"/>
      <c r="I605" s="1130"/>
      <c r="J605" s="1130"/>
      <c r="K605" s="1130"/>
      <c r="L605" s="1130"/>
      <c r="M605" s="1130"/>
      <c r="N605" s="1130"/>
      <c r="O605" s="1130"/>
      <c r="P605" s="1130"/>
      <c r="Q605" s="1130"/>
      <c r="R605" s="1130"/>
      <c r="S605" s="1130"/>
      <c r="T605" s="1130"/>
      <c r="U605" s="1130"/>
      <c r="V605" s="1130"/>
      <c r="W605" s="1130"/>
      <c r="X605" s="1130"/>
      <c r="Y605" s="1130"/>
      <c r="Z605" s="1130"/>
    </row>
    <row r="606" spans="1:26" ht="15.75" customHeight="1">
      <c r="A606" s="1130"/>
      <c r="B606" s="1130"/>
      <c r="C606" s="1130"/>
      <c r="D606" s="1130"/>
      <c r="E606" s="1130"/>
      <c r="F606" s="1130"/>
      <c r="G606" s="1130"/>
      <c r="H606" s="1130"/>
      <c r="I606" s="1130"/>
      <c r="J606" s="1130"/>
      <c r="K606" s="1130"/>
      <c r="L606" s="1130"/>
      <c r="M606" s="1130"/>
      <c r="N606" s="1130"/>
      <c r="O606" s="1130"/>
      <c r="P606" s="1130"/>
      <c r="Q606" s="1130"/>
      <c r="R606" s="1130"/>
      <c r="S606" s="1130"/>
      <c r="T606" s="1130"/>
      <c r="U606" s="1130"/>
      <c r="V606" s="1130"/>
      <c r="W606" s="1130"/>
      <c r="X606" s="1130"/>
      <c r="Y606" s="1130"/>
      <c r="Z606" s="1130"/>
    </row>
    <row r="607" spans="1:26" ht="15.75" customHeight="1">
      <c r="A607" s="1130"/>
      <c r="B607" s="1130"/>
      <c r="C607" s="1130"/>
      <c r="D607" s="1130"/>
      <c r="E607" s="1130"/>
      <c r="F607" s="1130"/>
      <c r="G607" s="1130"/>
      <c r="H607" s="1130"/>
      <c r="I607" s="1130"/>
      <c r="J607" s="1130"/>
      <c r="K607" s="1130"/>
      <c r="L607" s="1130"/>
      <c r="M607" s="1130"/>
      <c r="N607" s="1130"/>
      <c r="O607" s="1130"/>
      <c r="P607" s="1130"/>
      <c r="Q607" s="1130"/>
      <c r="R607" s="1130"/>
      <c r="S607" s="1130"/>
      <c r="T607" s="1130"/>
      <c r="U607" s="1130"/>
      <c r="V607" s="1130"/>
      <c r="W607" s="1130"/>
      <c r="X607" s="1130"/>
      <c r="Y607" s="1130"/>
      <c r="Z607" s="1130"/>
    </row>
    <row r="608" spans="1:26" ht="15.75" customHeight="1">
      <c r="A608" s="1130"/>
      <c r="B608" s="1130"/>
      <c r="C608" s="1130"/>
      <c r="D608" s="1130"/>
      <c r="E608" s="1130"/>
      <c r="F608" s="1130"/>
      <c r="G608" s="1130"/>
      <c r="H608" s="1130"/>
      <c r="I608" s="1130"/>
      <c r="J608" s="1130"/>
      <c r="K608" s="1130"/>
      <c r="L608" s="1130"/>
      <c r="M608" s="1130"/>
      <c r="N608" s="1130"/>
      <c r="O608" s="1130"/>
      <c r="P608" s="1130"/>
      <c r="Q608" s="1130"/>
      <c r="R608" s="1130"/>
      <c r="S608" s="1130"/>
      <c r="T608" s="1130"/>
      <c r="U608" s="1130"/>
      <c r="V608" s="1130"/>
      <c r="W608" s="1130"/>
      <c r="X608" s="1130"/>
      <c r="Y608" s="1130"/>
      <c r="Z608" s="1130"/>
    </row>
    <row r="609" spans="1:26" ht="15.75" customHeight="1">
      <c r="A609" s="1130"/>
      <c r="B609" s="1130"/>
      <c r="C609" s="1130"/>
      <c r="D609" s="1130"/>
      <c r="E609" s="1130"/>
      <c r="F609" s="1130"/>
      <c r="G609" s="1130"/>
      <c r="H609" s="1130"/>
      <c r="I609" s="1130"/>
      <c r="J609" s="1130"/>
      <c r="K609" s="1130"/>
      <c r="L609" s="1130"/>
      <c r="M609" s="1130"/>
      <c r="N609" s="1130"/>
      <c r="O609" s="1130"/>
      <c r="P609" s="1130"/>
      <c r="Q609" s="1130"/>
      <c r="R609" s="1130"/>
      <c r="S609" s="1130"/>
      <c r="T609" s="1130"/>
      <c r="U609" s="1130"/>
      <c r="V609" s="1130"/>
      <c r="W609" s="1130"/>
      <c r="X609" s="1130"/>
      <c r="Y609" s="1130"/>
      <c r="Z609" s="1130"/>
    </row>
    <row r="610" spans="1:26" ht="15.75" customHeight="1">
      <c r="A610" s="1130"/>
      <c r="B610" s="1130"/>
      <c r="C610" s="1130"/>
      <c r="D610" s="1130"/>
      <c r="E610" s="1130"/>
      <c r="F610" s="1130"/>
      <c r="G610" s="1130"/>
      <c r="H610" s="1130"/>
      <c r="I610" s="1130"/>
      <c r="J610" s="1130"/>
      <c r="K610" s="1130"/>
      <c r="L610" s="1130"/>
      <c r="M610" s="1130"/>
      <c r="N610" s="1130"/>
      <c r="O610" s="1130"/>
      <c r="P610" s="1130"/>
      <c r="Q610" s="1130"/>
      <c r="R610" s="1130"/>
      <c r="S610" s="1130"/>
      <c r="T610" s="1130"/>
      <c r="U610" s="1130"/>
      <c r="V610" s="1130"/>
      <c r="W610" s="1130"/>
      <c r="X610" s="1130"/>
      <c r="Y610" s="1130"/>
      <c r="Z610" s="1130"/>
    </row>
    <row r="611" spans="1:26" ht="15.75" customHeight="1">
      <c r="A611" s="1130"/>
      <c r="B611" s="1130"/>
      <c r="C611" s="1130"/>
      <c r="D611" s="1130"/>
      <c r="E611" s="1130"/>
      <c r="F611" s="1130"/>
      <c r="G611" s="1130"/>
      <c r="H611" s="1130"/>
      <c r="I611" s="1130"/>
      <c r="J611" s="1130"/>
      <c r="K611" s="1130"/>
      <c r="L611" s="1130"/>
      <c r="M611" s="1130"/>
      <c r="N611" s="1130"/>
      <c r="O611" s="1130"/>
      <c r="P611" s="1130"/>
      <c r="Q611" s="1130"/>
      <c r="R611" s="1130"/>
      <c r="S611" s="1130"/>
      <c r="T611" s="1130"/>
      <c r="U611" s="1130"/>
      <c r="V611" s="1130"/>
      <c r="W611" s="1130"/>
      <c r="X611" s="1130"/>
      <c r="Y611" s="1130"/>
      <c r="Z611" s="1130"/>
    </row>
    <row r="612" spans="1:26" ht="15.75" customHeight="1">
      <c r="A612" s="1130"/>
      <c r="B612" s="1130"/>
      <c r="C612" s="1130"/>
      <c r="D612" s="1130"/>
      <c r="E612" s="1130"/>
      <c r="F612" s="1130"/>
      <c r="G612" s="1130"/>
      <c r="H612" s="1130"/>
      <c r="I612" s="1130"/>
      <c r="J612" s="1130"/>
      <c r="K612" s="1130"/>
      <c r="L612" s="1130"/>
      <c r="M612" s="1130"/>
      <c r="N612" s="1130"/>
      <c r="O612" s="1130"/>
      <c r="P612" s="1130"/>
      <c r="Q612" s="1130"/>
      <c r="R612" s="1130"/>
      <c r="S612" s="1130"/>
      <c r="T612" s="1130"/>
      <c r="U612" s="1130"/>
      <c r="V612" s="1130"/>
      <c r="W612" s="1130"/>
      <c r="X612" s="1130"/>
      <c r="Y612" s="1130"/>
      <c r="Z612" s="1130"/>
    </row>
    <row r="613" spans="1:26" ht="15.75" customHeight="1">
      <c r="A613" s="1130"/>
      <c r="B613" s="1130"/>
      <c r="C613" s="1130"/>
      <c r="D613" s="1130"/>
      <c r="E613" s="1130"/>
      <c r="F613" s="1130"/>
      <c r="G613" s="1130"/>
      <c r="H613" s="1130"/>
      <c r="I613" s="1130"/>
      <c r="J613" s="1130"/>
      <c r="K613" s="1130"/>
      <c r="L613" s="1130"/>
      <c r="M613" s="1130"/>
      <c r="N613" s="1130"/>
      <c r="O613" s="1130"/>
      <c r="P613" s="1130"/>
      <c r="Q613" s="1130"/>
      <c r="R613" s="1130"/>
      <c r="S613" s="1130"/>
      <c r="T613" s="1130"/>
      <c r="U613" s="1130"/>
      <c r="V613" s="1130"/>
      <c r="W613" s="1130"/>
      <c r="X613" s="1130"/>
      <c r="Y613" s="1130"/>
      <c r="Z613" s="1130"/>
    </row>
    <row r="614" spans="1:26" ht="15.75" customHeight="1">
      <c r="A614" s="1130"/>
      <c r="B614" s="1130"/>
      <c r="C614" s="1130"/>
      <c r="D614" s="1130"/>
      <c r="E614" s="1130"/>
      <c r="F614" s="1130"/>
      <c r="G614" s="1130"/>
      <c r="H614" s="1130"/>
      <c r="I614" s="1130"/>
      <c r="J614" s="1130"/>
      <c r="K614" s="1130"/>
      <c r="L614" s="1130"/>
      <c r="M614" s="1130"/>
      <c r="N614" s="1130"/>
      <c r="O614" s="1130"/>
      <c r="P614" s="1130"/>
      <c r="Q614" s="1130"/>
      <c r="R614" s="1130"/>
      <c r="S614" s="1130"/>
      <c r="T614" s="1130"/>
      <c r="U614" s="1130"/>
      <c r="V614" s="1130"/>
      <c r="W614" s="1130"/>
      <c r="X614" s="1130"/>
      <c r="Y614" s="1130"/>
      <c r="Z614" s="1130"/>
    </row>
    <row r="615" spans="1:26" ht="15.75" customHeight="1">
      <c r="A615" s="1130"/>
      <c r="B615" s="1130"/>
      <c r="C615" s="1130"/>
      <c r="D615" s="1130"/>
      <c r="E615" s="1130"/>
      <c r="F615" s="1130"/>
      <c r="G615" s="1130"/>
      <c r="H615" s="1130"/>
      <c r="I615" s="1130"/>
      <c r="J615" s="1130"/>
      <c r="K615" s="1130"/>
      <c r="L615" s="1130"/>
      <c r="M615" s="1130"/>
      <c r="N615" s="1130"/>
      <c r="O615" s="1130"/>
      <c r="P615" s="1130"/>
      <c r="Q615" s="1130"/>
      <c r="R615" s="1130"/>
      <c r="S615" s="1130"/>
      <c r="T615" s="1130"/>
      <c r="U615" s="1130"/>
      <c r="V615" s="1130"/>
      <c r="W615" s="1130"/>
      <c r="X615" s="1130"/>
      <c r="Y615" s="1130"/>
      <c r="Z615" s="1130"/>
    </row>
    <row r="616" spans="1:26" ht="15.75" customHeight="1">
      <c r="A616" s="1130"/>
      <c r="B616" s="1130"/>
      <c r="C616" s="1130"/>
      <c r="D616" s="1130"/>
      <c r="E616" s="1130"/>
      <c r="F616" s="1130"/>
      <c r="G616" s="1130"/>
      <c r="H616" s="1130"/>
      <c r="I616" s="1130"/>
      <c r="J616" s="1130"/>
      <c r="K616" s="1130"/>
      <c r="L616" s="1130"/>
      <c r="M616" s="1130"/>
      <c r="N616" s="1130"/>
      <c r="O616" s="1130"/>
      <c r="P616" s="1130"/>
      <c r="Q616" s="1130"/>
      <c r="R616" s="1130"/>
      <c r="S616" s="1130"/>
      <c r="T616" s="1130"/>
      <c r="U616" s="1130"/>
      <c r="V616" s="1130"/>
      <c r="W616" s="1130"/>
      <c r="X616" s="1130"/>
      <c r="Y616" s="1130"/>
      <c r="Z616" s="1130"/>
    </row>
    <row r="617" spans="1:26" ht="15.75" customHeight="1">
      <c r="A617" s="1130"/>
      <c r="B617" s="1130"/>
      <c r="C617" s="1130"/>
      <c r="D617" s="1130"/>
      <c r="E617" s="1130"/>
      <c r="F617" s="1130"/>
      <c r="G617" s="1130"/>
      <c r="H617" s="1130"/>
      <c r="I617" s="1130"/>
      <c r="J617" s="1130"/>
      <c r="K617" s="1130"/>
      <c r="L617" s="1130"/>
      <c r="M617" s="1130"/>
      <c r="N617" s="1130"/>
      <c r="O617" s="1130"/>
      <c r="P617" s="1130"/>
      <c r="Q617" s="1130"/>
      <c r="R617" s="1130"/>
      <c r="S617" s="1130"/>
      <c r="T617" s="1130"/>
      <c r="U617" s="1130"/>
      <c r="V617" s="1130"/>
      <c r="W617" s="1130"/>
      <c r="X617" s="1130"/>
      <c r="Y617" s="1130"/>
      <c r="Z617" s="1130"/>
    </row>
    <row r="618" spans="1:26" ht="15.75" customHeight="1">
      <c r="A618" s="1130"/>
      <c r="B618" s="1130"/>
      <c r="C618" s="1130"/>
      <c r="D618" s="1130"/>
      <c r="E618" s="1130"/>
      <c r="F618" s="1130"/>
      <c r="G618" s="1130"/>
      <c r="H618" s="1130"/>
      <c r="I618" s="1130"/>
      <c r="J618" s="1130"/>
      <c r="K618" s="1130"/>
      <c r="L618" s="1130"/>
      <c r="M618" s="1130"/>
      <c r="N618" s="1130"/>
      <c r="O618" s="1130"/>
      <c r="P618" s="1130"/>
      <c r="Q618" s="1130"/>
      <c r="R618" s="1130"/>
      <c r="S618" s="1130"/>
      <c r="T618" s="1130"/>
      <c r="U618" s="1130"/>
      <c r="V618" s="1130"/>
      <c r="W618" s="1130"/>
      <c r="X618" s="1130"/>
      <c r="Y618" s="1130"/>
      <c r="Z618" s="1130"/>
    </row>
    <row r="619" spans="1:26" ht="15.75" customHeight="1">
      <c r="A619" s="1130"/>
      <c r="B619" s="1130"/>
      <c r="C619" s="1130"/>
      <c r="D619" s="1130"/>
      <c r="E619" s="1130"/>
      <c r="F619" s="1130"/>
      <c r="G619" s="1130"/>
      <c r="H619" s="1130"/>
      <c r="I619" s="1130"/>
      <c r="J619" s="1130"/>
      <c r="K619" s="1130"/>
      <c r="L619" s="1130"/>
      <c r="M619" s="1130"/>
      <c r="N619" s="1130"/>
      <c r="O619" s="1130"/>
      <c r="P619" s="1130"/>
      <c r="Q619" s="1130"/>
      <c r="R619" s="1130"/>
      <c r="S619" s="1130"/>
      <c r="T619" s="1130"/>
      <c r="U619" s="1130"/>
      <c r="V619" s="1130"/>
      <c r="W619" s="1130"/>
      <c r="X619" s="1130"/>
      <c r="Y619" s="1130"/>
      <c r="Z619" s="1130"/>
    </row>
    <row r="620" spans="1:26" ht="15.75" customHeight="1">
      <c r="A620" s="1130"/>
      <c r="B620" s="1130"/>
      <c r="C620" s="1130"/>
      <c r="D620" s="1130"/>
      <c r="E620" s="1130"/>
      <c r="F620" s="1130"/>
      <c r="G620" s="1130"/>
      <c r="H620" s="1130"/>
      <c r="I620" s="1130"/>
      <c r="J620" s="1130"/>
      <c r="K620" s="1130"/>
      <c r="L620" s="1130"/>
      <c r="M620" s="1130"/>
      <c r="N620" s="1130"/>
      <c r="O620" s="1130"/>
      <c r="P620" s="1130"/>
      <c r="Q620" s="1130"/>
      <c r="R620" s="1130"/>
      <c r="S620" s="1130"/>
      <c r="T620" s="1130"/>
      <c r="U620" s="1130"/>
      <c r="V620" s="1130"/>
      <c r="W620" s="1130"/>
      <c r="X620" s="1130"/>
      <c r="Y620" s="1130"/>
      <c r="Z620" s="1130"/>
    </row>
    <row r="621" spans="1:26" ht="15.75" customHeight="1">
      <c r="A621" s="1130"/>
      <c r="B621" s="1130"/>
      <c r="C621" s="1130"/>
      <c r="D621" s="1130"/>
      <c r="E621" s="1130"/>
      <c r="F621" s="1130"/>
      <c r="G621" s="1130"/>
      <c r="H621" s="1130"/>
      <c r="I621" s="1130"/>
      <c r="J621" s="1130"/>
      <c r="K621" s="1130"/>
      <c r="L621" s="1130"/>
      <c r="M621" s="1130"/>
      <c r="N621" s="1130"/>
      <c r="O621" s="1130"/>
      <c r="P621" s="1130"/>
      <c r="Q621" s="1130"/>
      <c r="R621" s="1130"/>
      <c r="S621" s="1130"/>
      <c r="T621" s="1130"/>
      <c r="U621" s="1130"/>
      <c r="V621" s="1130"/>
      <c r="W621" s="1130"/>
      <c r="X621" s="1130"/>
      <c r="Y621" s="1130"/>
      <c r="Z621" s="1130"/>
    </row>
    <row r="622" spans="1:26" ht="15.75" customHeight="1">
      <c r="A622" s="1130"/>
      <c r="B622" s="1130"/>
      <c r="C622" s="1130"/>
      <c r="D622" s="1130"/>
      <c r="E622" s="1130"/>
      <c r="F622" s="1130"/>
      <c r="G622" s="1130"/>
      <c r="H622" s="1130"/>
      <c r="I622" s="1130"/>
      <c r="J622" s="1130"/>
      <c r="K622" s="1130"/>
      <c r="L622" s="1130"/>
      <c r="M622" s="1130"/>
      <c r="N622" s="1130"/>
      <c r="O622" s="1130"/>
      <c r="P622" s="1130"/>
      <c r="Q622" s="1130"/>
      <c r="R622" s="1130"/>
      <c r="S622" s="1130"/>
      <c r="T622" s="1130"/>
      <c r="U622" s="1130"/>
      <c r="V622" s="1130"/>
      <c r="W622" s="1130"/>
      <c r="X622" s="1130"/>
      <c r="Y622" s="1130"/>
      <c r="Z622" s="1130"/>
    </row>
    <row r="623" spans="1:26" ht="15.75" customHeight="1">
      <c r="A623" s="1130"/>
      <c r="B623" s="1130"/>
      <c r="C623" s="1130"/>
      <c r="D623" s="1130"/>
      <c r="E623" s="1130"/>
      <c r="F623" s="1130"/>
      <c r="G623" s="1130"/>
      <c r="H623" s="1130"/>
      <c r="I623" s="1130"/>
      <c r="J623" s="1130"/>
      <c r="K623" s="1130"/>
      <c r="L623" s="1130"/>
      <c r="M623" s="1130"/>
      <c r="N623" s="1130"/>
      <c r="O623" s="1130"/>
      <c r="P623" s="1130"/>
      <c r="Q623" s="1130"/>
      <c r="R623" s="1130"/>
      <c r="S623" s="1130"/>
      <c r="T623" s="1130"/>
      <c r="U623" s="1130"/>
      <c r="V623" s="1130"/>
      <c r="W623" s="1130"/>
      <c r="X623" s="1130"/>
      <c r="Y623" s="1130"/>
      <c r="Z623" s="1130"/>
    </row>
    <row r="624" spans="1:26" ht="15.75" customHeight="1">
      <c r="A624" s="1130"/>
      <c r="B624" s="1130"/>
      <c r="C624" s="1130"/>
      <c r="D624" s="1130"/>
      <c r="E624" s="1130"/>
      <c r="F624" s="1130"/>
      <c r="G624" s="1130"/>
      <c r="H624" s="1130"/>
      <c r="I624" s="1130"/>
      <c r="J624" s="1130"/>
      <c r="K624" s="1130"/>
      <c r="L624" s="1130"/>
      <c r="M624" s="1130"/>
      <c r="N624" s="1130"/>
      <c r="O624" s="1130"/>
      <c r="P624" s="1130"/>
      <c r="Q624" s="1130"/>
      <c r="R624" s="1130"/>
      <c r="S624" s="1130"/>
      <c r="T624" s="1130"/>
      <c r="U624" s="1130"/>
      <c r="V624" s="1130"/>
      <c r="W624" s="1130"/>
      <c r="X624" s="1130"/>
      <c r="Y624" s="1130"/>
      <c r="Z624" s="1130"/>
    </row>
    <row r="625" spans="1:26" ht="15.75" customHeight="1">
      <c r="A625" s="1130"/>
      <c r="B625" s="1130"/>
      <c r="C625" s="1130"/>
      <c r="D625" s="1130"/>
      <c r="E625" s="1130"/>
      <c r="F625" s="1130"/>
      <c r="G625" s="1130"/>
      <c r="H625" s="1130"/>
      <c r="I625" s="1130"/>
      <c r="J625" s="1130"/>
      <c r="K625" s="1130"/>
      <c r="L625" s="1130"/>
      <c r="M625" s="1130"/>
      <c r="N625" s="1130"/>
      <c r="O625" s="1130"/>
      <c r="P625" s="1130"/>
      <c r="Q625" s="1130"/>
      <c r="R625" s="1130"/>
      <c r="S625" s="1130"/>
      <c r="T625" s="1130"/>
      <c r="U625" s="1130"/>
      <c r="V625" s="1130"/>
      <c r="W625" s="1130"/>
      <c r="X625" s="1130"/>
      <c r="Y625" s="1130"/>
      <c r="Z625" s="1130"/>
    </row>
    <row r="626" spans="1:26" ht="15.75" customHeight="1">
      <c r="A626" s="1130"/>
      <c r="B626" s="1130"/>
      <c r="C626" s="1130"/>
      <c r="D626" s="1130"/>
      <c r="E626" s="1130"/>
      <c r="F626" s="1130"/>
      <c r="G626" s="1130"/>
      <c r="H626" s="1130"/>
      <c r="I626" s="1130"/>
      <c r="J626" s="1130"/>
      <c r="K626" s="1130"/>
      <c r="L626" s="1130"/>
      <c r="M626" s="1130"/>
      <c r="N626" s="1130"/>
      <c r="O626" s="1130"/>
      <c r="P626" s="1130"/>
      <c r="Q626" s="1130"/>
      <c r="R626" s="1130"/>
      <c r="S626" s="1130"/>
      <c r="T626" s="1130"/>
      <c r="U626" s="1130"/>
      <c r="V626" s="1130"/>
      <c r="W626" s="1130"/>
      <c r="X626" s="1130"/>
      <c r="Y626" s="1130"/>
      <c r="Z626" s="1130"/>
    </row>
    <row r="627" spans="1:26" ht="15.75" customHeight="1">
      <c r="A627" s="1130"/>
      <c r="B627" s="1130"/>
      <c r="C627" s="1130"/>
      <c r="D627" s="1130"/>
      <c r="E627" s="1130"/>
      <c r="F627" s="1130"/>
      <c r="G627" s="1130"/>
      <c r="H627" s="1130"/>
      <c r="I627" s="1130"/>
      <c r="J627" s="1130"/>
      <c r="K627" s="1130"/>
      <c r="L627" s="1130"/>
      <c r="M627" s="1130"/>
      <c r="N627" s="1130"/>
      <c r="O627" s="1130"/>
      <c r="P627" s="1130"/>
      <c r="Q627" s="1130"/>
      <c r="R627" s="1130"/>
      <c r="S627" s="1130"/>
      <c r="T627" s="1130"/>
      <c r="U627" s="1130"/>
      <c r="V627" s="1130"/>
      <c r="W627" s="1130"/>
      <c r="X627" s="1130"/>
      <c r="Y627" s="1130"/>
      <c r="Z627" s="1130"/>
    </row>
    <row r="628" spans="1:26" ht="15.75" customHeight="1">
      <c r="A628" s="1130"/>
      <c r="B628" s="1130"/>
      <c r="C628" s="1130"/>
      <c r="D628" s="1130"/>
      <c r="E628" s="1130"/>
      <c r="F628" s="1130"/>
      <c r="G628" s="1130"/>
      <c r="H628" s="1130"/>
      <c r="I628" s="1130"/>
      <c r="J628" s="1130"/>
      <c r="K628" s="1130"/>
      <c r="L628" s="1130"/>
      <c r="M628" s="1130"/>
      <c r="N628" s="1130"/>
      <c r="O628" s="1130"/>
      <c r="P628" s="1130"/>
      <c r="Q628" s="1130"/>
      <c r="R628" s="1130"/>
      <c r="S628" s="1130"/>
      <c r="T628" s="1130"/>
      <c r="U628" s="1130"/>
      <c r="V628" s="1130"/>
      <c r="W628" s="1130"/>
      <c r="X628" s="1130"/>
      <c r="Y628" s="1130"/>
      <c r="Z628" s="1130"/>
    </row>
    <row r="629" spans="1:26" ht="15.75" customHeight="1">
      <c r="A629" s="1130"/>
      <c r="B629" s="1130"/>
      <c r="C629" s="1130"/>
      <c r="D629" s="1130"/>
      <c r="E629" s="1130"/>
      <c r="F629" s="1130"/>
      <c r="G629" s="1130"/>
      <c r="H629" s="1130"/>
      <c r="I629" s="1130"/>
      <c r="J629" s="1130"/>
      <c r="K629" s="1130"/>
      <c r="L629" s="1130"/>
      <c r="M629" s="1130"/>
      <c r="N629" s="1130"/>
      <c r="O629" s="1130"/>
      <c r="P629" s="1130"/>
      <c r="Q629" s="1130"/>
      <c r="R629" s="1130"/>
      <c r="S629" s="1130"/>
      <c r="T629" s="1130"/>
      <c r="U629" s="1130"/>
      <c r="V629" s="1130"/>
      <c r="W629" s="1130"/>
      <c r="X629" s="1130"/>
      <c r="Y629" s="1130"/>
      <c r="Z629" s="1130"/>
    </row>
    <row r="630" spans="1:26" ht="15.75" customHeight="1">
      <c r="A630" s="1130"/>
      <c r="B630" s="1130"/>
      <c r="C630" s="1130"/>
      <c r="D630" s="1130"/>
      <c r="E630" s="1130"/>
      <c r="F630" s="1130"/>
      <c r="G630" s="1130"/>
      <c r="H630" s="1130"/>
      <c r="I630" s="1130"/>
      <c r="J630" s="1130"/>
      <c r="K630" s="1130"/>
      <c r="L630" s="1130"/>
      <c r="M630" s="1130"/>
      <c r="N630" s="1130"/>
      <c r="O630" s="1130"/>
      <c r="P630" s="1130"/>
      <c r="Q630" s="1130"/>
      <c r="R630" s="1130"/>
      <c r="S630" s="1130"/>
      <c r="T630" s="1130"/>
      <c r="U630" s="1130"/>
      <c r="V630" s="1130"/>
      <c r="W630" s="1130"/>
      <c r="X630" s="1130"/>
      <c r="Y630" s="1130"/>
      <c r="Z630" s="1130"/>
    </row>
    <row r="631" spans="1:26" ht="15.75" customHeight="1">
      <c r="A631" s="1130"/>
      <c r="B631" s="1130"/>
      <c r="C631" s="1130"/>
      <c r="D631" s="1130"/>
      <c r="E631" s="1130"/>
      <c r="F631" s="1130"/>
      <c r="G631" s="1130"/>
      <c r="H631" s="1130"/>
      <c r="I631" s="1130"/>
      <c r="J631" s="1130"/>
      <c r="K631" s="1130"/>
      <c r="L631" s="1130"/>
      <c r="M631" s="1130"/>
      <c r="N631" s="1130"/>
      <c r="O631" s="1130"/>
      <c r="P631" s="1130"/>
      <c r="Q631" s="1130"/>
      <c r="R631" s="1130"/>
      <c r="S631" s="1130"/>
      <c r="T631" s="1130"/>
      <c r="U631" s="1130"/>
      <c r="V631" s="1130"/>
      <c r="W631" s="1130"/>
      <c r="X631" s="1130"/>
      <c r="Y631" s="1130"/>
      <c r="Z631" s="1130"/>
    </row>
    <row r="632" spans="1:26" ht="15.75" customHeight="1">
      <c r="A632" s="1130"/>
      <c r="B632" s="1130"/>
      <c r="C632" s="1130"/>
      <c r="D632" s="1130"/>
      <c r="E632" s="1130"/>
      <c r="F632" s="1130"/>
      <c r="G632" s="1130"/>
      <c r="H632" s="1130"/>
      <c r="I632" s="1130"/>
      <c r="J632" s="1130"/>
      <c r="K632" s="1130"/>
      <c r="L632" s="1130"/>
      <c r="M632" s="1130"/>
      <c r="N632" s="1130"/>
      <c r="O632" s="1130"/>
      <c r="P632" s="1130"/>
      <c r="Q632" s="1130"/>
      <c r="R632" s="1130"/>
      <c r="S632" s="1130"/>
      <c r="T632" s="1130"/>
      <c r="U632" s="1130"/>
      <c r="V632" s="1130"/>
      <c r="W632" s="1130"/>
      <c r="X632" s="1130"/>
      <c r="Y632" s="1130"/>
      <c r="Z632" s="1130"/>
    </row>
    <row r="633" spans="1:26" ht="15.75" customHeight="1">
      <c r="A633" s="1130"/>
      <c r="B633" s="1130"/>
      <c r="C633" s="1130"/>
      <c r="D633" s="1130"/>
      <c r="E633" s="1130"/>
      <c r="F633" s="1130"/>
      <c r="G633" s="1130"/>
      <c r="H633" s="1130"/>
      <c r="I633" s="1130"/>
      <c r="J633" s="1130"/>
      <c r="K633" s="1130"/>
      <c r="L633" s="1130"/>
      <c r="M633" s="1130"/>
      <c r="N633" s="1130"/>
      <c r="O633" s="1130"/>
      <c r="P633" s="1130"/>
      <c r="Q633" s="1130"/>
      <c r="R633" s="1130"/>
      <c r="S633" s="1130"/>
      <c r="T633" s="1130"/>
      <c r="U633" s="1130"/>
      <c r="V633" s="1130"/>
      <c r="W633" s="1130"/>
      <c r="X633" s="1130"/>
      <c r="Y633" s="1130"/>
      <c r="Z633" s="1130"/>
    </row>
    <row r="634" spans="1:26" ht="15.75" customHeight="1">
      <c r="A634" s="1130"/>
      <c r="B634" s="1130"/>
      <c r="C634" s="1130"/>
      <c r="D634" s="1130"/>
      <c r="E634" s="1130"/>
      <c r="F634" s="1130"/>
      <c r="G634" s="1130"/>
      <c r="H634" s="1130"/>
      <c r="I634" s="1130"/>
      <c r="J634" s="1130"/>
      <c r="K634" s="1130"/>
      <c r="L634" s="1130"/>
      <c r="M634" s="1130"/>
      <c r="N634" s="1130"/>
      <c r="O634" s="1130"/>
      <c r="P634" s="1130"/>
      <c r="Q634" s="1130"/>
      <c r="R634" s="1130"/>
      <c r="S634" s="1130"/>
      <c r="T634" s="1130"/>
      <c r="U634" s="1130"/>
      <c r="V634" s="1130"/>
      <c r="W634" s="1130"/>
      <c r="X634" s="1130"/>
      <c r="Y634" s="1130"/>
      <c r="Z634" s="1130"/>
    </row>
    <row r="635" spans="1:26" ht="15.75" customHeight="1">
      <c r="A635" s="1130"/>
      <c r="B635" s="1130"/>
      <c r="C635" s="1130"/>
      <c r="D635" s="1130"/>
      <c r="E635" s="1130"/>
      <c r="F635" s="1130"/>
      <c r="G635" s="1130"/>
      <c r="H635" s="1130"/>
      <c r="I635" s="1130"/>
      <c r="J635" s="1130"/>
      <c r="K635" s="1130"/>
      <c r="L635" s="1130"/>
      <c r="M635" s="1130"/>
      <c r="N635" s="1130"/>
      <c r="O635" s="1130"/>
      <c r="P635" s="1130"/>
      <c r="Q635" s="1130"/>
      <c r="R635" s="1130"/>
      <c r="S635" s="1130"/>
      <c r="T635" s="1130"/>
      <c r="U635" s="1130"/>
      <c r="V635" s="1130"/>
      <c r="W635" s="1130"/>
      <c r="X635" s="1130"/>
      <c r="Y635" s="1130"/>
      <c r="Z635" s="1130"/>
    </row>
    <row r="636" spans="1:26" ht="15.75" customHeight="1">
      <c r="A636" s="1130"/>
      <c r="B636" s="1130"/>
      <c r="C636" s="1130"/>
      <c r="D636" s="1130"/>
      <c r="E636" s="1130"/>
      <c r="F636" s="1130"/>
      <c r="G636" s="1130"/>
      <c r="H636" s="1130"/>
      <c r="I636" s="1130"/>
      <c r="J636" s="1130"/>
      <c r="K636" s="1130"/>
      <c r="L636" s="1130"/>
      <c r="M636" s="1130"/>
      <c r="N636" s="1130"/>
      <c r="O636" s="1130"/>
      <c r="P636" s="1130"/>
      <c r="Q636" s="1130"/>
      <c r="R636" s="1130"/>
      <c r="S636" s="1130"/>
      <c r="T636" s="1130"/>
      <c r="U636" s="1130"/>
      <c r="V636" s="1130"/>
      <c r="W636" s="1130"/>
      <c r="X636" s="1130"/>
      <c r="Y636" s="1130"/>
      <c r="Z636" s="1130"/>
    </row>
    <row r="637" spans="1:26" ht="15.75" customHeight="1">
      <c r="A637" s="1130"/>
      <c r="B637" s="1130"/>
      <c r="C637" s="1130"/>
      <c r="D637" s="1130"/>
      <c r="E637" s="1130"/>
      <c r="F637" s="1130"/>
      <c r="G637" s="1130"/>
      <c r="H637" s="1130"/>
      <c r="I637" s="1130"/>
      <c r="J637" s="1130"/>
      <c r="K637" s="1130"/>
      <c r="L637" s="1130"/>
      <c r="M637" s="1130"/>
      <c r="N637" s="1130"/>
      <c r="O637" s="1130"/>
      <c r="P637" s="1130"/>
      <c r="Q637" s="1130"/>
      <c r="R637" s="1130"/>
      <c r="S637" s="1130"/>
      <c r="T637" s="1130"/>
      <c r="U637" s="1130"/>
      <c r="V637" s="1130"/>
      <c r="W637" s="1130"/>
      <c r="X637" s="1130"/>
      <c r="Y637" s="1130"/>
      <c r="Z637" s="1130"/>
    </row>
    <row r="638" spans="1:26" ht="15.75" customHeight="1">
      <c r="A638" s="1130"/>
      <c r="B638" s="1130"/>
      <c r="C638" s="1130"/>
      <c r="D638" s="1130"/>
      <c r="E638" s="1130"/>
      <c r="F638" s="1130"/>
      <c r="G638" s="1130"/>
      <c r="H638" s="1130"/>
      <c r="I638" s="1130"/>
      <c r="J638" s="1130"/>
      <c r="K638" s="1130"/>
      <c r="L638" s="1130"/>
      <c r="M638" s="1130"/>
      <c r="N638" s="1130"/>
      <c r="O638" s="1130"/>
      <c r="P638" s="1130"/>
      <c r="Q638" s="1130"/>
      <c r="R638" s="1130"/>
      <c r="S638" s="1130"/>
      <c r="T638" s="1130"/>
      <c r="U638" s="1130"/>
      <c r="V638" s="1130"/>
      <c r="W638" s="1130"/>
      <c r="X638" s="1130"/>
      <c r="Y638" s="1130"/>
      <c r="Z638" s="1130"/>
    </row>
    <row r="639" spans="1:26" ht="15.75" customHeight="1">
      <c r="A639" s="1130"/>
      <c r="B639" s="1130"/>
      <c r="C639" s="1130"/>
      <c r="D639" s="1130"/>
      <c r="E639" s="1130"/>
      <c r="F639" s="1130"/>
      <c r="G639" s="1130"/>
      <c r="H639" s="1130"/>
      <c r="I639" s="1130"/>
      <c r="J639" s="1130"/>
      <c r="K639" s="1130"/>
      <c r="L639" s="1130"/>
      <c r="M639" s="1130"/>
      <c r="N639" s="1130"/>
      <c r="O639" s="1130"/>
      <c r="P639" s="1130"/>
      <c r="Q639" s="1130"/>
      <c r="R639" s="1130"/>
      <c r="S639" s="1130"/>
      <c r="T639" s="1130"/>
      <c r="U639" s="1130"/>
      <c r="V639" s="1130"/>
      <c r="W639" s="1130"/>
      <c r="X639" s="1130"/>
      <c r="Y639" s="1130"/>
      <c r="Z639" s="1130"/>
    </row>
    <row r="640" spans="1:26" ht="15.75" customHeight="1">
      <c r="A640" s="1130"/>
      <c r="B640" s="1130"/>
      <c r="C640" s="1130"/>
      <c r="D640" s="1130"/>
      <c r="E640" s="1130"/>
      <c r="F640" s="1130"/>
      <c r="G640" s="1130"/>
      <c r="H640" s="1130"/>
      <c r="I640" s="1130"/>
      <c r="J640" s="1130"/>
      <c r="K640" s="1130"/>
      <c r="L640" s="1130"/>
      <c r="M640" s="1130"/>
      <c r="N640" s="1130"/>
      <c r="O640" s="1130"/>
      <c r="P640" s="1130"/>
      <c r="Q640" s="1130"/>
      <c r="R640" s="1130"/>
      <c r="S640" s="1130"/>
      <c r="T640" s="1130"/>
      <c r="U640" s="1130"/>
      <c r="V640" s="1130"/>
      <c r="W640" s="1130"/>
      <c r="X640" s="1130"/>
      <c r="Y640" s="1130"/>
      <c r="Z640" s="1130"/>
    </row>
    <row r="641" spans="1:26" ht="15.75" customHeight="1">
      <c r="A641" s="1130"/>
      <c r="B641" s="1130"/>
      <c r="C641" s="1130"/>
      <c r="D641" s="1130"/>
      <c r="E641" s="1130"/>
      <c r="F641" s="1130"/>
      <c r="G641" s="1130"/>
      <c r="H641" s="1130"/>
      <c r="I641" s="1130"/>
      <c r="J641" s="1130"/>
      <c r="K641" s="1130"/>
      <c r="L641" s="1130"/>
      <c r="M641" s="1130"/>
      <c r="N641" s="1130"/>
      <c r="O641" s="1130"/>
      <c r="P641" s="1130"/>
      <c r="Q641" s="1130"/>
      <c r="R641" s="1130"/>
      <c r="S641" s="1130"/>
      <c r="T641" s="1130"/>
      <c r="U641" s="1130"/>
      <c r="V641" s="1130"/>
      <c r="W641" s="1130"/>
      <c r="X641" s="1130"/>
      <c r="Y641" s="1130"/>
      <c r="Z641" s="1130"/>
    </row>
    <row r="642" spans="1:26" ht="15.75" customHeight="1">
      <c r="A642" s="1130"/>
      <c r="B642" s="1130"/>
      <c r="C642" s="1130"/>
      <c r="D642" s="1130"/>
      <c r="E642" s="1130"/>
      <c r="F642" s="1130"/>
      <c r="G642" s="1130"/>
      <c r="H642" s="1130"/>
      <c r="I642" s="1130"/>
      <c r="J642" s="1130"/>
      <c r="K642" s="1130"/>
      <c r="L642" s="1130"/>
      <c r="M642" s="1130"/>
      <c r="N642" s="1130"/>
      <c r="O642" s="1130"/>
      <c r="P642" s="1130"/>
      <c r="Q642" s="1130"/>
      <c r="R642" s="1130"/>
      <c r="S642" s="1130"/>
      <c r="T642" s="1130"/>
      <c r="U642" s="1130"/>
      <c r="V642" s="1130"/>
      <c r="W642" s="1130"/>
      <c r="X642" s="1130"/>
      <c r="Y642" s="1130"/>
      <c r="Z642" s="1130"/>
    </row>
    <row r="643" spans="1:26" ht="15.75" customHeight="1">
      <c r="A643" s="1130"/>
      <c r="B643" s="1130"/>
      <c r="C643" s="1130"/>
      <c r="D643" s="1130"/>
      <c r="E643" s="1130"/>
      <c r="F643" s="1130"/>
      <c r="G643" s="1130"/>
      <c r="H643" s="1130"/>
      <c r="I643" s="1130"/>
      <c r="J643" s="1130"/>
      <c r="K643" s="1130"/>
      <c r="L643" s="1130"/>
      <c r="M643" s="1130"/>
      <c r="N643" s="1130"/>
      <c r="O643" s="1130"/>
      <c r="P643" s="1130"/>
      <c r="Q643" s="1130"/>
      <c r="R643" s="1130"/>
      <c r="S643" s="1130"/>
      <c r="T643" s="1130"/>
      <c r="U643" s="1130"/>
      <c r="V643" s="1130"/>
      <c r="W643" s="1130"/>
      <c r="X643" s="1130"/>
      <c r="Y643" s="1130"/>
      <c r="Z643" s="1130"/>
    </row>
    <row r="644" spans="1:26" ht="15.75" customHeight="1">
      <c r="A644" s="1130"/>
      <c r="B644" s="1130"/>
      <c r="C644" s="1130"/>
      <c r="D644" s="1130"/>
      <c r="E644" s="1130"/>
      <c r="F644" s="1130"/>
      <c r="G644" s="1130"/>
      <c r="H644" s="1130"/>
      <c r="I644" s="1130"/>
      <c r="J644" s="1130"/>
      <c r="K644" s="1130"/>
      <c r="L644" s="1130"/>
      <c r="M644" s="1130"/>
      <c r="N644" s="1130"/>
      <c r="O644" s="1130"/>
      <c r="P644" s="1130"/>
      <c r="Q644" s="1130"/>
      <c r="R644" s="1130"/>
      <c r="S644" s="1130"/>
      <c r="T644" s="1130"/>
      <c r="U644" s="1130"/>
      <c r="V644" s="1130"/>
      <c r="W644" s="1130"/>
      <c r="X644" s="1130"/>
      <c r="Y644" s="1130"/>
      <c r="Z644" s="1130"/>
    </row>
    <row r="645" spans="1:26" ht="15.75" customHeight="1">
      <c r="A645" s="1130"/>
      <c r="B645" s="1130"/>
      <c r="C645" s="1130"/>
      <c r="D645" s="1130"/>
      <c r="E645" s="1130"/>
      <c r="F645" s="1130"/>
      <c r="G645" s="1130"/>
      <c r="H645" s="1130"/>
      <c r="I645" s="1130"/>
      <c r="J645" s="1130"/>
      <c r="K645" s="1130"/>
      <c r="L645" s="1130"/>
      <c r="M645" s="1130"/>
      <c r="N645" s="1130"/>
      <c r="O645" s="1130"/>
      <c r="P645" s="1130"/>
      <c r="Q645" s="1130"/>
      <c r="R645" s="1130"/>
      <c r="S645" s="1130"/>
      <c r="T645" s="1130"/>
      <c r="U645" s="1130"/>
      <c r="V645" s="1130"/>
      <c r="W645" s="1130"/>
      <c r="X645" s="1130"/>
      <c r="Y645" s="1130"/>
      <c r="Z645" s="1130"/>
    </row>
    <row r="646" spans="1:26" ht="15.75" customHeight="1">
      <c r="A646" s="1130"/>
      <c r="B646" s="1130"/>
      <c r="C646" s="1130"/>
      <c r="D646" s="1130"/>
      <c r="E646" s="1130"/>
      <c r="F646" s="1130"/>
      <c r="G646" s="1130"/>
      <c r="H646" s="1130"/>
      <c r="I646" s="1130"/>
      <c r="J646" s="1130"/>
      <c r="K646" s="1130"/>
      <c r="L646" s="1130"/>
      <c r="M646" s="1130"/>
      <c r="N646" s="1130"/>
      <c r="O646" s="1130"/>
      <c r="P646" s="1130"/>
      <c r="Q646" s="1130"/>
      <c r="R646" s="1130"/>
      <c r="S646" s="1130"/>
      <c r="T646" s="1130"/>
      <c r="U646" s="1130"/>
      <c r="V646" s="1130"/>
      <c r="W646" s="1130"/>
      <c r="X646" s="1130"/>
      <c r="Y646" s="1130"/>
      <c r="Z646" s="1130"/>
    </row>
    <row r="647" spans="1:26" ht="15.75" customHeight="1">
      <c r="A647" s="1130"/>
      <c r="B647" s="1130"/>
      <c r="C647" s="1130"/>
      <c r="D647" s="1130"/>
      <c r="E647" s="1130"/>
      <c r="F647" s="1130"/>
      <c r="G647" s="1130"/>
      <c r="H647" s="1130"/>
      <c r="I647" s="1130"/>
      <c r="J647" s="1130"/>
      <c r="K647" s="1130"/>
      <c r="L647" s="1130"/>
      <c r="M647" s="1130"/>
      <c r="N647" s="1130"/>
      <c r="O647" s="1130"/>
      <c r="P647" s="1130"/>
      <c r="Q647" s="1130"/>
      <c r="R647" s="1130"/>
      <c r="S647" s="1130"/>
      <c r="T647" s="1130"/>
      <c r="U647" s="1130"/>
      <c r="V647" s="1130"/>
      <c r="W647" s="1130"/>
      <c r="X647" s="1130"/>
      <c r="Y647" s="1130"/>
      <c r="Z647" s="1130"/>
    </row>
    <row r="648" spans="1:26" ht="15.75" customHeight="1">
      <c r="A648" s="1130"/>
      <c r="B648" s="1130"/>
      <c r="C648" s="1130"/>
      <c r="D648" s="1130"/>
      <c r="E648" s="1130"/>
      <c r="F648" s="1130"/>
      <c r="G648" s="1130"/>
      <c r="H648" s="1130"/>
      <c r="I648" s="1130"/>
      <c r="J648" s="1130"/>
      <c r="K648" s="1130"/>
      <c r="L648" s="1130"/>
      <c r="M648" s="1130"/>
      <c r="N648" s="1130"/>
      <c r="O648" s="1130"/>
      <c r="P648" s="1130"/>
      <c r="Q648" s="1130"/>
      <c r="R648" s="1130"/>
      <c r="S648" s="1130"/>
      <c r="T648" s="1130"/>
      <c r="U648" s="1130"/>
      <c r="V648" s="1130"/>
      <c r="W648" s="1130"/>
      <c r="X648" s="1130"/>
      <c r="Y648" s="1130"/>
      <c r="Z648" s="1130"/>
    </row>
    <row r="649" spans="1:26" ht="15.75" customHeight="1">
      <c r="A649" s="1130"/>
      <c r="B649" s="1130"/>
      <c r="C649" s="1130"/>
      <c r="D649" s="1130"/>
      <c r="E649" s="1130"/>
      <c r="F649" s="1130"/>
      <c r="G649" s="1130"/>
      <c r="H649" s="1130"/>
      <c r="I649" s="1130"/>
      <c r="J649" s="1130"/>
      <c r="K649" s="1130"/>
      <c r="L649" s="1130"/>
      <c r="M649" s="1130"/>
      <c r="N649" s="1130"/>
      <c r="O649" s="1130"/>
      <c r="P649" s="1130"/>
      <c r="Q649" s="1130"/>
      <c r="R649" s="1130"/>
      <c r="S649" s="1130"/>
      <c r="T649" s="1130"/>
      <c r="U649" s="1130"/>
      <c r="V649" s="1130"/>
      <c r="W649" s="1130"/>
      <c r="X649" s="1130"/>
      <c r="Y649" s="1130"/>
      <c r="Z649" s="1130"/>
    </row>
    <row r="650" spans="1:26" ht="15.75" customHeight="1">
      <c r="A650" s="1130"/>
      <c r="B650" s="1130"/>
      <c r="C650" s="1130"/>
      <c r="D650" s="1130"/>
      <c r="E650" s="1130"/>
      <c r="F650" s="1130"/>
      <c r="G650" s="1130"/>
      <c r="H650" s="1130"/>
      <c r="I650" s="1130"/>
      <c r="J650" s="1130"/>
      <c r="K650" s="1130"/>
      <c r="L650" s="1130"/>
      <c r="M650" s="1130"/>
      <c r="N650" s="1130"/>
      <c r="O650" s="1130"/>
      <c r="P650" s="1130"/>
      <c r="Q650" s="1130"/>
      <c r="R650" s="1130"/>
      <c r="S650" s="1130"/>
      <c r="T650" s="1130"/>
      <c r="U650" s="1130"/>
      <c r="V650" s="1130"/>
      <c r="W650" s="1130"/>
      <c r="X650" s="1130"/>
      <c r="Y650" s="1130"/>
      <c r="Z650" s="1130"/>
    </row>
    <row r="651" spans="1:26" ht="15.75" customHeight="1">
      <c r="A651" s="1130"/>
      <c r="B651" s="1130"/>
      <c r="C651" s="1130"/>
      <c r="D651" s="1130"/>
      <c r="E651" s="1130"/>
      <c r="F651" s="1130"/>
      <c r="G651" s="1130"/>
      <c r="H651" s="1130"/>
      <c r="I651" s="1130"/>
      <c r="J651" s="1130"/>
      <c r="K651" s="1130"/>
      <c r="L651" s="1130"/>
      <c r="M651" s="1130"/>
      <c r="N651" s="1130"/>
      <c r="O651" s="1130"/>
      <c r="P651" s="1130"/>
      <c r="Q651" s="1130"/>
      <c r="R651" s="1130"/>
      <c r="S651" s="1130"/>
      <c r="T651" s="1130"/>
      <c r="U651" s="1130"/>
      <c r="V651" s="1130"/>
      <c r="W651" s="1130"/>
      <c r="X651" s="1130"/>
      <c r="Y651" s="1130"/>
      <c r="Z651" s="1130"/>
    </row>
    <row r="652" spans="1:26" ht="15.75" customHeight="1">
      <c r="A652" s="1130"/>
      <c r="B652" s="1130"/>
      <c r="C652" s="1130"/>
      <c r="D652" s="1130"/>
      <c r="E652" s="1130"/>
      <c r="F652" s="1130"/>
      <c r="G652" s="1130"/>
      <c r="H652" s="1130"/>
      <c r="I652" s="1130"/>
      <c r="J652" s="1130"/>
      <c r="K652" s="1130"/>
      <c r="L652" s="1130"/>
      <c r="M652" s="1130"/>
      <c r="N652" s="1130"/>
      <c r="O652" s="1130"/>
      <c r="P652" s="1130"/>
      <c r="Q652" s="1130"/>
      <c r="R652" s="1130"/>
      <c r="S652" s="1130"/>
      <c r="T652" s="1130"/>
      <c r="U652" s="1130"/>
      <c r="V652" s="1130"/>
      <c r="W652" s="1130"/>
      <c r="X652" s="1130"/>
      <c r="Y652" s="1130"/>
      <c r="Z652" s="1130"/>
    </row>
    <row r="653" spans="1:26" ht="15.75" customHeight="1">
      <c r="A653" s="1130"/>
      <c r="B653" s="1130"/>
      <c r="C653" s="1130"/>
      <c r="D653" s="1130"/>
      <c r="E653" s="1130"/>
      <c r="F653" s="1130"/>
      <c r="G653" s="1130"/>
      <c r="H653" s="1130"/>
      <c r="I653" s="1130"/>
      <c r="J653" s="1130"/>
      <c r="K653" s="1130"/>
      <c r="L653" s="1130"/>
      <c r="M653" s="1130"/>
      <c r="N653" s="1130"/>
      <c r="O653" s="1130"/>
      <c r="P653" s="1130"/>
      <c r="Q653" s="1130"/>
      <c r="R653" s="1130"/>
      <c r="S653" s="1130"/>
      <c r="T653" s="1130"/>
      <c r="U653" s="1130"/>
      <c r="V653" s="1130"/>
      <c r="W653" s="1130"/>
      <c r="X653" s="1130"/>
      <c r="Y653" s="1130"/>
      <c r="Z653" s="1130"/>
    </row>
    <row r="654" spans="1:26" ht="15.75" customHeight="1">
      <c r="A654" s="1130"/>
      <c r="B654" s="1130"/>
      <c r="C654" s="1130"/>
      <c r="D654" s="1130"/>
      <c r="E654" s="1130"/>
      <c r="F654" s="1130"/>
      <c r="G654" s="1130"/>
      <c r="H654" s="1130"/>
      <c r="I654" s="1130"/>
      <c r="J654" s="1130"/>
      <c r="K654" s="1130"/>
      <c r="L654" s="1130"/>
      <c r="M654" s="1130"/>
      <c r="N654" s="1130"/>
      <c r="O654" s="1130"/>
      <c r="P654" s="1130"/>
      <c r="Q654" s="1130"/>
      <c r="R654" s="1130"/>
      <c r="S654" s="1130"/>
      <c r="T654" s="1130"/>
      <c r="U654" s="1130"/>
      <c r="V654" s="1130"/>
      <c r="W654" s="1130"/>
      <c r="X654" s="1130"/>
      <c r="Y654" s="1130"/>
      <c r="Z654" s="1130"/>
    </row>
    <row r="655" spans="1:26" ht="15.75" customHeight="1">
      <c r="A655" s="1130"/>
      <c r="B655" s="1130"/>
      <c r="C655" s="1130"/>
      <c r="D655" s="1130"/>
      <c r="E655" s="1130"/>
      <c r="F655" s="1130"/>
      <c r="G655" s="1130"/>
      <c r="H655" s="1130"/>
      <c r="I655" s="1130"/>
      <c r="J655" s="1130"/>
      <c r="K655" s="1130"/>
      <c r="L655" s="1130"/>
      <c r="M655" s="1130"/>
      <c r="N655" s="1130"/>
      <c r="O655" s="1130"/>
      <c r="P655" s="1130"/>
      <c r="Q655" s="1130"/>
      <c r="R655" s="1130"/>
      <c r="S655" s="1130"/>
      <c r="T655" s="1130"/>
      <c r="U655" s="1130"/>
      <c r="V655" s="1130"/>
      <c r="W655" s="1130"/>
      <c r="X655" s="1130"/>
      <c r="Y655" s="1130"/>
      <c r="Z655" s="1130"/>
    </row>
    <row r="656" spans="1:26" ht="15.75" customHeight="1">
      <c r="A656" s="1130"/>
      <c r="B656" s="1130"/>
      <c r="C656" s="1130"/>
      <c r="D656" s="1130"/>
      <c r="E656" s="1130"/>
      <c r="F656" s="1130"/>
      <c r="G656" s="1130"/>
      <c r="H656" s="1130"/>
      <c r="I656" s="1130"/>
      <c r="J656" s="1130"/>
      <c r="K656" s="1130"/>
      <c r="L656" s="1130"/>
      <c r="M656" s="1130"/>
      <c r="N656" s="1130"/>
      <c r="O656" s="1130"/>
      <c r="P656" s="1130"/>
      <c r="Q656" s="1130"/>
      <c r="R656" s="1130"/>
      <c r="S656" s="1130"/>
      <c r="T656" s="1130"/>
      <c r="U656" s="1130"/>
      <c r="V656" s="1130"/>
      <c r="W656" s="1130"/>
      <c r="X656" s="1130"/>
      <c r="Y656" s="1130"/>
      <c r="Z656" s="1130"/>
    </row>
    <row r="657" spans="1:26" ht="15.75" customHeight="1">
      <c r="A657" s="1130"/>
      <c r="B657" s="1130"/>
      <c r="C657" s="1130"/>
      <c r="D657" s="1130"/>
      <c r="E657" s="1130"/>
      <c r="F657" s="1130"/>
      <c r="G657" s="1130"/>
      <c r="H657" s="1130"/>
      <c r="I657" s="1130"/>
      <c r="J657" s="1130"/>
      <c r="K657" s="1130"/>
      <c r="L657" s="1130"/>
      <c r="M657" s="1130"/>
      <c r="N657" s="1130"/>
      <c r="O657" s="1130"/>
      <c r="P657" s="1130"/>
      <c r="Q657" s="1130"/>
      <c r="R657" s="1130"/>
      <c r="S657" s="1130"/>
      <c r="T657" s="1130"/>
      <c r="U657" s="1130"/>
      <c r="V657" s="1130"/>
      <c r="W657" s="1130"/>
      <c r="X657" s="1130"/>
      <c r="Y657" s="1130"/>
      <c r="Z657" s="1130"/>
    </row>
    <row r="658" spans="1:26" ht="15.75" customHeight="1">
      <c r="A658" s="1130"/>
      <c r="B658" s="1130"/>
      <c r="C658" s="1130"/>
      <c r="D658" s="1130"/>
      <c r="E658" s="1130"/>
      <c r="F658" s="1130"/>
      <c r="G658" s="1130"/>
      <c r="H658" s="1130"/>
      <c r="I658" s="1130"/>
      <c r="J658" s="1130"/>
      <c r="K658" s="1130"/>
      <c r="L658" s="1130"/>
      <c r="M658" s="1130"/>
      <c r="N658" s="1130"/>
      <c r="O658" s="1130"/>
      <c r="P658" s="1130"/>
      <c r="Q658" s="1130"/>
      <c r="R658" s="1130"/>
      <c r="S658" s="1130"/>
      <c r="T658" s="1130"/>
      <c r="U658" s="1130"/>
      <c r="V658" s="1130"/>
      <c r="W658" s="1130"/>
      <c r="X658" s="1130"/>
      <c r="Y658" s="1130"/>
      <c r="Z658" s="1130"/>
    </row>
    <row r="659" spans="1:26" ht="15.75" customHeight="1">
      <c r="A659" s="1130"/>
      <c r="B659" s="1130"/>
      <c r="C659" s="1130"/>
      <c r="D659" s="1130"/>
      <c r="E659" s="1130"/>
      <c r="F659" s="1130"/>
      <c r="G659" s="1130"/>
      <c r="H659" s="1130"/>
      <c r="I659" s="1130"/>
      <c r="J659" s="1130"/>
      <c r="K659" s="1130"/>
      <c r="L659" s="1130"/>
      <c r="M659" s="1130"/>
      <c r="N659" s="1130"/>
      <c r="O659" s="1130"/>
      <c r="P659" s="1130"/>
      <c r="Q659" s="1130"/>
      <c r="R659" s="1130"/>
      <c r="S659" s="1130"/>
      <c r="T659" s="1130"/>
      <c r="U659" s="1130"/>
      <c r="V659" s="1130"/>
      <c r="W659" s="1130"/>
      <c r="X659" s="1130"/>
      <c r="Y659" s="1130"/>
      <c r="Z659" s="1130"/>
    </row>
    <row r="660" spans="1:26" ht="15.75" customHeight="1">
      <c r="A660" s="1130"/>
      <c r="B660" s="1130"/>
      <c r="C660" s="1130"/>
      <c r="D660" s="1130"/>
      <c r="E660" s="1130"/>
      <c r="F660" s="1130"/>
      <c r="G660" s="1130"/>
      <c r="H660" s="1130"/>
      <c r="I660" s="1130"/>
      <c r="J660" s="1130"/>
      <c r="K660" s="1130"/>
      <c r="L660" s="1130"/>
      <c r="M660" s="1130"/>
      <c r="N660" s="1130"/>
      <c r="O660" s="1130"/>
      <c r="P660" s="1130"/>
      <c r="Q660" s="1130"/>
      <c r="R660" s="1130"/>
      <c r="S660" s="1130"/>
      <c r="T660" s="1130"/>
      <c r="U660" s="1130"/>
      <c r="V660" s="1130"/>
      <c r="W660" s="1130"/>
      <c r="X660" s="1130"/>
      <c r="Y660" s="1130"/>
      <c r="Z660" s="1130"/>
    </row>
    <row r="661" spans="1:26" ht="15.75" customHeight="1">
      <c r="A661" s="1130"/>
      <c r="B661" s="1130"/>
      <c r="C661" s="1130"/>
      <c r="D661" s="1130"/>
      <c r="E661" s="1130"/>
      <c r="F661" s="1130"/>
      <c r="G661" s="1130"/>
      <c r="H661" s="1130"/>
      <c r="I661" s="1130"/>
      <c r="J661" s="1130"/>
      <c r="K661" s="1130"/>
      <c r="L661" s="1130"/>
      <c r="M661" s="1130"/>
      <c r="N661" s="1130"/>
      <c r="O661" s="1130"/>
      <c r="P661" s="1130"/>
      <c r="Q661" s="1130"/>
      <c r="R661" s="1130"/>
      <c r="S661" s="1130"/>
      <c r="T661" s="1130"/>
      <c r="U661" s="1130"/>
      <c r="V661" s="1130"/>
      <c r="W661" s="1130"/>
      <c r="X661" s="1130"/>
      <c r="Y661" s="1130"/>
      <c r="Z661" s="1130"/>
    </row>
    <row r="662" spans="1:26" ht="15.75" customHeight="1">
      <c r="A662" s="1130"/>
      <c r="B662" s="1130"/>
      <c r="C662" s="1130"/>
      <c r="D662" s="1130"/>
      <c r="E662" s="1130"/>
      <c r="F662" s="1130"/>
      <c r="G662" s="1130"/>
      <c r="H662" s="1130"/>
      <c r="I662" s="1130"/>
      <c r="J662" s="1130"/>
      <c r="K662" s="1130"/>
      <c r="L662" s="1130"/>
      <c r="M662" s="1130"/>
      <c r="N662" s="1130"/>
      <c r="O662" s="1130"/>
      <c r="P662" s="1130"/>
      <c r="Q662" s="1130"/>
      <c r="R662" s="1130"/>
      <c r="S662" s="1130"/>
      <c r="T662" s="1130"/>
      <c r="U662" s="1130"/>
      <c r="V662" s="1130"/>
      <c r="W662" s="1130"/>
      <c r="X662" s="1130"/>
      <c r="Y662" s="1130"/>
      <c r="Z662" s="1130"/>
    </row>
    <row r="663" spans="1:26" ht="15.75" customHeight="1">
      <c r="A663" s="1130"/>
      <c r="B663" s="1130"/>
      <c r="C663" s="1130"/>
      <c r="D663" s="1130"/>
      <c r="E663" s="1130"/>
      <c r="F663" s="1130"/>
      <c r="G663" s="1130"/>
      <c r="H663" s="1130"/>
      <c r="I663" s="1130"/>
      <c r="J663" s="1130"/>
      <c r="K663" s="1130"/>
      <c r="L663" s="1130"/>
      <c r="M663" s="1130"/>
      <c r="N663" s="1130"/>
      <c r="O663" s="1130"/>
      <c r="P663" s="1130"/>
      <c r="Q663" s="1130"/>
      <c r="R663" s="1130"/>
      <c r="S663" s="1130"/>
      <c r="T663" s="1130"/>
      <c r="U663" s="1130"/>
      <c r="V663" s="1130"/>
      <c r="W663" s="1130"/>
      <c r="X663" s="1130"/>
      <c r="Y663" s="1130"/>
      <c r="Z663" s="1130"/>
    </row>
    <row r="664" spans="1:26" ht="15.75" customHeight="1">
      <c r="A664" s="1130"/>
      <c r="B664" s="1130"/>
      <c r="C664" s="1130"/>
      <c r="D664" s="1130"/>
      <c r="E664" s="1130"/>
      <c r="F664" s="1130"/>
      <c r="G664" s="1130"/>
      <c r="H664" s="1130"/>
      <c r="I664" s="1130"/>
      <c r="J664" s="1130"/>
      <c r="K664" s="1130"/>
      <c r="L664" s="1130"/>
      <c r="M664" s="1130"/>
      <c r="N664" s="1130"/>
      <c r="O664" s="1130"/>
      <c r="P664" s="1130"/>
      <c r="Q664" s="1130"/>
      <c r="R664" s="1130"/>
      <c r="S664" s="1130"/>
      <c r="T664" s="1130"/>
      <c r="U664" s="1130"/>
      <c r="V664" s="1130"/>
      <c r="W664" s="1130"/>
      <c r="X664" s="1130"/>
      <c r="Y664" s="1130"/>
      <c r="Z664" s="1130"/>
    </row>
    <row r="665" spans="1:26" ht="15.75" customHeight="1">
      <c r="A665" s="1130"/>
      <c r="B665" s="1130"/>
      <c r="C665" s="1130"/>
      <c r="D665" s="1130"/>
      <c r="E665" s="1130"/>
      <c r="F665" s="1130"/>
      <c r="G665" s="1130"/>
      <c r="H665" s="1130"/>
      <c r="I665" s="1130"/>
      <c r="J665" s="1130"/>
      <c r="K665" s="1130"/>
      <c r="L665" s="1130"/>
      <c r="M665" s="1130"/>
      <c r="N665" s="1130"/>
      <c r="O665" s="1130"/>
      <c r="P665" s="1130"/>
      <c r="Q665" s="1130"/>
      <c r="R665" s="1130"/>
      <c r="S665" s="1130"/>
      <c r="T665" s="1130"/>
      <c r="U665" s="1130"/>
      <c r="V665" s="1130"/>
      <c r="W665" s="1130"/>
      <c r="X665" s="1130"/>
      <c r="Y665" s="1130"/>
      <c r="Z665" s="1130"/>
    </row>
    <row r="666" spans="1:26" ht="15.75" customHeight="1">
      <c r="A666" s="1130"/>
      <c r="B666" s="1130"/>
      <c r="C666" s="1130"/>
      <c r="D666" s="1130"/>
      <c r="E666" s="1130"/>
      <c r="F666" s="1130"/>
      <c r="G666" s="1130"/>
      <c r="H666" s="1130"/>
      <c r="I666" s="1130"/>
      <c r="J666" s="1130"/>
      <c r="K666" s="1130"/>
      <c r="L666" s="1130"/>
      <c r="M666" s="1130"/>
      <c r="N666" s="1130"/>
      <c r="O666" s="1130"/>
      <c r="P666" s="1130"/>
      <c r="Q666" s="1130"/>
      <c r="R666" s="1130"/>
      <c r="S666" s="1130"/>
      <c r="T666" s="1130"/>
      <c r="U666" s="1130"/>
      <c r="V666" s="1130"/>
      <c r="W666" s="1130"/>
      <c r="X666" s="1130"/>
      <c r="Y666" s="1130"/>
      <c r="Z666" s="1130"/>
    </row>
    <row r="667" spans="1:26" ht="15.75" customHeight="1">
      <c r="A667" s="1130"/>
      <c r="B667" s="1130"/>
      <c r="C667" s="1130"/>
      <c r="D667" s="1130"/>
      <c r="E667" s="1130"/>
      <c r="F667" s="1130"/>
      <c r="G667" s="1130"/>
      <c r="H667" s="1130"/>
      <c r="I667" s="1130"/>
      <c r="J667" s="1130"/>
      <c r="K667" s="1130"/>
      <c r="L667" s="1130"/>
      <c r="M667" s="1130"/>
      <c r="N667" s="1130"/>
      <c r="O667" s="1130"/>
      <c r="P667" s="1130"/>
      <c r="Q667" s="1130"/>
      <c r="R667" s="1130"/>
      <c r="S667" s="1130"/>
      <c r="T667" s="1130"/>
      <c r="U667" s="1130"/>
      <c r="V667" s="1130"/>
      <c r="W667" s="1130"/>
      <c r="X667" s="1130"/>
      <c r="Y667" s="1130"/>
      <c r="Z667" s="1130"/>
    </row>
    <row r="668" spans="1:26" ht="15.75" customHeight="1">
      <c r="A668" s="1130"/>
      <c r="B668" s="1130"/>
      <c r="C668" s="1130"/>
      <c r="D668" s="1130"/>
      <c r="E668" s="1130"/>
      <c r="F668" s="1130"/>
      <c r="G668" s="1130"/>
      <c r="H668" s="1130"/>
      <c r="I668" s="1130"/>
      <c r="J668" s="1130"/>
      <c r="K668" s="1130"/>
      <c r="L668" s="1130"/>
      <c r="M668" s="1130"/>
      <c r="N668" s="1130"/>
      <c r="O668" s="1130"/>
      <c r="P668" s="1130"/>
      <c r="Q668" s="1130"/>
      <c r="R668" s="1130"/>
      <c r="S668" s="1130"/>
      <c r="T668" s="1130"/>
      <c r="U668" s="1130"/>
      <c r="V668" s="1130"/>
      <c r="W668" s="1130"/>
      <c r="X668" s="1130"/>
      <c r="Y668" s="1130"/>
      <c r="Z668" s="1130"/>
    </row>
    <row r="669" spans="1:26" ht="15.75" customHeight="1">
      <c r="A669" s="1130"/>
      <c r="B669" s="1130"/>
      <c r="C669" s="1130"/>
      <c r="D669" s="1130"/>
      <c r="E669" s="1130"/>
      <c r="F669" s="1130"/>
      <c r="G669" s="1130"/>
      <c r="H669" s="1130"/>
      <c r="I669" s="1130"/>
      <c r="J669" s="1130"/>
      <c r="K669" s="1130"/>
      <c r="L669" s="1130"/>
      <c r="M669" s="1130"/>
      <c r="N669" s="1130"/>
      <c r="O669" s="1130"/>
      <c r="P669" s="1130"/>
      <c r="Q669" s="1130"/>
      <c r="R669" s="1130"/>
      <c r="S669" s="1130"/>
      <c r="T669" s="1130"/>
      <c r="U669" s="1130"/>
      <c r="V669" s="1130"/>
      <c r="W669" s="1130"/>
      <c r="X669" s="1130"/>
      <c r="Y669" s="1130"/>
      <c r="Z669" s="1130"/>
    </row>
    <row r="670" spans="1:26" ht="15.75" customHeight="1">
      <c r="A670" s="1130"/>
      <c r="B670" s="1130"/>
      <c r="C670" s="1130"/>
      <c r="D670" s="1130"/>
      <c r="E670" s="1130"/>
      <c r="F670" s="1130"/>
      <c r="G670" s="1130"/>
      <c r="H670" s="1130"/>
      <c r="I670" s="1130"/>
      <c r="J670" s="1130"/>
      <c r="K670" s="1130"/>
      <c r="L670" s="1130"/>
      <c r="M670" s="1130"/>
      <c r="N670" s="1130"/>
      <c r="O670" s="1130"/>
      <c r="P670" s="1130"/>
      <c r="Q670" s="1130"/>
      <c r="R670" s="1130"/>
      <c r="S670" s="1130"/>
      <c r="T670" s="1130"/>
      <c r="U670" s="1130"/>
      <c r="V670" s="1130"/>
      <c r="W670" s="1130"/>
      <c r="X670" s="1130"/>
      <c r="Y670" s="1130"/>
      <c r="Z670" s="1130"/>
    </row>
    <row r="671" spans="1:26" ht="15.75" customHeight="1">
      <c r="A671" s="1130"/>
      <c r="B671" s="1130"/>
      <c r="C671" s="1130"/>
      <c r="D671" s="1130"/>
      <c r="E671" s="1130"/>
      <c r="F671" s="1130"/>
      <c r="G671" s="1130"/>
      <c r="H671" s="1130"/>
      <c r="I671" s="1130"/>
      <c r="J671" s="1130"/>
      <c r="K671" s="1130"/>
      <c r="L671" s="1130"/>
      <c r="M671" s="1130"/>
      <c r="N671" s="1130"/>
      <c r="O671" s="1130"/>
      <c r="P671" s="1130"/>
      <c r="Q671" s="1130"/>
      <c r="R671" s="1130"/>
      <c r="S671" s="1130"/>
      <c r="T671" s="1130"/>
      <c r="U671" s="1130"/>
      <c r="V671" s="1130"/>
      <c r="W671" s="1130"/>
      <c r="X671" s="1130"/>
      <c r="Y671" s="1130"/>
      <c r="Z671" s="1130"/>
    </row>
    <row r="672" spans="1:26" ht="15.75" customHeight="1">
      <c r="A672" s="1130"/>
      <c r="B672" s="1130"/>
      <c r="C672" s="1130"/>
      <c r="D672" s="1130"/>
      <c r="E672" s="1130"/>
      <c r="F672" s="1130"/>
      <c r="G672" s="1130"/>
      <c r="H672" s="1130"/>
      <c r="I672" s="1130"/>
      <c r="J672" s="1130"/>
      <c r="K672" s="1130"/>
      <c r="L672" s="1130"/>
      <c r="M672" s="1130"/>
      <c r="N672" s="1130"/>
      <c r="O672" s="1130"/>
      <c r="P672" s="1130"/>
      <c r="Q672" s="1130"/>
      <c r="R672" s="1130"/>
      <c r="S672" s="1130"/>
      <c r="T672" s="1130"/>
      <c r="U672" s="1130"/>
      <c r="V672" s="1130"/>
      <c r="W672" s="1130"/>
      <c r="X672" s="1130"/>
      <c r="Y672" s="1130"/>
      <c r="Z672" s="1130"/>
    </row>
    <row r="673" spans="1:26" ht="15.75" customHeight="1">
      <c r="A673" s="1130"/>
      <c r="B673" s="1130"/>
      <c r="C673" s="1130"/>
      <c r="D673" s="1130"/>
      <c r="E673" s="1130"/>
      <c r="F673" s="1130"/>
      <c r="G673" s="1130"/>
      <c r="H673" s="1130"/>
      <c r="I673" s="1130"/>
      <c r="J673" s="1130"/>
      <c r="K673" s="1130"/>
      <c r="L673" s="1130"/>
      <c r="M673" s="1130"/>
      <c r="N673" s="1130"/>
      <c r="O673" s="1130"/>
      <c r="P673" s="1130"/>
      <c r="Q673" s="1130"/>
      <c r="R673" s="1130"/>
      <c r="S673" s="1130"/>
      <c r="T673" s="1130"/>
      <c r="U673" s="1130"/>
      <c r="V673" s="1130"/>
      <c r="W673" s="1130"/>
      <c r="X673" s="1130"/>
      <c r="Y673" s="1130"/>
      <c r="Z673" s="1130"/>
    </row>
    <row r="674" spans="1:26" ht="15.75" customHeight="1">
      <c r="A674" s="1130"/>
      <c r="B674" s="1130"/>
      <c r="C674" s="1130"/>
      <c r="D674" s="1130"/>
      <c r="E674" s="1130"/>
      <c r="F674" s="1130"/>
      <c r="G674" s="1130"/>
      <c r="H674" s="1130"/>
      <c r="I674" s="1130"/>
      <c r="J674" s="1130"/>
      <c r="K674" s="1130"/>
      <c r="L674" s="1130"/>
      <c r="M674" s="1130"/>
      <c r="N674" s="1130"/>
      <c r="O674" s="1130"/>
      <c r="P674" s="1130"/>
      <c r="Q674" s="1130"/>
      <c r="R674" s="1130"/>
      <c r="S674" s="1130"/>
      <c r="T674" s="1130"/>
      <c r="U674" s="1130"/>
      <c r="V674" s="1130"/>
      <c r="W674" s="1130"/>
      <c r="X674" s="1130"/>
      <c r="Y674" s="1130"/>
      <c r="Z674" s="1130"/>
    </row>
    <row r="675" spans="1:26" ht="15.75" customHeight="1">
      <c r="A675" s="1130"/>
      <c r="B675" s="1130"/>
      <c r="C675" s="1130"/>
      <c r="D675" s="1130"/>
      <c r="E675" s="1130"/>
      <c r="F675" s="1130"/>
      <c r="G675" s="1130"/>
      <c r="H675" s="1130"/>
      <c r="I675" s="1130"/>
      <c r="J675" s="1130"/>
      <c r="K675" s="1130"/>
      <c r="L675" s="1130"/>
      <c r="M675" s="1130"/>
      <c r="N675" s="1130"/>
      <c r="O675" s="1130"/>
      <c r="P675" s="1130"/>
      <c r="Q675" s="1130"/>
      <c r="R675" s="1130"/>
      <c r="S675" s="1130"/>
      <c r="T675" s="1130"/>
      <c r="U675" s="1130"/>
      <c r="V675" s="1130"/>
      <c r="W675" s="1130"/>
      <c r="X675" s="1130"/>
      <c r="Y675" s="1130"/>
      <c r="Z675" s="1130"/>
    </row>
    <row r="676" spans="1:26" ht="15.75" customHeight="1">
      <c r="A676" s="1130"/>
      <c r="B676" s="1130"/>
      <c r="C676" s="1130"/>
      <c r="D676" s="1130"/>
      <c r="E676" s="1130"/>
      <c r="F676" s="1130"/>
      <c r="G676" s="1130"/>
      <c r="H676" s="1130"/>
      <c r="I676" s="1130"/>
      <c r="J676" s="1130"/>
      <c r="K676" s="1130"/>
      <c r="L676" s="1130"/>
      <c r="M676" s="1130"/>
      <c r="N676" s="1130"/>
      <c r="O676" s="1130"/>
      <c r="P676" s="1130"/>
      <c r="Q676" s="1130"/>
      <c r="R676" s="1130"/>
      <c r="S676" s="1130"/>
      <c r="T676" s="1130"/>
      <c r="U676" s="1130"/>
      <c r="V676" s="1130"/>
      <c r="W676" s="1130"/>
      <c r="X676" s="1130"/>
      <c r="Y676" s="1130"/>
      <c r="Z676" s="1130"/>
    </row>
    <row r="677" spans="1:26" ht="15.75" customHeight="1">
      <c r="A677" s="1130"/>
      <c r="B677" s="1130"/>
      <c r="C677" s="1130"/>
      <c r="D677" s="1130"/>
      <c r="E677" s="1130"/>
      <c r="F677" s="1130"/>
      <c r="G677" s="1130"/>
      <c r="H677" s="1130"/>
      <c r="I677" s="1130"/>
      <c r="J677" s="1130"/>
      <c r="K677" s="1130"/>
      <c r="L677" s="1130"/>
      <c r="M677" s="1130"/>
      <c r="N677" s="1130"/>
      <c r="O677" s="1130"/>
      <c r="P677" s="1130"/>
      <c r="Q677" s="1130"/>
      <c r="R677" s="1130"/>
      <c r="S677" s="1130"/>
      <c r="T677" s="1130"/>
      <c r="U677" s="1130"/>
      <c r="V677" s="1130"/>
      <c r="W677" s="1130"/>
      <c r="X677" s="1130"/>
      <c r="Y677" s="1130"/>
      <c r="Z677" s="1130"/>
    </row>
    <row r="678" spans="1:26" ht="15.75" customHeight="1">
      <c r="A678" s="1130"/>
      <c r="B678" s="1130"/>
      <c r="C678" s="1130"/>
      <c r="D678" s="1130"/>
      <c r="E678" s="1130"/>
      <c r="F678" s="1130"/>
      <c r="G678" s="1130"/>
      <c r="H678" s="1130"/>
      <c r="I678" s="1130"/>
      <c r="J678" s="1130"/>
      <c r="K678" s="1130"/>
      <c r="L678" s="1130"/>
      <c r="M678" s="1130"/>
      <c r="N678" s="1130"/>
      <c r="O678" s="1130"/>
      <c r="P678" s="1130"/>
      <c r="Q678" s="1130"/>
      <c r="R678" s="1130"/>
      <c r="S678" s="1130"/>
      <c r="T678" s="1130"/>
      <c r="U678" s="1130"/>
      <c r="V678" s="1130"/>
      <c r="W678" s="1130"/>
      <c r="X678" s="1130"/>
      <c r="Y678" s="1130"/>
      <c r="Z678" s="1130"/>
    </row>
    <row r="679" spans="1:26" ht="15.75" customHeight="1">
      <c r="A679" s="1130"/>
      <c r="B679" s="1130"/>
      <c r="C679" s="1130"/>
      <c r="D679" s="1130"/>
      <c r="E679" s="1130"/>
      <c r="F679" s="1130"/>
      <c r="G679" s="1130"/>
      <c r="H679" s="1130"/>
      <c r="I679" s="1130"/>
      <c r="J679" s="1130"/>
      <c r="K679" s="1130"/>
      <c r="L679" s="1130"/>
      <c r="M679" s="1130"/>
      <c r="N679" s="1130"/>
      <c r="O679" s="1130"/>
      <c r="P679" s="1130"/>
      <c r="Q679" s="1130"/>
      <c r="R679" s="1130"/>
      <c r="S679" s="1130"/>
      <c r="T679" s="1130"/>
      <c r="U679" s="1130"/>
      <c r="V679" s="1130"/>
      <c r="W679" s="1130"/>
      <c r="X679" s="1130"/>
      <c r="Y679" s="1130"/>
      <c r="Z679" s="1130"/>
    </row>
    <row r="680" spans="1:26" ht="15.75" customHeight="1">
      <c r="A680" s="1130"/>
      <c r="B680" s="1130"/>
      <c r="C680" s="1130"/>
      <c r="D680" s="1130"/>
      <c r="E680" s="1130"/>
      <c r="F680" s="1130"/>
      <c r="G680" s="1130"/>
      <c r="H680" s="1130"/>
      <c r="I680" s="1130"/>
      <c r="J680" s="1130"/>
      <c r="K680" s="1130"/>
      <c r="L680" s="1130"/>
      <c r="M680" s="1130"/>
      <c r="N680" s="1130"/>
      <c r="O680" s="1130"/>
      <c r="P680" s="1130"/>
      <c r="Q680" s="1130"/>
      <c r="R680" s="1130"/>
      <c r="S680" s="1130"/>
      <c r="T680" s="1130"/>
      <c r="U680" s="1130"/>
      <c r="V680" s="1130"/>
      <c r="W680" s="1130"/>
      <c r="X680" s="1130"/>
      <c r="Y680" s="1130"/>
      <c r="Z680" s="1130"/>
    </row>
    <row r="681" spans="1:26" ht="15.75" customHeight="1">
      <c r="A681" s="1130"/>
      <c r="B681" s="1130"/>
      <c r="C681" s="1130"/>
      <c r="D681" s="1130"/>
      <c r="E681" s="1130"/>
      <c r="F681" s="1130"/>
      <c r="G681" s="1130"/>
      <c r="H681" s="1130"/>
      <c r="I681" s="1130"/>
      <c r="J681" s="1130"/>
      <c r="K681" s="1130"/>
      <c r="L681" s="1130"/>
      <c r="M681" s="1130"/>
      <c r="N681" s="1130"/>
      <c r="O681" s="1130"/>
      <c r="P681" s="1130"/>
      <c r="Q681" s="1130"/>
      <c r="R681" s="1130"/>
      <c r="S681" s="1130"/>
      <c r="T681" s="1130"/>
      <c r="U681" s="1130"/>
      <c r="V681" s="1130"/>
      <c r="W681" s="1130"/>
      <c r="X681" s="1130"/>
      <c r="Y681" s="1130"/>
      <c r="Z681" s="1130"/>
    </row>
    <row r="682" spans="1:26" ht="15.75" customHeight="1">
      <c r="A682" s="1130"/>
      <c r="B682" s="1130"/>
      <c r="C682" s="1130"/>
      <c r="D682" s="1130"/>
      <c r="E682" s="1130"/>
      <c r="F682" s="1130"/>
      <c r="G682" s="1130"/>
      <c r="H682" s="1130"/>
      <c r="I682" s="1130"/>
      <c r="J682" s="1130"/>
      <c r="K682" s="1130"/>
      <c r="L682" s="1130"/>
      <c r="M682" s="1130"/>
      <c r="N682" s="1130"/>
      <c r="O682" s="1130"/>
      <c r="P682" s="1130"/>
      <c r="Q682" s="1130"/>
      <c r="R682" s="1130"/>
      <c r="S682" s="1130"/>
      <c r="T682" s="1130"/>
      <c r="U682" s="1130"/>
      <c r="V682" s="1130"/>
      <c r="W682" s="1130"/>
      <c r="X682" s="1130"/>
      <c r="Y682" s="1130"/>
      <c r="Z682" s="1130"/>
    </row>
    <row r="683" spans="1:26" ht="15.75" customHeight="1">
      <c r="A683" s="1130"/>
      <c r="B683" s="1130"/>
      <c r="C683" s="1130"/>
      <c r="D683" s="1130"/>
      <c r="E683" s="1130"/>
      <c r="F683" s="1130"/>
      <c r="G683" s="1130"/>
      <c r="H683" s="1130"/>
      <c r="I683" s="1130"/>
      <c r="J683" s="1130"/>
      <c r="K683" s="1130"/>
      <c r="L683" s="1130"/>
      <c r="M683" s="1130"/>
      <c r="N683" s="1130"/>
      <c r="O683" s="1130"/>
      <c r="P683" s="1130"/>
      <c r="Q683" s="1130"/>
      <c r="R683" s="1130"/>
      <c r="S683" s="1130"/>
      <c r="T683" s="1130"/>
      <c r="U683" s="1130"/>
      <c r="V683" s="1130"/>
      <c r="W683" s="1130"/>
      <c r="X683" s="1130"/>
      <c r="Y683" s="1130"/>
      <c r="Z683" s="1130"/>
    </row>
    <row r="684" spans="1:26" ht="15.75" customHeight="1">
      <c r="A684" s="1130"/>
      <c r="B684" s="1130"/>
      <c r="C684" s="1130"/>
      <c r="D684" s="1130"/>
      <c r="E684" s="1130"/>
      <c r="F684" s="1130"/>
      <c r="G684" s="1130"/>
      <c r="H684" s="1130"/>
      <c r="I684" s="1130"/>
      <c r="J684" s="1130"/>
      <c r="K684" s="1130"/>
      <c r="L684" s="1130"/>
      <c r="M684" s="1130"/>
      <c r="N684" s="1130"/>
      <c r="O684" s="1130"/>
      <c r="P684" s="1130"/>
      <c r="Q684" s="1130"/>
      <c r="R684" s="1130"/>
      <c r="S684" s="1130"/>
      <c r="T684" s="1130"/>
      <c r="U684" s="1130"/>
      <c r="V684" s="1130"/>
      <c r="W684" s="1130"/>
      <c r="X684" s="1130"/>
      <c r="Y684" s="1130"/>
      <c r="Z684" s="1130"/>
    </row>
    <row r="685" spans="1:26" ht="15.75" customHeight="1">
      <c r="A685" s="1130"/>
      <c r="B685" s="1130"/>
      <c r="C685" s="1130"/>
      <c r="D685" s="1130"/>
      <c r="E685" s="1130"/>
      <c r="F685" s="1130"/>
      <c r="G685" s="1130"/>
      <c r="H685" s="1130"/>
      <c r="I685" s="1130"/>
      <c r="J685" s="1130"/>
      <c r="K685" s="1130"/>
      <c r="L685" s="1130"/>
      <c r="M685" s="1130"/>
      <c r="N685" s="1130"/>
      <c r="O685" s="1130"/>
      <c r="P685" s="1130"/>
      <c r="Q685" s="1130"/>
      <c r="R685" s="1130"/>
      <c r="S685" s="1130"/>
      <c r="T685" s="1130"/>
      <c r="U685" s="1130"/>
      <c r="V685" s="1130"/>
      <c r="W685" s="1130"/>
      <c r="X685" s="1130"/>
      <c r="Y685" s="1130"/>
      <c r="Z685" s="1130"/>
    </row>
    <row r="686" spans="1:26" ht="15.75" customHeight="1">
      <c r="A686" s="1130"/>
      <c r="B686" s="1130"/>
      <c r="C686" s="1130"/>
      <c r="D686" s="1130"/>
      <c r="E686" s="1130"/>
      <c r="F686" s="1130"/>
      <c r="G686" s="1130"/>
      <c r="H686" s="1130"/>
      <c r="I686" s="1130"/>
      <c r="J686" s="1130"/>
      <c r="K686" s="1130"/>
      <c r="L686" s="1130"/>
      <c r="M686" s="1130"/>
      <c r="N686" s="1130"/>
      <c r="O686" s="1130"/>
      <c r="P686" s="1130"/>
      <c r="Q686" s="1130"/>
      <c r="R686" s="1130"/>
      <c r="S686" s="1130"/>
      <c r="T686" s="1130"/>
      <c r="U686" s="1130"/>
      <c r="V686" s="1130"/>
      <c r="W686" s="1130"/>
      <c r="X686" s="1130"/>
      <c r="Y686" s="1130"/>
      <c r="Z686" s="1130"/>
    </row>
    <row r="687" spans="1:26" ht="15.75" customHeight="1">
      <c r="A687" s="1130"/>
      <c r="B687" s="1130"/>
      <c r="C687" s="1130"/>
      <c r="D687" s="1130"/>
      <c r="E687" s="1130"/>
      <c r="F687" s="1130"/>
      <c r="G687" s="1130"/>
      <c r="H687" s="1130"/>
      <c r="I687" s="1130"/>
      <c r="J687" s="1130"/>
      <c r="K687" s="1130"/>
      <c r="L687" s="1130"/>
      <c r="M687" s="1130"/>
      <c r="N687" s="1130"/>
      <c r="O687" s="1130"/>
      <c r="P687" s="1130"/>
      <c r="Q687" s="1130"/>
      <c r="R687" s="1130"/>
      <c r="S687" s="1130"/>
      <c r="T687" s="1130"/>
      <c r="U687" s="1130"/>
      <c r="V687" s="1130"/>
      <c r="W687" s="1130"/>
      <c r="X687" s="1130"/>
      <c r="Y687" s="1130"/>
      <c r="Z687" s="1130"/>
    </row>
    <row r="688" spans="1:26" ht="15.75" customHeight="1">
      <c r="A688" s="1130"/>
      <c r="B688" s="1130"/>
      <c r="C688" s="1130"/>
      <c r="D688" s="1130"/>
      <c r="E688" s="1130"/>
      <c r="F688" s="1130"/>
      <c r="G688" s="1130"/>
      <c r="H688" s="1130"/>
      <c r="I688" s="1130"/>
      <c r="J688" s="1130"/>
      <c r="K688" s="1130"/>
      <c r="L688" s="1130"/>
      <c r="M688" s="1130"/>
      <c r="N688" s="1130"/>
      <c r="O688" s="1130"/>
      <c r="P688" s="1130"/>
      <c r="Q688" s="1130"/>
      <c r="R688" s="1130"/>
      <c r="S688" s="1130"/>
      <c r="T688" s="1130"/>
      <c r="U688" s="1130"/>
      <c r="V688" s="1130"/>
      <c r="W688" s="1130"/>
      <c r="X688" s="1130"/>
      <c r="Y688" s="1130"/>
      <c r="Z688" s="1130"/>
    </row>
    <row r="689" spans="1:26" ht="15.75" customHeight="1">
      <c r="A689" s="1130"/>
      <c r="B689" s="1130"/>
      <c r="C689" s="1130"/>
      <c r="D689" s="1130"/>
      <c r="E689" s="1130"/>
      <c r="F689" s="1130"/>
      <c r="G689" s="1130"/>
      <c r="H689" s="1130"/>
      <c r="I689" s="1130"/>
      <c r="J689" s="1130"/>
      <c r="K689" s="1130"/>
      <c r="L689" s="1130"/>
      <c r="M689" s="1130"/>
      <c r="N689" s="1130"/>
      <c r="O689" s="1130"/>
      <c r="P689" s="1130"/>
      <c r="Q689" s="1130"/>
      <c r="R689" s="1130"/>
      <c r="S689" s="1130"/>
      <c r="T689" s="1130"/>
      <c r="U689" s="1130"/>
      <c r="V689" s="1130"/>
      <c r="W689" s="1130"/>
      <c r="X689" s="1130"/>
      <c r="Y689" s="1130"/>
      <c r="Z689" s="1130"/>
    </row>
    <row r="690" spans="1:26" ht="15.75" customHeight="1">
      <c r="A690" s="1130"/>
      <c r="B690" s="1130"/>
      <c r="C690" s="1130"/>
      <c r="D690" s="1130"/>
      <c r="E690" s="1130"/>
      <c r="F690" s="1130"/>
      <c r="G690" s="1130"/>
      <c r="H690" s="1130"/>
      <c r="I690" s="1130"/>
      <c r="J690" s="1130"/>
      <c r="K690" s="1130"/>
      <c r="L690" s="1130"/>
      <c r="M690" s="1130"/>
      <c r="N690" s="1130"/>
      <c r="O690" s="1130"/>
      <c r="P690" s="1130"/>
      <c r="Q690" s="1130"/>
      <c r="R690" s="1130"/>
      <c r="S690" s="1130"/>
      <c r="T690" s="1130"/>
      <c r="U690" s="1130"/>
      <c r="V690" s="1130"/>
      <c r="W690" s="1130"/>
      <c r="X690" s="1130"/>
      <c r="Y690" s="1130"/>
      <c r="Z690" s="1130"/>
    </row>
    <row r="691" spans="1:26" ht="15.75" customHeight="1">
      <c r="A691" s="1130"/>
      <c r="B691" s="1130"/>
      <c r="C691" s="1130"/>
      <c r="D691" s="1130"/>
      <c r="E691" s="1130"/>
      <c r="F691" s="1130"/>
      <c r="G691" s="1130"/>
      <c r="H691" s="1130"/>
      <c r="I691" s="1130"/>
      <c r="J691" s="1130"/>
      <c r="K691" s="1130"/>
      <c r="L691" s="1130"/>
      <c r="M691" s="1130"/>
      <c r="N691" s="1130"/>
      <c r="O691" s="1130"/>
      <c r="P691" s="1130"/>
      <c r="Q691" s="1130"/>
      <c r="R691" s="1130"/>
      <c r="S691" s="1130"/>
      <c r="T691" s="1130"/>
      <c r="U691" s="1130"/>
      <c r="V691" s="1130"/>
      <c r="W691" s="1130"/>
      <c r="X691" s="1130"/>
      <c r="Y691" s="1130"/>
      <c r="Z691" s="1130"/>
    </row>
    <row r="692" spans="1:26" ht="15.75" customHeight="1">
      <c r="A692" s="1130"/>
      <c r="B692" s="1130"/>
      <c r="C692" s="1130"/>
      <c r="D692" s="1130"/>
      <c r="E692" s="1130"/>
      <c r="F692" s="1130"/>
      <c r="G692" s="1130"/>
      <c r="H692" s="1130"/>
      <c r="I692" s="1130"/>
      <c r="J692" s="1130"/>
      <c r="K692" s="1130"/>
      <c r="L692" s="1130"/>
      <c r="M692" s="1130"/>
      <c r="N692" s="1130"/>
      <c r="O692" s="1130"/>
      <c r="P692" s="1130"/>
      <c r="Q692" s="1130"/>
      <c r="R692" s="1130"/>
      <c r="S692" s="1130"/>
      <c r="T692" s="1130"/>
      <c r="U692" s="1130"/>
      <c r="V692" s="1130"/>
      <c r="W692" s="1130"/>
      <c r="X692" s="1130"/>
      <c r="Y692" s="1130"/>
      <c r="Z692" s="1130"/>
    </row>
    <row r="693" spans="1:26" ht="15.75" customHeight="1">
      <c r="A693" s="1130"/>
      <c r="B693" s="1130"/>
      <c r="C693" s="1130"/>
      <c r="D693" s="1130"/>
      <c r="E693" s="1130"/>
      <c r="F693" s="1130"/>
      <c r="G693" s="1130"/>
      <c r="H693" s="1130"/>
      <c r="I693" s="1130"/>
      <c r="J693" s="1130"/>
      <c r="K693" s="1130"/>
      <c r="L693" s="1130"/>
      <c r="M693" s="1130"/>
      <c r="N693" s="1130"/>
      <c r="O693" s="1130"/>
      <c r="P693" s="1130"/>
      <c r="Q693" s="1130"/>
      <c r="R693" s="1130"/>
      <c r="S693" s="1130"/>
      <c r="T693" s="1130"/>
      <c r="U693" s="1130"/>
      <c r="V693" s="1130"/>
      <c r="W693" s="1130"/>
      <c r="X693" s="1130"/>
      <c r="Y693" s="1130"/>
      <c r="Z693" s="1130"/>
    </row>
    <row r="694" spans="1:26" ht="15.75" customHeight="1">
      <c r="A694" s="1130"/>
      <c r="B694" s="1130"/>
      <c r="C694" s="1130"/>
      <c r="D694" s="1130"/>
      <c r="E694" s="1130"/>
      <c r="F694" s="1130"/>
      <c r="G694" s="1130"/>
      <c r="H694" s="1130"/>
      <c r="I694" s="1130"/>
      <c r="J694" s="1130"/>
      <c r="K694" s="1130"/>
      <c r="L694" s="1130"/>
      <c r="M694" s="1130"/>
      <c r="N694" s="1130"/>
      <c r="O694" s="1130"/>
      <c r="P694" s="1130"/>
      <c r="Q694" s="1130"/>
      <c r="R694" s="1130"/>
      <c r="S694" s="1130"/>
      <c r="T694" s="1130"/>
      <c r="U694" s="1130"/>
      <c r="V694" s="1130"/>
      <c r="W694" s="1130"/>
      <c r="X694" s="1130"/>
      <c r="Y694" s="1130"/>
      <c r="Z694" s="1130"/>
    </row>
    <row r="695" spans="1:26" ht="15.75" customHeight="1">
      <c r="A695" s="1130"/>
      <c r="B695" s="1130"/>
      <c r="C695" s="1130"/>
      <c r="D695" s="1130"/>
      <c r="E695" s="1130"/>
      <c r="F695" s="1130"/>
      <c r="G695" s="1130"/>
      <c r="H695" s="1130"/>
      <c r="I695" s="1130"/>
      <c r="J695" s="1130"/>
      <c r="K695" s="1130"/>
      <c r="L695" s="1130"/>
      <c r="M695" s="1130"/>
      <c r="N695" s="1130"/>
      <c r="O695" s="1130"/>
      <c r="P695" s="1130"/>
      <c r="Q695" s="1130"/>
      <c r="R695" s="1130"/>
      <c r="S695" s="1130"/>
      <c r="T695" s="1130"/>
      <c r="U695" s="1130"/>
      <c r="V695" s="1130"/>
      <c r="W695" s="1130"/>
      <c r="X695" s="1130"/>
      <c r="Y695" s="1130"/>
      <c r="Z695" s="1130"/>
    </row>
    <row r="696" spans="1:26" ht="15.75" customHeight="1">
      <c r="A696" s="1130"/>
      <c r="B696" s="1130"/>
      <c r="C696" s="1130"/>
      <c r="D696" s="1130"/>
      <c r="E696" s="1130"/>
      <c r="F696" s="1130"/>
      <c r="G696" s="1130"/>
      <c r="H696" s="1130"/>
      <c r="I696" s="1130"/>
      <c r="J696" s="1130"/>
      <c r="K696" s="1130"/>
      <c r="L696" s="1130"/>
      <c r="M696" s="1130"/>
      <c r="N696" s="1130"/>
      <c r="O696" s="1130"/>
      <c r="P696" s="1130"/>
      <c r="Q696" s="1130"/>
      <c r="R696" s="1130"/>
      <c r="S696" s="1130"/>
      <c r="T696" s="1130"/>
      <c r="U696" s="1130"/>
      <c r="V696" s="1130"/>
      <c r="W696" s="1130"/>
      <c r="X696" s="1130"/>
      <c r="Y696" s="1130"/>
      <c r="Z696" s="1130"/>
    </row>
    <row r="697" spans="1:26" ht="15.75" customHeight="1">
      <c r="A697" s="1130"/>
      <c r="B697" s="1130"/>
      <c r="C697" s="1130"/>
      <c r="D697" s="1130"/>
      <c r="E697" s="1130"/>
      <c r="F697" s="1130"/>
      <c r="G697" s="1130"/>
      <c r="H697" s="1130"/>
      <c r="I697" s="1130"/>
      <c r="J697" s="1130"/>
      <c r="K697" s="1130"/>
      <c r="L697" s="1130"/>
      <c r="M697" s="1130"/>
      <c r="N697" s="1130"/>
      <c r="O697" s="1130"/>
      <c r="P697" s="1130"/>
      <c r="Q697" s="1130"/>
      <c r="R697" s="1130"/>
      <c r="S697" s="1130"/>
      <c r="T697" s="1130"/>
      <c r="U697" s="1130"/>
      <c r="V697" s="1130"/>
      <c r="W697" s="1130"/>
      <c r="X697" s="1130"/>
      <c r="Y697" s="1130"/>
      <c r="Z697" s="1130"/>
    </row>
    <row r="698" spans="1:26" ht="15.75" customHeight="1">
      <c r="A698" s="1130"/>
      <c r="B698" s="1130"/>
      <c r="C698" s="1130"/>
      <c r="D698" s="1130"/>
      <c r="E698" s="1130"/>
      <c r="F698" s="1130"/>
      <c r="G698" s="1130"/>
      <c r="H698" s="1130"/>
      <c r="I698" s="1130"/>
      <c r="J698" s="1130"/>
      <c r="K698" s="1130"/>
      <c r="L698" s="1130"/>
      <c r="M698" s="1130"/>
      <c r="N698" s="1130"/>
      <c r="O698" s="1130"/>
      <c r="P698" s="1130"/>
      <c r="Q698" s="1130"/>
      <c r="R698" s="1130"/>
      <c r="S698" s="1130"/>
      <c r="T698" s="1130"/>
      <c r="U698" s="1130"/>
      <c r="V698" s="1130"/>
      <c r="W698" s="1130"/>
      <c r="X698" s="1130"/>
      <c r="Y698" s="1130"/>
      <c r="Z698" s="1130"/>
    </row>
    <row r="699" spans="1:26" ht="15.75" customHeight="1">
      <c r="A699" s="1130"/>
      <c r="B699" s="1130"/>
      <c r="C699" s="1130"/>
      <c r="D699" s="1130"/>
      <c r="E699" s="1130"/>
      <c r="F699" s="1130"/>
      <c r="G699" s="1130"/>
      <c r="H699" s="1130"/>
      <c r="I699" s="1130"/>
      <c r="J699" s="1130"/>
      <c r="K699" s="1130"/>
      <c r="L699" s="1130"/>
      <c r="M699" s="1130"/>
      <c r="N699" s="1130"/>
      <c r="O699" s="1130"/>
      <c r="P699" s="1130"/>
      <c r="Q699" s="1130"/>
      <c r="R699" s="1130"/>
      <c r="S699" s="1130"/>
      <c r="T699" s="1130"/>
      <c r="U699" s="1130"/>
      <c r="V699" s="1130"/>
      <c r="W699" s="1130"/>
      <c r="X699" s="1130"/>
      <c r="Y699" s="1130"/>
      <c r="Z699" s="1130"/>
    </row>
    <row r="700" spans="1:26" ht="15.75" customHeight="1">
      <c r="A700" s="1130"/>
      <c r="B700" s="1130"/>
      <c r="C700" s="1130"/>
      <c r="D700" s="1130"/>
      <c r="E700" s="1130"/>
      <c r="F700" s="1130"/>
      <c r="G700" s="1130"/>
      <c r="H700" s="1130"/>
      <c r="I700" s="1130"/>
      <c r="J700" s="1130"/>
      <c r="K700" s="1130"/>
      <c r="L700" s="1130"/>
      <c r="M700" s="1130"/>
      <c r="N700" s="1130"/>
      <c r="O700" s="1130"/>
      <c r="P700" s="1130"/>
      <c r="Q700" s="1130"/>
      <c r="R700" s="1130"/>
      <c r="S700" s="1130"/>
      <c r="T700" s="1130"/>
      <c r="U700" s="1130"/>
      <c r="V700" s="1130"/>
      <c r="W700" s="1130"/>
      <c r="X700" s="1130"/>
      <c r="Y700" s="1130"/>
      <c r="Z700" s="1130"/>
    </row>
    <row r="701" spans="1:26" ht="15.75" customHeight="1">
      <c r="A701" s="1130"/>
      <c r="B701" s="1130"/>
      <c r="C701" s="1130"/>
      <c r="D701" s="1130"/>
      <c r="E701" s="1130"/>
      <c r="F701" s="1130"/>
      <c r="G701" s="1130"/>
      <c r="H701" s="1130"/>
      <c r="I701" s="1130"/>
      <c r="J701" s="1130"/>
      <c r="K701" s="1130"/>
      <c r="L701" s="1130"/>
      <c r="M701" s="1130"/>
      <c r="N701" s="1130"/>
      <c r="O701" s="1130"/>
      <c r="P701" s="1130"/>
      <c r="Q701" s="1130"/>
      <c r="R701" s="1130"/>
      <c r="S701" s="1130"/>
      <c r="T701" s="1130"/>
      <c r="U701" s="1130"/>
      <c r="V701" s="1130"/>
      <c r="W701" s="1130"/>
      <c r="X701" s="1130"/>
      <c r="Y701" s="1130"/>
      <c r="Z701" s="1130"/>
    </row>
    <row r="702" spans="1:26" ht="15.75" customHeight="1">
      <c r="A702" s="1130"/>
      <c r="B702" s="1130"/>
      <c r="C702" s="1130"/>
      <c r="D702" s="1130"/>
      <c r="E702" s="1130"/>
      <c r="F702" s="1130"/>
      <c r="G702" s="1130"/>
      <c r="H702" s="1130"/>
      <c r="I702" s="1130"/>
      <c r="J702" s="1130"/>
      <c r="K702" s="1130"/>
      <c r="L702" s="1130"/>
      <c r="M702" s="1130"/>
      <c r="N702" s="1130"/>
      <c r="O702" s="1130"/>
      <c r="P702" s="1130"/>
      <c r="Q702" s="1130"/>
      <c r="R702" s="1130"/>
      <c r="S702" s="1130"/>
      <c r="T702" s="1130"/>
      <c r="U702" s="1130"/>
      <c r="V702" s="1130"/>
      <c r="W702" s="1130"/>
      <c r="X702" s="1130"/>
      <c r="Y702" s="1130"/>
      <c r="Z702" s="1130"/>
    </row>
    <row r="703" spans="1:26" ht="15.75" customHeight="1">
      <c r="A703" s="1130"/>
      <c r="B703" s="1130"/>
      <c r="C703" s="1130"/>
      <c r="D703" s="1130"/>
      <c r="E703" s="1130"/>
      <c r="F703" s="1130"/>
      <c r="G703" s="1130"/>
      <c r="H703" s="1130"/>
      <c r="I703" s="1130"/>
      <c r="J703" s="1130"/>
      <c r="K703" s="1130"/>
      <c r="L703" s="1130"/>
      <c r="M703" s="1130"/>
      <c r="N703" s="1130"/>
      <c r="O703" s="1130"/>
      <c r="P703" s="1130"/>
      <c r="Q703" s="1130"/>
      <c r="R703" s="1130"/>
      <c r="S703" s="1130"/>
      <c r="T703" s="1130"/>
      <c r="U703" s="1130"/>
      <c r="V703" s="1130"/>
      <c r="W703" s="1130"/>
      <c r="X703" s="1130"/>
      <c r="Y703" s="1130"/>
      <c r="Z703" s="1130"/>
    </row>
    <row r="704" spans="1:26" ht="15.75" customHeight="1">
      <c r="A704" s="1130"/>
      <c r="B704" s="1130"/>
      <c r="C704" s="1130"/>
      <c r="D704" s="1130"/>
      <c r="E704" s="1130"/>
      <c r="F704" s="1130"/>
      <c r="G704" s="1130"/>
      <c r="H704" s="1130"/>
      <c r="I704" s="1130"/>
      <c r="J704" s="1130"/>
      <c r="K704" s="1130"/>
      <c r="L704" s="1130"/>
      <c r="M704" s="1130"/>
      <c r="N704" s="1130"/>
      <c r="O704" s="1130"/>
      <c r="P704" s="1130"/>
      <c r="Q704" s="1130"/>
      <c r="R704" s="1130"/>
      <c r="S704" s="1130"/>
      <c r="T704" s="1130"/>
      <c r="U704" s="1130"/>
      <c r="V704" s="1130"/>
      <c r="W704" s="1130"/>
      <c r="X704" s="1130"/>
      <c r="Y704" s="1130"/>
      <c r="Z704" s="1130"/>
    </row>
    <row r="705" spans="1:26" ht="15.75" customHeight="1">
      <c r="A705" s="1130"/>
      <c r="B705" s="1130"/>
      <c r="C705" s="1130"/>
      <c r="D705" s="1130"/>
      <c r="E705" s="1130"/>
      <c r="F705" s="1130"/>
      <c r="G705" s="1130"/>
      <c r="H705" s="1130"/>
      <c r="I705" s="1130"/>
      <c r="J705" s="1130"/>
      <c r="K705" s="1130"/>
      <c r="L705" s="1130"/>
      <c r="M705" s="1130"/>
      <c r="N705" s="1130"/>
      <c r="O705" s="1130"/>
      <c r="P705" s="1130"/>
      <c r="Q705" s="1130"/>
      <c r="R705" s="1130"/>
      <c r="S705" s="1130"/>
      <c r="T705" s="1130"/>
      <c r="U705" s="1130"/>
      <c r="V705" s="1130"/>
      <c r="W705" s="1130"/>
      <c r="X705" s="1130"/>
      <c r="Y705" s="1130"/>
      <c r="Z705" s="1130"/>
    </row>
    <row r="706" spans="1:26" ht="15.75" customHeight="1">
      <c r="A706" s="1130"/>
      <c r="B706" s="1130"/>
      <c r="C706" s="1130"/>
      <c r="D706" s="1130"/>
      <c r="E706" s="1130"/>
      <c r="F706" s="1130"/>
      <c r="G706" s="1130"/>
      <c r="H706" s="1130"/>
      <c r="I706" s="1130"/>
      <c r="J706" s="1130"/>
      <c r="K706" s="1130"/>
      <c r="L706" s="1130"/>
      <c r="M706" s="1130"/>
      <c r="N706" s="1130"/>
      <c r="O706" s="1130"/>
      <c r="P706" s="1130"/>
      <c r="Q706" s="1130"/>
      <c r="R706" s="1130"/>
      <c r="S706" s="1130"/>
      <c r="T706" s="1130"/>
      <c r="U706" s="1130"/>
      <c r="V706" s="1130"/>
      <c r="W706" s="1130"/>
      <c r="X706" s="1130"/>
      <c r="Y706" s="1130"/>
      <c r="Z706" s="1130"/>
    </row>
    <row r="707" spans="1:26" ht="15.75" customHeight="1">
      <c r="A707" s="1130"/>
      <c r="B707" s="1130"/>
      <c r="C707" s="1130"/>
      <c r="D707" s="1130"/>
      <c r="E707" s="1130"/>
      <c r="F707" s="1130"/>
      <c r="G707" s="1130"/>
      <c r="H707" s="1130"/>
      <c r="I707" s="1130"/>
      <c r="J707" s="1130"/>
      <c r="K707" s="1130"/>
      <c r="L707" s="1130"/>
      <c r="M707" s="1130"/>
      <c r="N707" s="1130"/>
      <c r="O707" s="1130"/>
      <c r="P707" s="1130"/>
      <c r="Q707" s="1130"/>
      <c r="R707" s="1130"/>
      <c r="S707" s="1130"/>
      <c r="T707" s="1130"/>
      <c r="U707" s="1130"/>
      <c r="V707" s="1130"/>
      <c r="W707" s="1130"/>
      <c r="X707" s="1130"/>
      <c r="Y707" s="1130"/>
      <c r="Z707" s="1130"/>
    </row>
    <row r="708" spans="1:26" ht="15.75" customHeight="1">
      <c r="A708" s="1130"/>
      <c r="B708" s="1130"/>
      <c r="C708" s="1130"/>
      <c r="D708" s="1130"/>
      <c r="E708" s="1130"/>
      <c r="F708" s="1130"/>
      <c r="G708" s="1130"/>
      <c r="H708" s="1130"/>
      <c r="I708" s="1130"/>
      <c r="J708" s="1130"/>
      <c r="K708" s="1130"/>
      <c r="L708" s="1130"/>
      <c r="M708" s="1130"/>
      <c r="N708" s="1130"/>
      <c r="O708" s="1130"/>
      <c r="P708" s="1130"/>
      <c r="Q708" s="1130"/>
      <c r="R708" s="1130"/>
      <c r="S708" s="1130"/>
      <c r="T708" s="1130"/>
      <c r="U708" s="1130"/>
      <c r="V708" s="1130"/>
      <c r="W708" s="1130"/>
      <c r="X708" s="1130"/>
      <c r="Y708" s="1130"/>
      <c r="Z708" s="1130"/>
    </row>
    <row r="709" spans="1:26" ht="15.75" customHeight="1">
      <c r="A709" s="1130"/>
      <c r="B709" s="1130"/>
      <c r="C709" s="1130"/>
      <c r="D709" s="1130"/>
      <c r="E709" s="1130"/>
      <c r="F709" s="1130"/>
      <c r="G709" s="1130"/>
      <c r="H709" s="1130"/>
      <c r="I709" s="1130"/>
      <c r="J709" s="1130"/>
      <c r="K709" s="1130"/>
      <c r="L709" s="1130"/>
      <c r="M709" s="1130"/>
      <c r="N709" s="1130"/>
      <c r="O709" s="1130"/>
      <c r="P709" s="1130"/>
      <c r="Q709" s="1130"/>
      <c r="R709" s="1130"/>
      <c r="S709" s="1130"/>
      <c r="T709" s="1130"/>
      <c r="U709" s="1130"/>
      <c r="V709" s="1130"/>
      <c r="W709" s="1130"/>
      <c r="X709" s="1130"/>
      <c r="Y709" s="1130"/>
      <c r="Z709" s="1130"/>
    </row>
    <row r="710" spans="1:26" ht="15.75" customHeight="1">
      <c r="A710" s="1130"/>
      <c r="B710" s="1130"/>
      <c r="C710" s="1130"/>
      <c r="D710" s="1130"/>
      <c r="E710" s="1130"/>
      <c r="F710" s="1130"/>
      <c r="G710" s="1130"/>
      <c r="H710" s="1130"/>
      <c r="I710" s="1130"/>
      <c r="J710" s="1130"/>
      <c r="K710" s="1130"/>
      <c r="L710" s="1130"/>
      <c r="M710" s="1130"/>
      <c r="N710" s="1130"/>
      <c r="O710" s="1130"/>
      <c r="P710" s="1130"/>
      <c r="Q710" s="1130"/>
      <c r="R710" s="1130"/>
      <c r="S710" s="1130"/>
      <c r="T710" s="1130"/>
      <c r="U710" s="1130"/>
      <c r="V710" s="1130"/>
      <c r="W710" s="1130"/>
      <c r="X710" s="1130"/>
      <c r="Y710" s="1130"/>
      <c r="Z710" s="1130"/>
    </row>
    <row r="711" spans="1:26" ht="15.75" customHeight="1">
      <c r="A711" s="1130"/>
      <c r="B711" s="1130"/>
      <c r="C711" s="1130"/>
      <c r="D711" s="1130"/>
      <c r="E711" s="1130"/>
      <c r="F711" s="1130"/>
      <c r="G711" s="1130"/>
      <c r="H711" s="1130"/>
      <c r="I711" s="1130"/>
      <c r="J711" s="1130"/>
      <c r="K711" s="1130"/>
      <c r="L711" s="1130"/>
      <c r="M711" s="1130"/>
      <c r="N711" s="1130"/>
      <c r="O711" s="1130"/>
      <c r="P711" s="1130"/>
      <c r="Q711" s="1130"/>
      <c r="R711" s="1130"/>
      <c r="S711" s="1130"/>
      <c r="T711" s="1130"/>
      <c r="U711" s="1130"/>
      <c r="V711" s="1130"/>
      <c r="W711" s="1130"/>
      <c r="X711" s="1130"/>
      <c r="Y711" s="1130"/>
      <c r="Z711" s="1130"/>
    </row>
    <row r="712" spans="1:26" ht="15.75" customHeight="1">
      <c r="A712" s="1130"/>
      <c r="B712" s="1130"/>
      <c r="C712" s="1130"/>
      <c r="D712" s="1130"/>
      <c r="E712" s="1130"/>
      <c r="F712" s="1130"/>
      <c r="G712" s="1130"/>
      <c r="H712" s="1130"/>
      <c r="I712" s="1130"/>
      <c r="J712" s="1130"/>
      <c r="K712" s="1130"/>
      <c r="L712" s="1130"/>
      <c r="M712" s="1130"/>
      <c r="N712" s="1130"/>
      <c r="O712" s="1130"/>
      <c r="P712" s="1130"/>
      <c r="Q712" s="1130"/>
      <c r="R712" s="1130"/>
      <c r="S712" s="1130"/>
      <c r="T712" s="1130"/>
      <c r="U712" s="1130"/>
      <c r="V712" s="1130"/>
      <c r="W712" s="1130"/>
      <c r="X712" s="1130"/>
      <c r="Y712" s="1130"/>
      <c r="Z712" s="1130"/>
    </row>
    <row r="713" spans="1:26" ht="15.75" customHeight="1">
      <c r="A713" s="1130"/>
      <c r="B713" s="1130"/>
      <c r="C713" s="1130"/>
      <c r="D713" s="1130"/>
      <c r="E713" s="1130"/>
      <c r="F713" s="1130"/>
      <c r="G713" s="1130"/>
      <c r="H713" s="1130"/>
      <c r="I713" s="1130"/>
      <c r="J713" s="1130"/>
      <c r="K713" s="1130"/>
      <c r="L713" s="1130"/>
      <c r="M713" s="1130"/>
      <c r="N713" s="1130"/>
      <c r="O713" s="1130"/>
      <c r="P713" s="1130"/>
      <c r="Q713" s="1130"/>
      <c r="R713" s="1130"/>
      <c r="S713" s="1130"/>
      <c r="T713" s="1130"/>
      <c r="U713" s="1130"/>
      <c r="V713" s="1130"/>
      <c r="W713" s="1130"/>
      <c r="X713" s="1130"/>
      <c r="Y713" s="1130"/>
      <c r="Z713" s="1130"/>
    </row>
    <row r="714" spans="1:26" ht="15.75" customHeight="1">
      <c r="A714" s="1130"/>
      <c r="B714" s="1130"/>
      <c r="C714" s="1130"/>
      <c r="D714" s="1130"/>
      <c r="E714" s="1130"/>
      <c r="F714" s="1130"/>
      <c r="G714" s="1130"/>
      <c r="H714" s="1130"/>
      <c r="I714" s="1130"/>
      <c r="J714" s="1130"/>
      <c r="K714" s="1130"/>
      <c r="L714" s="1130"/>
      <c r="M714" s="1130"/>
      <c r="N714" s="1130"/>
      <c r="O714" s="1130"/>
      <c r="P714" s="1130"/>
      <c r="Q714" s="1130"/>
      <c r="R714" s="1130"/>
      <c r="S714" s="1130"/>
      <c r="T714" s="1130"/>
      <c r="U714" s="1130"/>
      <c r="V714" s="1130"/>
      <c r="W714" s="1130"/>
      <c r="X714" s="1130"/>
      <c r="Y714" s="1130"/>
      <c r="Z714" s="1130"/>
    </row>
    <row r="715" spans="1:26" ht="15.75" customHeight="1">
      <c r="A715" s="1130"/>
      <c r="B715" s="1130"/>
      <c r="C715" s="1130"/>
      <c r="D715" s="1130"/>
      <c r="E715" s="1130"/>
      <c r="F715" s="1130"/>
      <c r="G715" s="1130"/>
      <c r="H715" s="1130"/>
      <c r="I715" s="1130"/>
      <c r="J715" s="1130"/>
      <c r="K715" s="1130"/>
      <c r="L715" s="1130"/>
      <c r="M715" s="1130"/>
      <c r="N715" s="1130"/>
      <c r="O715" s="1130"/>
      <c r="P715" s="1130"/>
      <c r="Q715" s="1130"/>
      <c r="R715" s="1130"/>
      <c r="S715" s="1130"/>
      <c r="T715" s="1130"/>
      <c r="U715" s="1130"/>
      <c r="V715" s="1130"/>
      <c r="W715" s="1130"/>
      <c r="X715" s="1130"/>
      <c r="Y715" s="1130"/>
      <c r="Z715" s="1130"/>
    </row>
    <row r="716" spans="1:26" ht="15.75" customHeight="1">
      <c r="A716" s="1130"/>
      <c r="B716" s="1130"/>
      <c r="C716" s="1130"/>
      <c r="D716" s="1130"/>
      <c r="E716" s="1130"/>
      <c r="F716" s="1130"/>
      <c r="G716" s="1130"/>
      <c r="H716" s="1130"/>
      <c r="I716" s="1130"/>
      <c r="J716" s="1130"/>
      <c r="K716" s="1130"/>
      <c r="L716" s="1130"/>
      <c r="M716" s="1130"/>
      <c r="N716" s="1130"/>
      <c r="O716" s="1130"/>
      <c r="P716" s="1130"/>
      <c r="Q716" s="1130"/>
      <c r="R716" s="1130"/>
      <c r="S716" s="1130"/>
      <c r="T716" s="1130"/>
      <c r="U716" s="1130"/>
      <c r="V716" s="1130"/>
      <c r="W716" s="1130"/>
      <c r="X716" s="1130"/>
      <c r="Y716" s="1130"/>
      <c r="Z716" s="1130"/>
    </row>
    <row r="717" spans="1:26" ht="15.75" customHeight="1">
      <c r="A717" s="1130"/>
      <c r="B717" s="1130"/>
      <c r="C717" s="1130"/>
      <c r="D717" s="1130"/>
      <c r="E717" s="1130"/>
      <c r="F717" s="1130"/>
      <c r="G717" s="1130"/>
      <c r="H717" s="1130"/>
      <c r="I717" s="1130"/>
      <c r="J717" s="1130"/>
      <c r="K717" s="1130"/>
      <c r="L717" s="1130"/>
      <c r="M717" s="1130"/>
      <c r="N717" s="1130"/>
      <c r="O717" s="1130"/>
      <c r="P717" s="1130"/>
      <c r="Q717" s="1130"/>
      <c r="R717" s="1130"/>
      <c r="S717" s="1130"/>
      <c r="T717" s="1130"/>
      <c r="U717" s="1130"/>
      <c r="V717" s="1130"/>
      <c r="W717" s="1130"/>
      <c r="X717" s="1130"/>
      <c r="Y717" s="1130"/>
      <c r="Z717" s="1130"/>
    </row>
    <row r="718" spans="1:26" ht="15.75" customHeight="1">
      <c r="A718" s="1130"/>
      <c r="B718" s="1130"/>
      <c r="C718" s="1130"/>
      <c r="D718" s="1130"/>
      <c r="E718" s="1130"/>
      <c r="F718" s="1130"/>
      <c r="G718" s="1130"/>
      <c r="H718" s="1130"/>
      <c r="I718" s="1130"/>
      <c r="J718" s="1130"/>
      <c r="K718" s="1130"/>
      <c r="L718" s="1130"/>
      <c r="M718" s="1130"/>
      <c r="N718" s="1130"/>
      <c r="O718" s="1130"/>
      <c r="P718" s="1130"/>
      <c r="Q718" s="1130"/>
      <c r="R718" s="1130"/>
      <c r="S718" s="1130"/>
      <c r="T718" s="1130"/>
      <c r="U718" s="1130"/>
      <c r="V718" s="1130"/>
      <c r="W718" s="1130"/>
      <c r="X718" s="1130"/>
      <c r="Y718" s="1130"/>
      <c r="Z718" s="1130"/>
    </row>
    <row r="719" spans="1:26" ht="15.75" customHeight="1">
      <c r="A719" s="1130"/>
      <c r="B719" s="1130"/>
      <c r="C719" s="1130"/>
      <c r="D719" s="1130"/>
      <c r="E719" s="1130"/>
      <c r="F719" s="1130"/>
      <c r="G719" s="1130"/>
      <c r="H719" s="1130"/>
      <c r="I719" s="1130"/>
      <c r="J719" s="1130"/>
      <c r="K719" s="1130"/>
      <c r="L719" s="1130"/>
      <c r="M719" s="1130"/>
      <c r="N719" s="1130"/>
      <c r="O719" s="1130"/>
      <c r="P719" s="1130"/>
      <c r="Q719" s="1130"/>
      <c r="R719" s="1130"/>
      <c r="S719" s="1130"/>
      <c r="T719" s="1130"/>
      <c r="U719" s="1130"/>
      <c r="V719" s="1130"/>
      <c r="W719" s="1130"/>
      <c r="X719" s="1130"/>
      <c r="Y719" s="1130"/>
      <c r="Z719" s="1130"/>
    </row>
    <row r="720" spans="1:26" ht="15.75" customHeight="1">
      <c r="A720" s="1130"/>
      <c r="B720" s="1130"/>
      <c r="C720" s="1130"/>
      <c r="D720" s="1130"/>
      <c r="E720" s="1130"/>
      <c r="F720" s="1130"/>
      <c r="G720" s="1130"/>
      <c r="H720" s="1130"/>
      <c r="I720" s="1130"/>
      <c r="J720" s="1130"/>
      <c r="K720" s="1130"/>
      <c r="L720" s="1130"/>
      <c r="M720" s="1130"/>
      <c r="N720" s="1130"/>
      <c r="O720" s="1130"/>
      <c r="P720" s="1130"/>
      <c r="Q720" s="1130"/>
      <c r="R720" s="1130"/>
      <c r="S720" s="1130"/>
      <c r="T720" s="1130"/>
      <c r="U720" s="1130"/>
      <c r="V720" s="1130"/>
      <c r="W720" s="1130"/>
      <c r="X720" s="1130"/>
      <c r="Y720" s="1130"/>
      <c r="Z720" s="1130"/>
    </row>
    <row r="721" spans="1:26" ht="15.75" customHeight="1">
      <c r="A721" s="1130"/>
      <c r="B721" s="1130"/>
      <c r="C721" s="1130"/>
      <c r="D721" s="1130"/>
      <c r="E721" s="1130"/>
      <c r="F721" s="1130"/>
      <c r="G721" s="1130"/>
      <c r="H721" s="1130"/>
      <c r="I721" s="1130"/>
      <c r="J721" s="1130"/>
      <c r="K721" s="1130"/>
      <c r="L721" s="1130"/>
      <c r="M721" s="1130"/>
      <c r="N721" s="1130"/>
      <c r="O721" s="1130"/>
      <c r="P721" s="1130"/>
      <c r="Q721" s="1130"/>
      <c r="R721" s="1130"/>
      <c r="S721" s="1130"/>
      <c r="T721" s="1130"/>
      <c r="U721" s="1130"/>
      <c r="V721" s="1130"/>
      <c r="W721" s="1130"/>
      <c r="X721" s="1130"/>
      <c r="Y721" s="1130"/>
      <c r="Z721" s="1130"/>
    </row>
    <row r="722" spans="1:26" ht="15.75" customHeight="1">
      <c r="A722" s="1130"/>
      <c r="B722" s="1130"/>
      <c r="C722" s="1130"/>
      <c r="D722" s="1130"/>
      <c r="E722" s="1130"/>
      <c r="F722" s="1130"/>
      <c r="G722" s="1130"/>
      <c r="H722" s="1130"/>
      <c r="I722" s="1130"/>
      <c r="J722" s="1130"/>
      <c r="K722" s="1130"/>
      <c r="L722" s="1130"/>
      <c r="M722" s="1130"/>
      <c r="N722" s="1130"/>
      <c r="O722" s="1130"/>
      <c r="P722" s="1130"/>
      <c r="Q722" s="1130"/>
      <c r="R722" s="1130"/>
      <c r="S722" s="1130"/>
      <c r="T722" s="1130"/>
      <c r="U722" s="1130"/>
      <c r="V722" s="1130"/>
      <c r="W722" s="1130"/>
      <c r="X722" s="1130"/>
      <c r="Y722" s="1130"/>
      <c r="Z722" s="1130"/>
    </row>
    <row r="723" spans="1:26" ht="15.75" customHeight="1">
      <c r="A723" s="1130"/>
      <c r="B723" s="1130"/>
      <c r="C723" s="1130"/>
      <c r="D723" s="1130"/>
      <c r="E723" s="1130"/>
      <c r="F723" s="1130"/>
      <c r="G723" s="1130"/>
      <c r="H723" s="1130"/>
      <c r="I723" s="1130"/>
      <c r="J723" s="1130"/>
      <c r="K723" s="1130"/>
      <c r="L723" s="1130"/>
      <c r="M723" s="1130"/>
      <c r="N723" s="1130"/>
      <c r="O723" s="1130"/>
      <c r="P723" s="1130"/>
      <c r="Q723" s="1130"/>
      <c r="R723" s="1130"/>
      <c r="S723" s="1130"/>
      <c r="T723" s="1130"/>
      <c r="U723" s="1130"/>
      <c r="V723" s="1130"/>
      <c r="W723" s="1130"/>
      <c r="X723" s="1130"/>
      <c r="Y723" s="1130"/>
      <c r="Z723" s="1130"/>
    </row>
    <row r="724" spans="1:26" ht="15.75" customHeight="1">
      <c r="A724" s="1130"/>
      <c r="B724" s="1130"/>
      <c r="C724" s="1130"/>
      <c r="D724" s="1130"/>
      <c r="E724" s="1130"/>
      <c r="F724" s="1130"/>
      <c r="G724" s="1130"/>
      <c r="H724" s="1130"/>
      <c r="I724" s="1130"/>
      <c r="J724" s="1130"/>
      <c r="K724" s="1130"/>
      <c r="L724" s="1130"/>
      <c r="M724" s="1130"/>
      <c r="N724" s="1130"/>
      <c r="O724" s="1130"/>
      <c r="P724" s="1130"/>
      <c r="Q724" s="1130"/>
      <c r="R724" s="1130"/>
      <c r="S724" s="1130"/>
      <c r="T724" s="1130"/>
      <c r="U724" s="1130"/>
      <c r="V724" s="1130"/>
      <c r="W724" s="1130"/>
      <c r="X724" s="1130"/>
      <c r="Y724" s="1130"/>
      <c r="Z724" s="1130"/>
    </row>
    <row r="725" spans="1:26" ht="15.75" customHeight="1">
      <c r="A725" s="1130"/>
      <c r="B725" s="1130"/>
      <c r="C725" s="1130"/>
      <c r="D725" s="1130"/>
      <c r="E725" s="1130"/>
      <c r="F725" s="1130"/>
      <c r="G725" s="1130"/>
      <c r="H725" s="1130"/>
      <c r="I725" s="1130"/>
      <c r="J725" s="1130"/>
      <c r="K725" s="1130"/>
      <c r="L725" s="1130"/>
      <c r="M725" s="1130"/>
      <c r="N725" s="1130"/>
      <c r="O725" s="1130"/>
      <c r="P725" s="1130"/>
      <c r="Q725" s="1130"/>
      <c r="R725" s="1130"/>
      <c r="S725" s="1130"/>
      <c r="T725" s="1130"/>
      <c r="U725" s="1130"/>
      <c r="V725" s="1130"/>
      <c r="W725" s="1130"/>
      <c r="X725" s="1130"/>
      <c r="Y725" s="1130"/>
      <c r="Z725" s="1130"/>
    </row>
    <row r="726" spans="1:26" ht="15.75" customHeight="1">
      <c r="A726" s="1130"/>
      <c r="B726" s="1130"/>
      <c r="C726" s="1130"/>
      <c r="D726" s="1130"/>
      <c r="E726" s="1130"/>
      <c r="F726" s="1130"/>
      <c r="G726" s="1130"/>
      <c r="H726" s="1130"/>
      <c r="I726" s="1130"/>
      <c r="J726" s="1130"/>
      <c r="K726" s="1130"/>
      <c r="L726" s="1130"/>
      <c r="M726" s="1130"/>
      <c r="N726" s="1130"/>
      <c r="O726" s="1130"/>
      <c r="P726" s="1130"/>
      <c r="Q726" s="1130"/>
      <c r="R726" s="1130"/>
      <c r="S726" s="1130"/>
      <c r="T726" s="1130"/>
      <c r="U726" s="1130"/>
      <c r="V726" s="1130"/>
      <c r="W726" s="1130"/>
      <c r="X726" s="1130"/>
      <c r="Y726" s="1130"/>
      <c r="Z726" s="1130"/>
    </row>
    <row r="727" spans="1:26" ht="15.75" customHeight="1">
      <c r="A727" s="1130"/>
      <c r="B727" s="1130"/>
      <c r="C727" s="1130"/>
      <c r="D727" s="1130"/>
      <c r="E727" s="1130"/>
      <c r="F727" s="1130"/>
      <c r="G727" s="1130"/>
      <c r="H727" s="1130"/>
      <c r="I727" s="1130"/>
      <c r="J727" s="1130"/>
      <c r="K727" s="1130"/>
      <c r="L727" s="1130"/>
      <c r="M727" s="1130"/>
      <c r="N727" s="1130"/>
      <c r="O727" s="1130"/>
      <c r="P727" s="1130"/>
      <c r="Q727" s="1130"/>
      <c r="R727" s="1130"/>
      <c r="S727" s="1130"/>
      <c r="T727" s="1130"/>
      <c r="U727" s="1130"/>
      <c r="V727" s="1130"/>
      <c r="W727" s="1130"/>
      <c r="X727" s="1130"/>
      <c r="Y727" s="1130"/>
      <c r="Z727" s="1130"/>
    </row>
    <row r="728" spans="1:26" ht="15.75" customHeight="1">
      <c r="A728" s="1130"/>
      <c r="B728" s="1130"/>
      <c r="C728" s="1130"/>
      <c r="D728" s="1130"/>
      <c r="E728" s="1130"/>
      <c r="F728" s="1130"/>
      <c r="G728" s="1130"/>
      <c r="H728" s="1130"/>
      <c r="I728" s="1130"/>
      <c r="J728" s="1130"/>
      <c r="K728" s="1130"/>
      <c r="L728" s="1130"/>
      <c r="M728" s="1130"/>
      <c r="N728" s="1130"/>
      <c r="O728" s="1130"/>
      <c r="P728" s="1130"/>
      <c r="Q728" s="1130"/>
      <c r="R728" s="1130"/>
      <c r="S728" s="1130"/>
      <c r="T728" s="1130"/>
      <c r="U728" s="1130"/>
      <c r="V728" s="1130"/>
      <c r="W728" s="1130"/>
      <c r="X728" s="1130"/>
      <c r="Y728" s="1130"/>
      <c r="Z728" s="1130"/>
    </row>
    <row r="729" spans="1:26" ht="15.75" customHeight="1">
      <c r="A729" s="1130"/>
      <c r="B729" s="1130"/>
      <c r="C729" s="1130"/>
      <c r="D729" s="1130"/>
      <c r="E729" s="1130"/>
      <c r="F729" s="1130"/>
      <c r="G729" s="1130"/>
      <c r="H729" s="1130"/>
      <c r="I729" s="1130"/>
      <c r="J729" s="1130"/>
      <c r="K729" s="1130"/>
      <c r="L729" s="1130"/>
      <c r="M729" s="1130"/>
      <c r="N729" s="1130"/>
      <c r="O729" s="1130"/>
      <c r="P729" s="1130"/>
      <c r="Q729" s="1130"/>
      <c r="R729" s="1130"/>
      <c r="S729" s="1130"/>
      <c r="T729" s="1130"/>
      <c r="U729" s="1130"/>
      <c r="V729" s="1130"/>
      <c r="W729" s="1130"/>
      <c r="X729" s="1130"/>
      <c r="Y729" s="1130"/>
      <c r="Z729" s="1130"/>
    </row>
    <row r="730" spans="1:26" ht="15.75" customHeight="1">
      <c r="A730" s="1130"/>
      <c r="B730" s="1130"/>
      <c r="C730" s="1130"/>
      <c r="D730" s="1130"/>
      <c r="E730" s="1130"/>
      <c r="F730" s="1130"/>
      <c r="G730" s="1130"/>
      <c r="H730" s="1130"/>
      <c r="I730" s="1130"/>
      <c r="J730" s="1130"/>
      <c r="K730" s="1130"/>
      <c r="L730" s="1130"/>
      <c r="M730" s="1130"/>
      <c r="N730" s="1130"/>
      <c r="O730" s="1130"/>
      <c r="P730" s="1130"/>
      <c r="Q730" s="1130"/>
      <c r="R730" s="1130"/>
      <c r="S730" s="1130"/>
      <c r="T730" s="1130"/>
      <c r="U730" s="1130"/>
      <c r="V730" s="1130"/>
      <c r="W730" s="1130"/>
      <c r="X730" s="1130"/>
      <c r="Y730" s="1130"/>
      <c r="Z730" s="1130"/>
    </row>
    <row r="731" spans="1:26" ht="15.75" customHeight="1">
      <c r="A731" s="1130"/>
      <c r="B731" s="1130"/>
      <c r="C731" s="1130"/>
      <c r="D731" s="1130"/>
      <c r="E731" s="1130"/>
      <c r="F731" s="1130"/>
      <c r="G731" s="1130"/>
      <c r="H731" s="1130"/>
      <c r="I731" s="1130"/>
      <c r="J731" s="1130"/>
      <c r="K731" s="1130"/>
      <c r="L731" s="1130"/>
      <c r="M731" s="1130"/>
      <c r="N731" s="1130"/>
      <c r="O731" s="1130"/>
      <c r="P731" s="1130"/>
      <c r="Q731" s="1130"/>
      <c r="R731" s="1130"/>
      <c r="S731" s="1130"/>
      <c r="T731" s="1130"/>
      <c r="U731" s="1130"/>
      <c r="V731" s="1130"/>
      <c r="W731" s="1130"/>
      <c r="X731" s="1130"/>
      <c r="Y731" s="1130"/>
      <c r="Z731" s="1130"/>
    </row>
    <row r="732" spans="1:26" ht="15.75" customHeight="1">
      <c r="A732" s="1130"/>
      <c r="B732" s="1130"/>
      <c r="C732" s="1130"/>
      <c r="D732" s="1130"/>
      <c r="E732" s="1130"/>
      <c r="F732" s="1130"/>
      <c r="G732" s="1130"/>
      <c r="H732" s="1130"/>
      <c r="I732" s="1130"/>
      <c r="J732" s="1130"/>
      <c r="K732" s="1130"/>
      <c r="L732" s="1130"/>
      <c r="M732" s="1130"/>
      <c r="N732" s="1130"/>
      <c r="O732" s="1130"/>
      <c r="P732" s="1130"/>
      <c r="Q732" s="1130"/>
      <c r="R732" s="1130"/>
      <c r="S732" s="1130"/>
      <c r="T732" s="1130"/>
      <c r="U732" s="1130"/>
      <c r="V732" s="1130"/>
      <c r="W732" s="1130"/>
      <c r="X732" s="1130"/>
      <c r="Y732" s="1130"/>
      <c r="Z732" s="1130"/>
    </row>
    <row r="733" spans="1:26" ht="15.75" customHeight="1">
      <c r="A733" s="1130"/>
      <c r="B733" s="1130"/>
      <c r="C733" s="1130"/>
      <c r="D733" s="1130"/>
      <c r="E733" s="1130"/>
      <c r="F733" s="1130"/>
      <c r="G733" s="1130"/>
      <c r="H733" s="1130"/>
      <c r="I733" s="1130"/>
      <c r="J733" s="1130"/>
      <c r="K733" s="1130"/>
      <c r="L733" s="1130"/>
      <c r="M733" s="1130"/>
      <c r="N733" s="1130"/>
      <c r="O733" s="1130"/>
      <c r="P733" s="1130"/>
      <c r="Q733" s="1130"/>
      <c r="R733" s="1130"/>
      <c r="S733" s="1130"/>
      <c r="T733" s="1130"/>
      <c r="U733" s="1130"/>
      <c r="V733" s="1130"/>
      <c r="W733" s="1130"/>
      <c r="X733" s="1130"/>
      <c r="Y733" s="1130"/>
      <c r="Z733" s="1130"/>
    </row>
    <row r="734" spans="1:26" ht="15.75" customHeight="1">
      <c r="A734" s="1130"/>
      <c r="B734" s="1130"/>
      <c r="C734" s="1130"/>
      <c r="D734" s="1130"/>
      <c r="E734" s="1130"/>
      <c r="F734" s="1130"/>
      <c r="G734" s="1130"/>
      <c r="H734" s="1130"/>
      <c r="I734" s="1130"/>
      <c r="J734" s="1130"/>
      <c r="K734" s="1130"/>
      <c r="L734" s="1130"/>
      <c r="M734" s="1130"/>
      <c r="N734" s="1130"/>
      <c r="O734" s="1130"/>
      <c r="P734" s="1130"/>
      <c r="Q734" s="1130"/>
      <c r="R734" s="1130"/>
      <c r="S734" s="1130"/>
      <c r="T734" s="1130"/>
      <c r="U734" s="1130"/>
      <c r="V734" s="1130"/>
      <c r="W734" s="1130"/>
      <c r="X734" s="1130"/>
      <c r="Y734" s="1130"/>
      <c r="Z734" s="1130"/>
    </row>
    <row r="735" spans="1:26" ht="15.75" customHeight="1">
      <c r="A735" s="1130"/>
      <c r="B735" s="1130"/>
      <c r="C735" s="1130"/>
      <c r="D735" s="1130"/>
      <c r="E735" s="1130"/>
      <c r="F735" s="1130"/>
      <c r="G735" s="1130"/>
      <c r="H735" s="1130"/>
      <c r="I735" s="1130"/>
      <c r="J735" s="1130"/>
      <c r="K735" s="1130"/>
      <c r="L735" s="1130"/>
      <c r="M735" s="1130"/>
      <c r="N735" s="1130"/>
      <c r="O735" s="1130"/>
      <c r="P735" s="1130"/>
      <c r="Q735" s="1130"/>
      <c r="R735" s="1130"/>
      <c r="S735" s="1130"/>
      <c r="T735" s="1130"/>
      <c r="U735" s="1130"/>
      <c r="V735" s="1130"/>
      <c r="W735" s="1130"/>
      <c r="X735" s="1130"/>
      <c r="Y735" s="1130"/>
      <c r="Z735" s="1130"/>
    </row>
    <row r="736" spans="1:26" ht="15.75" customHeight="1">
      <c r="A736" s="1130"/>
      <c r="B736" s="1130"/>
      <c r="C736" s="1130"/>
      <c r="D736" s="1130"/>
      <c r="E736" s="1130"/>
      <c r="F736" s="1130"/>
      <c r="G736" s="1130"/>
      <c r="H736" s="1130"/>
      <c r="I736" s="1130"/>
      <c r="J736" s="1130"/>
      <c r="K736" s="1130"/>
      <c r="L736" s="1130"/>
      <c r="M736" s="1130"/>
      <c r="N736" s="1130"/>
      <c r="O736" s="1130"/>
      <c r="P736" s="1130"/>
      <c r="Q736" s="1130"/>
      <c r="R736" s="1130"/>
      <c r="S736" s="1130"/>
      <c r="T736" s="1130"/>
      <c r="U736" s="1130"/>
      <c r="V736" s="1130"/>
      <c r="W736" s="1130"/>
      <c r="X736" s="1130"/>
      <c r="Y736" s="1130"/>
      <c r="Z736" s="1130"/>
    </row>
    <row r="737" spans="1:26" ht="15.75" customHeight="1">
      <c r="A737" s="1130"/>
      <c r="B737" s="1130"/>
      <c r="C737" s="1130"/>
      <c r="D737" s="1130"/>
      <c r="E737" s="1130"/>
      <c r="F737" s="1130"/>
      <c r="G737" s="1130"/>
      <c r="H737" s="1130"/>
      <c r="I737" s="1130"/>
      <c r="J737" s="1130"/>
      <c r="K737" s="1130"/>
      <c r="L737" s="1130"/>
      <c r="M737" s="1130"/>
      <c r="N737" s="1130"/>
      <c r="O737" s="1130"/>
      <c r="P737" s="1130"/>
      <c r="Q737" s="1130"/>
      <c r="R737" s="1130"/>
      <c r="S737" s="1130"/>
      <c r="T737" s="1130"/>
      <c r="U737" s="1130"/>
      <c r="V737" s="1130"/>
      <c r="W737" s="1130"/>
      <c r="X737" s="1130"/>
      <c r="Y737" s="1130"/>
      <c r="Z737" s="1130"/>
    </row>
    <row r="738" spans="1:26" ht="15.75" customHeight="1">
      <c r="A738" s="1130"/>
      <c r="B738" s="1130"/>
      <c r="C738" s="1130"/>
      <c r="D738" s="1130"/>
      <c r="E738" s="1130"/>
      <c r="F738" s="1130"/>
      <c r="G738" s="1130"/>
      <c r="H738" s="1130"/>
      <c r="I738" s="1130"/>
      <c r="J738" s="1130"/>
      <c r="K738" s="1130"/>
      <c r="L738" s="1130"/>
      <c r="M738" s="1130"/>
      <c r="N738" s="1130"/>
      <c r="O738" s="1130"/>
      <c r="P738" s="1130"/>
      <c r="Q738" s="1130"/>
      <c r="R738" s="1130"/>
      <c r="S738" s="1130"/>
      <c r="T738" s="1130"/>
      <c r="U738" s="1130"/>
      <c r="V738" s="1130"/>
      <c r="W738" s="1130"/>
      <c r="X738" s="1130"/>
      <c r="Y738" s="1130"/>
      <c r="Z738" s="1130"/>
    </row>
    <row r="739" spans="1:26" ht="15.75" customHeight="1">
      <c r="A739" s="1130"/>
      <c r="B739" s="1130"/>
      <c r="C739" s="1130"/>
      <c r="D739" s="1130"/>
      <c r="E739" s="1130"/>
      <c r="F739" s="1130"/>
      <c r="G739" s="1130"/>
      <c r="H739" s="1130"/>
      <c r="I739" s="1130"/>
      <c r="J739" s="1130"/>
      <c r="K739" s="1130"/>
      <c r="L739" s="1130"/>
      <c r="M739" s="1130"/>
      <c r="N739" s="1130"/>
      <c r="O739" s="1130"/>
      <c r="P739" s="1130"/>
      <c r="Q739" s="1130"/>
      <c r="R739" s="1130"/>
      <c r="S739" s="1130"/>
      <c r="T739" s="1130"/>
      <c r="U739" s="1130"/>
      <c r="V739" s="1130"/>
      <c r="W739" s="1130"/>
      <c r="X739" s="1130"/>
      <c r="Y739" s="1130"/>
      <c r="Z739" s="1130"/>
    </row>
    <row r="740" spans="1:26" ht="15.75" customHeight="1">
      <c r="A740" s="1130"/>
      <c r="B740" s="1130"/>
      <c r="C740" s="1130"/>
      <c r="D740" s="1130"/>
      <c r="E740" s="1130"/>
      <c r="F740" s="1130"/>
      <c r="G740" s="1130"/>
      <c r="H740" s="1130"/>
      <c r="I740" s="1130"/>
      <c r="J740" s="1130"/>
      <c r="K740" s="1130"/>
      <c r="L740" s="1130"/>
      <c r="M740" s="1130"/>
      <c r="N740" s="1130"/>
      <c r="O740" s="1130"/>
      <c r="P740" s="1130"/>
      <c r="Q740" s="1130"/>
      <c r="R740" s="1130"/>
      <c r="S740" s="1130"/>
      <c r="T740" s="1130"/>
      <c r="U740" s="1130"/>
      <c r="V740" s="1130"/>
      <c r="W740" s="1130"/>
      <c r="X740" s="1130"/>
      <c r="Y740" s="1130"/>
      <c r="Z740" s="1130"/>
    </row>
    <row r="741" spans="1:26" ht="15.75" customHeight="1">
      <c r="A741" s="1130"/>
      <c r="B741" s="1130"/>
      <c r="C741" s="1130"/>
      <c r="D741" s="1130"/>
      <c r="E741" s="1130"/>
      <c r="F741" s="1130"/>
      <c r="G741" s="1130"/>
      <c r="H741" s="1130"/>
      <c r="I741" s="1130"/>
      <c r="J741" s="1130"/>
      <c r="K741" s="1130"/>
      <c r="L741" s="1130"/>
      <c r="M741" s="1130"/>
      <c r="N741" s="1130"/>
      <c r="O741" s="1130"/>
      <c r="P741" s="1130"/>
      <c r="Q741" s="1130"/>
      <c r="R741" s="1130"/>
      <c r="S741" s="1130"/>
      <c r="T741" s="1130"/>
      <c r="U741" s="1130"/>
      <c r="V741" s="1130"/>
      <c r="W741" s="1130"/>
      <c r="X741" s="1130"/>
      <c r="Y741" s="1130"/>
      <c r="Z741" s="1130"/>
    </row>
    <row r="742" spans="1:26" ht="15.75" customHeight="1">
      <c r="A742" s="1130"/>
      <c r="B742" s="1130"/>
      <c r="C742" s="1130"/>
      <c r="D742" s="1130"/>
      <c r="E742" s="1130"/>
      <c r="F742" s="1130"/>
      <c r="G742" s="1130"/>
      <c r="H742" s="1130"/>
      <c r="I742" s="1130"/>
      <c r="J742" s="1130"/>
      <c r="K742" s="1130"/>
      <c r="L742" s="1130"/>
      <c r="M742" s="1130"/>
      <c r="N742" s="1130"/>
      <c r="O742" s="1130"/>
      <c r="P742" s="1130"/>
      <c r="Q742" s="1130"/>
      <c r="R742" s="1130"/>
      <c r="S742" s="1130"/>
      <c r="T742" s="1130"/>
      <c r="U742" s="1130"/>
      <c r="V742" s="1130"/>
      <c r="W742" s="1130"/>
      <c r="X742" s="1130"/>
      <c r="Y742" s="1130"/>
      <c r="Z742" s="1130"/>
    </row>
    <row r="743" spans="1:26" ht="15.75" customHeight="1">
      <c r="A743" s="1130"/>
      <c r="B743" s="1130"/>
      <c r="C743" s="1130"/>
      <c r="D743" s="1130"/>
      <c r="E743" s="1130"/>
      <c r="F743" s="1130"/>
      <c r="G743" s="1130"/>
      <c r="H743" s="1130"/>
      <c r="I743" s="1130"/>
      <c r="J743" s="1130"/>
      <c r="K743" s="1130"/>
      <c r="L743" s="1130"/>
      <c r="M743" s="1130"/>
      <c r="N743" s="1130"/>
      <c r="O743" s="1130"/>
      <c r="P743" s="1130"/>
      <c r="Q743" s="1130"/>
      <c r="R743" s="1130"/>
      <c r="S743" s="1130"/>
      <c r="T743" s="1130"/>
      <c r="U743" s="1130"/>
      <c r="V743" s="1130"/>
      <c r="W743" s="1130"/>
      <c r="X743" s="1130"/>
      <c r="Y743" s="1130"/>
      <c r="Z743" s="1130"/>
    </row>
    <row r="744" spans="1:26" ht="15.75" customHeight="1">
      <c r="A744" s="1130"/>
      <c r="B744" s="1130"/>
      <c r="C744" s="1130"/>
      <c r="D744" s="1130"/>
      <c r="E744" s="1130"/>
      <c r="F744" s="1130"/>
      <c r="G744" s="1130"/>
      <c r="H744" s="1130"/>
      <c r="I744" s="1130"/>
      <c r="J744" s="1130"/>
      <c r="K744" s="1130"/>
      <c r="L744" s="1130"/>
      <c r="M744" s="1130"/>
      <c r="N744" s="1130"/>
      <c r="O744" s="1130"/>
      <c r="P744" s="1130"/>
      <c r="Q744" s="1130"/>
      <c r="R744" s="1130"/>
      <c r="S744" s="1130"/>
      <c r="T744" s="1130"/>
      <c r="U744" s="1130"/>
      <c r="V744" s="1130"/>
      <c r="W744" s="1130"/>
      <c r="X744" s="1130"/>
      <c r="Y744" s="1130"/>
      <c r="Z744" s="1130"/>
    </row>
    <row r="745" spans="1:26" ht="15.75" customHeight="1">
      <c r="A745" s="1130"/>
      <c r="B745" s="1130"/>
      <c r="C745" s="1130"/>
      <c r="D745" s="1130"/>
      <c r="E745" s="1130"/>
      <c r="F745" s="1130"/>
      <c r="G745" s="1130"/>
      <c r="H745" s="1130"/>
      <c r="I745" s="1130"/>
      <c r="J745" s="1130"/>
      <c r="K745" s="1130"/>
      <c r="L745" s="1130"/>
      <c r="M745" s="1130"/>
      <c r="N745" s="1130"/>
      <c r="O745" s="1130"/>
      <c r="P745" s="1130"/>
      <c r="Q745" s="1130"/>
      <c r="R745" s="1130"/>
      <c r="S745" s="1130"/>
      <c r="T745" s="1130"/>
      <c r="U745" s="1130"/>
      <c r="V745" s="1130"/>
      <c r="W745" s="1130"/>
      <c r="X745" s="1130"/>
      <c r="Y745" s="1130"/>
      <c r="Z745" s="1130"/>
    </row>
    <row r="746" spans="1:26" ht="15.75" customHeight="1">
      <c r="A746" s="1130"/>
      <c r="B746" s="1130"/>
      <c r="C746" s="1130"/>
      <c r="D746" s="1130"/>
      <c r="E746" s="1130"/>
      <c r="F746" s="1130"/>
      <c r="G746" s="1130"/>
      <c r="H746" s="1130"/>
      <c r="I746" s="1130"/>
      <c r="J746" s="1130"/>
      <c r="K746" s="1130"/>
      <c r="L746" s="1130"/>
      <c r="M746" s="1130"/>
      <c r="N746" s="1130"/>
      <c r="O746" s="1130"/>
      <c r="P746" s="1130"/>
      <c r="Q746" s="1130"/>
      <c r="R746" s="1130"/>
      <c r="S746" s="1130"/>
      <c r="T746" s="1130"/>
      <c r="U746" s="1130"/>
      <c r="V746" s="1130"/>
      <c r="W746" s="1130"/>
      <c r="X746" s="1130"/>
      <c r="Y746" s="1130"/>
      <c r="Z746" s="1130"/>
    </row>
    <row r="747" spans="1:26" ht="15.75" customHeight="1">
      <c r="A747" s="1130"/>
      <c r="B747" s="1130"/>
      <c r="C747" s="1130"/>
      <c r="D747" s="1130"/>
      <c r="E747" s="1130"/>
      <c r="F747" s="1130"/>
      <c r="G747" s="1130"/>
      <c r="H747" s="1130"/>
      <c r="I747" s="1130"/>
      <c r="J747" s="1130"/>
      <c r="K747" s="1130"/>
      <c r="L747" s="1130"/>
      <c r="M747" s="1130"/>
      <c r="N747" s="1130"/>
      <c r="O747" s="1130"/>
      <c r="P747" s="1130"/>
      <c r="Q747" s="1130"/>
      <c r="R747" s="1130"/>
      <c r="S747" s="1130"/>
      <c r="T747" s="1130"/>
      <c r="U747" s="1130"/>
      <c r="V747" s="1130"/>
      <c r="W747" s="1130"/>
      <c r="X747" s="1130"/>
      <c r="Y747" s="1130"/>
      <c r="Z747" s="1130"/>
    </row>
    <row r="748" spans="1:26" ht="15.75" customHeight="1">
      <c r="A748" s="1130"/>
      <c r="B748" s="1130"/>
      <c r="C748" s="1130"/>
      <c r="D748" s="1130"/>
      <c r="E748" s="1130"/>
      <c r="F748" s="1130"/>
      <c r="G748" s="1130"/>
      <c r="H748" s="1130"/>
      <c r="I748" s="1130"/>
      <c r="J748" s="1130"/>
      <c r="K748" s="1130"/>
      <c r="L748" s="1130"/>
      <c r="M748" s="1130"/>
      <c r="N748" s="1130"/>
      <c r="O748" s="1130"/>
      <c r="P748" s="1130"/>
      <c r="Q748" s="1130"/>
      <c r="R748" s="1130"/>
      <c r="S748" s="1130"/>
      <c r="T748" s="1130"/>
      <c r="U748" s="1130"/>
      <c r="V748" s="1130"/>
      <c r="W748" s="1130"/>
      <c r="X748" s="1130"/>
      <c r="Y748" s="1130"/>
      <c r="Z748" s="1130"/>
    </row>
    <row r="749" spans="1:26" ht="15.75" customHeight="1">
      <c r="A749" s="1130"/>
      <c r="B749" s="1130"/>
      <c r="C749" s="1130"/>
      <c r="D749" s="1130"/>
      <c r="E749" s="1130"/>
      <c r="F749" s="1130"/>
      <c r="G749" s="1130"/>
      <c r="H749" s="1130"/>
      <c r="I749" s="1130"/>
      <c r="J749" s="1130"/>
      <c r="K749" s="1130"/>
      <c r="L749" s="1130"/>
      <c r="M749" s="1130"/>
      <c r="N749" s="1130"/>
      <c r="O749" s="1130"/>
      <c r="P749" s="1130"/>
      <c r="Q749" s="1130"/>
      <c r="R749" s="1130"/>
      <c r="S749" s="1130"/>
      <c r="T749" s="1130"/>
      <c r="U749" s="1130"/>
      <c r="V749" s="1130"/>
      <c r="W749" s="1130"/>
      <c r="X749" s="1130"/>
      <c r="Y749" s="1130"/>
      <c r="Z749" s="1130"/>
    </row>
    <row r="750" spans="1:26" ht="15.75" customHeight="1">
      <c r="A750" s="1130"/>
      <c r="B750" s="1130"/>
      <c r="C750" s="1130"/>
      <c r="D750" s="1130"/>
      <c r="E750" s="1130"/>
      <c r="F750" s="1130"/>
      <c r="G750" s="1130"/>
      <c r="H750" s="1130"/>
      <c r="I750" s="1130"/>
      <c r="J750" s="1130"/>
      <c r="K750" s="1130"/>
      <c r="L750" s="1130"/>
      <c r="M750" s="1130"/>
      <c r="N750" s="1130"/>
      <c r="O750" s="1130"/>
      <c r="P750" s="1130"/>
      <c r="Q750" s="1130"/>
      <c r="R750" s="1130"/>
      <c r="S750" s="1130"/>
      <c r="T750" s="1130"/>
      <c r="U750" s="1130"/>
      <c r="V750" s="1130"/>
      <c r="W750" s="1130"/>
      <c r="X750" s="1130"/>
      <c r="Y750" s="1130"/>
      <c r="Z750" s="1130"/>
    </row>
    <row r="751" spans="1:26" ht="15.75" customHeight="1">
      <c r="A751" s="1130"/>
      <c r="B751" s="1130"/>
      <c r="C751" s="1130"/>
      <c r="D751" s="1130"/>
      <c r="E751" s="1130"/>
      <c r="F751" s="1130"/>
      <c r="G751" s="1130"/>
      <c r="H751" s="1130"/>
      <c r="I751" s="1130"/>
      <c r="J751" s="1130"/>
      <c r="K751" s="1130"/>
      <c r="L751" s="1130"/>
      <c r="M751" s="1130"/>
      <c r="N751" s="1130"/>
      <c r="O751" s="1130"/>
      <c r="P751" s="1130"/>
      <c r="Q751" s="1130"/>
      <c r="R751" s="1130"/>
      <c r="S751" s="1130"/>
      <c r="T751" s="1130"/>
      <c r="U751" s="1130"/>
      <c r="V751" s="1130"/>
      <c r="W751" s="1130"/>
      <c r="X751" s="1130"/>
      <c r="Y751" s="1130"/>
      <c r="Z751" s="1130"/>
    </row>
    <row r="752" spans="1:26" ht="15.75" customHeight="1">
      <c r="A752" s="1130"/>
      <c r="B752" s="1130"/>
      <c r="C752" s="1130"/>
      <c r="D752" s="1130"/>
      <c r="E752" s="1130"/>
      <c r="F752" s="1130"/>
      <c r="G752" s="1130"/>
      <c r="H752" s="1130"/>
      <c r="I752" s="1130"/>
      <c r="J752" s="1130"/>
      <c r="K752" s="1130"/>
      <c r="L752" s="1130"/>
      <c r="M752" s="1130"/>
      <c r="N752" s="1130"/>
      <c r="O752" s="1130"/>
      <c r="P752" s="1130"/>
      <c r="Q752" s="1130"/>
      <c r="R752" s="1130"/>
      <c r="S752" s="1130"/>
      <c r="T752" s="1130"/>
      <c r="U752" s="1130"/>
      <c r="V752" s="1130"/>
      <c r="W752" s="1130"/>
      <c r="X752" s="1130"/>
      <c r="Y752" s="1130"/>
      <c r="Z752" s="1130"/>
    </row>
    <row r="753" spans="1:26" ht="15.75" customHeight="1">
      <c r="A753" s="1130"/>
      <c r="B753" s="1130"/>
      <c r="C753" s="1130"/>
      <c r="D753" s="1130"/>
      <c r="E753" s="1130"/>
      <c r="F753" s="1130"/>
      <c r="G753" s="1130"/>
      <c r="H753" s="1130"/>
      <c r="I753" s="1130"/>
      <c r="J753" s="1130"/>
      <c r="K753" s="1130"/>
      <c r="L753" s="1130"/>
      <c r="M753" s="1130"/>
      <c r="N753" s="1130"/>
      <c r="O753" s="1130"/>
      <c r="P753" s="1130"/>
      <c r="Q753" s="1130"/>
      <c r="R753" s="1130"/>
      <c r="S753" s="1130"/>
      <c r="T753" s="1130"/>
      <c r="U753" s="1130"/>
      <c r="V753" s="1130"/>
      <c r="W753" s="1130"/>
      <c r="X753" s="1130"/>
      <c r="Y753" s="1130"/>
      <c r="Z753" s="1130"/>
    </row>
    <row r="754" spans="1:26" ht="15.75" customHeight="1">
      <c r="A754" s="1130"/>
      <c r="B754" s="1130"/>
      <c r="C754" s="1130"/>
      <c r="D754" s="1130"/>
      <c r="E754" s="1130"/>
      <c r="F754" s="1130"/>
      <c r="G754" s="1130"/>
      <c r="H754" s="1130"/>
      <c r="I754" s="1130"/>
      <c r="J754" s="1130"/>
      <c r="K754" s="1130"/>
      <c r="L754" s="1130"/>
      <c r="M754" s="1130"/>
      <c r="N754" s="1130"/>
      <c r="O754" s="1130"/>
      <c r="P754" s="1130"/>
      <c r="Q754" s="1130"/>
      <c r="R754" s="1130"/>
      <c r="S754" s="1130"/>
      <c r="T754" s="1130"/>
      <c r="U754" s="1130"/>
      <c r="V754" s="1130"/>
      <c r="W754" s="1130"/>
      <c r="X754" s="1130"/>
      <c r="Y754" s="1130"/>
      <c r="Z754" s="1130"/>
    </row>
    <row r="755" spans="1:26" ht="15.75" customHeight="1">
      <c r="A755" s="1130"/>
      <c r="B755" s="1130"/>
      <c r="C755" s="1130"/>
      <c r="D755" s="1130"/>
      <c r="E755" s="1130"/>
      <c r="F755" s="1130"/>
      <c r="G755" s="1130"/>
      <c r="H755" s="1130"/>
      <c r="I755" s="1130"/>
      <c r="J755" s="1130"/>
      <c r="K755" s="1130"/>
      <c r="L755" s="1130"/>
      <c r="M755" s="1130"/>
      <c r="N755" s="1130"/>
      <c r="O755" s="1130"/>
      <c r="P755" s="1130"/>
      <c r="Q755" s="1130"/>
      <c r="R755" s="1130"/>
      <c r="S755" s="1130"/>
      <c r="T755" s="1130"/>
      <c r="U755" s="1130"/>
      <c r="V755" s="1130"/>
      <c r="W755" s="1130"/>
      <c r="X755" s="1130"/>
      <c r="Y755" s="1130"/>
      <c r="Z755" s="1130"/>
    </row>
    <row r="756" spans="1:26" ht="15.75" customHeight="1">
      <c r="A756" s="1130"/>
      <c r="B756" s="1130"/>
      <c r="C756" s="1130"/>
      <c r="D756" s="1130"/>
      <c r="E756" s="1130"/>
      <c r="F756" s="1130"/>
      <c r="G756" s="1130"/>
      <c r="H756" s="1130"/>
      <c r="I756" s="1130"/>
      <c r="J756" s="1130"/>
      <c r="K756" s="1130"/>
      <c r="L756" s="1130"/>
      <c r="M756" s="1130"/>
      <c r="N756" s="1130"/>
      <c r="O756" s="1130"/>
      <c r="P756" s="1130"/>
      <c r="Q756" s="1130"/>
      <c r="R756" s="1130"/>
      <c r="S756" s="1130"/>
      <c r="T756" s="1130"/>
      <c r="U756" s="1130"/>
      <c r="V756" s="1130"/>
      <c r="W756" s="1130"/>
      <c r="X756" s="1130"/>
      <c r="Y756" s="1130"/>
      <c r="Z756" s="1130"/>
    </row>
    <row r="757" spans="1:26" ht="15.75" customHeight="1">
      <c r="A757" s="1130"/>
      <c r="B757" s="1130"/>
      <c r="C757" s="1130"/>
      <c r="D757" s="1130"/>
      <c r="E757" s="1130"/>
      <c r="F757" s="1130"/>
      <c r="G757" s="1130"/>
      <c r="H757" s="1130"/>
      <c r="I757" s="1130"/>
      <c r="J757" s="1130"/>
      <c r="K757" s="1130"/>
      <c r="L757" s="1130"/>
      <c r="M757" s="1130"/>
      <c r="N757" s="1130"/>
      <c r="O757" s="1130"/>
      <c r="P757" s="1130"/>
      <c r="Q757" s="1130"/>
      <c r="R757" s="1130"/>
      <c r="S757" s="1130"/>
      <c r="T757" s="1130"/>
      <c r="U757" s="1130"/>
      <c r="V757" s="1130"/>
      <c r="W757" s="1130"/>
      <c r="X757" s="1130"/>
      <c r="Y757" s="1130"/>
      <c r="Z757" s="1130"/>
    </row>
    <row r="758" spans="1:26" ht="15.75" customHeight="1">
      <c r="A758" s="1130"/>
      <c r="B758" s="1130"/>
      <c r="C758" s="1130"/>
      <c r="D758" s="1130"/>
      <c r="E758" s="1130"/>
      <c r="F758" s="1130"/>
      <c r="G758" s="1130"/>
      <c r="H758" s="1130"/>
      <c r="I758" s="1130"/>
      <c r="J758" s="1130"/>
      <c r="K758" s="1130"/>
      <c r="L758" s="1130"/>
      <c r="M758" s="1130"/>
      <c r="N758" s="1130"/>
      <c r="O758" s="1130"/>
      <c r="P758" s="1130"/>
      <c r="Q758" s="1130"/>
      <c r="R758" s="1130"/>
      <c r="S758" s="1130"/>
      <c r="T758" s="1130"/>
      <c r="U758" s="1130"/>
      <c r="V758" s="1130"/>
      <c r="W758" s="1130"/>
      <c r="X758" s="1130"/>
      <c r="Y758" s="1130"/>
      <c r="Z758" s="1130"/>
    </row>
    <row r="759" spans="1:26" ht="15.75" customHeight="1">
      <c r="A759" s="1130"/>
      <c r="B759" s="1130"/>
      <c r="C759" s="1130"/>
      <c r="D759" s="1130"/>
      <c r="E759" s="1130"/>
      <c r="F759" s="1130"/>
      <c r="G759" s="1130"/>
      <c r="H759" s="1130"/>
      <c r="I759" s="1130"/>
      <c r="J759" s="1130"/>
      <c r="K759" s="1130"/>
      <c r="L759" s="1130"/>
      <c r="M759" s="1130"/>
      <c r="N759" s="1130"/>
      <c r="O759" s="1130"/>
      <c r="P759" s="1130"/>
      <c r="Q759" s="1130"/>
      <c r="R759" s="1130"/>
      <c r="S759" s="1130"/>
      <c r="T759" s="1130"/>
      <c r="U759" s="1130"/>
      <c r="V759" s="1130"/>
      <c r="W759" s="1130"/>
      <c r="X759" s="1130"/>
      <c r="Y759" s="1130"/>
      <c r="Z759" s="1130"/>
    </row>
    <row r="760" spans="1:26" ht="15.75" customHeight="1">
      <c r="A760" s="1130"/>
      <c r="B760" s="1130"/>
      <c r="C760" s="1130"/>
      <c r="D760" s="1130"/>
      <c r="E760" s="1130"/>
      <c r="F760" s="1130"/>
      <c r="G760" s="1130"/>
      <c r="H760" s="1130"/>
      <c r="I760" s="1130"/>
      <c r="J760" s="1130"/>
      <c r="K760" s="1130"/>
      <c r="L760" s="1130"/>
      <c r="M760" s="1130"/>
      <c r="N760" s="1130"/>
      <c r="O760" s="1130"/>
      <c r="P760" s="1130"/>
      <c r="Q760" s="1130"/>
      <c r="R760" s="1130"/>
      <c r="S760" s="1130"/>
      <c r="T760" s="1130"/>
      <c r="U760" s="1130"/>
      <c r="V760" s="1130"/>
      <c r="W760" s="1130"/>
      <c r="X760" s="1130"/>
      <c r="Y760" s="1130"/>
      <c r="Z760" s="1130"/>
    </row>
    <row r="761" spans="1:26" ht="15.75" customHeight="1">
      <c r="A761" s="1130"/>
      <c r="B761" s="1130"/>
      <c r="C761" s="1130"/>
      <c r="D761" s="1130"/>
      <c r="E761" s="1130"/>
      <c r="F761" s="1130"/>
      <c r="G761" s="1130"/>
      <c r="H761" s="1130"/>
      <c r="I761" s="1130"/>
      <c r="J761" s="1130"/>
      <c r="K761" s="1130"/>
      <c r="L761" s="1130"/>
      <c r="M761" s="1130"/>
      <c r="N761" s="1130"/>
      <c r="O761" s="1130"/>
      <c r="P761" s="1130"/>
      <c r="Q761" s="1130"/>
      <c r="R761" s="1130"/>
      <c r="S761" s="1130"/>
      <c r="T761" s="1130"/>
      <c r="U761" s="1130"/>
      <c r="V761" s="1130"/>
      <c r="W761" s="1130"/>
      <c r="X761" s="1130"/>
      <c r="Y761" s="1130"/>
      <c r="Z761" s="1130"/>
    </row>
    <row r="762" spans="1:26" ht="15.75" customHeight="1">
      <c r="A762" s="1130"/>
      <c r="B762" s="1130"/>
      <c r="C762" s="1130"/>
      <c r="D762" s="1130"/>
      <c r="E762" s="1130"/>
      <c r="F762" s="1130"/>
      <c r="G762" s="1130"/>
      <c r="H762" s="1130"/>
      <c r="I762" s="1130"/>
      <c r="J762" s="1130"/>
      <c r="K762" s="1130"/>
      <c r="L762" s="1130"/>
      <c r="M762" s="1130"/>
      <c r="N762" s="1130"/>
      <c r="O762" s="1130"/>
      <c r="P762" s="1130"/>
      <c r="Q762" s="1130"/>
      <c r="R762" s="1130"/>
      <c r="S762" s="1130"/>
      <c r="T762" s="1130"/>
      <c r="U762" s="1130"/>
      <c r="V762" s="1130"/>
      <c r="W762" s="1130"/>
      <c r="X762" s="1130"/>
      <c r="Y762" s="1130"/>
      <c r="Z762" s="1130"/>
    </row>
    <row r="763" spans="1:26" ht="15.75" customHeight="1">
      <c r="A763" s="1130"/>
      <c r="B763" s="1130"/>
      <c r="C763" s="1130"/>
      <c r="D763" s="1130"/>
      <c r="E763" s="1130"/>
      <c r="F763" s="1130"/>
      <c r="G763" s="1130"/>
      <c r="H763" s="1130"/>
      <c r="I763" s="1130"/>
      <c r="J763" s="1130"/>
      <c r="K763" s="1130"/>
      <c r="L763" s="1130"/>
      <c r="M763" s="1130"/>
      <c r="N763" s="1130"/>
      <c r="O763" s="1130"/>
      <c r="P763" s="1130"/>
      <c r="Q763" s="1130"/>
      <c r="R763" s="1130"/>
      <c r="S763" s="1130"/>
      <c r="T763" s="1130"/>
      <c r="U763" s="1130"/>
      <c r="V763" s="1130"/>
      <c r="W763" s="1130"/>
      <c r="X763" s="1130"/>
      <c r="Y763" s="1130"/>
      <c r="Z763" s="1130"/>
    </row>
    <row r="764" spans="1:26" ht="15.75" customHeight="1">
      <c r="A764" s="1130"/>
      <c r="B764" s="1130"/>
      <c r="C764" s="1130"/>
      <c r="D764" s="1130"/>
      <c r="E764" s="1130"/>
      <c r="F764" s="1130"/>
      <c r="G764" s="1130"/>
      <c r="H764" s="1130"/>
      <c r="I764" s="1130"/>
      <c r="J764" s="1130"/>
      <c r="K764" s="1130"/>
      <c r="L764" s="1130"/>
      <c r="M764" s="1130"/>
      <c r="N764" s="1130"/>
      <c r="O764" s="1130"/>
      <c r="P764" s="1130"/>
      <c r="Q764" s="1130"/>
      <c r="R764" s="1130"/>
      <c r="S764" s="1130"/>
      <c r="T764" s="1130"/>
      <c r="U764" s="1130"/>
      <c r="V764" s="1130"/>
      <c r="W764" s="1130"/>
      <c r="X764" s="1130"/>
      <c r="Y764" s="1130"/>
      <c r="Z764" s="1130"/>
    </row>
    <row r="765" spans="1:26" ht="15.75" customHeight="1">
      <c r="A765" s="1130"/>
      <c r="B765" s="1130"/>
      <c r="C765" s="1130"/>
      <c r="D765" s="1130"/>
      <c r="E765" s="1130"/>
      <c r="F765" s="1130"/>
      <c r="G765" s="1130"/>
      <c r="H765" s="1130"/>
      <c r="I765" s="1130"/>
      <c r="J765" s="1130"/>
      <c r="K765" s="1130"/>
      <c r="L765" s="1130"/>
      <c r="M765" s="1130"/>
      <c r="N765" s="1130"/>
      <c r="O765" s="1130"/>
      <c r="P765" s="1130"/>
      <c r="Q765" s="1130"/>
      <c r="R765" s="1130"/>
      <c r="S765" s="1130"/>
      <c r="T765" s="1130"/>
      <c r="U765" s="1130"/>
      <c r="V765" s="1130"/>
      <c r="W765" s="1130"/>
      <c r="X765" s="1130"/>
      <c r="Y765" s="1130"/>
      <c r="Z765" s="1130"/>
    </row>
    <row r="766" spans="1:26" ht="15.75" customHeight="1">
      <c r="A766" s="1130"/>
      <c r="B766" s="1130"/>
      <c r="C766" s="1130"/>
      <c r="D766" s="1130"/>
      <c r="E766" s="1130"/>
      <c r="F766" s="1130"/>
      <c r="G766" s="1130"/>
      <c r="H766" s="1130"/>
      <c r="I766" s="1130"/>
      <c r="J766" s="1130"/>
      <c r="K766" s="1130"/>
      <c r="L766" s="1130"/>
      <c r="M766" s="1130"/>
      <c r="N766" s="1130"/>
      <c r="O766" s="1130"/>
      <c r="P766" s="1130"/>
      <c r="Q766" s="1130"/>
      <c r="R766" s="1130"/>
      <c r="S766" s="1130"/>
      <c r="T766" s="1130"/>
      <c r="U766" s="1130"/>
      <c r="V766" s="1130"/>
      <c r="W766" s="1130"/>
      <c r="X766" s="1130"/>
      <c r="Y766" s="1130"/>
      <c r="Z766" s="1130"/>
    </row>
    <row r="767" spans="1:26" ht="15.75" customHeight="1">
      <c r="A767" s="1130"/>
      <c r="B767" s="1130"/>
      <c r="C767" s="1130"/>
      <c r="D767" s="1130"/>
      <c r="E767" s="1130"/>
      <c r="F767" s="1130"/>
      <c r="G767" s="1130"/>
      <c r="H767" s="1130"/>
      <c r="I767" s="1130"/>
      <c r="J767" s="1130"/>
      <c r="K767" s="1130"/>
      <c r="L767" s="1130"/>
      <c r="M767" s="1130"/>
      <c r="N767" s="1130"/>
      <c r="O767" s="1130"/>
      <c r="P767" s="1130"/>
      <c r="Q767" s="1130"/>
      <c r="R767" s="1130"/>
      <c r="S767" s="1130"/>
      <c r="T767" s="1130"/>
      <c r="U767" s="1130"/>
      <c r="V767" s="1130"/>
      <c r="W767" s="1130"/>
      <c r="X767" s="1130"/>
      <c r="Y767" s="1130"/>
      <c r="Z767" s="1130"/>
    </row>
    <row r="768" spans="1:26" ht="15.75" customHeight="1">
      <c r="A768" s="1130"/>
      <c r="B768" s="1130"/>
      <c r="C768" s="1130"/>
      <c r="D768" s="1130"/>
      <c r="E768" s="1130"/>
      <c r="F768" s="1130"/>
      <c r="G768" s="1130"/>
      <c r="H768" s="1130"/>
      <c r="I768" s="1130"/>
      <c r="J768" s="1130"/>
      <c r="K768" s="1130"/>
      <c r="L768" s="1130"/>
      <c r="M768" s="1130"/>
      <c r="N768" s="1130"/>
      <c r="O768" s="1130"/>
      <c r="P768" s="1130"/>
      <c r="Q768" s="1130"/>
      <c r="R768" s="1130"/>
      <c r="S768" s="1130"/>
      <c r="T768" s="1130"/>
      <c r="U768" s="1130"/>
      <c r="V768" s="1130"/>
      <c r="W768" s="1130"/>
      <c r="X768" s="1130"/>
      <c r="Y768" s="1130"/>
      <c r="Z768" s="1130"/>
    </row>
    <row r="769" spans="1:26" ht="15.75" customHeight="1">
      <c r="A769" s="1130"/>
      <c r="B769" s="1130"/>
      <c r="C769" s="1130"/>
      <c r="D769" s="1130"/>
      <c r="E769" s="1130"/>
      <c r="F769" s="1130"/>
      <c r="G769" s="1130"/>
      <c r="H769" s="1130"/>
      <c r="I769" s="1130"/>
      <c r="J769" s="1130"/>
      <c r="K769" s="1130"/>
      <c r="L769" s="1130"/>
      <c r="M769" s="1130"/>
      <c r="N769" s="1130"/>
      <c r="O769" s="1130"/>
      <c r="P769" s="1130"/>
      <c r="Q769" s="1130"/>
      <c r="R769" s="1130"/>
      <c r="S769" s="1130"/>
      <c r="T769" s="1130"/>
      <c r="U769" s="1130"/>
      <c r="V769" s="1130"/>
      <c r="W769" s="1130"/>
      <c r="X769" s="1130"/>
      <c r="Y769" s="1130"/>
      <c r="Z769" s="1130"/>
    </row>
    <row r="770" spans="1:26" ht="15.75" customHeight="1">
      <c r="A770" s="1130"/>
      <c r="B770" s="1130"/>
      <c r="C770" s="1130"/>
      <c r="D770" s="1130"/>
      <c r="E770" s="1130"/>
      <c r="F770" s="1130"/>
      <c r="G770" s="1130"/>
      <c r="H770" s="1130"/>
      <c r="I770" s="1130"/>
      <c r="J770" s="1130"/>
      <c r="K770" s="1130"/>
      <c r="L770" s="1130"/>
      <c r="M770" s="1130"/>
      <c r="N770" s="1130"/>
      <c r="O770" s="1130"/>
      <c r="P770" s="1130"/>
      <c r="Q770" s="1130"/>
      <c r="R770" s="1130"/>
      <c r="S770" s="1130"/>
      <c r="T770" s="1130"/>
      <c r="U770" s="1130"/>
      <c r="V770" s="1130"/>
      <c r="W770" s="1130"/>
      <c r="X770" s="1130"/>
      <c r="Y770" s="1130"/>
      <c r="Z770" s="1130"/>
    </row>
    <row r="771" spans="1:26" ht="15.75" customHeight="1">
      <c r="A771" s="1130"/>
      <c r="B771" s="1130"/>
      <c r="C771" s="1130"/>
      <c r="D771" s="1130"/>
      <c r="E771" s="1130"/>
      <c r="F771" s="1130"/>
      <c r="G771" s="1130"/>
      <c r="H771" s="1130"/>
      <c r="I771" s="1130"/>
      <c r="J771" s="1130"/>
      <c r="K771" s="1130"/>
      <c r="L771" s="1130"/>
      <c r="M771" s="1130"/>
      <c r="N771" s="1130"/>
      <c r="O771" s="1130"/>
      <c r="P771" s="1130"/>
      <c r="Q771" s="1130"/>
      <c r="R771" s="1130"/>
      <c r="S771" s="1130"/>
      <c r="T771" s="1130"/>
      <c r="U771" s="1130"/>
      <c r="V771" s="1130"/>
      <c r="W771" s="1130"/>
      <c r="X771" s="1130"/>
      <c r="Y771" s="1130"/>
      <c r="Z771" s="1130"/>
    </row>
    <row r="772" spans="1:26" ht="15.75" customHeight="1">
      <c r="A772" s="1130"/>
      <c r="B772" s="1130"/>
      <c r="C772" s="1130"/>
      <c r="D772" s="1130"/>
      <c r="E772" s="1130"/>
      <c r="F772" s="1130"/>
      <c r="G772" s="1130"/>
      <c r="H772" s="1130"/>
      <c r="I772" s="1130"/>
      <c r="J772" s="1130"/>
      <c r="K772" s="1130"/>
      <c r="L772" s="1130"/>
      <c r="M772" s="1130"/>
      <c r="N772" s="1130"/>
      <c r="O772" s="1130"/>
      <c r="P772" s="1130"/>
      <c r="Q772" s="1130"/>
      <c r="R772" s="1130"/>
      <c r="S772" s="1130"/>
      <c r="T772" s="1130"/>
      <c r="U772" s="1130"/>
      <c r="V772" s="1130"/>
      <c r="W772" s="1130"/>
      <c r="X772" s="1130"/>
      <c r="Y772" s="1130"/>
      <c r="Z772" s="1130"/>
    </row>
    <row r="773" spans="1:26" ht="15.75" customHeight="1">
      <c r="A773" s="1130"/>
      <c r="B773" s="1130"/>
      <c r="C773" s="1130"/>
      <c r="D773" s="1130"/>
      <c r="E773" s="1130"/>
      <c r="F773" s="1130"/>
      <c r="G773" s="1130"/>
      <c r="H773" s="1130"/>
      <c r="I773" s="1130"/>
      <c r="J773" s="1130"/>
      <c r="K773" s="1130"/>
      <c r="L773" s="1130"/>
      <c r="M773" s="1130"/>
      <c r="N773" s="1130"/>
      <c r="O773" s="1130"/>
      <c r="P773" s="1130"/>
      <c r="Q773" s="1130"/>
      <c r="R773" s="1130"/>
      <c r="S773" s="1130"/>
      <c r="T773" s="1130"/>
      <c r="U773" s="1130"/>
      <c r="V773" s="1130"/>
      <c r="W773" s="1130"/>
      <c r="X773" s="1130"/>
      <c r="Y773" s="1130"/>
      <c r="Z773" s="1130"/>
    </row>
    <row r="774" spans="1:26" ht="15.75" customHeight="1">
      <c r="A774" s="1130"/>
      <c r="B774" s="1130"/>
      <c r="C774" s="1130"/>
      <c r="D774" s="1130"/>
      <c r="E774" s="1130"/>
      <c r="F774" s="1130"/>
      <c r="G774" s="1130"/>
      <c r="H774" s="1130"/>
      <c r="I774" s="1130"/>
      <c r="J774" s="1130"/>
      <c r="K774" s="1130"/>
      <c r="L774" s="1130"/>
      <c r="M774" s="1130"/>
      <c r="N774" s="1130"/>
      <c r="O774" s="1130"/>
      <c r="P774" s="1130"/>
      <c r="Q774" s="1130"/>
      <c r="R774" s="1130"/>
      <c r="S774" s="1130"/>
      <c r="T774" s="1130"/>
      <c r="U774" s="1130"/>
      <c r="V774" s="1130"/>
      <c r="W774" s="1130"/>
      <c r="X774" s="1130"/>
      <c r="Y774" s="1130"/>
      <c r="Z774" s="1130"/>
    </row>
    <row r="775" spans="1:26" ht="15.75" customHeight="1">
      <c r="A775" s="1130"/>
      <c r="B775" s="1130"/>
      <c r="C775" s="1130"/>
      <c r="D775" s="1130"/>
      <c r="E775" s="1130"/>
      <c r="F775" s="1130"/>
      <c r="G775" s="1130"/>
      <c r="H775" s="1130"/>
      <c r="I775" s="1130"/>
      <c r="J775" s="1130"/>
      <c r="K775" s="1130"/>
      <c r="L775" s="1130"/>
      <c r="M775" s="1130"/>
      <c r="N775" s="1130"/>
      <c r="O775" s="1130"/>
      <c r="P775" s="1130"/>
      <c r="Q775" s="1130"/>
      <c r="R775" s="1130"/>
      <c r="S775" s="1130"/>
      <c r="T775" s="1130"/>
      <c r="U775" s="1130"/>
      <c r="V775" s="1130"/>
      <c r="W775" s="1130"/>
      <c r="X775" s="1130"/>
      <c r="Y775" s="1130"/>
      <c r="Z775" s="1130"/>
    </row>
    <row r="776" spans="1:26" ht="15.75" customHeight="1">
      <c r="A776" s="1130"/>
      <c r="B776" s="1130"/>
      <c r="C776" s="1130"/>
      <c r="D776" s="1130"/>
      <c r="E776" s="1130"/>
      <c r="F776" s="1130"/>
      <c r="G776" s="1130"/>
      <c r="H776" s="1130"/>
      <c r="I776" s="1130"/>
      <c r="J776" s="1130"/>
      <c r="K776" s="1130"/>
      <c r="L776" s="1130"/>
      <c r="M776" s="1130"/>
      <c r="N776" s="1130"/>
      <c r="O776" s="1130"/>
      <c r="P776" s="1130"/>
      <c r="Q776" s="1130"/>
      <c r="R776" s="1130"/>
      <c r="S776" s="1130"/>
      <c r="T776" s="1130"/>
      <c r="U776" s="1130"/>
      <c r="V776" s="1130"/>
      <c r="W776" s="1130"/>
      <c r="X776" s="1130"/>
      <c r="Y776" s="1130"/>
      <c r="Z776" s="1130"/>
    </row>
    <row r="777" spans="1:26" ht="15.75" customHeight="1">
      <c r="A777" s="1130"/>
      <c r="B777" s="1130"/>
      <c r="C777" s="1130"/>
      <c r="D777" s="1130"/>
      <c r="E777" s="1130"/>
      <c r="F777" s="1130"/>
      <c r="G777" s="1130"/>
      <c r="H777" s="1130"/>
      <c r="I777" s="1130"/>
      <c r="J777" s="1130"/>
      <c r="K777" s="1130"/>
      <c r="L777" s="1130"/>
      <c r="M777" s="1130"/>
      <c r="N777" s="1130"/>
      <c r="O777" s="1130"/>
      <c r="P777" s="1130"/>
      <c r="Q777" s="1130"/>
      <c r="R777" s="1130"/>
      <c r="S777" s="1130"/>
      <c r="T777" s="1130"/>
      <c r="U777" s="1130"/>
      <c r="V777" s="1130"/>
      <c r="W777" s="1130"/>
      <c r="X777" s="1130"/>
      <c r="Y777" s="1130"/>
      <c r="Z777" s="1130"/>
    </row>
    <row r="778" spans="1:26" ht="15.75" customHeight="1">
      <c r="A778" s="1130"/>
      <c r="B778" s="1130"/>
      <c r="C778" s="1130"/>
      <c r="D778" s="1130"/>
      <c r="E778" s="1130"/>
      <c r="F778" s="1130"/>
      <c r="G778" s="1130"/>
      <c r="H778" s="1130"/>
      <c r="I778" s="1130"/>
      <c r="J778" s="1130"/>
      <c r="K778" s="1130"/>
      <c r="L778" s="1130"/>
      <c r="M778" s="1130"/>
      <c r="N778" s="1130"/>
      <c r="O778" s="1130"/>
      <c r="P778" s="1130"/>
      <c r="Q778" s="1130"/>
      <c r="R778" s="1130"/>
      <c r="S778" s="1130"/>
      <c r="T778" s="1130"/>
      <c r="U778" s="1130"/>
      <c r="V778" s="1130"/>
      <c r="W778" s="1130"/>
      <c r="X778" s="1130"/>
      <c r="Y778" s="1130"/>
      <c r="Z778" s="1130"/>
    </row>
    <row r="779" spans="1:26" ht="15.75" customHeight="1">
      <c r="A779" s="1130"/>
      <c r="B779" s="1130"/>
      <c r="C779" s="1130"/>
      <c r="D779" s="1130"/>
      <c r="E779" s="1130"/>
      <c r="F779" s="1130"/>
      <c r="G779" s="1130"/>
      <c r="H779" s="1130"/>
      <c r="I779" s="1130"/>
      <c r="J779" s="1130"/>
      <c r="K779" s="1130"/>
      <c r="L779" s="1130"/>
      <c r="M779" s="1130"/>
      <c r="N779" s="1130"/>
      <c r="O779" s="1130"/>
      <c r="P779" s="1130"/>
      <c r="Q779" s="1130"/>
      <c r="R779" s="1130"/>
      <c r="S779" s="1130"/>
      <c r="T779" s="1130"/>
      <c r="U779" s="1130"/>
      <c r="V779" s="1130"/>
      <c r="W779" s="1130"/>
      <c r="X779" s="1130"/>
      <c r="Y779" s="1130"/>
      <c r="Z779" s="1130"/>
    </row>
    <row r="780" spans="1:26" ht="15.75" customHeight="1">
      <c r="A780" s="1130"/>
      <c r="B780" s="1130"/>
      <c r="C780" s="1130"/>
      <c r="D780" s="1130"/>
      <c r="E780" s="1130"/>
      <c r="F780" s="1130"/>
      <c r="G780" s="1130"/>
      <c r="H780" s="1130"/>
      <c r="I780" s="1130"/>
      <c r="J780" s="1130"/>
      <c r="K780" s="1130"/>
      <c r="L780" s="1130"/>
      <c r="M780" s="1130"/>
      <c r="N780" s="1130"/>
      <c r="O780" s="1130"/>
      <c r="P780" s="1130"/>
      <c r="Q780" s="1130"/>
      <c r="R780" s="1130"/>
      <c r="S780" s="1130"/>
      <c r="T780" s="1130"/>
      <c r="U780" s="1130"/>
      <c r="V780" s="1130"/>
      <c r="W780" s="1130"/>
      <c r="X780" s="1130"/>
      <c r="Y780" s="1130"/>
      <c r="Z780" s="1130"/>
    </row>
    <row r="781" spans="1:26" ht="15.75" customHeight="1">
      <c r="A781" s="1130"/>
      <c r="B781" s="1130"/>
      <c r="C781" s="1130"/>
      <c r="D781" s="1130"/>
      <c r="E781" s="1130"/>
      <c r="F781" s="1130"/>
      <c r="G781" s="1130"/>
      <c r="H781" s="1130"/>
      <c r="I781" s="1130"/>
      <c r="J781" s="1130"/>
      <c r="K781" s="1130"/>
      <c r="L781" s="1130"/>
      <c r="M781" s="1130"/>
      <c r="N781" s="1130"/>
      <c r="O781" s="1130"/>
      <c r="P781" s="1130"/>
      <c r="Q781" s="1130"/>
      <c r="R781" s="1130"/>
      <c r="S781" s="1130"/>
      <c r="T781" s="1130"/>
      <c r="U781" s="1130"/>
      <c r="V781" s="1130"/>
      <c r="W781" s="1130"/>
      <c r="X781" s="1130"/>
      <c r="Y781" s="1130"/>
      <c r="Z781" s="1130"/>
    </row>
    <row r="782" spans="1:26" ht="15.75" customHeight="1">
      <c r="A782" s="1130"/>
      <c r="B782" s="1130"/>
      <c r="C782" s="1130"/>
      <c r="D782" s="1130"/>
      <c r="E782" s="1130"/>
      <c r="F782" s="1130"/>
      <c r="G782" s="1130"/>
      <c r="H782" s="1130"/>
      <c r="I782" s="1130"/>
      <c r="J782" s="1130"/>
      <c r="K782" s="1130"/>
      <c r="L782" s="1130"/>
      <c r="M782" s="1130"/>
      <c r="N782" s="1130"/>
      <c r="O782" s="1130"/>
      <c r="P782" s="1130"/>
      <c r="Q782" s="1130"/>
      <c r="R782" s="1130"/>
      <c r="S782" s="1130"/>
      <c r="T782" s="1130"/>
      <c r="U782" s="1130"/>
      <c r="V782" s="1130"/>
      <c r="W782" s="1130"/>
      <c r="X782" s="1130"/>
      <c r="Y782" s="1130"/>
      <c r="Z782" s="1130"/>
    </row>
    <row r="783" spans="1:26" ht="15.75" customHeight="1">
      <c r="A783" s="1130"/>
      <c r="B783" s="1130"/>
      <c r="C783" s="1130"/>
      <c r="D783" s="1130"/>
      <c r="E783" s="1130"/>
      <c r="F783" s="1130"/>
      <c r="G783" s="1130"/>
      <c r="H783" s="1130"/>
      <c r="I783" s="1130"/>
      <c r="J783" s="1130"/>
      <c r="K783" s="1130"/>
      <c r="L783" s="1130"/>
      <c r="M783" s="1130"/>
      <c r="N783" s="1130"/>
      <c r="O783" s="1130"/>
      <c r="P783" s="1130"/>
      <c r="Q783" s="1130"/>
      <c r="R783" s="1130"/>
      <c r="S783" s="1130"/>
      <c r="T783" s="1130"/>
      <c r="U783" s="1130"/>
      <c r="V783" s="1130"/>
      <c r="W783" s="1130"/>
      <c r="X783" s="1130"/>
      <c r="Y783" s="1130"/>
      <c r="Z783" s="1130"/>
    </row>
    <row r="784" spans="1:26" ht="15.75" customHeight="1">
      <c r="A784" s="1130"/>
      <c r="B784" s="1130"/>
      <c r="C784" s="1130"/>
      <c r="D784" s="1130"/>
      <c r="E784" s="1130"/>
      <c r="F784" s="1130"/>
      <c r="G784" s="1130"/>
      <c r="H784" s="1130"/>
      <c r="I784" s="1130"/>
      <c r="J784" s="1130"/>
      <c r="K784" s="1130"/>
      <c r="L784" s="1130"/>
      <c r="M784" s="1130"/>
      <c r="N784" s="1130"/>
      <c r="O784" s="1130"/>
      <c r="P784" s="1130"/>
      <c r="Q784" s="1130"/>
      <c r="R784" s="1130"/>
      <c r="S784" s="1130"/>
      <c r="T784" s="1130"/>
      <c r="U784" s="1130"/>
      <c r="V784" s="1130"/>
      <c r="W784" s="1130"/>
      <c r="X784" s="1130"/>
      <c r="Y784" s="1130"/>
      <c r="Z784" s="1130"/>
    </row>
    <row r="785" spans="1:26" ht="15.75" customHeight="1">
      <c r="A785" s="1130"/>
      <c r="B785" s="1130"/>
      <c r="C785" s="1130"/>
      <c r="D785" s="1130"/>
      <c r="E785" s="1130"/>
      <c r="F785" s="1130"/>
      <c r="G785" s="1130"/>
      <c r="H785" s="1130"/>
      <c r="I785" s="1130"/>
      <c r="J785" s="1130"/>
      <c r="K785" s="1130"/>
      <c r="L785" s="1130"/>
      <c r="M785" s="1130"/>
      <c r="N785" s="1130"/>
      <c r="O785" s="1130"/>
      <c r="P785" s="1130"/>
      <c r="Q785" s="1130"/>
      <c r="R785" s="1130"/>
      <c r="S785" s="1130"/>
      <c r="T785" s="1130"/>
      <c r="U785" s="1130"/>
      <c r="V785" s="1130"/>
      <c r="W785" s="1130"/>
      <c r="X785" s="1130"/>
      <c r="Y785" s="1130"/>
      <c r="Z785" s="1130"/>
    </row>
    <row r="786" spans="1:26" ht="15.75" customHeight="1">
      <c r="A786" s="1130"/>
      <c r="B786" s="1130"/>
      <c r="C786" s="1130"/>
      <c r="D786" s="1130"/>
      <c r="E786" s="1130"/>
      <c r="F786" s="1130"/>
      <c r="G786" s="1130"/>
      <c r="H786" s="1130"/>
      <c r="I786" s="1130"/>
      <c r="J786" s="1130"/>
      <c r="K786" s="1130"/>
      <c r="L786" s="1130"/>
      <c r="M786" s="1130"/>
      <c r="N786" s="1130"/>
      <c r="O786" s="1130"/>
      <c r="P786" s="1130"/>
      <c r="Q786" s="1130"/>
      <c r="R786" s="1130"/>
      <c r="S786" s="1130"/>
      <c r="T786" s="1130"/>
      <c r="U786" s="1130"/>
      <c r="V786" s="1130"/>
      <c r="W786" s="1130"/>
      <c r="X786" s="1130"/>
      <c r="Y786" s="1130"/>
      <c r="Z786" s="1130"/>
    </row>
    <row r="787" spans="1:26" ht="15.75" customHeight="1">
      <c r="A787" s="1130"/>
      <c r="B787" s="1130"/>
      <c r="C787" s="1130"/>
      <c r="D787" s="1130"/>
      <c r="E787" s="1130"/>
      <c r="F787" s="1130"/>
      <c r="G787" s="1130"/>
      <c r="H787" s="1130"/>
      <c r="I787" s="1130"/>
      <c r="J787" s="1130"/>
      <c r="K787" s="1130"/>
      <c r="L787" s="1130"/>
      <c r="M787" s="1130"/>
      <c r="N787" s="1130"/>
      <c r="O787" s="1130"/>
      <c r="P787" s="1130"/>
      <c r="Q787" s="1130"/>
      <c r="R787" s="1130"/>
      <c r="S787" s="1130"/>
      <c r="T787" s="1130"/>
      <c r="U787" s="1130"/>
      <c r="V787" s="1130"/>
      <c r="W787" s="1130"/>
      <c r="X787" s="1130"/>
      <c r="Y787" s="1130"/>
      <c r="Z787" s="1130"/>
    </row>
    <row r="788" spans="1:26" ht="15.75" customHeight="1">
      <c r="A788" s="1130"/>
      <c r="B788" s="1130"/>
      <c r="C788" s="1130"/>
      <c r="D788" s="1130"/>
      <c r="E788" s="1130"/>
      <c r="F788" s="1130"/>
      <c r="G788" s="1130"/>
      <c r="H788" s="1130"/>
      <c r="I788" s="1130"/>
      <c r="J788" s="1130"/>
      <c r="K788" s="1130"/>
      <c r="L788" s="1130"/>
      <c r="M788" s="1130"/>
      <c r="N788" s="1130"/>
      <c r="O788" s="1130"/>
      <c r="P788" s="1130"/>
      <c r="Q788" s="1130"/>
      <c r="R788" s="1130"/>
      <c r="S788" s="1130"/>
      <c r="T788" s="1130"/>
      <c r="U788" s="1130"/>
      <c r="V788" s="1130"/>
      <c r="W788" s="1130"/>
      <c r="X788" s="1130"/>
      <c r="Y788" s="1130"/>
      <c r="Z788" s="1130"/>
    </row>
    <row r="789" spans="1:26" ht="15.75" customHeight="1">
      <c r="A789" s="1130"/>
      <c r="B789" s="1130"/>
      <c r="C789" s="1130"/>
      <c r="D789" s="1130"/>
      <c r="E789" s="1130"/>
      <c r="F789" s="1130"/>
      <c r="G789" s="1130"/>
      <c r="H789" s="1130"/>
      <c r="I789" s="1130"/>
      <c r="J789" s="1130"/>
      <c r="K789" s="1130"/>
      <c r="L789" s="1130"/>
      <c r="M789" s="1130"/>
      <c r="N789" s="1130"/>
      <c r="O789" s="1130"/>
      <c r="P789" s="1130"/>
      <c r="Q789" s="1130"/>
      <c r="R789" s="1130"/>
      <c r="S789" s="1130"/>
      <c r="T789" s="1130"/>
      <c r="U789" s="1130"/>
      <c r="V789" s="1130"/>
      <c r="W789" s="1130"/>
      <c r="X789" s="1130"/>
      <c r="Y789" s="1130"/>
      <c r="Z789" s="1130"/>
    </row>
    <row r="790" spans="1:26" ht="15.75" customHeight="1">
      <c r="A790" s="1130"/>
      <c r="B790" s="1130"/>
      <c r="C790" s="1130"/>
      <c r="D790" s="1130"/>
      <c r="E790" s="1130"/>
      <c r="F790" s="1130"/>
      <c r="G790" s="1130"/>
      <c r="H790" s="1130"/>
      <c r="I790" s="1130"/>
      <c r="J790" s="1130"/>
      <c r="K790" s="1130"/>
      <c r="L790" s="1130"/>
      <c r="M790" s="1130"/>
      <c r="N790" s="1130"/>
      <c r="O790" s="1130"/>
      <c r="P790" s="1130"/>
      <c r="Q790" s="1130"/>
      <c r="R790" s="1130"/>
      <c r="S790" s="1130"/>
      <c r="T790" s="1130"/>
      <c r="U790" s="1130"/>
      <c r="V790" s="1130"/>
      <c r="W790" s="1130"/>
      <c r="X790" s="1130"/>
      <c r="Y790" s="1130"/>
      <c r="Z790" s="1130"/>
    </row>
    <row r="791" spans="1:26" ht="15.75" customHeight="1">
      <c r="A791" s="1130"/>
      <c r="B791" s="1130"/>
      <c r="C791" s="1130"/>
      <c r="D791" s="1130"/>
      <c r="E791" s="1130"/>
      <c r="F791" s="1130"/>
      <c r="G791" s="1130"/>
      <c r="H791" s="1130"/>
      <c r="I791" s="1130"/>
      <c r="J791" s="1130"/>
      <c r="K791" s="1130"/>
      <c r="L791" s="1130"/>
      <c r="M791" s="1130"/>
      <c r="N791" s="1130"/>
      <c r="O791" s="1130"/>
      <c r="P791" s="1130"/>
      <c r="Q791" s="1130"/>
      <c r="R791" s="1130"/>
      <c r="S791" s="1130"/>
      <c r="T791" s="1130"/>
      <c r="U791" s="1130"/>
      <c r="V791" s="1130"/>
      <c r="W791" s="1130"/>
      <c r="X791" s="1130"/>
      <c r="Y791" s="1130"/>
      <c r="Z791" s="1130"/>
    </row>
    <row r="792" spans="1:26" ht="15.75" customHeight="1">
      <c r="A792" s="1130"/>
      <c r="B792" s="1130"/>
      <c r="C792" s="1130"/>
      <c r="D792" s="1130"/>
      <c r="E792" s="1130"/>
      <c r="F792" s="1130"/>
      <c r="G792" s="1130"/>
      <c r="H792" s="1130"/>
      <c r="I792" s="1130"/>
      <c r="J792" s="1130"/>
      <c r="K792" s="1130"/>
      <c r="L792" s="1130"/>
      <c r="M792" s="1130"/>
      <c r="N792" s="1130"/>
      <c r="O792" s="1130"/>
      <c r="P792" s="1130"/>
      <c r="Q792" s="1130"/>
      <c r="R792" s="1130"/>
      <c r="S792" s="1130"/>
      <c r="T792" s="1130"/>
      <c r="U792" s="1130"/>
      <c r="V792" s="1130"/>
      <c r="W792" s="1130"/>
      <c r="X792" s="1130"/>
      <c r="Y792" s="1130"/>
      <c r="Z792" s="1130"/>
    </row>
    <row r="793" spans="1:26" ht="15.75" customHeight="1">
      <c r="A793" s="1130"/>
      <c r="B793" s="1130"/>
      <c r="C793" s="1130"/>
      <c r="D793" s="1130"/>
      <c r="E793" s="1130"/>
      <c r="F793" s="1130"/>
      <c r="G793" s="1130"/>
      <c r="H793" s="1130"/>
      <c r="I793" s="1130"/>
      <c r="J793" s="1130"/>
      <c r="K793" s="1130"/>
      <c r="L793" s="1130"/>
      <c r="M793" s="1130"/>
      <c r="N793" s="1130"/>
      <c r="O793" s="1130"/>
      <c r="P793" s="1130"/>
      <c r="Q793" s="1130"/>
      <c r="R793" s="1130"/>
      <c r="S793" s="1130"/>
      <c r="T793" s="1130"/>
      <c r="U793" s="1130"/>
      <c r="V793" s="1130"/>
      <c r="W793" s="1130"/>
      <c r="X793" s="1130"/>
      <c r="Y793" s="1130"/>
      <c r="Z793" s="1130"/>
    </row>
    <row r="794" spans="1:26" ht="15.75" customHeight="1">
      <c r="A794" s="1130"/>
      <c r="B794" s="1130"/>
      <c r="C794" s="1130"/>
      <c r="D794" s="1130"/>
      <c r="E794" s="1130"/>
      <c r="F794" s="1130"/>
      <c r="G794" s="1130"/>
      <c r="H794" s="1130"/>
      <c r="I794" s="1130"/>
      <c r="J794" s="1130"/>
      <c r="K794" s="1130"/>
      <c r="L794" s="1130"/>
      <c r="M794" s="1130"/>
      <c r="N794" s="1130"/>
      <c r="O794" s="1130"/>
      <c r="P794" s="1130"/>
      <c r="Q794" s="1130"/>
      <c r="R794" s="1130"/>
      <c r="S794" s="1130"/>
      <c r="T794" s="1130"/>
      <c r="U794" s="1130"/>
      <c r="V794" s="1130"/>
      <c r="W794" s="1130"/>
      <c r="X794" s="1130"/>
      <c r="Y794" s="1130"/>
      <c r="Z794" s="1130"/>
    </row>
    <row r="795" spans="1:26" ht="15.75" customHeight="1">
      <c r="A795" s="1130"/>
      <c r="B795" s="1130"/>
      <c r="C795" s="1130"/>
      <c r="D795" s="1130"/>
      <c r="E795" s="1130"/>
      <c r="F795" s="1130"/>
      <c r="G795" s="1130"/>
      <c r="H795" s="1130"/>
      <c r="I795" s="1130"/>
      <c r="J795" s="1130"/>
      <c r="K795" s="1130"/>
      <c r="L795" s="1130"/>
      <c r="M795" s="1130"/>
      <c r="N795" s="1130"/>
      <c r="O795" s="1130"/>
      <c r="P795" s="1130"/>
      <c r="Q795" s="1130"/>
      <c r="R795" s="1130"/>
      <c r="S795" s="1130"/>
      <c r="T795" s="1130"/>
      <c r="U795" s="1130"/>
      <c r="V795" s="1130"/>
      <c r="W795" s="1130"/>
      <c r="X795" s="1130"/>
      <c r="Y795" s="1130"/>
      <c r="Z795" s="1130"/>
    </row>
    <row r="796" spans="1:26" ht="15.75" customHeight="1">
      <c r="A796" s="1130"/>
      <c r="B796" s="1130"/>
      <c r="C796" s="1130"/>
      <c r="D796" s="1130"/>
      <c r="E796" s="1130"/>
      <c r="F796" s="1130"/>
      <c r="G796" s="1130"/>
      <c r="H796" s="1130"/>
      <c r="I796" s="1130"/>
      <c r="J796" s="1130"/>
      <c r="K796" s="1130"/>
      <c r="L796" s="1130"/>
      <c r="M796" s="1130"/>
      <c r="N796" s="1130"/>
      <c r="O796" s="1130"/>
      <c r="P796" s="1130"/>
      <c r="Q796" s="1130"/>
      <c r="R796" s="1130"/>
      <c r="S796" s="1130"/>
      <c r="T796" s="1130"/>
      <c r="U796" s="1130"/>
      <c r="V796" s="1130"/>
      <c r="W796" s="1130"/>
      <c r="X796" s="1130"/>
      <c r="Y796" s="1130"/>
      <c r="Z796" s="1130"/>
    </row>
    <row r="797" spans="1:26" ht="15.75" customHeight="1">
      <c r="A797" s="1130"/>
      <c r="B797" s="1130"/>
      <c r="C797" s="1130"/>
      <c r="D797" s="1130"/>
      <c r="E797" s="1130"/>
      <c r="F797" s="1130"/>
      <c r="G797" s="1130"/>
      <c r="H797" s="1130"/>
      <c r="I797" s="1130"/>
      <c r="J797" s="1130"/>
      <c r="K797" s="1130"/>
      <c r="L797" s="1130"/>
      <c r="M797" s="1130"/>
      <c r="N797" s="1130"/>
      <c r="O797" s="1130"/>
      <c r="P797" s="1130"/>
      <c r="Q797" s="1130"/>
      <c r="R797" s="1130"/>
      <c r="S797" s="1130"/>
      <c r="T797" s="1130"/>
      <c r="U797" s="1130"/>
      <c r="V797" s="1130"/>
      <c r="W797" s="1130"/>
      <c r="X797" s="1130"/>
      <c r="Y797" s="1130"/>
      <c r="Z797" s="1130"/>
    </row>
    <row r="798" spans="1:26" ht="15.75" customHeight="1">
      <c r="A798" s="1130"/>
      <c r="B798" s="1130"/>
      <c r="C798" s="1130"/>
      <c r="D798" s="1130"/>
      <c r="E798" s="1130"/>
      <c r="F798" s="1130"/>
      <c r="G798" s="1130"/>
      <c r="H798" s="1130"/>
      <c r="I798" s="1130"/>
      <c r="J798" s="1130"/>
      <c r="K798" s="1130"/>
      <c r="L798" s="1130"/>
      <c r="M798" s="1130"/>
      <c r="N798" s="1130"/>
      <c r="O798" s="1130"/>
      <c r="P798" s="1130"/>
      <c r="Q798" s="1130"/>
      <c r="R798" s="1130"/>
      <c r="S798" s="1130"/>
      <c r="T798" s="1130"/>
      <c r="U798" s="1130"/>
      <c r="V798" s="1130"/>
      <c r="W798" s="1130"/>
      <c r="X798" s="1130"/>
      <c r="Y798" s="1130"/>
      <c r="Z798" s="1130"/>
    </row>
    <row r="799" spans="1:26" ht="15.75" customHeight="1">
      <c r="A799" s="1130"/>
      <c r="B799" s="1130"/>
      <c r="C799" s="1130"/>
      <c r="D799" s="1130"/>
      <c r="E799" s="1130"/>
      <c r="F799" s="1130"/>
      <c r="G799" s="1130"/>
      <c r="H799" s="1130"/>
      <c r="I799" s="1130"/>
      <c r="J799" s="1130"/>
      <c r="K799" s="1130"/>
      <c r="L799" s="1130"/>
      <c r="M799" s="1130"/>
      <c r="N799" s="1130"/>
      <c r="O799" s="1130"/>
      <c r="P799" s="1130"/>
      <c r="Q799" s="1130"/>
      <c r="R799" s="1130"/>
      <c r="S799" s="1130"/>
      <c r="T799" s="1130"/>
      <c r="U799" s="1130"/>
      <c r="V799" s="1130"/>
      <c r="W799" s="1130"/>
      <c r="X799" s="1130"/>
      <c r="Y799" s="1130"/>
      <c r="Z799" s="1130"/>
    </row>
    <row r="800" spans="1:26" ht="15.75" customHeight="1">
      <c r="A800" s="1130"/>
      <c r="B800" s="1130"/>
      <c r="C800" s="1130"/>
      <c r="D800" s="1130"/>
      <c r="E800" s="1130"/>
      <c r="F800" s="1130"/>
      <c r="G800" s="1130"/>
      <c r="H800" s="1130"/>
      <c r="I800" s="1130"/>
      <c r="J800" s="1130"/>
      <c r="K800" s="1130"/>
      <c r="L800" s="1130"/>
      <c r="M800" s="1130"/>
      <c r="N800" s="1130"/>
      <c r="O800" s="1130"/>
      <c r="P800" s="1130"/>
      <c r="Q800" s="1130"/>
      <c r="R800" s="1130"/>
      <c r="S800" s="1130"/>
      <c r="T800" s="1130"/>
      <c r="U800" s="1130"/>
      <c r="V800" s="1130"/>
      <c r="W800" s="1130"/>
      <c r="X800" s="1130"/>
      <c r="Y800" s="1130"/>
      <c r="Z800" s="1130"/>
    </row>
    <row r="801" spans="1:26" ht="15.75" customHeight="1">
      <c r="A801" s="1130"/>
      <c r="B801" s="1130"/>
      <c r="C801" s="1130"/>
      <c r="D801" s="1130"/>
      <c r="E801" s="1130"/>
      <c r="F801" s="1130"/>
      <c r="G801" s="1130"/>
      <c r="H801" s="1130"/>
      <c r="I801" s="1130"/>
      <c r="J801" s="1130"/>
      <c r="K801" s="1130"/>
      <c r="L801" s="1130"/>
      <c r="M801" s="1130"/>
      <c r="N801" s="1130"/>
      <c r="O801" s="1130"/>
      <c r="P801" s="1130"/>
      <c r="Q801" s="1130"/>
      <c r="R801" s="1130"/>
      <c r="S801" s="1130"/>
      <c r="T801" s="1130"/>
      <c r="U801" s="1130"/>
      <c r="V801" s="1130"/>
      <c r="W801" s="1130"/>
      <c r="X801" s="1130"/>
      <c r="Y801" s="1130"/>
      <c r="Z801" s="1130"/>
    </row>
    <row r="802" spans="1:26" ht="15.75" customHeight="1">
      <c r="A802" s="1130"/>
      <c r="B802" s="1130"/>
      <c r="C802" s="1130"/>
      <c r="D802" s="1130"/>
      <c r="E802" s="1130"/>
      <c r="F802" s="1130"/>
      <c r="G802" s="1130"/>
      <c r="H802" s="1130"/>
      <c r="I802" s="1130"/>
      <c r="J802" s="1130"/>
      <c r="K802" s="1130"/>
      <c r="L802" s="1130"/>
      <c r="M802" s="1130"/>
      <c r="N802" s="1130"/>
      <c r="O802" s="1130"/>
      <c r="P802" s="1130"/>
      <c r="Q802" s="1130"/>
      <c r="R802" s="1130"/>
      <c r="S802" s="1130"/>
      <c r="T802" s="1130"/>
      <c r="U802" s="1130"/>
      <c r="V802" s="1130"/>
      <c r="W802" s="1130"/>
      <c r="X802" s="1130"/>
      <c r="Y802" s="1130"/>
      <c r="Z802" s="1130"/>
    </row>
    <row r="803" spans="1:26" ht="15.75" customHeight="1">
      <c r="A803" s="1130"/>
      <c r="B803" s="1130"/>
      <c r="C803" s="1130"/>
      <c r="D803" s="1130"/>
      <c r="E803" s="1130"/>
      <c r="F803" s="1130"/>
      <c r="G803" s="1130"/>
      <c r="H803" s="1130"/>
      <c r="I803" s="1130"/>
      <c r="J803" s="1130"/>
      <c r="K803" s="1130"/>
      <c r="L803" s="1130"/>
      <c r="M803" s="1130"/>
      <c r="N803" s="1130"/>
      <c r="O803" s="1130"/>
      <c r="P803" s="1130"/>
      <c r="Q803" s="1130"/>
      <c r="R803" s="1130"/>
      <c r="S803" s="1130"/>
      <c r="T803" s="1130"/>
      <c r="U803" s="1130"/>
      <c r="V803" s="1130"/>
      <c r="W803" s="1130"/>
      <c r="X803" s="1130"/>
      <c r="Y803" s="1130"/>
      <c r="Z803" s="1130"/>
    </row>
    <row r="804" spans="1:26" ht="15.75" customHeight="1">
      <c r="A804" s="1130"/>
      <c r="B804" s="1130"/>
      <c r="C804" s="1130"/>
      <c r="D804" s="1130"/>
      <c r="E804" s="1130"/>
      <c r="F804" s="1130"/>
      <c r="G804" s="1130"/>
      <c r="H804" s="1130"/>
      <c r="I804" s="1130"/>
      <c r="J804" s="1130"/>
      <c r="K804" s="1130"/>
      <c r="L804" s="1130"/>
      <c r="M804" s="1130"/>
      <c r="N804" s="1130"/>
      <c r="O804" s="1130"/>
      <c r="P804" s="1130"/>
      <c r="Q804" s="1130"/>
      <c r="R804" s="1130"/>
      <c r="S804" s="1130"/>
      <c r="T804" s="1130"/>
      <c r="U804" s="1130"/>
      <c r="V804" s="1130"/>
      <c r="W804" s="1130"/>
      <c r="X804" s="1130"/>
      <c r="Y804" s="1130"/>
      <c r="Z804" s="1130"/>
    </row>
    <row r="805" spans="1:26" ht="15.75" customHeight="1">
      <c r="A805" s="1130"/>
      <c r="B805" s="1130"/>
      <c r="C805" s="1130"/>
      <c r="D805" s="1130"/>
      <c r="E805" s="1130"/>
      <c r="F805" s="1130"/>
      <c r="G805" s="1130"/>
      <c r="H805" s="1130"/>
      <c r="I805" s="1130"/>
      <c r="J805" s="1130"/>
      <c r="K805" s="1130"/>
      <c r="L805" s="1130"/>
      <c r="M805" s="1130"/>
      <c r="N805" s="1130"/>
      <c r="O805" s="1130"/>
      <c r="P805" s="1130"/>
      <c r="Q805" s="1130"/>
      <c r="R805" s="1130"/>
      <c r="S805" s="1130"/>
      <c r="T805" s="1130"/>
      <c r="U805" s="1130"/>
      <c r="V805" s="1130"/>
      <c r="W805" s="1130"/>
      <c r="X805" s="1130"/>
      <c r="Y805" s="1130"/>
      <c r="Z805" s="1130"/>
    </row>
    <row r="806" spans="1:26" ht="15.75" customHeight="1">
      <c r="A806" s="1130"/>
      <c r="B806" s="1130"/>
      <c r="C806" s="1130"/>
      <c r="D806" s="1130"/>
      <c r="E806" s="1130"/>
      <c r="F806" s="1130"/>
      <c r="G806" s="1130"/>
      <c r="H806" s="1130"/>
      <c r="I806" s="1130"/>
      <c r="J806" s="1130"/>
      <c r="K806" s="1130"/>
      <c r="L806" s="1130"/>
      <c r="M806" s="1130"/>
      <c r="N806" s="1130"/>
      <c r="O806" s="1130"/>
      <c r="P806" s="1130"/>
      <c r="Q806" s="1130"/>
      <c r="R806" s="1130"/>
      <c r="S806" s="1130"/>
      <c r="T806" s="1130"/>
      <c r="U806" s="1130"/>
      <c r="V806" s="1130"/>
      <c r="W806" s="1130"/>
      <c r="X806" s="1130"/>
      <c r="Y806" s="1130"/>
      <c r="Z806" s="1130"/>
    </row>
    <row r="807" spans="1:26" ht="15.75" customHeight="1">
      <c r="A807" s="1130"/>
      <c r="B807" s="1130"/>
      <c r="C807" s="1130"/>
      <c r="D807" s="1130"/>
      <c r="E807" s="1130"/>
      <c r="F807" s="1130"/>
      <c r="G807" s="1130"/>
      <c r="H807" s="1130"/>
      <c r="I807" s="1130"/>
      <c r="J807" s="1130"/>
      <c r="K807" s="1130"/>
      <c r="L807" s="1130"/>
      <c r="M807" s="1130"/>
      <c r="N807" s="1130"/>
      <c r="O807" s="1130"/>
      <c r="P807" s="1130"/>
      <c r="Q807" s="1130"/>
      <c r="R807" s="1130"/>
      <c r="S807" s="1130"/>
      <c r="T807" s="1130"/>
      <c r="U807" s="1130"/>
      <c r="V807" s="1130"/>
      <c r="W807" s="1130"/>
      <c r="X807" s="1130"/>
      <c r="Y807" s="1130"/>
      <c r="Z807" s="1130"/>
    </row>
    <row r="808" spans="1:26" ht="15.75" customHeight="1">
      <c r="A808" s="1130"/>
      <c r="B808" s="1130"/>
      <c r="C808" s="1130"/>
      <c r="D808" s="1130"/>
      <c r="E808" s="1130"/>
      <c r="F808" s="1130"/>
      <c r="G808" s="1130"/>
      <c r="H808" s="1130"/>
      <c r="I808" s="1130"/>
      <c r="J808" s="1130"/>
      <c r="K808" s="1130"/>
      <c r="L808" s="1130"/>
      <c r="M808" s="1130"/>
      <c r="N808" s="1130"/>
      <c r="O808" s="1130"/>
      <c r="P808" s="1130"/>
      <c r="Q808" s="1130"/>
      <c r="R808" s="1130"/>
      <c r="S808" s="1130"/>
      <c r="T808" s="1130"/>
      <c r="U808" s="1130"/>
      <c r="V808" s="1130"/>
      <c r="W808" s="1130"/>
      <c r="X808" s="1130"/>
      <c r="Y808" s="1130"/>
      <c r="Z808" s="1130"/>
    </row>
    <row r="809" spans="1:26" ht="15.75" customHeight="1">
      <c r="A809" s="1130"/>
      <c r="B809" s="1130"/>
      <c r="C809" s="1130"/>
      <c r="D809" s="1130"/>
      <c r="E809" s="1130"/>
      <c r="F809" s="1130"/>
      <c r="G809" s="1130"/>
      <c r="H809" s="1130"/>
      <c r="I809" s="1130"/>
      <c r="J809" s="1130"/>
      <c r="K809" s="1130"/>
      <c r="L809" s="1130"/>
      <c r="M809" s="1130"/>
      <c r="N809" s="1130"/>
      <c r="O809" s="1130"/>
      <c r="P809" s="1130"/>
      <c r="Q809" s="1130"/>
      <c r="R809" s="1130"/>
      <c r="S809" s="1130"/>
      <c r="T809" s="1130"/>
      <c r="U809" s="1130"/>
      <c r="V809" s="1130"/>
      <c r="W809" s="1130"/>
      <c r="X809" s="1130"/>
      <c r="Y809" s="1130"/>
      <c r="Z809" s="1130"/>
    </row>
    <row r="810" spans="1:26" ht="15.75" customHeight="1">
      <c r="A810" s="1130"/>
      <c r="B810" s="1130"/>
      <c r="C810" s="1130"/>
      <c r="D810" s="1130"/>
      <c r="E810" s="1130"/>
      <c r="F810" s="1130"/>
      <c r="G810" s="1130"/>
      <c r="H810" s="1130"/>
      <c r="I810" s="1130"/>
      <c r="J810" s="1130"/>
      <c r="K810" s="1130"/>
      <c r="L810" s="1130"/>
      <c r="M810" s="1130"/>
      <c r="N810" s="1130"/>
      <c r="O810" s="1130"/>
      <c r="P810" s="1130"/>
      <c r="Q810" s="1130"/>
      <c r="R810" s="1130"/>
      <c r="S810" s="1130"/>
      <c r="T810" s="1130"/>
      <c r="U810" s="1130"/>
      <c r="V810" s="1130"/>
      <c r="W810" s="1130"/>
      <c r="X810" s="1130"/>
      <c r="Y810" s="1130"/>
      <c r="Z810" s="1130"/>
    </row>
    <row r="811" spans="1:26" ht="15.75" customHeight="1">
      <c r="A811" s="1130"/>
      <c r="B811" s="1130"/>
      <c r="C811" s="1130"/>
      <c r="D811" s="1130"/>
      <c r="E811" s="1130"/>
      <c r="F811" s="1130"/>
      <c r="G811" s="1130"/>
      <c r="H811" s="1130"/>
      <c r="I811" s="1130"/>
      <c r="J811" s="1130"/>
      <c r="K811" s="1130"/>
      <c r="L811" s="1130"/>
      <c r="M811" s="1130"/>
      <c r="N811" s="1130"/>
      <c r="O811" s="1130"/>
      <c r="P811" s="1130"/>
      <c r="Q811" s="1130"/>
      <c r="R811" s="1130"/>
      <c r="S811" s="1130"/>
      <c r="T811" s="1130"/>
      <c r="U811" s="1130"/>
      <c r="V811" s="1130"/>
      <c r="W811" s="1130"/>
      <c r="X811" s="1130"/>
      <c r="Y811" s="1130"/>
      <c r="Z811" s="1130"/>
    </row>
    <row r="812" spans="1:26" ht="15.75" customHeight="1">
      <c r="A812" s="1130"/>
      <c r="B812" s="1130"/>
      <c r="C812" s="1130"/>
      <c r="D812" s="1130"/>
      <c r="E812" s="1130"/>
      <c r="F812" s="1130"/>
      <c r="G812" s="1130"/>
      <c r="H812" s="1130"/>
      <c r="I812" s="1130"/>
      <c r="J812" s="1130"/>
      <c r="K812" s="1130"/>
      <c r="L812" s="1130"/>
      <c r="M812" s="1130"/>
      <c r="N812" s="1130"/>
      <c r="O812" s="1130"/>
      <c r="P812" s="1130"/>
      <c r="Q812" s="1130"/>
      <c r="R812" s="1130"/>
      <c r="S812" s="1130"/>
      <c r="T812" s="1130"/>
      <c r="U812" s="1130"/>
      <c r="V812" s="1130"/>
      <c r="W812" s="1130"/>
      <c r="X812" s="1130"/>
      <c r="Y812" s="1130"/>
      <c r="Z812" s="1130"/>
    </row>
    <row r="813" spans="1:26" ht="15.75" customHeight="1">
      <c r="A813" s="1130"/>
      <c r="B813" s="1130"/>
      <c r="C813" s="1130"/>
      <c r="D813" s="1130"/>
      <c r="E813" s="1130"/>
      <c r="F813" s="1130"/>
      <c r="G813" s="1130"/>
      <c r="H813" s="1130"/>
      <c r="I813" s="1130"/>
      <c r="J813" s="1130"/>
      <c r="K813" s="1130"/>
      <c r="L813" s="1130"/>
      <c r="M813" s="1130"/>
      <c r="N813" s="1130"/>
      <c r="O813" s="1130"/>
      <c r="P813" s="1130"/>
      <c r="Q813" s="1130"/>
      <c r="R813" s="1130"/>
      <c r="S813" s="1130"/>
      <c r="T813" s="1130"/>
      <c r="U813" s="1130"/>
      <c r="V813" s="1130"/>
      <c r="W813" s="1130"/>
      <c r="X813" s="1130"/>
      <c r="Y813" s="1130"/>
      <c r="Z813" s="1130"/>
    </row>
    <row r="814" spans="1:26" ht="15.75" customHeight="1">
      <c r="A814" s="1130"/>
      <c r="B814" s="1130"/>
      <c r="C814" s="1130"/>
      <c r="D814" s="1130"/>
      <c r="E814" s="1130"/>
      <c r="F814" s="1130"/>
      <c r="G814" s="1130"/>
      <c r="H814" s="1130"/>
      <c r="I814" s="1130"/>
      <c r="J814" s="1130"/>
      <c r="K814" s="1130"/>
      <c r="L814" s="1130"/>
      <c r="M814" s="1130"/>
      <c r="N814" s="1130"/>
      <c r="O814" s="1130"/>
      <c r="P814" s="1130"/>
      <c r="Q814" s="1130"/>
      <c r="R814" s="1130"/>
      <c r="S814" s="1130"/>
      <c r="T814" s="1130"/>
      <c r="U814" s="1130"/>
      <c r="V814" s="1130"/>
      <c r="W814" s="1130"/>
      <c r="X814" s="1130"/>
      <c r="Y814" s="1130"/>
      <c r="Z814" s="1130"/>
    </row>
    <row r="815" spans="1:26" ht="15.75" customHeight="1">
      <c r="A815" s="1130"/>
      <c r="B815" s="1130"/>
      <c r="C815" s="1130"/>
      <c r="D815" s="1130"/>
      <c r="E815" s="1130"/>
      <c r="F815" s="1130"/>
      <c r="G815" s="1130"/>
      <c r="H815" s="1130"/>
      <c r="I815" s="1130"/>
      <c r="J815" s="1130"/>
      <c r="K815" s="1130"/>
      <c r="L815" s="1130"/>
      <c r="M815" s="1130"/>
      <c r="N815" s="1130"/>
      <c r="O815" s="1130"/>
      <c r="P815" s="1130"/>
      <c r="Q815" s="1130"/>
      <c r="R815" s="1130"/>
      <c r="S815" s="1130"/>
      <c r="T815" s="1130"/>
      <c r="U815" s="1130"/>
      <c r="V815" s="1130"/>
      <c r="W815" s="1130"/>
      <c r="X815" s="1130"/>
      <c r="Y815" s="1130"/>
      <c r="Z815" s="1130"/>
    </row>
    <row r="816" spans="1:26" ht="15.75" customHeight="1">
      <c r="A816" s="1130"/>
      <c r="B816" s="1130"/>
      <c r="C816" s="1130"/>
      <c r="D816" s="1130"/>
      <c r="E816" s="1130"/>
      <c r="F816" s="1130"/>
      <c r="G816" s="1130"/>
      <c r="H816" s="1130"/>
      <c r="I816" s="1130"/>
      <c r="J816" s="1130"/>
      <c r="K816" s="1130"/>
      <c r="L816" s="1130"/>
      <c r="M816" s="1130"/>
      <c r="N816" s="1130"/>
      <c r="O816" s="1130"/>
      <c r="P816" s="1130"/>
      <c r="Q816" s="1130"/>
      <c r="R816" s="1130"/>
      <c r="S816" s="1130"/>
      <c r="T816" s="1130"/>
      <c r="U816" s="1130"/>
      <c r="V816" s="1130"/>
      <c r="W816" s="1130"/>
      <c r="X816" s="1130"/>
      <c r="Y816" s="1130"/>
      <c r="Z816" s="1130"/>
    </row>
    <row r="817" spans="1:26" ht="15.75" customHeight="1">
      <c r="A817" s="1130"/>
      <c r="B817" s="1130"/>
      <c r="C817" s="1130"/>
      <c r="D817" s="1130"/>
      <c r="E817" s="1130"/>
      <c r="F817" s="1130"/>
      <c r="G817" s="1130"/>
      <c r="H817" s="1130"/>
      <c r="I817" s="1130"/>
      <c r="J817" s="1130"/>
      <c r="K817" s="1130"/>
      <c r="L817" s="1130"/>
      <c r="M817" s="1130"/>
      <c r="N817" s="1130"/>
      <c r="O817" s="1130"/>
      <c r="P817" s="1130"/>
      <c r="Q817" s="1130"/>
      <c r="R817" s="1130"/>
      <c r="S817" s="1130"/>
      <c r="T817" s="1130"/>
      <c r="U817" s="1130"/>
      <c r="V817" s="1130"/>
      <c r="W817" s="1130"/>
      <c r="X817" s="1130"/>
      <c r="Y817" s="1130"/>
      <c r="Z817" s="1130"/>
    </row>
    <row r="818" spans="1:26" ht="15.75" customHeight="1">
      <c r="A818" s="1130"/>
      <c r="B818" s="1130"/>
      <c r="C818" s="1130"/>
      <c r="D818" s="1130"/>
      <c r="E818" s="1130"/>
      <c r="F818" s="1130"/>
      <c r="G818" s="1130"/>
      <c r="H818" s="1130"/>
      <c r="I818" s="1130"/>
      <c r="J818" s="1130"/>
      <c r="K818" s="1130"/>
      <c r="L818" s="1130"/>
      <c r="M818" s="1130"/>
      <c r="N818" s="1130"/>
      <c r="O818" s="1130"/>
      <c r="P818" s="1130"/>
      <c r="Q818" s="1130"/>
      <c r="R818" s="1130"/>
      <c r="S818" s="1130"/>
      <c r="T818" s="1130"/>
      <c r="U818" s="1130"/>
      <c r="V818" s="1130"/>
      <c r="W818" s="1130"/>
      <c r="X818" s="1130"/>
      <c r="Y818" s="1130"/>
      <c r="Z818" s="1130"/>
    </row>
    <row r="819" spans="1:26" ht="15.75" customHeight="1">
      <c r="A819" s="1130"/>
      <c r="B819" s="1130"/>
      <c r="C819" s="1130"/>
      <c r="D819" s="1130"/>
      <c r="E819" s="1130"/>
      <c r="F819" s="1130"/>
      <c r="G819" s="1130"/>
      <c r="H819" s="1130"/>
      <c r="I819" s="1130"/>
      <c r="J819" s="1130"/>
      <c r="K819" s="1130"/>
      <c r="L819" s="1130"/>
      <c r="M819" s="1130"/>
      <c r="N819" s="1130"/>
      <c r="O819" s="1130"/>
      <c r="P819" s="1130"/>
      <c r="Q819" s="1130"/>
      <c r="R819" s="1130"/>
      <c r="S819" s="1130"/>
      <c r="T819" s="1130"/>
      <c r="U819" s="1130"/>
      <c r="V819" s="1130"/>
      <c r="W819" s="1130"/>
      <c r="X819" s="1130"/>
      <c r="Y819" s="1130"/>
      <c r="Z819" s="1130"/>
    </row>
    <row r="820" spans="1:26" ht="15.75" customHeight="1">
      <c r="A820" s="1130"/>
      <c r="B820" s="1130"/>
      <c r="C820" s="1130"/>
      <c r="D820" s="1130"/>
      <c r="E820" s="1130"/>
      <c r="F820" s="1130"/>
      <c r="G820" s="1130"/>
      <c r="H820" s="1130"/>
      <c r="I820" s="1130"/>
      <c r="J820" s="1130"/>
      <c r="K820" s="1130"/>
      <c r="L820" s="1130"/>
      <c r="M820" s="1130"/>
      <c r="N820" s="1130"/>
      <c r="O820" s="1130"/>
      <c r="P820" s="1130"/>
      <c r="Q820" s="1130"/>
      <c r="R820" s="1130"/>
      <c r="S820" s="1130"/>
      <c r="T820" s="1130"/>
      <c r="U820" s="1130"/>
      <c r="V820" s="1130"/>
      <c r="W820" s="1130"/>
      <c r="X820" s="1130"/>
      <c r="Y820" s="1130"/>
      <c r="Z820" s="1130"/>
    </row>
    <row r="821" spans="1:26" ht="15.75" customHeight="1">
      <c r="A821" s="1130"/>
      <c r="B821" s="1130"/>
      <c r="C821" s="1130"/>
      <c r="D821" s="1130"/>
      <c r="E821" s="1130"/>
      <c r="F821" s="1130"/>
      <c r="G821" s="1130"/>
      <c r="H821" s="1130"/>
      <c r="I821" s="1130"/>
      <c r="J821" s="1130"/>
      <c r="K821" s="1130"/>
      <c r="L821" s="1130"/>
      <c r="M821" s="1130"/>
      <c r="N821" s="1130"/>
      <c r="O821" s="1130"/>
      <c r="P821" s="1130"/>
      <c r="Q821" s="1130"/>
      <c r="R821" s="1130"/>
      <c r="S821" s="1130"/>
      <c r="T821" s="1130"/>
      <c r="U821" s="1130"/>
      <c r="V821" s="1130"/>
      <c r="W821" s="1130"/>
      <c r="X821" s="1130"/>
      <c r="Y821" s="1130"/>
      <c r="Z821" s="1130"/>
    </row>
    <row r="822" spans="1:26" ht="15.75" customHeight="1">
      <c r="A822" s="1130"/>
      <c r="B822" s="1130"/>
      <c r="C822" s="1130"/>
      <c r="D822" s="1130"/>
      <c r="E822" s="1130"/>
      <c r="F822" s="1130"/>
      <c r="G822" s="1130"/>
      <c r="H822" s="1130"/>
      <c r="I822" s="1130"/>
      <c r="J822" s="1130"/>
      <c r="K822" s="1130"/>
      <c r="L822" s="1130"/>
      <c r="M822" s="1130"/>
      <c r="N822" s="1130"/>
      <c r="O822" s="1130"/>
      <c r="P822" s="1130"/>
      <c r="Q822" s="1130"/>
      <c r="R822" s="1130"/>
      <c r="S822" s="1130"/>
      <c r="T822" s="1130"/>
      <c r="U822" s="1130"/>
      <c r="V822" s="1130"/>
      <c r="W822" s="1130"/>
      <c r="X822" s="1130"/>
      <c r="Y822" s="1130"/>
      <c r="Z822" s="1130"/>
    </row>
    <row r="823" spans="1:26" ht="15.75" customHeight="1">
      <c r="A823" s="1130"/>
      <c r="B823" s="1130"/>
      <c r="C823" s="1130"/>
      <c r="D823" s="1130"/>
      <c r="E823" s="1130"/>
      <c r="F823" s="1130"/>
      <c r="G823" s="1130"/>
      <c r="H823" s="1130"/>
      <c r="I823" s="1130"/>
      <c r="J823" s="1130"/>
      <c r="K823" s="1130"/>
      <c r="L823" s="1130"/>
      <c r="M823" s="1130"/>
      <c r="N823" s="1130"/>
      <c r="O823" s="1130"/>
      <c r="P823" s="1130"/>
      <c r="Q823" s="1130"/>
      <c r="R823" s="1130"/>
      <c r="S823" s="1130"/>
      <c r="T823" s="1130"/>
      <c r="U823" s="1130"/>
      <c r="V823" s="1130"/>
      <c r="W823" s="1130"/>
      <c r="X823" s="1130"/>
      <c r="Y823" s="1130"/>
      <c r="Z823" s="1130"/>
    </row>
    <row r="824" spans="1:26" ht="15.75" customHeight="1">
      <c r="A824" s="1130"/>
      <c r="B824" s="1130"/>
      <c r="C824" s="1130"/>
      <c r="D824" s="1130"/>
      <c r="E824" s="1130"/>
      <c r="F824" s="1130"/>
      <c r="G824" s="1130"/>
      <c r="H824" s="1130"/>
      <c r="I824" s="1130"/>
      <c r="J824" s="1130"/>
      <c r="K824" s="1130"/>
      <c r="L824" s="1130"/>
      <c r="M824" s="1130"/>
      <c r="N824" s="1130"/>
      <c r="O824" s="1130"/>
      <c r="P824" s="1130"/>
      <c r="Q824" s="1130"/>
      <c r="R824" s="1130"/>
      <c r="S824" s="1130"/>
      <c r="T824" s="1130"/>
      <c r="U824" s="1130"/>
      <c r="V824" s="1130"/>
      <c r="W824" s="1130"/>
      <c r="X824" s="1130"/>
      <c r="Y824" s="1130"/>
      <c r="Z824" s="1130"/>
    </row>
    <row r="825" spans="1:26" ht="15.75" customHeight="1">
      <c r="A825" s="1130"/>
      <c r="B825" s="1130"/>
      <c r="C825" s="1130"/>
      <c r="D825" s="1130"/>
      <c r="E825" s="1130"/>
      <c r="F825" s="1130"/>
      <c r="G825" s="1130"/>
      <c r="H825" s="1130"/>
      <c r="I825" s="1130"/>
      <c r="J825" s="1130"/>
      <c r="K825" s="1130"/>
      <c r="L825" s="1130"/>
      <c r="M825" s="1130"/>
      <c r="N825" s="1130"/>
      <c r="O825" s="1130"/>
      <c r="P825" s="1130"/>
      <c r="Q825" s="1130"/>
      <c r="R825" s="1130"/>
      <c r="S825" s="1130"/>
      <c r="T825" s="1130"/>
      <c r="U825" s="1130"/>
      <c r="V825" s="1130"/>
      <c r="W825" s="1130"/>
      <c r="X825" s="1130"/>
      <c r="Y825" s="1130"/>
      <c r="Z825" s="1130"/>
    </row>
    <row r="826" spans="1:26" ht="15.75" customHeight="1">
      <c r="A826" s="1130"/>
      <c r="B826" s="1130"/>
      <c r="C826" s="1130"/>
      <c r="D826" s="1130"/>
      <c r="E826" s="1130"/>
      <c r="F826" s="1130"/>
      <c r="G826" s="1130"/>
      <c r="H826" s="1130"/>
      <c r="I826" s="1130"/>
      <c r="J826" s="1130"/>
      <c r="K826" s="1130"/>
      <c r="L826" s="1130"/>
      <c r="M826" s="1130"/>
      <c r="N826" s="1130"/>
      <c r="O826" s="1130"/>
      <c r="P826" s="1130"/>
      <c r="Q826" s="1130"/>
      <c r="R826" s="1130"/>
      <c r="S826" s="1130"/>
      <c r="T826" s="1130"/>
      <c r="U826" s="1130"/>
      <c r="V826" s="1130"/>
      <c r="W826" s="1130"/>
      <c r="X826" s="1130"/>
      <c r="Y826" s="1130"/>
      <c r="Z826" s="1130"/>
    </row>
    <row r="827" spans="1:26" ht="15.75" customHeight="1">
      <c r="A827" s="1130"/>
      <c r="B827" s="1130"/>
      <c r="C827" s="1130"/>
      <c r="D827" s="1130"/>
      <c r="E827" s="1130"/>
      <c r="F827" s="1130"/>
      <c r="G827" s="1130"/>
      <c r="H827" s="1130"/>
      <c r="I827" s="1130"/>
      <c r="J827" s="1130"/>
      <c r="K827" s="1130"/>
      <c r="L827" s="1130"/>
      <c r="M827" s="1130"/>
      <c r="N827" s="1130"/>
      <c r="O827" s="1130"/>
      <c r="P827" s="1130"/>
      <c r="Q827" s="1130"/>
      <c r="R827" s="1130"/>
      <c r="S827" s="1130"/>
      <c r="T827" s="1130"/>
      <c r="U827" s="1130"/>
      <c r="V827" s="1130"/>
      <c r="W827" s="1130"/>
      <c r="X827" s="1130"/>
      <c r="Y827" s="1130"/>
      <c r="Z827" s="1130"/>
    </row>
    <row r="828" spans="1:26" ht="15.75" customHeight="1">
      <c r="A828" s="1130"/>
      <c r="B828" s="1130"/>
      <c r="C828" s="1130"/>
      <c r="D828" s="1130"/>
      <c r="E828" s="1130"/>
      <c r="F828" s="1130"/>
      <c r="G828" s="1130"/>
      <c r="H828" s="1130"/>
      <c r="I828" s="1130"/>
      <c r="J828" s="1130"/>
      <c r="K828" s="1130"/>
      <c r="L828" s="1130"/>
      <c r="M828" s="1130"/>
      <c r="N828" s="1130"/>
      <c r="O828" s="1130"/>
      <c r="P828" s="1130"/>
      <c r="Q828" s="1130"/>
      <c r="R828" s="1130"/>
      <c r="S828" s="1130"/>
      <c r="T828" s="1130"/>
      <c r="U828" s="1130"/>
      <c r="V828" s="1130"/>
      <c r="W828" s="1130"/>
      <c r="X828" s="1130"/>
      <c r="Y828" s="1130"/>
      <c r="Z828" s="1130"/>
    </row>
    <row r="829" spans="1:26" ht="15.75" customHeight="1">
      <c r="A829" s="1130"/>
      <c r="B829" s="1130"/>
      <c r="C829" s="1130"/>
      <c r="D829" s="1130"/>
      <c r="E829" s="1130"/>
      <c r="F829" s="1130"/>
      <c r="G829" s="1130"/>
      <c r="H829" s="1130"/>
      <c r="I829" s="1130"/>
      <c r="J829" s="1130"/>
      <c r="K829" s="1130"/>
      <c r="L829" s="1130"/>
      <c r="M829" s="1130"/>
      <c r="N829" s="1130"/>
      <c r="O829" s="1130"/>
      <c r="P829" s="1130"/>
      <c r="Q829" s="1130"/>
      <c r="R829" s="1130"/>
      <c r="S829" s="1130"/>
      <c r="T829" s="1130"/>
      <c r="U829" s="1130"/>
      <c r="V829" s="1130"/>
      <c r="W829" s="1130"/>
      <c r="X829" s="1130"/>
      <c r="Y829" s="1130"/>
      <c r="Z829" s="1130"/>
    </row>
    <row r="830" spans="1:26" ht="15.75" customHeight="1">
      <c r="A830" s="1130"/>
      <c r="B830" s="1130"/>
      <c r="C830" s="1130"/>
      <c r="D830" s="1130"/>
      <c r="E830" s="1130"/>
      <c r="F830" s="1130"/>
      <c r="G830" s="1130"/>
      <c r="H830" s="1130"/>
      <c r="I830" s="1130"/>
      <c r="J830" s="1130"/>
      <c r="K830" s="1130"/>
      <c r="L830" s="1130"/>
      <c r="M830" s="1130"/>
      <c r="N830" s="1130"/>
      <c r="O830" s="1130"/>
      <c r="P830" s="1130"/>
      <c r="Q830" s="1130"/>
      <c r="R830" s="1130"/>
      <c r="S830" s="1130"/>
      <c r="T830" s="1130"/>
      <c r="U830" s="1130"/>
      <c r="V830" s="1130"/>
      <c r="W830" s="1130"/>
      <c r="X830" s="1130"/>
      <c r="Y830" s="1130"/>
      <c r="Z830" s="1130"/>
    </row>
    <row r="831" spans="1:26" ht="15.75" customHeight="1">
      <c r="A831" s="1130"/>
      <c r="B831" s="1130"/>
      <c r="C831" s="1130"/>
      <c r="D831" s="1130"/>
      <c r="E831" s="1130"/>
      <c r="F831" s="1130"/>
      <c r="G831" s="1130"/>
      <c r="H831" s="1130"/>
      <c r="I831" s="1130"/>
      <c r="J831" s="1130"/>
      <c r="K831" s="1130"/>
      <c r="L831" s="1130"/>
      <c r="M831" s="1130"/>
      <c r="N831" s="1130"/>
      <c r="O831" s="1130"/>
      <c r="P831" s="1130"/>
      <c r="Q831" s="1130"/>
      <c r="R831" s="1130"/>
      <c r="S831" s="1130"/>
      <c r="T831" s="1130"/>
      <c r="U831" s="1130"/>
      <c r="V831" s="1130"/>
      <c r="W831" s="1130"/>
      <c r="X831" s="1130"/>
      <c r="Y831" s="1130"/>
      <c r="Z831" s="1130"/>
    </row>
    <row r="832" spans="1:26" ht="15.75" customHeight="1">
      <c r="A832" s="1130"/>
      <c r="B832" s="1130"/>
      <c r="C832" s="1130"/>
      <c r="D832" s="1130"/>
      <c r="E832" s="1130"/>
      <c r="F832" s="1130"/>
      <c r="G832" s="1130"/>
      <c r="H832" s="1130"/>
      <c r="I832" s="1130"/>
      <c r="J832" s="1130"/>
      <c r="K832" s="1130"/>
      <c r="L832" s="1130"/>
      <c r="M832" s="1130"/>
      <c r="N832" s="1130"/>
      <c r="O832" s="1130"/>
      <c r="P832" s="1130"/>
      <c r="Q832" s="1130"/>
      <c r="R832" s="1130"/>
      <c r="S832" s="1130"/>
      <c r="T832" s="1130"/>
      <c r="U832" s="1130"/>
      <c r="V832" s="1130"/>
      <c r="W832" s="1130"/>
      <c r="X832" s="1130"/>
      <c r="Y832" s="1130"/>
      <c r="Z832" s="1130"/>
    </row>
    <row r="833" spans="1:26" ht="15.75" customHeight="1">
      <c r="A833" s="1130"/>
      <c r="B833" s="1130"/>
      <c r="C833" s="1130"/>
      <c r="D833" s="1130"/>
      <c r="E833" s="1130"/>
      <c r="F833" s="1130"/>
      <c r="G833" s="1130"/>
      <c r="H833" s="1130"/>
      <c r="I833" s="1130"/>
      <c r="J833" s="1130"/>
      <c r="K833" s="1130"/>
      <c r="L833" s="1130"/>
      <c r="M833" s="1130"/>
      <c r="N833" s="1130"/>
      <c r="O833" s="1130"/>
      <c r="P833" s="1130"/>
      <c r="Q833" s="1130"/>
      <c r="R833" s="1130"/>
      <c r="S833" s="1130"/>
      <c r="T833" s="1130"/>
      <c r="U833" s="1130"/>
      <c r="V833" s="1130"/>
      <c r="W833" s="1130"/>
      <c r="X833" s="1130"/>
      <c r="Y833" s="1130"/>
      <c r="Z833" s="1130"/>
    </row>
    <row r="834" spans="1:26" ht="15.75" customHeight="1">
      <c r="A834" s="1130"/>
      <c r="B834" s="1130"/>
      <c r="C834" s="1130"/>
      <c r="D834" s="1130"/>
      <c r="E834" s="1130"/>
      <c r="F834" s="1130"/>
      <c r="G834" s="1130"/>
      <c r="H834" s="1130"/>
      <c r="I834" s="1130"/>
      <c r="J834" s="1130"/>
      <c r="K834" s="1130"/>
      <c r="L834" s="1130"/>
      <c r="M834" s="1130"/>
      <c r="N834" s="1130"/>
      <c r="O834" s="1130"/>
      <c r="P834" s="1130"/>
      <c r="Q834" s="1130"/>
      <c r="R834" s="1130"/>
      <c r="S834" s="1130"/>
      <c r="T834" s="1130"/>
      <c r="U834" s="1130"/>
      <c r="V834" s="1130"/>
      <c r="W834" s="1130"/>
      <c r="X834" s="1130"/>
      <c r="Y834" s="1130"/>
      <c r="Z834" s="1130"/>
    </row>
    <row r="835" spans="1:26" ht="15.75" customHeight="1">
      <c r="A835" s="1130"/>
      <c r="B835" s="1130"/>
      <c r="C835" s="1130"/>
      <c r="D835" s="1130"/>
      <c r="E835" s="1130"/>
      <c r="F835" s="1130"/>
      <c r="G835" s="1130"/>
      <c r="H835" s="1130"/>
      <c r="I835" s="1130"/>
      <c r="J835" s="1130"/>
      <c r="K835" s="1130"/>
      <c r="L835" s="1130"/>
      <c r="M835" s="1130"/>
      <c r="N835" s="1130"/>
      <c r="O835" s="1130"/>
      <c r="P835" s="1130"/>
      <c r="Q835" s="1130"/>
      <c r="R835" s="1130"/>
      <c r="S835" s="1130"/>
      <c r="T835" s="1130"/>
      <c r="U835" s="1130"/>
      <c r="V835" s="1130"/>
      <c r="W835" s="1130"/>
      <c r="X835" s="1130"/>
      <c r="Y835" s="1130"/>
      <c r="Z835" s="1130"/>
    </row>
    <row r="836" spans="1:26" ht="15.75" customHeight="1">
      <c r="A836" s="1130"/>
      <c r="B836" s="1130"/>
      <c r="C836" s="1130"/>
      <c r="D836" s="1130"/>
      <c r="E836" s="1130"/>
      <c r="F836" s="1130"/>
      <c r="G836" s="1130"/>
      <c r="H836" s="1130"/>
      <c r="I836" s="1130"/>
      <c r="J836" s="1130"/>
      <c r="K836" s="1130"/>
      <c r="L836" s="1130"/>
      <c r="M836" s="1130"/>
      <c r="N836" s="1130"/>
      <c r="O836" s="1130"/>
      <c r="P836" s="1130"/>
      <c r="Q836" s="1130"/>
      <c r="R836" s="1130"/>
      <c r="S836" s="1130"/>
      <c r="T836" s="1130"/>
      <c r="U836" s="1130"/>
      <c r="V836" s="1130"/>
      <c r="W836" s="1130"/>
      <c r="X836" s="1130"/>
      <c r="Y836" s="1130"/>
      <c r="Z836" s="1130"/>
    </row>
    <row r="837" spans="1:26" ht="15.75" customHeight="1">
      <c r="A837" s="1130"/>
      <c r="B837" s="1130"/>
      <c r="C837" s="1130"/>
      <c r="D837" s="1130"/>
      <c r="E837" s="1130"/>
      <c r="F837" s="1130"/>
      <c r="G837" s="1130"/>
      <c r="H837" s="1130"/>
      <c r="I837" s="1130"/>
      <c r="J837" s="1130"/>
      <c r="K837" s="1130"/>
      <c r="L837" s="1130"/>
      <c r="M837" s="1130"/>
      <c r="N837" s="1130"/>
      <c r="O837" s="1130"/>
      <c r="P837" s="1130"/>
      <c r="Q837" s="1130"/>
      <c r="R837" s="1130"/>
      <c r="S837" s="1130"/>
      <c r="T837" s="1130"/>
      <c r="U837" s="1130"/>
      <c r="V837" s="1130"/>
      <c r="W837" s="1130"/>
      <c r="X837" s="1130"/>
      <c r="Y837" s="1130"/>
      <c r="Z837" s="1130"/>
    </row>
    <row r="838" spans="1:26" ht="15.75" customHeight="1">
      <c r="A838" s="1130"/>
      <c r="B838" s="1130"/>
      <c r="C838" s="1130"/>
      <c r="D838" s="1130"/>
      <c r="E838" s="1130"/>
      <c r="F838" s="1130"/>
      <c r="G838" s="1130"/>
      <c r="H838" s="1130"/>
      <c r="I838" s="1130"/>
      <c r="J838" s="1130"/>
      <c r="K838" s="1130"/>
      <c r="L838" s="1130"/>
      <c r="M838" s="1130"/>
      <c r="N838" s="1130"/>
      <c r="O838" s="1130"/>
      <c r="P838" s="1130"/>
      <c r="Q838" s="1130"/>
      <c r="R838" s="1130"/>
      <c r="S838" s="1130"/>
      <c r="T838" s="1130"/>
      <c r="U838" s="1130"/>
      <c r="V838" s="1130"/>
      <c r="W838" s="1130"/>
      <c r="X838" s="1130"/>
      <c r="Y838" s="1130"/>
      <c r="Z838" s="1130"/>
    </row>
    <row r="839" spans="1:26" ht="15.75" customHeight="1">
      <c r="A839" s="1130"/>
      <c r="B839" s="1130"/>
      <c r="C839" s="1130"/>
      <c r="D839" s="1130"/>
      <c r="E839" s="1130"/>
      <c r="F839" s="1130"/>
      <c r="G839" s="1130"/>
      <c r="H839" s="1130"/>
      <c r="I839" s="1130"/>
      <c r="J839" s="1130"/>
      <c r="K839" s="1130"/>
      <c r="L839" s="1130"/>
      <c r="M839" s="1130"/>
      <c r="N839" s="1130"/>
      <c r="O839" s="1130"/>
      <c r="P839" s="1130"/>
      <c r="Q839" s="1130"/>
      <c r="R839" s="1130"/>
      <c r="S839" s="1130"/>
      <c r="T839" s="1130"/>
      <c r="U839" s="1130"/>
      <c r="V839" s="1130"/>
      <c r="W839" s="1130"/>
      <c r="X839" s="1130"/>
      <c r="Y839" s="1130"/>
      <c r="Z839" s="1130"/>
    </row>
    <row r="840" spans="1:26" ht="15.75" customHeight="1">
      <c r="A840" s="1130"/>
      <c r="B840" s="1130"/>
      <c r="C840" s="1130"/>
      <c r="D840" s="1130"/>
      <c r="E840" s="1130"/>
      <c r="F840" s="1130"/>
      <c r="G840" s="1130"/>
      <c r="H840" s="1130"/>
      <c r="I840" s="1130"/>
      <c r="J840" s="1130"/>
      <c r="K840" s="1130"/>
      <c r="L840" s="1130"/>
      <c r="M840" s="1130"/>
      <c r="N840" s="1130"/>
      <c r="O840" s="1130"/>
      <c r="P840" s="1130"/>
      <c r="Q840" s="1130"/>
      <c r="R840" s="1130"/>
      <c r="S840" s="1130"/>
      <c r="T840" s="1130"/>
      <c r="U840" s="1130"/>
      <c r="V840" s="1130"/>
      <c r="W840" s="1130"/>
      <c r="X840" s="1130"/>
      <c r="Y840" s="1130"/>
      <c r="Z840" s="1130"/>
    </row>
    <row r="841" spans="1:26" ht="15.75" customHeight="1">
      <c r="A841" s="1130"/>
      <c r="B841" s="1130"/>
      <c r="C841" s="1130"/>
      <c r="D841" s="1130"/>
      <c r="E841" s="1130"/>
      <c r="F841" s="1130"/>
      <c r="G841" s="1130"/>
      <c r="H841" s="1130"/>
      <c r="I841" s="1130"/>
      <c r="J841" s="1130"/>
      <c r="K841" s="1130"/>
      <c r="L841" s="1130"/>
      <c r="M841" s="1130"/>
      <c r="N841" s="1130"/>
      <c r="O841" s="1130"/>
      <c r="P841" s="1130"/>
      <c r="Q841" s="1130"/>
      <c r="R841" s="1130"/>
      <c r="S841" s="1130"/>
      <c r="T841" s="1130"/>
      <c r="U841" s="1130"/>
      <c r="V841" s="1130"/>
      <c r="W841" s="1130"/>
      <c r="X841" s="1130"/>
      <c r="Y841" s="1130"/>
      <c r="Z841" s="1130"/>
    </row>
    <row r="842" spans="1:26" ht="15.75" customHeight="1">
      <c r="A842" s="1130"/>
      <c r="B842" s="1130"/>
      <c r="C842" s="1130"/>
      <c r="D842" s="1130"/>
      <c r="E842" s="1130"/>
      <c r="F842" s="1130"/>
      <c r="G842" s="1130"/>
      <c r="H842" s="1130"/>
      <c r="I842" s="1130"/>
      <c r="J842" s="1130"/>
      <c r="K842" s="1130"/>
      <c r="L842" s="1130"/>
      <c r="M842" s="1130"/>
      <c r="N842" s="1130"/>
      <c r="O842" s="1130"/>
      <c r="P842" s="1130"/>
      <c r="Q842" s="1130"/>
      <c r="R842" s="1130"/>
      <c r="S842" s="1130"/>
      <c r="T842" s="1130"/>
      <c r="U842" s="1130"/>
      <c r="V842" s="1130"/>
      <c r="W842" s="1130"/>
      <c r="X842" s="1130"/>
      <c r="Y842" s="1130"/>
      <c r="Z842" s="1130"/>
    </row>
    <row r="843" spans="1:26" ht="15.75" customHeight="1">
      <c r="A843" s="1130"/>
      <c r="B843" s="1130"/>
      <c r="C843" s="1130"/>
      <c r="D843" s="1130"/>
      <c r="E843" s="1130"/>
      <c r="F843" s="1130"/>
      <c r="G843" s="1130"/>
      <c r="H843" s="1130"/>
      <c r="I843" s="1130"/>
      <c r="J843" s="1130"/>
      <c r="K843" s="1130"/>
      <c r="L843" s="1130"/>
      <c r="M843" s="1130"/>
      <c r="N843" s="1130"/>
      <c r="O843" s="1130"/>
      <c r="P843" s="1130"/>
      <c r="Q843" s="1130"/>
      <c r="R843" s="1130"/>
      <c r="S843" s="1130"/>
      <c r="T843" s="1130"/>
      <c r="U843" s="1130"/>
      <c r="V843" s="1130"/>
      <c r="W843" s="1130"/>
      <c r="X843" s="1130"/>
      <c r="Y843" s="1130"/>
      <c r="Z843" s="1130"/>
    </row>
    <row r="844" spans="1:26" ht="15.75" customHeight="1">
      <c r="A844" s="1130"/>
      <c r="B844" s="1130"/>
      <c r="C844" s="1130"/>
      <c r="D844" s="1130"/>
      <c r="E844" s="1130"/>
      <c r="F844" s="1130"/>
      <c r="G844" s="1130"/>
      <c r="H844" s="1130"/>
      <c r="I844" s="1130"/>
      <c r="J844" s="1130"/>
      <c r="K844" s="1130"/>
      <c r="L844" s="1130"/>
      <c r="M844" s="1130"/>
      <c r="N844" s="1130"/>
      <c r="O844" s="1130"/>
      <c r="P844" s="1130"/>
      <c r="Q844" s="1130"/>
      <c r="R844" s="1130"/>
      <c r="S844" s="1130"/>
      <c r="T844" s="1130"/>
      <c r="U844" s="1130"/>
      <c r="V844" s="1130"/>
      <c r="W844" s="1130"/>
      <c r="X844" s="1130"/>
      <c r="Y844" s="1130"/>
      <c r="Z844" s="1130"/>
    </row>
    <row r="845" spans="1:26" ht="15.75" customHeight="1">
      <c r="A845" s="1130"/>
      <c r="B845" s="1130"/>
      <c r="C845" s="1130"/>
      <c r="D845" s="1130"/>
      <c r="E845" s="1130"/>
      <c r="F845" s="1130"/>
      <c r="G845" s="1130"/>
      <c r="H845" s="1130"/>
      <c r="I845" s="1130"/>
      <c r="J845" s="1130"/>
      <c r="K845" s="1130"/>
      <c r="L845" s="1130"/>
      <c r="M845" s="1130"/>
      <c r="N845" s="1130"/>
      <c r="O845" s="1130"/>
      <c r="P845" s="1130"/>
      <c r="Q845" s="1130"/>
      <c r="R845" s="1130"/>
      <c r="S845" s="1130"/>
      <c r="T845" s="1130"/>
      <c r="U845" s="1130"/>
      <c r="V845" s="1130"/>
      <c r="W845" s="1130"/>
      <c r="X845" s="1130"/>
      <c r="Y845" s="1130"/>
      <c r="Z845" s="1130"/>
    </row>
    <row r="846" spans="1:26" ht="15.75" customHeight="1">
      <c r="A846" s="1130"/>
      <c r="B846" s="1130"/>
      <c r="C846" s="1130"/>
      <c r="D846" s="1130"/>
      <c r="E846" s="1130"/>
      <c r="F846" s="1130"/>
      <c r="G846" s="1130"/>
      <c r="H846" s="1130"/>
      <c r="I846" s="1130"/>
      <c r="J846" s="1130"/>
      <c r="K846" s="1130"/>
      <c r="L846" s="1130"/>
      <c r="M846" s="1130"/>
      <c r="N846" s="1130"/>
      <c r="O846" s="1130"/>
      <c r="P846" s="1130"/>
      <c r="Q846" s="1130"/>
      <c r="R846" s="1130"/>
      <c r="S846" s="1130"/>
      <c r="T846" s="1130"/>
      <c r="U846" s="1130"/>
      <c r="V846" s="1130"/>
      <c r="W846" s="1130"/>
      <c r="X846" s="1130"/>
      <c r="Y846" s="1130"/>
      <c r="Z846" s="1130"/>
    </row>
    <row r="847" spans="1:26" ht="15.75" customHeight="1">
      <c r="A847" s="1130"/>
      <c r="B847" s="1130"/>
      <c r="C847" s="1130"/>
      <c r="D847" s="1130"/>
      <c r="E847" s="1130"/>
      <c r="F847" s="1130"/>
      <c r="G847" s="1130"/>
      <c r="H847" s="1130"/>
      <c r="I847" s="1130"/>
      <c r="J847" s="1130"/>
      <c r="K847" s="1130"/>
      <c r="L847" s="1130"/>
      <c r="M847" s="1130"/>
      <c r="N847" s="1130"/>
      <c r="O847" s="1130"/>
      <c r="P847" s="1130"/>
      <c r="Q847" s="1130"/>
      <c r="R847" s="1130"/>
      <c r="S847" s="1130"/>
      <c r="T847" s="1130"/>
      <c r="U847" s="1130"/>
      <c r="V847" s="1130"/>
      <c r="W847" s="1130"/>
      <c r="X847" s="1130"/>
      <c r="Y847" s="1130"/>
      <c r="Z847" s="1130"/>
    </row>
    <row r="848" spans="1:26" ht="15.75" customHeight="1">
      <c r="A848" s="1130"/>
      <c r="B848" s="1130"/>
      <c r="C848" s="1130"/>
      <c r="D848" s="1130"/>
      <c r="E848" s="1130"/>
      <c r="F848" s="1130"/>
      <c r="G848" s="1130"/>
      <c r="H848" s="1130"/>
      <c r="I848" s="1130"/>
      <c r="J848" s="1130"/>
      <c r="K848" s="1130"/>
      <c r="L848" s="1130"/>
      <c r="M848" s="1130"/>
      <c r="N848" s="1130"/>
      <c r="O848" s="1130"/>
      <c r="P848" s="1130"/>
      <c r="Q848" s="1130"/>
      <c r="R848" s="1130"/>
      <c r="S848" s="1130"/>
      <c r="T848" s="1130"/>
      <c r="U848" s="1130"/>
      <c r="V848" s="1130"/>
      <c r="W848" s="1130"/>
      <c r="X848" s="1130"/>
      <c r="Y848" s="1130"/>
      <c r="Z848" s="1130"/>
    </row>
    <row r="849" spans="1:26" ht="15.75" customHeight="1">
      <c r="A849" s="1130"/>
      <c r="B849" s="1130"/>
      <c r="C849" s="1130"/>
      <c r="D849" s="1130"/>
      <c r="E849" s="1130"/>
      <c r="F849" s="1130"/>
      <c r="G849" s="1130"/>
      <c r="H849" s="1130"/>
      <c r="I849" s="1130"/>
      <c r="J849" s="1130"/>
      <c r="K849" s="1130"/>
      <c r="L849" s="1130"/>
      <c r="M849" s="1130"/>
      <c r="N849" s="1130"/>
      <c r="O849" s="1130"/>
      <c r="P849" s="1130"/>
      <c r="Q849" s="1130"/>
      <c r="R849" s="1130"/>
      <c r="S849" s="1130"/>
      <c r="T849" s="1130"/>
      <c r="U849" s="1130"/>
      <c r="V849" s="1130"/>
      <c r="W849" s="1130"/>
      <c r="X849" s="1130"/>
      <c r="Y849" s="1130"/>
      <c r="Z849" s="1130"/>
    </row>
    <row r="850" spans="1:26" ht="15.75" customHeight="1">
      <c r="A850" s="1130"/>
      <c r="B850" s="1130"/>
      <c r="C850" s="1130"/>
      <c r="D850" s="1130"/>
      <c r="E850" s="1130"/>
      <c r="F850" s="1130"/>
      <c r="G850" s="1130"/>
      <c r="H850" s="1130"/>
      <c r="I850" s="1130"/>
      <c r="J850" s="1130"/>
      <c r="K850" s="1130"/>
      <c r="L850" s="1130"/>
      <c r="M850" s="1130"/>
      <c r="N850" s="1130"/>
      <c r="O850" s="1130"/>
      <c r="P850" s="1130"/>
      <c r="Q850" s="1130"/>
      <c r="R850" s="1130"/>
      <c r="S850" s="1130"/>
      <c r="T850" s="1130"/>
      <c r="U850" s="1130"/>
      <c r="V850" s="1130"/>
      <c r="W850" s="1130"/>
      <c r="X850" s="1130"/>
      <c r="Y850" s="1130"/>
      <c r="Z850" s="1130"/>
    </row>
    <row r="851" spans="1:26" ht="15.75" customHeight="1">
      <c r="A851" s="1130"/>
      <c r="B851" s="1130"/>
      <c r="C851" s="1130"/>
      <c r="D851" s="1130"/>
      <c r="E851" s="1130"/>
      <c r="F851" s="1130"/>
      <c r="G851" s="1130"/>
      <c r="H851" s="1130"/>
      <c r="I851" s="1130"/>
      <c r="J851" s="1130"/>
      <c r="K851" s="1130"/>
      <c r="L851" s="1130"/>
      <c r="M851" s="1130"/>
      <c r="N851" s="1130"/>
      <c r="O851" s="1130"/>
      <c r="P851" s="1130"/>
      <c r="Q851" s="1130"/>
      <c r="R851" s="1130"/>
      <c r="S851" s="1130"/>
      <c r="T851" s="1130"/>
      <c r="U851" s="1130"/>
      <c r="V851" s="1130"/>
      <c r="W851" s="1130"/>
      <c r="X851" s="1130"/>
      <c r="Y851" s="1130"/>
      <c r="Z851" s="1130"/>
    </row>
    <row r="852" spans="1:26" ht="15.75" customHeight="1">
      <c r="A852" s="1130"/>
      <c r="B852" s="1130"/>
      <c r="C852" s="1130"/>
      <c r="D852" s="1130"/>
      <c r="E852" s="1130"/>
      <c r="F852" s="1130"/>
      <c r="G852" s="1130"/>
      <c r="H852" s="1130"/>
      <c r="I852" s="1130"/>
      <c r="J852" s="1130"/>
      <c r="K852" s="1130"/>
      <c r="L852" s="1130"/>
      <c r="M852" s="1130"/>
      <c r="N852" s="1130"/>
      <c r="O852" s="1130"/>
      <c r="P852" s="1130"/>
      <c r="Q852" s="1130"/>
      <c r="R852" s="1130"/>
      <c r="S852" s="1130"/>
      <c r="T852" s="1130"/>
      <c r="U852" s="1130"/>
      <c r="V852" s="1130"/>
      <c r="W852" s="1130"/>
      <c r="X852" s="1130"/>
      <c r="Y852" s="1130"/>
      <c r="Z852" s="1130"/>
    </row>
    <row r="853" spans="1:26" ht="15.75" customHeight="1">
      <c r="A853" s="1130"/>
      <c r="B853" s="1130"/>
      <c r="C853" s="1130"/>
      <c r="D853" s="1130"/>
      <c r="E853" s="1130"/>
      <c r="F853" s="1130"/>
      <c r="G853" s="1130"/>
      <c r="H853" s="1130"/>
      <c r="I853" s="1130"/>
      <c r="J853" s="1130"/>
      <c r="K853" s="1130"/>
      <c r="L853" s="1130"/>
      <c r="M853" s="1130"/>
      <c r="N853" s="1130"/>
      <c r="O853" s="1130"/>
      <c r="P853" s="1130"/>
      <c r="Q853" s="1130"/>
      <c r="R853" s="1130"/>
      <c r="S853" s="1130"/>
      <c r="T853" s="1130"/>
      <c r="U853" s="1130"/>
      <c r="V853" s="1130"/>
      <c r="W853" s="1130"/>
      <c r="X853" s="1130"/>
      <c r="Y853" s="1130"/>
      <c r="Z853" s="1130"/>
    </row>
    <row r="854" spans="1:26" ht="15.75" customHeight="1">
      <c r="A854" s="1130"/>
      <c r="B854" s="1130"/>
      <c r="C854" s="1130"/>
      <c r="D854" s="1130"/>
      <c r="E854" s="1130"/>
      <c r="F854" s="1130"/>
      <c r="G854" s="1130"/>
      <c r="H854" s="1130"/>
      <c r="I854" s="1130"/>
      <c r="J854" s="1130"/>
      <c r="K854" s="1130"/>
      <c r="L854" s="1130"/>
      <c r="M854" s="1130"/>
      <c r="N854" s="1130"/>
      <c r="O854" s="1130"/>
      <c r="P854" s="1130"/>
      <c r="Q854" s="1130"/>
      <c r="R854" s="1130"/>
      <c r="S854" s="1130"/>
      <c r="T854" s="1130"/>
      <c r="U854" s="1130"/>
      <c r="V854" s="1130"/>
      <c r="W854" s="1130"/>
      <c r="X854" s="1130"/>
      <c r="Y854" s="1130"/>
      <c r="Z854" s="1130"/>
    </row>
    <row r="855" spans="1:26" ht="15.75" customHeight="1">
      <c r="A855" s="1130"/>
      <c r="B855" s="1130"/>
      <c r="C855" s="1130"/>
      <c r="D855" s="1130"/>
      <c r="E855" s="1130"/>
      <c r="F855" s="1130"/>
      <c r="G855" s="1130"/>
      <c r="H855" s="1130"/>
      <c r="I855" s="1130"/>
      <c r="J855" s="1130"/>
      <c r="K855" s="1130"/>
      <c r="L855" s="1130"/>
      <c r="M855" s="1130"/>
      <c r="N855" s="1130"/>
      <c r="O855" s="1130"/>
      <c r="P855" s="1130"/>
      <c r="Q855" s="1130"/>
      <c r="R855" s="1130"/>
      <c r="S855" s="1130"/>
      <c r="T855" s="1130"/>
      <c r="U855" s="1130"/>
      <c r="V855" s="1130"/>
      <c r="W855" s="1130"/>
      <c r="X855" s="1130"/>
      <c r="Y855" s="1130"/>
      <c r="Z855" s="1130"/>
    </row>
    <row r="856" spans="1:26" ht="15.75" customHeight="1">
      <c r="A856" s="1130"/>
      <c r="B856" s="1130"/>
      <c r="C856" s="1130"/>
      <c r="D856" s="1130"/>
      <c r="E856" s="1130"/>
      <c r="F856" s="1130"/>
      <c r="G856" s="1130"/>
      <c r="H856" s="1130"/>
      <c r="I856" s="1130"/>
      <c r="J856" s="1130"/>
      <c r="K856" s="1130"/>
      <c r="L856" s="1130"/>
      <c r="M856" s="1130"/>
      <c r="N856" s="1130"/>
      <c r="O856" s="1130"/>
      <c r="P856" s="1130"/>
      <c r="Q856" s="1130"/>
      <c r="R856" s="1130"/>
      <c r="S856" s="1130"/>
      <c r="T856" s="1130"/>
      <c r="U856" s="1130"/>
      <c r="V856" s="1130"/>
      <c r="W856" s="1130"/>
      <c r="X856" s="1130"/>
      <c r="Y856" s="1130"/>
      <c r="Z856" s="1130"/>
    </row>
    <row r="857" spans="1:26" ht="15.75" customHeight="1">
      <c r="A857" s="1130"/>
      <c r="B857" s="1130"/>
      <c r="C857" s="1130"/>
      <c r="D857" s="1130"/>
      <c r="E857" s="1130"/>
      <c r="F857" s="1130"/>
      <c r="G857" s="1130"/>
      <c r="H857" s="1130"/>
      <c r="I857" s="1130"/>
      <c r="J857" s="1130"/>
      <c r="K857" s="1130"/>
      <c r="L857" s="1130"/>
      <c r="M857" s="1130"/>
      <c r="N857" s="1130"/>
      <c r="O857" s="1130"/>
      <c r="P857" s="1130"/>
      <c r="Q857" s="1130"/>
      <c r="R857" s="1130"/>
      <c r="S857" s="1130"/>
      <c r="T857" s="1130"/>
      <c r="U857" s="1130"/>
      <c r="V857" s="1130"/>
      <c r="W857" s="1130"/>
      <c r="X857" s="1130"/>
      <c r="Y857" s="1130"/>
      <c r="Z857" s="1130"/>
    </row>
    <row r="858" spans="1:26" ht="15.75" customHeight="1">
      <c r="A858" s="1130"/>
      <c r="B858" s="1130"/>
      <c r="C858" s="1130"/>
      <c r="D858" s="1130"/>
      <c r="E858" s="1130"/>
      <c r="F858" s="1130"/>
      <c r="G858" s="1130"/>
      <c r="H858" s="1130"/>
      <c r="I858" s="1130"/>
      <c r="J858" s="1130"/>
      <c r="K858" s="1130"/>
      <c r="L858" s="1130"/>
      <c r="M858" s="1130"/>
      <c r="N858" s="1130"/>
      <c r="O858" s="1130"/>
      <c r="P858" s="1130"/>
      <c r="Q858" s="1130"/>
      <c r="R858" s="1130"/>
      <c r="S858" s="1130"/>
      <c r="T858" s="1130"/>
      <c r="U858" s="1130"/>
      <c r="V858" s="1130"/>
      <c r="W858" s="1130"/>
      <c r="X858" s="1130"/>
      <c r="Y858" s="1130"/>
      <c r="Z858" s="1130"/>
    </row>
    <row r="859" spans="1:26" ht="15.75" customHeight="1">
      <c r="A859" s="1130"/>
      <c r="B859" s="1130"/>
      <c r="C859" s="1130"/>
      <c r="D859" s="1130"/>
      <c r="E859" s="1130"/>
      <c r="F859" s="1130"/>
      <c r="G859" s="1130"/>
      <c r="H859" s="1130"/>
      <c r="I859" s="1130"/>
      <c r="J859" s="1130"/>
      <c r="K859" s="1130"/>
      <c r="L859" s="1130"/>
      <c r="M859" s="1130"/>
      <c r="N859" s="1130"/>
      <c r="O859" s="1130"/>
      <c r="P859" s="1130"/>
      <c r="Q859" s="1130"/>
      <c r="R859" s="1130"/>
      <c r="S859" s="1130"/>
      <c r="T859" s="1130"/>
      <c r="U859" s="1130"/>
      <c r="V859" s="1130"/>
      <c r="W859" s="1130"/>
      <c r="X859" s="1130"/>
      <c r="Y859" s="1130"/>
      <c r="Z859" s="1130"/>
    </row>
    <row r="860" spans="1:26" ht="15.75" customHeight="1">
      <c r="A860" s="1130"/>
      <c r="B860" s="1130"/>
      <c r="C860" s="1130"/>
      <c r="D860" s="1130"/>
      <c r="E860" s="1130"/>
      <c r="F860" s="1130"/>
      <c r="G860" s="1130"/>
      <c r="H860" s="1130"/>
      <c r="I860" s="1130"/>
      <c r="J860" s="1130"/>
      <c r="K860" s="1130"/>
      <c r="L860" s="1130"/>
      <c r="M860" s="1130"/>
      <c r="N860" s="1130"/>
      <c r="O860" s="1130"/>
      <c r="P860" s="1130"/>
      <c r="Q860" s="1130"/>
      <c r="R860" s="1130"/>
      <c r="S860" s="1130"/>
      <c r="T860" s="1130"/>
      <c r="U860" s="1130"/>
      <c r="V860" s="1130"/>
      <c r="W860" s="1130"/>
      <c r="X860" s="1130"/>
      <c r="Y860" s="1130"/>
      <c r="Z860" s="1130"/>
    </row>
    <row r="861" spans="1:26" ht="15.75" customHeight="1">
      <c r="A861" s="1130"/>
      <c r="B861" s="1130"/>
      <c r="C861" s="1130"/>
      <c r="D861" s="1130"/>
      <c r="E861" s="1130"/>
      <c r="F861" s="1130"/>
      <c r="G861" s="1130"/>
      <c r="H861" s="1130"/>
      <c r="I861" s="1130"/>
      <c r="J861" s="1130"/>
      <c r="K861" s="1130"/>
      <c r="L861" s="1130"/>
      <c r="M861" s="1130"/>
      <c r="N861" s="1130"/>
      <c r="O861" s="1130"/>
      <c r="P861" s="1130"/>
      <c r="Q861" s="1130"/>
      <c r="R861" s="1130"/>
      <c r="S861" s="1130"/>
      <c r="T861" s="1130"/>
      <c r="U861" s="1130"/>
      <c r="V861" s="1130"/>
      <c r="W861" s="1130"/>
      <c r="X861" s="1130"/>
      <c r="Y861" s="1130"/>
      <c r="Z861" s="1130"/>
    </row>
    <row r="862" spans="1:26" ht="15.75" customHeight="1">
      <c r="A862" s="1130"/>
      <c r="B862" s="1130"/>
      <c r="C862" s="1130"/>
      <c r="D862" s="1130"/>
      <c r="E862" s="1130"/>
      <c r="F862" s="1130"/>
      <c r="G862" s="1130"/>
      <c r="H862" s="1130"/>
      <c r="I862" s="1130"/>
      <c r="J862" s="1130"/>
      <c r="K862" s="1130"/>
      <c r="L862" s="1130"/>
      <c r="M862" s="1130"/>
      <c r="N862" s="1130"/>
      <c r="O862" s="1130"/>
      <c r="P862" s="1130"/>
      <c r="Q862" s="1130"/>
      <c r="R862" s="1130"/>
      <c r="S862" s="1130"/>
      <c r="T862" s="1130"/>
      <c r="U862" s="1130"/>
      <c r="V862" s="1130"/>
      <c r="W862" s="1130"/>
      <c r="X862" s="1130"/>
      <c r="Y862" s="1130"/>
      <c r="Z862" s="1130"/>
    </row>
    <row r="863" spans="1:26" ht="15.75" customHeight="1">
      <c r="A863" s="1130"/>
      <c r="B863" s="1130"/>
      <c r="C863" s="1130"/>
      <c r="D863" s="1130"/>
      <c r="E863" s="1130"/>
      <c r="F863" s="1130"/>
      <c r="G863" s="1130"/>
      <c r="H863" s="1130"/>
      <c r="I863" s="1130"/>
      <c r="J863" s="1130"/>
      <c r="K863" s="1130"/>
      <c r="L863" s="1130"/>
      <c r="M863" s="1130"/>
      <c r="N863" s="1130"/>
      <c r="O863" s="1130"/>
      <c r="P863" s="1130"/>
      <c r="Q863" s="1130"/>
      <c r="R863" s="1130"/>
      <c r="S863" s="1130"/>
      <c r="T863" s="1130"/>
      <c r="U863" s="1130"/>
      <c r="V863" s="1130"/>
      <c r="W863" s="1130"/>
      <c r="X863" s="1130"/>
      <c r="Y863" s="1130"/>
      <c r="Z863" s="1130"/>
    </row>
    <row r="864" spans="1:26" ht="15.75" customHeight="1">
      <c r="A864" s="1130"/>
      <c r="B864" s="1130"/>
      <c r="C864" s="1130"/>
      <c r="D864" s="1130"/>
      <c r="E864" s="1130"/>
      <c r="F864" s="1130"/>
      <c r="G864" s="1130"/>
      <c r="H864" s="1130"/>
      <c r="I864" s="1130"/>
      <c r="J864" s="1130"/>
      <c r="K864" s="1130"/>
      <c r="L864" s="1130"/>
      <c r="M864" s="1130"/>
      <c r="N864" s="1130"/>
      <c r="O864" s="1130"/>
      <c r="P864" s="1130"/>
      <c r="Q864" s="1130"/>
      <c r="R864" s="1130"/>
      <c r="S864" s="1130"/>
      <c r="T864" s="1130"/>
      <c r="U864" s="1130"/>
      <c r="V864" s="1130"/>
      <c r="W864" s="1130"/>
      <c r="X864" s="1130"/>
      <c r="Y864" s="1130"/>
      <c r="Z864" s="1130"/>
    </row>
    <row r="865" spans="1:26" ht="15.75" customHeight="1">
      <c r="A865" s="1130"/>
      <c r="B865" s="1130"/>
      <c r="C865" s="1130"/>
      <c r="D865" s="1130"/>
      <c r="E865" s="1130"/>
      <c r="F865" s="1130"/>
      <c r="G865" s="1130"/>
      <c r="H865" s="1130"/>
      <c r="I865" s="1130"/>
      <c r="J865" s="1130"/>
      <c r="K865" s="1130"/>
      <c r="L865" s="1130"/>
      <c r="M865" s="1130"/>
      <c r="N865" s="1130"/>
      <c r="O865" s="1130"/>
      <c r="P865" s="1130"/>
      <c r="Q865" s="1130"/>
      <c r="R865" s="1130"/>
      <c r="S865" s="1130"/>
      <c r="T865" s="1130"/>
      <c r="U865" s="1130"/>
      <c r="V865" s="1130"/>
      <c r="W865" s="1130"/>
      <c r="X865" s="1130"/>
      <c r="Y865" s="1130"/>
      <c r="Z865" s="1130"/>
    </row>
    <row r="866" spans="1:26" ht="15.75" customHeight="1">
      <c r="A866" s="1130"/>
      <c r="B866" s="1130"/>
      <c r="C866" s="1130"/>
      <c r="D866" s="1130"/>
      <c r="E866" s="1130"/>
      <c r="F866" s="1130"/>
      <c r="G866" s="1130"/>
      <c r="H866" s="1130"/>
      <c r="I866" s="1130"/>
      <c r="J866" s="1130"/>
      <c r="K866" s="1130"/>
      <c r="L866" s="1130"/>
      <c r="M866" s="1130"/>
      <c r="N866" s="1130"/>
      <c r="O866" s="1130"/>
      <c r="P866" s="1130"/>
      <c r="Q866" s="1130"/>
      <c r="R866" s="1130"/>
      <c r="S866" s="1130"/>
      <c r="T866" s="1130"/>
      <c r="U866" s="1130"/>
      <c r="V866" s="1130"/>
      <c r="W866" s="1130"/>
      <c r="X866" s="1130"/>
      <c r="Y866" s="1130"/>
      <c r="Z866" s="1130"/>
    </row>
    <row r="867" spans="1:26" ht="15.75" customHeight="1">
      <c r="A867" s="1130"/>
      <c r="B867" s="1130"/>
      <c r="C867" s="1130"/>
      <c r="D867" s="1130"/>
      <c r="E867" s="1130"/>
      <c r="F867" s="1130"/>
      <c r="G867" s="1130"/>
      <c r="H867" s="1130"/>
      <c r="I867" s="1130"/>
      <c r="J867" s="1130"/>
      <c r="K867" s="1130"/>
      <c r="L867" s="1130"/>
      <c r="M867" s="1130"/>
      <c r="N867" s="1130"/>
      <c r="O867" s="1130"/>
      <c r="P867" s="1130"/>
      <c r="Q867" s="1130"/>
      <c r="R867" s="1130"/>
      <c r="S867" s="1130"/>
      <c r="T867" s="1130"/>
      <c r="U867" s="1130"/>
      <c r="V867" s="1130"/>
      <c r="W867" s="1130"/>
      <c r="X867" s="1130"/>
      <c r="Y867" s="1130"/>
      <c r="Z867" s="1130"/>
    </row>
    <row r="868" spans="1:26" ht="15.75" customHeight="1">
      <c r="A868" s="1130"/>
      <c r="B868" s="1130"/>
      <c r="C868" s="1130"/>
      <c r="D868" s="1130"/>
      <c r="E868" s="1130"/>
      <c r="F868" s="1130"/>
      <c r="G868" s="1130"/>
      <c r="H868" s="1130"/>
      <c r="I868" s="1130"/>
      <c r="J868" s="1130"/>
      <c r="K868" s="1130"/>
      <c r="L868" s="1130"/>
      <c r="M868" s="1130"/>
      <c r="N868" s="1130"/>
      <c r="O868" s="1130"/>
      <c r="P868" s="1130"/>
      <c r="Q868" s="1130"/>
      <c r="R868" s="1130"/>
      <c r="S868" s="1130"/>
      <c r="T868" s="1130"/>
      <c r="U868" s="1130"/>
      <c r="V868" s="1130"/>
      <c r="W868" s="1130"/>
      <c r="X868" s="1130"/>
      <c r="Y868" s="1130"/>
      <c r="Z868" s="1130"/>
    </row>
    <row r="869" spans="1:26" ht="15.75" customHeight="1">
      <c r="A869" s="1130"/>
      <c r="B869" s="1130"/>
      <c r="C869" s="1130"/>
      <c r="D869" s="1130"/>
      <c r="E869" s="1130"/>
      <c r="F869" s="1130"/>
      <c r="G869" s="1130"/>
      <c r="H869" s="1130"/>
      <c r="I869" s="1130"/>
      <c r="J869" s="1130"/>
      <c r="K869" s="1130"/>
      <c r="L869" s="1130"/>
      <c r="M869" s="1130"/>
      <c r="N869" s="1130"/>
      <c r="O869" s="1130"/>
      <c r="P869" s="1130"/>
      <c r="Q869" s="1130"/>
      <c r="R869" s="1130"/>
      <c r="S869" s="1130"/>
      <c r="T869" s="1130"/>
      <c r="U869" s="1130"/>
      <c r="V869" s="1130"/>
      <c r="W869" s="1130"/>
      <c r="X869" s="1130"/>
      <c r="Y869" s="1130"/>
      <c r="Z869" s="1130"/>
    </row>
    <row r="870" spans="1:26" ht="15.75" customHeight="1">
      <c r="A870" s="1130"/>
      <c r="B870" s="1130"/>
      <c r="C870" s="1130"/>
      <c r="D870" s="1130"/>
      <c r="E870" s="1130"/>
      <c r="F870" s="1130"/>
      <c r="G870" s="1130"/>
      <c r="H870" s="1130"/>
      <c r="I870" s="1130"/>
      <c r="J870" s="1130"/>
      <c r="K870" s="1130"/>
      <c r="L870" s="1130"/>
      <c r="M870" s="1130"/>
      <c r="N870" s="1130"/>
      <c r="O870" s="1130"/>
      <c r="P870" s="1130"/>
      <c r="Q870" s="1130"/>
      <c r="R870" s="1130"/>
      <c r="S870" s="1130"/>
      <c r="T870" s="1130"/>
      <c r="U870" s="1130"/>
      <c r="V870" s="1130"/>
      <c r="W870" s="1130"/>
      <c r="X870" s="1130"/>
      <c r="Y870" s="1130"/>
      <c r="Z870" s="1130"/>
    </row>
    <row r="871" spans="1:26" ht="15.75" customHeight="1">
      <c r="A871" s="1130"/>
      <c r="B871" s="1130"/>
      <c r="C871" s="1130"/>
      <c r="D871" s="1130"/>
      <c r="E871" s="1130"/>
      <c r="F871" s="1130"/>
      <c r="G871" s="1130"/>
      <c r="H871" s="1130"/>
      <c r="I871" s="1130"/>
      <c r="J871" s="1130"/>
      <c r="K871" s="1130"/>
      <c r="L871" s="1130"/>
      <c r="M871" s="1130"/>
      <c r="N871" s="1130"/>
      <c r="O871" s="1130"/>
      <c r="P871" s="1130"/>
      <c r="Q871" s="1130"/>
      <c r="R871" s="1130"/>
      <c r="S871" s="1130"/>
      <c r="T871" s="1130"/>
      <c r="U871" s="1130"/>
      <c r="V871" s="1130"/>
      <c r="W871" s="1130"/>
      <c r="X871" s="1130"/>
      <c r="Y871" s="1130"/>
      <c r="Z871" s="1130"/>
    </row>
    <row r="872" spans="1:26" ht="15.75" customHeight="1">
      <c r="A872" s="1130"/>
      <c r="B872" s="1130"/>
      <c r="C872" s="1130"/>
      <c r="D872" s="1130"/>
      <c r="E872" s="1130"/>
      <c r="F872" s="1130"/>
      <c r="G872" s="1130"/>
      <c r="H872" s="1130"/>
      <c r="I872" s="1130"/>
      <c r="J872" s="1130"/>
      <c r="K872" s="1130"/>
      <c r="L872" s="1130"/>
      <c r="M872" s="1130"/>
      <c r="N872" s="1130"/>
      <c r="O872" s="1130"/>
      <c r="P872" s="1130"/>
      <c r="Q872" s="1130"/>
      <c r="R872" s="1130"/>
      <c r="S872" s="1130"/>
      <c r="T872" s="1130"/>
      <c r="U872" s="1130"/>
      <c r="V872" s="1130"/>
      <c r="W872" s="1130"/>
      <c r="X872" s="1130"/>
      <c r="Y872" s="1130"/>
      <c r="Z872" s="1130"/>
    </row>
    <row r="873" spans="1:26" ht="15.75" customHeight="1">
      <c r="A873" s="1130"/>
      <c r="B873" s="1130"/>
      <c r="C873" s="1130"/>
      <c r="D873" s="1130"/>
      <c r="E873" s="1130"/>
      <c r="F873" s="1130"/>
      <c r="G873" s="1130"/>
      <c r="H873" s="1130"/>
      <c r="I873" s="1130"/>
      <c r="J873" s="1130"/>
      <c r="K873" s="1130"/>
      <c r="L873" s="1130"/>
      <c r="M873" s="1130"/>
      <c r="N873" s="1130"/>
      <c r="O873" s="1130"/>
      <c r="P873" s="1130"/>
      <c r="Q873" s="1130"/>
      <c r="R873" s="1130"/>
      <c r="S873" s="1130"/>
      <c r="T873" s="1130"/>
      <c r="U873" s="1130"/>
      <c r="V873" s="1130"/>
      <c r="W873" s="1130"/>
      <c r="X873" s="1130"/>
      <c r="Y873" s="1130"/>
      <c r="Z873" s="1130"/>
    </row>
    <row r="874" spans="1:26" ht="15.75" customHeight="1">
      <c r="A874" s="1130"/>
      <c r="B874" s="1130"/>
      <c r="C874" s="1130"/>
      <c r="D874" s="1130"/>
      <c r="E874" s="1130"/>
      <c r="F874" s="1130"/>
      <c r="G874" s="1130"/>
      <c r="H874" s="1130"/>
      <c r="I874" s="1130"/>
      <c r="J874" s="1130"/>
      <c r="K874" s="1130"/>
      <c r="L874" s="1130"/>
      <c r="M874" s="1130"/>
      <c r="N874" s="1130"/>
      <c r="O874" s="1130"/>
      <c r="P874" s="1130"/>
      <c r="Q874" s="1130"/>
      <c r="R874" s="1130"/>
      <c r="S874" s="1130"/>
      <c r="T874" s="1130"/>
      <c r="U874" s="1130"/>
      <c r="V874" s="1130"/>
      <c r="W874" s="1130"/>
      <c r="X874" s="1130"/>
      <c r="Y874" s="1130"/>
      <c r="Z874" s="1130"/>
    </row>
    <row r="875" spans="1:26" ht="15.75" customHeight="1">
      <c r="A875" s="1130"/>
      <c r="B875" s="1130"/>
      <c r="C875" s="1130"/>
      <c r="D875" s="1130"/>
      <c r="E875" s="1130"/>
      <c r="F875" s="1130"/>
      <c r="G875" s="1130"/>
      <c r="H875" s="1130"/>
      <c r="I875" s="1130"/>
      <c r="J875" s="1130"/>
      <c r="K875" s="1130"/>
      <c r="L875" s="1130"/>
      <c r="M875" s="1130"/>
      <c r="N875" s="1130"/>
      <c r="O875" s="1130"/>
      <c r="P875" s="1130"/>
      <c r="Q875" s="1130"/>
      <c r="R875" s="1130"/>
      <c r="S875" s="1130"/>
      <c r="T875" s="1130"/>
      <c r="U875" s="1130"/>
      <c r="V875" s="1130"/>
      <c r="W875" s="1130"/>
      <c r="X875" s="1130"/>
      <c r="Y875" s="1130"/>
      <c r="Z875" s="1130"/>
    </row>
    <row r="876" spans="1:26" ht="15.75" customHeight="1">
      <c r="A876" s="1130"/>
      <c r="B876" s="1130"/>
      <c r="C876" s="1130"/>
      <c r="D876" s="1130"/>
      <c r="E876" s="1130"/>
      <c r="F876" s="1130"/>
      <c r="G876" s="1130"/>
      <c r="H876" s="1130"/>
      <c r="I876" s="1130"/>
      <c r="J876" s="1130"/>
      <c r="K876" s="1130"/>
      <c r="L876" s="1130"/>
      <c r="M876" s="1130"/>
      <c r="N876" s="1130"/>
      <c r="O876" s="1130"/>
      <c r="P876" s="1130"/>
      <c r="Q876" s="1130"/>
      <c r="R876" s="1130"/>
      <c r="S876" s="1130"/>
      <c r="T876" s="1130"/>
      <c r="U876" s="1130"/>
      <c r="V876" s="1130"/>
      <c r="W876" s="1130"/>
      <c r="X876" s="1130"/>
      <c r="Y876" s="1130"/>
      <c r="Z876" s="1130"/>
    </row>
    <row r="877" spans="1:26" ht="15.75" customHeight="1">
      <c r="A877" s="1130"/>
      <c r="B877" s="1130"/>
      <c r="C877" s="1130"/>
      <c r="D877" s="1130"/>
      <c r="E877" s="1130"/>
      <c r="F877" s="1130"/>
      <c r="G877" s="1130"/>
      <c r="H877" s="1130"/>
      <c r="I877" s="1130"/>
      <c r="J877" s="1130"/>
      <c r="K877" s="1130"/>
      <c r="L877" s="1130"/>
      <c r="M877" s="1130"/>
      <c r="N877" s="1130"/>
      <c r="O877" s="1130"/>
      <c r="P877" s="1130"/>
      <c r="Q877" s="1130"/>
      <c r="R877" s="1130"/>
      <c r="S877" s="1130"/>
      <c r="T877" s="1130"/>
      <c r="U877" s="1130"/>
      <c r="V877" s="1130"/>
      <c r="W877" s="1130"/>
      <c r="X877" s="1130"/>
      <c r="Y877" s="1130"/>
      <c r="Z877" s="1130"/>
    </row>
    <row r="878" spans="1:26" ht="15.75" customHeight="1">
      <c r="A878" s="1130"/>
      <c r="B878" s="1130"/>
      <c r="C878" s="1130"/>
      <c r="D878" s="1130"/>
      <c r="E878" s="1130"/>
      <c r="F878" s="1130"/>
      <c r="G878" s="1130"/>
      <c r="H878" s="1130"/>
      <c r="I878" s="1130"/>
      <c r="J878" s="1130"/>
      <c r="K878" s="1130"/>
      <c r="L878" s="1130"/>
      <c r="M878" s="1130"/>
      <c r="N878" s="1130"/>
      <c r="O878" s="1130"/>
      <c r="P878" s="1130"/>
      <c r="Q878" s="1130"/>
      <c r="R878" s="1130"/>
      <c r="S878" s="1130"/>
      <c r="T878" s="1130"/>
      <c r="U878" s="1130"/>
      <c r="V878" s="1130"/>
      <c r="W878" s="1130"/>
      <c r="X878" s="1130"/>
      <c r="Y878" s="1130"/>
      <c r="Z878" s="1130"/>
    </row>
    <row r="879" spans="1:26" ht="15.75" customHeight="1">
      <c r="A879" s="1130"/>
      <c r="B879" s="1130"/>
      <c r="C879" s="1130"/>
      <c r="D879" s="1130"/>
      <c r="E879" s="1130"/>
      <c r="F879" s="1130"/>
      <c r="G879" s="1130"/>
      <c r="H879" s="1130"/>
      <c r="I879" s="1130"/>
      <c r="J879" s="1130"/>
      <c r="K879" s="1130"/>
      <c r="L879" s="1130"/>
      <c r="M879" s="1130"/>
      <c r="N879" s="1130"/>
      <c r="O879" s="1130"/>
      <c r="P879" s="1130"/>
      <c r="Q879" s="1130"/>
      <c r="R879" s="1130"/>
      <c r="S879" s="1130"/>
      <c r="T879" s="1130"/>
      <c r="U879" s="1130"/>
      <c r="V879" s="1130"/>
      <c r="W879" s="1130"/>
      <c r="X879" s="1130"/>
      <c r="Y879" s="1130"/>
      <c r="Z879" s="1130"/>
    </row>
    <row r="880" spans="1:26" ht="15.75" customHeight="1">
      <c r="A880" s="1130"/>
      <c r="B880" s="1130"/>
      <c r="C880" s="1130"/>
      <c r="D880" s="1130"/>
      <c r="E880" s="1130"/>
      <c r="F880" s="1130"/>
      <c r="G880" s="1130"/>
      <c r="H880" s="1130"/>
      <c r="I880" s="1130"/>
      <c r="J880" s="1130"/>
      <c r="K880" s="1130"/>
      <c r="L880" s="1130"/>
      <c r="M880" s="1130"/>
      <c r="N880" s="1130"/>
      <c r="O880" s="1130"/>
      <c r="P880" s="1130"/>
      <c r="Q880" s="1130"/>
      <c r="R880" s="1130"/>
      <c r="S880" s="1130"/>
      <c r="T880" s="1130"/>
      <c r="U880" s="1130"/>
      <c r="V880" s="1130"/>
      <c r="W880" s="1130"/>
      <c r="X880" s="1130"/>
      <c r="Y880" s="1130"/>
      <c r="Z880" s="1130"/>
    </row>
    <row r="881" spans="1:26" ht="15.75" customHeight="1">
      <c r="A881" s="1130"/>
      <c r="B881" s="1130"/>
      <c r="C881" s="1130"/>
      <c r="D881" s="1130"/>
      <c r="E881" s="1130"/>
      <c r="F881" s="1130"/>
      <c r="G881" s="1130"/>
      <c r="H881" s="1130"/>
      <c r="I881" s="1130"/>
      <c r="J881" s="1130"/>
      <c r="K881" s="1130"/>
      <c r="L881" s="1130"/>
      <c r="M881" s="1130"/>
      <c r="N881" s="1130"/>
      <c r="O881" s="1130"/>
      <c r="P881" s="1130"/>
      <c r="Q881" s="1130"/>
      <c r="R881" s="1130"/>
      <c r="S881" s="1130"/>
      <c r="T881" s="1130"/>
      <c r="U881" s="1130"/>
      <c r="V881" s="1130"/>
      <c r="W881" s="1130"/>
      <c r="X881" s="1130"/>
      <c r="Y881" s="1130"/>
      <c r="Z881" s="1130"/>
    </row>
    <row r="882" spans="1:26" ht="15.75" customHeight="1">
      <c r="A882" s="1130"/>
      <c r="B882" s="1130"/>
      <c r="C882" s="1130"/>
      <c r="D882" s="1130"/>
      <c r="E882" s="1130"/>
      <c r="F882" s="1130"/>
      <c r="G882" s="1130"/>
      <c r="H882" s="1130"/>
      <c r="I882" s="1130"/>
      <c r="J882" s="1130"/>
      <c r="K882" s="1130"/>
      <c r="L882" s="1130"/>
      <c r="M882" s="1130"/>
      <c r="N882" s="1130"/>
      <c r="O882" s="1130"/>
      <c r="P882" s="1130"/>
      <c r="Q882" s="1130"/>
      <c r="R882" s="1130"/>
      <c r="S882" s="1130"/>
      <c r="T882" s="1130"/>
      <c r="U882" s="1130"/>
      <c r="V882" s="1130"/>
      <c r="W882" s="1130"/>
      <c r="X882" s="1130"/>
      <c r="Y882" s="1130"/>
      <c r="Z882" s="1130"/>
    </row>
    <row r="883" spans="1:26" ht="15.75" customHeight="1">
      <c r="A883" s="1130"/>
      <c r="B883" s="1130"/>
      <c r="C883" s="1130"/>
      <c r="D883" s="1130"/>
      <c r="E883" s="1130"/>
      <c r="F883" s="1130"/>
      <c r="G883" s="1130"/>
      <c r="H883" s="1130"/>
      <c r="I883" s="1130"/>
      <c r="J883" s="1130"/>
      <c r="K883" s="1130"/>
      <c r="L883" s="1130"/>
      <c r="M883" s="1130"/>
      <c r="N883" s="1130"/>
      <c r="O883" s="1130"/>
      <c r="P883" s="1130"/>
      <c r="Q883" s="1130"/>
      <c r="R883" s="1130"/>
      <c r="S883" s="1130"/>
      <c r="T883" s="1130"/>
      <c r="U883" s="1130"/>
      <c r="V883" s="1130"/>
      <c r="W883" s="1130"/>
      <c r="X883" s="1130"/>
      <c r="Y883" s="1130"/>
      <c r="Z883" s="1130"/>
    </row>
    <row r="884" spans="1:26" ht="15.75" customHeight="1">
      <c r="A884" s="1130"/>
      <c r="B884" s="1130"/>
      <c r="C884" s="1130"/>
      <c r="D884" s="1130"/>
      <c r="E884" s="1130"/>
      <c r="F884" s="1130"/>
      <c r="G884" s="1130"/>
      <c r="H884" s="1130"/>
      <c r="I884" s="1130"/>
      <c r="J884" s="1130"/>
      <c r="K884" s="1130"/>
      <c r="L884" s="1130"/>
      <c r="M884" s="1130"/>
      <c r="N884" s="1130"/>
      <c r="O884" s="1130"/>
      <c r="P884" s="1130"/>
      <c r="Q884" s="1130"/>
      <c r="R884" s="1130"/>
      <c r="S884" s="1130"/>
      <c r="T884" s="1130"/>
      <c r="U884" s="1130"/>
      <c r="V884" s="1130"/>
      <c r="W884" s="1130"/>
      <c r="X884" s="1130"/>
      <c r="Y884" s="1130"/>
      <c r="Z884" s="1130"/>
    </row>
    <row r="885" spans="1:26" ht="15.75" customHeight="1">
      <c r="A885" s="1130"/>
      <c r="B885" s="1130"/>
      <c r="C885" s="1130"/>
      <c r="D885" s="1130"/>
      <c r="E885" s="1130"/>
      <c r="F885" s="1130"/>
      <c r="G885" s="1130"/>
      <c r="H885" s="1130"/>
      <c r="I885" s="1130"/>
      <c r="J885" s="1130"/>
      <c r="K885" s="1130"/>
      <c r="L885" s="1130"/>
      <c r="M885" s="1130"/>
      <c r="N885" s="1130"/>
      <c r="O885" s="1130"/>
      <c r="P885" s="1130"/>
      <c r="Q885" s="1130"/>
      <c r="R885" s="1130"/>
      <c r="S885" s="1130"/>
      <c r="T885" s="1130"/>
      <c r="U885" s="1130"/>
      <c r="V885" s="1130"/>
      <c r="W885" s="1130"/>
      <c r="X885" s="1130"/>
      <c r="Y885" s="1130"/>
      <c r="Z885" s="1130"/>
    </row>
    <row r="886" spans="1:26" ht="15.75" customHeight="1">
      <c r="A886" s="1130"/>
      <c r="B886" s="1130"/>
      <c r="C886" s="1130"/>
      <c r="D886" s="1130"/>
      <c r="E886" s="1130"/>
      <c r="F886" s="1130"/>
      <c r="G886" s="1130"/>
      <c r="H886" s="1130"/>
      <c r="I886" s="1130"/>
      <c r="J886" s="1130"/>
      <c r="K886" s="1130"/>
      <c r="L886" s="1130"/>
      <c r="M886" s="1130"/>
      <c r="N886" s="1130"/>
      <c r="O886" s="1130"/>
      <c r="P886" s="1130"/>
      <c r="Q886" s="1130"/>
      <c r="R886" s="1130"/>
      <c r="S886" s="1130"/>
      <c r="T886" s="1130"/>
      <c r="U886" s="1130"/>
      <c r="V886" s="1130"/>
      <c r="W886" s="1130"/>
      <c r="X886" s="1130"/>
      <c r="Y886" s="1130"/>
      <c r="Z886" s="1130"/>
    </row>
    <row r="887" spans="1:26" ht="15.75" customHeight="1">
      <c r="A887" s="1130"/>
      <c r="B887" s="1130"/>
      <c r="C887" s="1130"/>
      <c r="D887" s="1130"/>
      <c r="E887" s="1130"/>
      <c r="F887" s="1130"/>
      <c r="G887" s="1130"/>
      <c r="H887" s="1130"/>
      <c r="I887" s="1130"/>
      <c r="J887" s="1130"/>
      <c r="K887" s="1130"/>
      <c r="L887" s="1130"/>
      <c r="M887" s="1130"/>
      <c r="N887" s="1130"/>
      <c r="O887" s="1130"/>
      <c r="P887" s="1130"/>
      <c r="Q887" s="1130"/>
      <c r="R887" s="1130"/>
      <c r="S887" s="1130"/>
      <c r="T887" s="1130"/>
      <c r="U887" s="1130"/>
      <c r="V887" s="1130"/>
      <c r="W887" s="1130"/>
      <c r="X887" s="1130"/>
      <c r="Y887" s="1130"/>
      <c r="Z887" s="1130"/>
    </row>
    <row r="888" spans="1:26" ht="15.75" customHeight="1">
      <c r="A888" s="1130"/>
      <c r="B888" s="1130"/>
      <c r="C888" s="1130"/>
      <c r="D888" s="1130"/>
      <c r="E888" s="1130"/>
      <c r="F888" s="1130"/>
      <c r="G888" s="1130"/>
      <c r="H888" s="1130"/>
      <c r="I888" s="1130"/>
      <c r="J888" s="1130"/>
      <c r="K888" s="1130"/>
      <c r="L888" s="1130"/>
      <c r="M888" s="1130"/>
      <c r="N888" s="1130"/>
      <c r="O888" s="1130"/>
      <c r="P888" s="1130"/>
      <c r="Q888" s="1130"/>
      <c r="R888" s="1130"/>
      <c r="S888" s="1130"/>
      <c r="T888" s="1130"/>
      <c r="U888" s="1130"/>
      <c r="V888" s="1130"/>
      <c r="W888" s="1130"/>
      <c r="X888" s="1130"/>
      <c r="Y888" s="1130"/>
      <c r="Z888" s="1130"/>
    </row>
    <row r="889" spans="1:26" ht="15.75" customHeight="1">
      <c r="A889" s="1130"/>
      <c r="B889" s="1130"/>
      <c r="C889" s="1130"/>
      <c r="D889" s="1130"/>
      <c r="E889" s="1130"/>
      <c r="F889" s="1130"/>
      <c r="G889" s="1130"/>
      <c r="H889" s="1130"/>
      <c r="I889" s="1130"/>
      <c r="J889" s="1130"/>
      <c r="K889" s="1130"/>
      <c r="L889" s="1130"/>
      <c r="M889" s="1130"/>
      <c r="N889" s="1130"/>
      <c r="O889" s="1130"/>
      <c r="P889" s="1130"/>
      <c r="Q889" s="1130"/>
      <c r="R889" s="1130"/>
      <c r="S889" s="1130"/>
      <c r="T889" s="1130"/>
      <c r="U889" s="1130"/>
      <c r="V889" s="1130"/>
      <c r="W889" s="1130"/>
      <c r="X889" s="1130"/>
      <c r="Y889" s="1130"/>
      <c r="Z889" s="1130"/>
    </row>
    <row r="890" spans="1:26" ht="15.75" customHeight="1">
      <c r="A890" s="1130"/>
      <c r="B890" s="1130"/>
      <c r="C890" s="1130"/>
      <c r="D890" s="1130"/>
      <c r="E890" s="1130"/>
      <c r="F890" s="1130"/>
      <c r="G890" s="1130"/>
      <c r="H890" s="1130"/>
      <c r="I890" s="1130"/>
      <c r="J890" s="1130"/>
      <c r="K890" s="1130"/>
      <c r="L890" s="1130"/>
      <c r="M890" s="1130"/>
      <c r="N890" s="1130"/>
      <c r="O890" s="1130"/>
      <c r="P890" s="1130"/>
      <c r="Q890" s="1130"/>
      <c r="R890" s="1130"/>
      <c r="S890" s="1130"/>
      <c r="T890" s="1130"/>
      <c r="U890" s="1130"/>
      <c r="V890" s="1130"/>
      <c r="W890" s="1130"/>
      <c r="X890" s="1130"/>
      <c r="Y890" s="1130"/>
      <c r="Z890" s="1130"/>
    </row>
    <row r="891" spans="1:26" ht="15.75" customHeight="1">
      <c r="A891" s="1130"/>
      <c r="B891" s="1130"/>
      <c r="C891" s="1130"/>
      <c r="D891" s="1130"/>
      <c r="E891" s="1130"/>
      <c r="F891" s="1130"/>
      <c r="G891" s="1130"/>
      <c r="H891" s="1130"/>
      <c r="I891" s="1130"/>
      <c r="J891" s="1130"/>
      <c r="K891" s="1130"/>
      <c r="L891" s="1130"/>
      <c r="M891" s="1130"/>
      <c r="N891" s="1130"/>
      <c r="O891" s="1130"/>
      <c r="P891" s="1130"/>
      <c r="Q891" s="1130"/>
      <c r="R891" s="1130"/>
      <c r="S891" s="1130"/>
      <c r="T891" s="1130"/>
      <c r="U891" s="1130"/>
      <c r="V891" s="1130"/>
      <c r="W891" s="1130"/>
      <c r="X891" s="1130"/>
      <c r="Y891" s="1130"/>
      <c r="Z891" s="1130"/>
    </row>
    <row r="892" spans="1:26" ht="15.75" customHeight="1">
      <c r="A892" s="1130"/>
      <c r="B892" s="1130"/>
      <c r="C892" s="1130"/>
      <c r="D892" s="1130"/>
      <c r="E892" s="1130"/>
      <c r="F892" s="1130"/>
      <c r="G892" s="1130"/>
      <c r="H892" s="1130"/>
      <c r="I892" s="1130"/>
      <c r="J892" s="1130"/>
      <c r="K892" s="1130"/>
      <c r="L892" s="1130"/>
      <c r="M892" s="1130"/>
      <c r="N892" s="1130"/>
      <c r="O892" s="1130"/>
      <c r="P892" s="1130"/>
      <c r="Q892" s="1130"/>
      <c r="R892" s="1130"/>
      <c r="S892" s="1130"/>
      <c r="T892" s="1130"/>
      <c r="U892" s="1130"/>
      <c r="V892" s="1130"/>
      <c r="W892" s="1130"/>
      <c r="X892" s="1130"/>
      <c r="Y892" s="1130"/>
      <c r="Z892" s="1130"/>
    </row>
    <row r="893" spans="1:26" ht="15.75" customHeight="1">
      <c r="A893" s="1130"/>
      <c r="B893" s="1130"/>
      <c r="C893" s="1130"/>
      <c r="D893" s="1130"/>
      <c r="E893" s="1130"/>
      <c r="F893" s="1130"/>
      <c r="G893" s="1130"/>
      <c r="H893" s="1130"/>
      <c r="I893" s="1130"/>
      <c r="J893" s="1130"/>
      <c r="K893" s="1130"/>
      <c r="L893" s="1130"/>
      <c r="M893" s="1130"/>
      <c r="N893" s="1130"/>
      <c r="O893" s="1130"/>
      <c r="P893" s="1130"/>
      <c r="Q893" s="1130"/>
      <c r="R893" s="1130"/>
      <c r="S893" s="1130"/>
      <c r="T893" s="1130"/>
      <c r="U893" s="1130"/>
      <c r="V893" s="1130"/>
      <c r="W893" s="1130"/>
      <c r="X893" s="1130"/>
      <c r="Y893" s="1130"/>
      <c r="Z893" s="1130"/>
    </row>
    <row r="894" spans="1:26" ht="15.75" customHeight="1">
      <c r="A894" s="1130"/>
      <c r="B894" s="1130"/>
      <c r="C894" s="1130"/>
      <c r="D894" s="1130"/>
      <c r="E894" s="1130"/>
      <c r="F894" s="1130"/>
      <c r="G894" s="1130"/>
      <c r="H894" s="1130"/>
      <c r="I894" s="1130"/>
      <c r="J894" s="1130"/>
      <c r="K894" s="1130"/>
      <c r="L894" s="1130"/>
      <c r="M894" s="1130"/>
      <c r="N894" s="1130"/>
      <c r="O894" s="1130"/>
      <c r="P894" s="1130"/>
      <c r="Q894" s="1130"/>
      <c r="R894" s="1130"/>
      <c r="S894" s="1130"/>
      <c r="T894" s="1130"/>
      <c r="U894" s="1130"/>
      <c r="V894" s="1130"/>
      <c r="W894" s="1130"/>
      <c r="X894" s="1130"/>
      <c r="Y894" s="1130"/>
      <c r="Z894" s="1130"/>
    </row>
    <row r="895" spans="1:26" ht="15.75" customHeight="1">
      <c r="A895" s="1130"/>
      <c r="B895" s="1130"/>
      <c r="C895" s="1130"/>
      <c r="D895" s="1130"/>
      <c r="E895" s="1130"/>
      <c r="F895" s="1130"/>
      <c r="G895" s="1130"/>
      <c r="H895" s="1130"/>
      <c r="I895" s="1130"/>
      <c r="J895" s="1130"/>
      <c r="K895" s="1130"/>
      <c r="L895" s="1130"/>
      <c r="M895" s="1130"/>
      <c r="N895" s="1130"/>
      <c r="O895" s="1130"/>
      <c r="P895" s="1130"/>
      <c r="Q895" s="1130"/>
      <c r="R895" s="1130"/>
      <c r="S895" s="1130"/>
      <c r="T895" s="1130"/>
      <c r="U895" s="1130"/>
      <c r="V895" s="1130"/>
      <c r="W895" s="1130"/>
      <c r="X895" s="1130"/>
      <c r="Y895" s="1130"/>
      <c r="Z895" s="1130"/>
    </row>
    <row r="896" spans="1:26" ht="15.75" customHeight="1">
      <c r="A896" s="1130"/>
      <c r="B896" s="1130"/>
      <c r="C896" s="1130"/>
      <c r="D896" s="1130"/>
      <c r="E896" s="1130"/>
      <c r="F896" s="1130"/>
      <c r="G896" s="1130"/>
      <c r="H896" s="1130"/>
      <c r="I896" s="1130"/>
      <c r="J896" s="1130"/>
      <c r="K896" s="1130"/>
      <c r="L896" s="1130"/>
      <c r="M896" s="1130"/>
      <c r="N896" s="1130"/>
      <c r="O896" s="1130"/>
      <c r="P896" s="1130"/>
      <c r="Q896" s="1130"/>
      <c r="R896" s="1130"/>
      <c r="S896" s="1130"/>
      <c r="T896" s="1130"/>
      <c r="U896" s="1130"/>
      <c r="V896" s="1130"/>
      <c r="W896" s="1130"/>
      <c r="X896" s="1130"/>
      <c r="Y896" s="1130"/>
      <c r="Z896" s="1130"/>
    </row>
    <row r="897" spans="1:26" ht="15.75" customHeight="1">
      <c r="A897" s="1130"/>
      <c r="B897" s="1130"/>
      <c r="C897" s="1130"/>
      <c r="D897" s="1130"/>
      <c r="E897" s="1130"/>
      <c r="F897" s="1130"/>
      <c r="G897" s="1130"/>
      <c r="H897" s="1130"/>
      <c r="I897" s="1130"/>
      <c r="J897" s="1130"/>
      <c r="K897" s="1130"/>
      <c r="L897" s="1130"/>
      <c r="M897" s="1130"/>
      <c r="N897" s="1130"/>
      <c r="O897" s="1130"/>
      <c r="P897" s="1130"/>
      <c r="Q897" s="1130"/>
      <c r="R897" s="1130"/>
      <c r="S897" s="1130"/>
      <c r="T897" s="1130"/>
      <c r="U897" s="1130"/>
      <c r="V897" s="1130"/>
      <c r="W897" s="1130"/>
      <c r="X897" s="1130"/>
      <c r="Y897" s="1130"/>
      <c r="Z897" s="1130"/>
    </row>
    <row r="898" spans="1:26" ht="15.75" customHeight="1">
      <c r="A898" s="1130"/>
      <c r="B898" s="1130"/>
      <c r="C898" s="1130"/>
      <c r="D898" s="1130"/>
      <c r="E898" s="1130"/>
      <c r="F898" s="1130"/>
      <c r="G898" s="1130"/>
      <c r="H898" s="1130"/>
      <c r="I898" s="1130"/>
      <c r="J898" s="1130"/>
      <c r="K898" s="1130"/>
      <c r="L898" s="1130"/>
      <c r="M898" s="1130"/>
      <c r="N898" s="1130"/>
      <c r="O898" s="1130"/>
      <c r="P898" s="1130"/>
      <c r="Q898" s="1130"/>
      <c r="R898" s="1130"/>
      <c r="S898" s="1130"/>
      <c r="T898" s="1130"/>
      <c r="U898" s="1130"/>
      <c r="V898" s="1130"/>
      <c r="W898" s="1130"/>
      <c r="X898" s="1130"/>
      <c r="Y898" s="1130"/>
      <c r="Z898" s="1130"/>
    </row>
    <row r="899" spans="1:26" ht="15.75" customHeight="1">
      <c r="A899" s="1130"/>
      <c r="B899" s="1130"/>
      <c r="C899" s="1130"/>
      <c r="D899" s="1130"/>
      <c r="E899" s="1130"/>
      <c r="F899" s="1130"/>
      <c r="G899" s="1130"/>
      <c r="H899" s="1130"/>
      <c r="I899" s="1130"/>
      <c r="J899" s="1130"/>
      <c r="K899" s="1130"/>
      <c r="L899" s="1130"/>
      <c r="M899" s="1130"/>
      <c r="N899" s="1130"/>
      <c r="O899" s="1130"/>
      <c r="P899" s="1130"/>
      <c r="Q899" s="1130"/>
      <c r="R899" s="1130"/>
      <c r="S899" s="1130"/>
      <c r="T899" s="1130"/>
      <c r="U899" s="1130"/>
      <c r="V899" s="1130"/>
      <c r="W899" s="1130"/>
      <c r="X899" s="1130"/>
      <c r="Y899" s="1130"/>
      <c r="Z899" s="1130"/>
    </row>
    <row r="900" spans="1:26" ht="15.75" customHeight="1">
      <c r="A900" s="1130"/>
      <c r="B900" s="1130"/>
      <c r="C900" s="1130"/>
      <c r="D900" s="1130"/>
      <c r="E900" s="1130"/>
      <c r="F900" s="1130"/>
      <c r="G900" s="1130"/>
      <c r="H900" s="1130"/>
      <c r="I900" s="1130"/>
      <c r="J900" s="1130"/>
      <c r="K900" s="1130"/>
      <c r="L900" s="1130"/>
      <c r="M900" s="1130"/>
      <c r="N900" s="1130"/>
      <c r="O900" s="1130"/>
      <c r="P900" s="1130"/>
      <c r="Q900" s="1130"/>
      <c r="R900" s="1130"/>
      <c r="S900" s="1130"/>
      <c r="T900" s="1130"/>
      <c r="U900" s="1130"/>
      <c r="V900" s="1130"/>
      <c r="W900" s="1130"/>
      <c r="X900" s="1130"/>
      <c r="Y900" s="1130"/>
      <c r="Z900" s="1130"/>
    </row>
    <row r="901" spans="1:26" ht="15.75" customHeight="1">
      <c r="A901" s="1130"/>
      <c r="B901" s="1130"/>
      <c r="C901" s="1130"/>
      <c r="D901" s="1130"/>
      <c r="E901" s="1130"/>
      <c r="F901" s="1130"/>
      <c r="G901" s="1130"/>
      <c r="H901" s="1130"/>
      <c r="I901" s="1130"/>
      <c r="J901" s="1130"/>
      <c r="K901" s="1130"/>
      <c r="L901" s="1130"/>
      <c r="M901" s="1130"/>
      <c r="N901" s="1130"/>
      <c r="O901" s="1130"/>
      <c r="P901" s="1130"/>
      <c r="Q901" s="1130"/>
      <c r="R901" s="1130"/>
      <c r="S901" s="1130"/>
      <c r="T901" s="1130"/>
      <c r="U901" s="1130"/>
      <c r="V901" s="1130"/>
      <c r="W901" s="1130"/>
      <c r="X901" s="1130"/>
      <c r="Y901" s="1130"/>
      <c r="Z901" s="1130"/>
    </row>
    <row r="902" spans="1:26" ht="15.75" customHeight="1">
      <c r="A902" s="1130"/>
      <c r="B902" s="1130"/>
      <c r="C902" s="1130"/>
      <c r="D902" s="1130"/>
      <c r="E902" s="1130"/>
      <c r="F902" s="1130"/>
      <c r="G902" s="1130"/>
      <c r="H902" s="1130"/>
      <c r="I902" s="1130"/>
      <c r="J902" s="1130"/>
      <c r="K902" s="1130"/>
      <c r="L902" s="1130"/>
      <c r="M902" s="1130"/>
      <c r="N902" s="1130"/>
      <c r="O902" s="1130"/>
      <c r="P902" s="1130"/>
      <c r="Q902" s="1130"/>
      <c r="R902" s="1130"/>
      <c r="S902" s="1130"/>
      <c r="T902" s="1130"/>
      <c r="U902" s="1130"/>
      <c r="V902" s="1130"/>
      <c r="W902" s="1130"/>
      <c r="X902" s="1130"/>
      <c r="Y902" s="1130"/>
      <c r="Z902" s="1130"/>
    </row>
    <row r="903" spans="1:26" ht="15.75" customHeight="1">
      <c r="A903" s="1130"/>
      <c r="B903" s="1130"/>
      <c r="C903" s="1130"/>
      <c r="D903" s="1130"/>
      <c r="E903" s="1130"/>
      <c r="F903" s="1130"/>
      <c r="G903" s="1130"/>
      <c r="H903" s="1130"/>
      <c r="I903" s="1130"/>
      <c r="J903" s="1130"/>
      <c r="K903" s="1130"/>
      <c r="L903" s="1130"/>
      <c r="M903" s="1130"/>
      <c r="N903" s="1130"/>
      <c r="O903" s="1130"/>
      <c r="P903" s="1130"/>
      <c r="Q903" s="1130"/>
      <c r="R903" s="1130"/>
      <c r="S903" s="1130"/>
      <c r="T903" s="1130"/>
      <c r="U903" s="1130"/>
      <c r="V903" s="1130"/>
      <c r="W903" s="1130"/>
      <c r="X903" s="1130"/>
      <c r="Y903" s="1130"/>
      <c r="Z903" s="1130"/>
    </row>
    <row r="904" spans="1:26" ht="15.75" customHeight="1">
      <c r="A904" s="1130"/>
      <c r="B904" s="1130"/>
      <c r="C904" s="1130"/>
      <c r="D904" s="1130"/>
      <c r="E904" s="1130"/>
      <c r="F904" s="1130"/>
      <c r="G904" s="1130"/>
      <c r="H904" s="1130"/>
      <c r="I904" s="1130"/>
      <c r="J904" s="1130"/>
      <c r="K904" s="1130"/>
      <c r="L904" s="1130"/>
      <c r="M904" s="1130"/>
      <c r="N904" s="1130"/>
      <c r="O904" s="1130"/>
      <c r="P904" s="1130"/>
      <c r="Q904" s="1130"/>
      <c r="R904" s="1130"/>
      <c r="S904" s="1130"/>
      <c r="T904" s="1130"/>
      <c r="U904" s="1130"/>
      <c r="V904" s="1130"/>
      <c r="W904" s="1130"/>
      <c r="X904" s="1130"/>
      <c r="Y904" s="1130"/>
      <c r="Z904" s="1130"/>
    </row>
    <row r="905" spans="1:26" ht="15.75" customHeight="1">
      <c r="A905" s="1130"/>
      <c r="B905" s="1130"/>
      <c r="C905" s="1130"/>
      <c r="D905" s="1130"/>
      <c r="E905" s="1130"/>
      <c r="F905" s="1130"/>
      <c r="G905" s="1130"/>
      <c r="H905" s="1130"/>
      <c r="I905" s="1130"/>
      <c r="J905" s="1130"/>
      <c r="K905" s="1130"/>
      <c r="L905" s="1130"/>
      <c r="M905" s="1130"/>
      <c r="N905" s="1130"/>
      <c r="O905" s="1130"/>
      <c r="P905" s="1130"/>
      <c r="Q905" s="1130"/>
      <c r="R905" s="1130"/>
      <c r="S905" s="1130"/>
      <c r="T905" s="1130"/>
      <c r="U905" s="1130"/>
      <c r="V905" s="1130"/>
      <c r="W905" s="1130"/>
      <c r="X905" s="1130"/>
      <c r="Y905" s="1130"/>
      <c r="Z905" s="1130"/>
    </row>
    <row r="906" spans="1:26" ht="15.75" customHeight="1">
      <c r="A906" s="1130"/>
      <c r="B906" s="1130"/>
      <c r="C906" s="1130"/>
      <c r="D906" s="1130"/>
      <c r="E906" s="1130"/>
      <c r="F906" s="1130"/>
      <c r="G906" s="1130"/>
      <c r="H906" s="1130"/>
      <c r="I906" s="1130"/>
      <c r="J906" s="1130"/>
      <c r="K906" s="1130"/>
      <c r="L906" s="1130"/>
      <c r="M906" s="1130"/>
      <c r="N906" s="1130"/>
      <c r="O906" s="1130"/>
      <c r="P906" s="1130"/>
      <c r="Q906" s="1130"/>
      <c r="R906" s="1130"/>
      <c r="S906" s="1130"/>
      <c r="T906" s="1130"/>
      <c r="U906" s="1130"/>
      <c r="V906" s="1130"/>
      <c r="W906" s="1130"/>
      <c r="X906" s="1130"/>
      <c r="Y906" s="1130"/>
      <c r="Z906" s="1130"/>
    </row>
    <row r="907" spans="1:26" ht="15.75" customHeight="1">
      <c r="A907" s="1130"/>
      <c r="B907" s="1130"/>
      <c r="C907" s="1130"/>
      <c r="D907" s="1130"/>
      <c r="E907" s="1130"/>
      <c r="F907" s="1130"/>
      <c r="G907" s="1130"/>
      <c r="H907" s="1130"/>
      <c r="I907" s="1130"/>
      <c r="J907" s="1130"/>
      <c r="K907" s="1130"/>
      <c r="L907" s="1130"/>
      <c r="M907" s="1130"/>
      <c r="N907" s="1130"/>
      <c r="O907" s="1130"/>
      <c r="P907" s="1130"/>
      <c r="Q907" s="1130"/>
      <c r="R907" s="1130"/>
      <c r="S907" s="1130"/>
      <c r="T907" s="1130"/>
      <c r="U907" s="1130"/>
      <c r="V907" s="1130"/>
      <c r="W907" s="1130"/>
      <c r="X907" s="1130"/>
      <c r="Y907" s="1130"/>
      <c r="Z907" s="1130"/>
    </row>
    <row r="908" spans="1:26" ht="15.75" customHeight="1">
      <c r="A908" s="1130"/>
      <c r="B908" s="1130"/>
      <c r="C908" s="1130"/>
      <c r="D908" s="1130"/>
      <c r="E908" s="1130"/>
      <c r="F908" s="1130"/>
      <c r="G908" s="1130"/>
      <c r="H908" s="1130"/>
      <c r="I908" s="1130"/>
      <c r="J908" s="1130"/>
      <c r="K908" s="1130"/>
      <c r="L908" s="1130"/>
      <c r="M908" s="1130"/>
      <c r="N908" s="1130"/>
      <c r="O908" s="1130"/>
      <c r="P908" s="1130"/>
      <c r="Q908" s="1130"/>
      <c r="R908" s="1130"/>
      <c r="S908" s="1130"/>
      <c r="T908" s="1130"/>
      <c r="U908" s="1130"/>
      <c r="V908" s="1130"/>
      <c r="W908" s="1130"/>
      <c r="X908" s="1130"/>
      <c r="Y908" s="1130"/>
      <c r="Z908" s="1130"/>
    </row>
    <row r="909" spans="1:26" ht="15.75" customHeight="1">
      <c r="A909" s="1130"/>
      <c r="B909" s="1130"/>
      <c r="C909" s="1130"/>
      <c r="D909" s="1130"/>
      <c r="E909" s="1130"/>
      <c r="F909" s="1130"/>
      <c r="G909" s="1130"/>
      <c r="H909" s="1130"/>
      <c r="I909" s="1130"/>
      <c r="J909" s="1130"/>
      <c r="K909" s="1130"/>
      <c r="L909" s="1130"/>
      <c r="M909" s="1130"/>
      <c r="N909" s="1130"/>
      <c r="O909" s="1130"/>
      <c r="P909" s="1130"/>
      <c r="Q909" s="1130"/>
      <c r="R909" s="1130"/>
      <c r="S909" s="1130"/>
      <c r="T909" s="1130"/>
      <c r="U909" s="1130"/>
      <c r="V909" s="1130"/>
      <c r="W909" s="1130"/>
      <c r="X909" s="1130"/>
      <c r="Y909" s="1130"/>
      <c r="Z909" s="1130"/>
    </row>
    <row r="910" spans="1:26" ht="15.75" customHeight="1">
      <c r="A910" s="1130"/>
      <c r="B910" s="1130"/>
      <c r="C910" s="1130"/>
      <c r="D910" s="1130"/>
      <c r="E910" s="1130"/>
      <c r="F910" s="1130"/>
      <c r="G910" s="1130"/>
      <c r="H910" s="1130"/>
      <c r="I910" s="1130"/>
      <c r="J910" s="1130"/>
      <c r="K910" s="1130"/>
      <c r="L910" s="1130"/>
      <c r="M910" s="1130"/>
      <c r="N910" s="1130"/>
      <c r="O910" s="1130"/>
      <c r="P910" s="1130"/>
      <c r="Q910" s="1130"/>
      <c r="R910" s="1130"/>
      <c r="S910" s="1130"/>
      <c r="T910" s="1130"/>
      <c r="U910" s="1130"/>
      <c r="V910" s="1130"/>
      <c r="W910" s="1130"/>
      <c r="X910" s="1130"/>
      <c r="Y910" s="1130"/>
      <c r="Z910" s="1130"/>
    </row>
    <row r="911" spans="1:26" ht="15.75" customHeight="1">
      <c r="A911" s="1130"/>
      <c r="B911" s="1130"/>
      <c r="C911" s="1130"/>
      <c r="D911" s="1130"/>
      <c r="E911" s="1130"/>
      <c r="F911" s="1130"/>
      <c r="G911" s="1130"/>
      <c r="H911" s="1130"/>
      <c r="I911" s="1130"/>
      <c r="J911" s="1130"/>
      <c r="K911" s="1130"/>
      <c r="L911" s="1130"/>
      <c r="M911" s="1130"/>
      <c r="N911" s="1130"/>
      <c r="O911" s="1130"/>
      <c r="P911" s="1130"/>
      <c r="Q911" s="1130"/>
      <c r="R911" s="1130"/>
      <c r="S911" s="1130"/>
      <c r="T911" s="1130"/>
      <c r="U911" s="1130"/>
      <c r="V911" s="1130"/>
      <c r="W911" s="1130"/>
      <c r="X911" s="1130"/>
      <c r="Y911" s="1130"/>
      <c r="Z911" s="1130"/>
    </row>
    <row r="912" spans="1:26" ht="15.75" customHeight="1">
      <c r="A912" s="1130"/>
      <c r="B912" s="1130"/>
      <c r="C912" s="1130"/>
      <c r="D912" s="1130"/>
      <c r="E912" s="1130"/>
      <c r="F912" s="1130"/>
      <c r="G912" s="1130"/>
      <c r="H912" s="1130"/>
      <c r="I912" s="1130"/>
      <c r="J912" s="1130"/>
      <c r="K912" s="1130"/>
      <c r="L912" s="1130"/>
      <c r="M912" s="1130"/>
      <c r="N912" s="1130"/>
      <c r="O912" s="1130"/>
      <c r="P912" s="1130"/>
      <c r="Q912" s="1130"/>
      <c r="R912" s="1130"/>
      <c r="S912" s="1130"/>
      <c r="T912" s="1130"/>
      <c r="U912" s="1130"/>
      <c r="V912" s="1130"/>
      <c r="W912" s="1130"/>
      <c r="X912" s="1130"/>
      <c r="Y912" s="1130"/>
      <c r="Z912" s="1130"/>
    </row>
    <row r="913" spans="1:26" ht="15.75" customHeight="1">
      <c r="A913" s="1130"/>
      <c r="B913" s="1130"/>
      <c r="C913" s="1130"/>
      <c r="D913" s="1130"/>
      <c r="E913" s="1130"/>
      <c r="F913" s="1130"/>
      <c r="G913" s="1130"/>
      <c r="H913" s="1130"/>
      <c r="I913" s="1130"/>
      <c r="J913" s="1130"/>
      <c r="K913" s="1130"/>
      <c r="L913" s="1130"/>
      <c r="M913" s="1130"/>
      <c r="N913" s="1130"/>
      <c r="O913" s="1130"/>
      <c r="P913" s="1130"/>
      <c r="Q913" s="1130"/>
      <c r="R913" s="1130"/>
      <c r="S913" s="1130"/>
      <c r="T913" s="1130"/>
      <c r="U913" s="1130"/>
      <c r="V913" s="1130"/>
      <c r="W913" s="1130"/>
      <c r="X913" s="1130"/>
      <c r="Y913" s="1130"/>
      <c r="Z913" s="1130"/>
    </row>
    <row r="914" spans="1:26" ht="15.75" customHeight="1">
      <c r="A914" s="1130"/>
      <c r="B914" s="1130"/>
      <c r="C914" s="1130"/>
      <c r="D914" s="1130"/>
      <c r="E914" s="1130"/>
      <c r="F914" s="1130"/>
      <c r="G914" s="1130"/>
      <c r="H914" s="1130"/>
      <c r="I914" s="1130"/>
      <c r="J914" s="1130"/>
      <c r="K914" s="1130"/>
      <c r="L914" s="1130"/>
      <c r="M914" s="1130"/>
      <c r="N914" s="1130"/>
      <c r="O914" s="1130"/>
      <c r="P914" s="1130"/>
      <c r="Q914" s="1130"/>
      <c r="R914" s="1130"/>
      <c r="S914" s="1130"/>
      <c r="T914" s="1130"/>
      <c r="U914" s="1130"/>
      <c r="V914" s="1130"/>
      <c r="W914" s="1130"/>
      <c r="X914" s="1130"/>
      <c r="Y914" s="1130"/>
      <c r="Z914" s="1130"/>
    </row>
    <row r="915" spans="1:26" ht="15.75" customHeight="1">
      <c r="A915" s="1130"/>
      <c r="B915" s="1130"/>
      <c r="C915" s="1130"/>
      <c r="D915" s="1130"/>
      <c r="E915" s="1130"/>
      <c r="F915" s="1130"/>
      <c r="G915" s="1130"/>
      <c r="H915" s="1130"/>
      <c r="I915" s="1130"/>
      <c r="J915" s="1130"/>
      <c r="K915" s="1130"/>
      <c r="L915" s="1130"/>
      <c r="M915" s="1130"/>
      <c r="N915" s="1130"/>
      <c r="O915" s="1130"/>
      <c r="P915" s="1130"/>
      <c r="Q915" s="1130"/>
      <c r="R915" s="1130"/>
      <c r="S915" s="1130"/>
      <c r="T915" s="1130"/>
      <c r="U915" s="1130"/>
      <c r="V915" s="1130"/>
      <c r="W915" s="1130"/>
      <c r="X915" s="1130"/>
      <c r="Y915" s="1130"/>
      <c r="Z915" s="1130"/>
    </row>
    <row r="916" spans="1:26" ht="15.75" customHeight="1">
      <c r="A916" s="1130"/>
      <c r="B916" s="1130"/>
      <c r="C916" s="1130"/>
      <c r="D916" s="1130"/>
      <c r="E916" s="1130"/>
      <c r="F916" s="1130"/>
      <c r="G916" s="1130"/>
      <c r="H916" s="1130"/>
      <c r="I916" s="1130"/>
      <c r="J916" s="1130"/>
      <c r="K916" s="1130"/>
      <c r="L916" s="1130"/>
      <c r="M916" s="1130"/>
      <c r="N916" s="1130"/>
      <c r="O916" s="1130"/>
      <c r="P916" s="1130"/>
      <c r="Q916" s="1130"/>
      <c r="R916" s="1130"/>
      <c r="S916" s="1130"/>
      <c r="T916" s="1130"/>
      <c r="U916" s="1130"/>
      <c r="V916" s="1130"/>
      <c r="W916" s="1130"/>
      <c r="X916" s="1130"/>
      <c r="Y916" s="1130"/>
      <c r="Z916" s="1130"/>
    </row>
    <row r="917" spans="1:26" ht="15.75" customHeight="1">
      <c r="A917" s="1130"/>
      <c r="B917" s="1130"/>
      <c r="C917" s="1130"/>
      <c r="D917" s="1130"/>
      <c r="E917" s="1130"/>
      <c r="F917" s="1130"/>
      <c r="G917" s="1130"/>
      <c r="H917" s="1130"/>
      <c r="I917" s="1130"/>
      <c r="J917" s="1130"/>
      <c r="K917" s="1130"/>
      <c r="L917" s="1130"/>
      <c r="M917" s="1130"/>
      <c r="N917" s="1130"/>
      <c r="O917" s="1130"/>
      <c r="P917" s="1130"/>
      <c r="Q917" s="1130"/>
      <c r="R917" s="1130"/>
      <c r="S917" s="1130"/>
      <c r="T917" s="1130"/>
      <c r="U917" s="1130"/>
      <c r="V917" s="1130"/>
      <c r="W917" s="1130"/>
      <c r="X917" s="1130"/>
      <c r="Y917" s="1130"/>
      <c r="Z917" s="1130"/>
    </row>
    <row r="918" spans="1:26" ht="15.75" customHeight="1">
      <c r="A918" s="1130"/>
      <c r="B918" s="1130"/>
      <c r="C918" s="1130"/>
      <c r="D918" s="1130"/>
      <c r="E918" s="1130"/>
      <c r="F918" s="1130"/>
      <c r="G918" s="1130"/>
      <c r="H918" s="1130"/>
      <c r="I918" s="1130"/>
      <c r="J918" s="1130"/>
      <c r="K918" s="1130"/>
      <c r="L918" s="1130"/>
      <c r="M918" s="1130"/>
      <c r="N918" s="1130"/>
      <c r="O918" s="1130"/>
      <c r="P918" s="1130"/>
      <c r="Q918" s="1130"/>
      <c r="R918" s="1130"/>
      <c r="S918" s="1130"/>
      <c r="T918" s="1130"/>
      <c r="U918" s="1130"/>
      <c r="V918" s="1130"/>
      <c r="W918" s="1130"/>
      <c r="X918" s="1130"/>
      <c r="Y918" s="1130"/>
      <c r="Z918" s="1130"/>
    </row>
    <row r="919" spans="1:26" ht="15.75" customHeight="1">
      <c r="A919" s="1130"/>
      <c r="B919" s="1130"/>
      <c r="C919" s="1130"/>
      <c r="D919" s="1130"/>
      <c r="E919" s="1130"/>
      <c r="F919" s="1130"/>
      <c r="G919" s="1130"/>
      <c r="H919" s="1130"/>
      <c r="I919" s="1130"/>
      <c r="J919" s="1130"/>
      <c r="K919" s="1130"/>
      <c r="L919" s="1130"/>
      <c r="M919" s="1130"/>
      <c r="N919" s="1130"/>
      <c r="O919" s="1130"/>
      <c r="P919" s="1130"/>
      <c r="Q919" s="1130"/>
      <c r="R919" s="1130"/>
      <c r="S919" s="1130"/>
      <c r="T919" s="1130"/>
      <c r="U919" s="1130"/>
      <c r="V919" s="1130"/>
      <c r="W919" s="1130"/>
      <c r="X919" s="1130"/>
      <c r="Y919" s="1130"/>
      <c r="Z919" s="1130"/>
    </row>
    <row r="920" spans="1:26" ht="15.75" customHeight="1">
      <c r="A920" s="1130"/>
      <c r="B920" s="1130"/>
      <c r="C920" s="1130"/>
      <c r="D920" s="1130"/>
      <c r="E920" s="1130"/>
      <c r="F920" s="1130"/>
      <c r="G920" s="1130"/>
      <c r="H920" s="1130"/>
      <c r="I920" s="1130"/>
      <c r="J920" s="1130"/>
      <c r="K920" s="1130"/>
      <c r="L920" s="1130"/>
      <c r="M920" s="1130"/>
      <c r="N920" s="1130"/>
      <c r="O920" s="1130"/>
      <c r="P920" s="1130"/>
      <c r="Q920" s="1130"/>
      <c r="R920" s="1130"/>
      <c r="S920" s="1130"/>
      <c r="T920" s="1130"/>
      <c r="U920" s="1130"/>
      <c r="V920" s="1130"/>
      <c r="W920" s="1130"/>
      <c r="X920" s="1130"/>
      <c r="Y920" s="1130"/>
      <c r="Z920" s="1130"/>
    </row>
    <row r="921" spans="1:26" ht="15.75" customHeight="1">
      <c r="A921" s="1130"/>
      <c r="B921" s="1130"/>
      <c r="C921" s="1130"/>
      <c r="D921" s="1130"/>
      <c r="E921" s="1130"/>
      <c r="F921" s="1130"/>
      <c r="G921" s="1130"/>
      <c r="H921" s="1130"/>
      <c r="I921" s="1130"/>
      <c r="J921" s="1130"/>
      <c r="K921" s="1130"/>
      <c r="L921" s="1130"/>
      <c r="M921" s="1130"/>
      <c r="N921" s="1130"/>
      <c r="O921" s="1130"/>
      <c r="P921" s="1130"/>
      <c r="Q921" s="1130"/>
      <c r="R921" s="1130"/>
      <c r="S921" s="1130"/>
      <c r="T921" s="1130"/>
      <c r="U921" s="1130"/>
      <c r="V921" s="1130"/>
      <c r="W921" s="1130"/>
      <c r="X921" s="1130"/>
      <c r="Y921" s="1130"/>
      <c r="Z921" s="1130"/>
    </row>
    <row r="922" spans="1:26" ht="15.75" customHeight="1">
      <c r="A922" s="1130"/>
      <c r="B922" s="1130"/>
      <c r="C922" s="1130"/>
      <c r="D922" s="1130"/>
      <c r="E922" s="1130"/>
      <c r="F922" s="1130"/>
      <c r="G922" s="1130"/>
      <c r="H922" s="1130"/>
      <c r="I922" s="1130"/>
      <c r="J922" s="1130"/>
      <c r="K922" s="1130"/>
      <c r="L922" s="1130"/>
      <c r="M922" s="1130"/>
      <c r="N922" s="1130"/>
      <c r="O922" s="1130"/>
      <c r="P922" s="1130"/>
      <c r="Q922" s="1130"/>
      <c r="R922" s="1130"/>
      <c r="S922" s="1130"/>
      <c r="T922" s="1130"/>
      <c r="U922" s="1130"/>
      <c r="V922" s="1130"/>
      <c r="W922" s="1130"/>
      <c r="X922" s="1130"/>
      <c r="Y922" s="1130"/>
      <c r="Z922" s="1130"/>
    </row>
    <row r="923" spans="1:26" ht="15.75" customHeight="1">
      <c r="A923" s="1130"/>
      <c r="B923" s="1130"/>
      <c r="C923" s="1130"/>
      <c r="D923" s="1130"/>
      <c r="E923" s="1130"/>
      <c r="F923" s="1130"/>
      <c r="G923" s="1130"/>
      <c r="H923" s="1130"/>
      <c r="I923" s="1130"/>
      <c r="J923" s="1130"/>
      <c r="K923" s="1130"/>
      <c r="L923" s="1130"/>
      <c r="M923" s="1130"/>
      <c r="N923" s="1130"/>
      <c r="O923" s="1130"/>
      <c r="P923" s="1130"/>
      <c r="Q923" s="1130"/>
      <c r="R923" s="1130"/>
      <c r="S923" s="1130"/>
      <c r="T923" s="1130"/>
      <c r="U923" s="1130"/>
      <c r="V923" s="1130"/>
      <c r="W923" s="1130"/>
      <c r="X923" s="1130"/>
      <c r="Y923" s="1130"/>
      <c r="Z923" s="1130"/>
    </row>
    <row r="924" spans="1:26" ht="15.75" customHeight="1">
      <c r="A924" s="1130"/>
      <c r="B924" s="1130"/>
      <c r="C924" s="1130"/>
      <c r="D924" s="1130"/>
      <c r="E924" s="1130"/>
      <c r="F924" s="1130"/>
      <c r="G924" s="1130"/>
      <c r="H924" s="1130"/>
      <c r="I924" s="1130"/>
      <c r="J924" s="1130"/>
      <c r="K924" s="1130"/>
      <c r="L924" s="1130"/>
      <c r="M924" s="1130"/>
      <c r="N924" s="1130"/>
      <c r="O924" s="1130"/>
      <c r="P924" s="1130"/>
      <c r="Q924" s="1130"/>
      <c r="R924" s="1130"/>
      <c r="S924" s="1130"/>
      <c r="T924" s="1130"/>
      <c r="U924" s="1130"/>
      <c r="V924" s="1130"/>
      <c r="W924" s="1130"/>
      <c r="X924" s="1130"/>
      <c r="Y924" s="1130"/>
      <c r="Z924" s="1130"/>
    </row>
    <row r="925" spans="1:26" ht="15.75" customHeight="1">
      <c r="A925" s="1130"/>
      <c r="B925" s="1130"/>
      <c r="C925" s="1130"/>
      <c r="D925" s="1130"/>
      <c r="E925" s="1130"/>
      <c r="F925" s="1130"/>
      <c r="G925" s="1130"/>
      <c r="H925" s="1130"/>
      <c r="I925" s="1130"/>
      <c r="J925" s="1130"/>
      <c r="K925" s="1130"/>
      <c r="L925" s="1130"/>
      <c r="M925" s="1130"/>
      <c r="N925" s="1130"/>
      <c r="O925" s="1130"/>
      <c r="P925" s="1130"/>
      <c r="Q925" s="1130"/>
      <c r="R925" s="1130"/>
      <c r="S925" s="1130"/>
      <c r="T925" s="1130"/>
      <c r="U925" s="1130"/>
      <c r="V925" s="1130"/>
      <c r="W925" s="1130"/>
      <c r="X925" s="1130"/>
      <c r="Y925" s="1130"/>
      <c r="Z925" s="1130"/>
    </row>
    <row r="926" spans="1:26" ht="15.75" customHeight="1">
      <c r="A926" s="1130"/>
      <c r="B926" s="1130"/>
      <c r="C926" s="1130"/>
      <c r="D926" s="1130"/>
      <c r="E926" s="1130"/>
      <c r="F926" s="1130"/>
      <c r="G926" s="1130"/>
      <c r="H926" s="1130"/>
      <c r="I926" s="1130"/>
      <c r="J926" s="1130"/>
      <c r="K926" s="1130"/>
      <c r="L926" s="1130"/>
      <c r="M926" s="1130"/>
      <c r="N926" s="1130"/>
      <c r="O926" s="1130"/>
      <c r="P926" s="1130"/>
      <c r="Q926" s="1130"/>
      <c r="R926" s="1130"/>
      <c r="S926" s="1130"/>
      <c r="T926" s="1130"/>
      <c r="U926" s="1130"/>
      <c r="V926" s="1130"/>
      <c r="W926" s="1130"/>
      <c r="X926" s="1130"/>
      <c r="Y926" s="1130"/>
      <c r="Z926" s="1130"/>
    </row>
    <row r="927" spans="1:26" ht="15.75" customHeight="1">
      <c r="A927" s="1130"/>
      <c r="B927" s="1130"/>
      <c r="C927" s="1130"/>
      <c r="D927" s="1130"/>
      <c r="E927" s="1130"/>
      <c r="F927" s="1130"/>
      <c r="G927" s="1130"/>
      <c r="H927" s="1130"/>
      <c r="I927" s="1130"/>
      <c r="J927" s="1130"/>
      <c r="K927" s="1130"/>
      <c r="L927" s="1130"/>
      <c r="M927" s="1130"/>
      <c r="N927" s="1130"/>
      <c r="O927" s="1130"/>
      <c r="P927" s="1130"/>
      <c r="Q927" s="1130"/>
      <c r="R927" s="1130"/>
      <c r="S927" s="1130"/>
      <c r="T927" s="1130"/>
      <c r="U927" s="1130"/>
      <c r="V927" s="1130"/>
      <c r="W927" s="1130"/>
      <c r="X927" s="1130"/>
      <c r="Y927" s="1130"/>
      <c r="Z927" s="1130"/>
    </row>
    <row r="928" spans="1:26" ht="15.75" customHeight="1">
      <c r="A928" s="1130"/>
      <c r="B928" s="1130"/>
      <c r="C928" s="1130"/>
      <c r="D928" s="1130"/>
      <c r="E928" s="1130"/>
      <c r="F928" s="1130"/>
      <c r="G928" s="1130"/>
      <c r="H928" s="1130"/>
      <c r="I928" s="1130"/>
      <c r="J928" s="1130"/>
      <c r="K928" s="1130"/>
      <c r="L928" s="1130"/>
      <c r="M928" s="1130"/>
      <c r="N928" s="1130"/>
      <c r="O928" s="1130"/>
      <c r="P928" s="1130"/>
      <c r="Q928" s="1130"/>
      <c r="R928" s="1130"/>
      <c r="S928" s="1130"/>
      <c r="T928" s="1130"/>
      <c r="U928" s="1130"/>
      <c r="V928" s="1130"/>
      <c r="W928" s="1130"/>
      <c r="X928" s="1130"/>
      <c r="Y928" s="1130"/>
      <c r="Z928" s="1130"/>
    </row>
    <row r="929" spans="1:26" ht="15.75" customHeight="1">
      <c r="A929" s="1130"/>
      <c r="B929" s="1130"/>
      <c r="C929" s="1130"/>
      <c r="D929" s="1130"/>
      <c r="E929" s="1130"/>
      <c r="F929" s="1130"/>
      <c r="G929" s="1130"/>
      <c r="H929" s="1130"/>
      <c r="I929" s="1130"/>
      <c r="J929" s="1130"/>
      <c r="K929" s="1130"/>
      <c r="L929" s="1130"/>
      <c r="M929" s="1130"/>
      <c r="N929" s="1130"/>
      <c r="O929" s="1130"/>
      <c r="P929" s="1130"/>
      <c r="Q929" s="1130"/>
      <c r="R929" s="1130"/>
      <c r="S929" s="1130"/>
      <c r="T929" s="1130"/>
      <c r="U929" s="1130"/>
      <c r="V929" s="1130"/>
      <c r="W929" s="1130"/>
      <c r="X929" s="1130"/>
      <c r="Y929" s="1130"/>
      <c r="Z929" s="1130"/>
    </row>
    <row r="930" spans="1:26" ht="15.75" customHeight="1">
      <c r="A930" s="1130"/>
      <c r="B930" s="1130"/>
      <c r="C930" s="1130"/>
      <c r="D930" s="1130"/>
      <c r="E930" s="1130"/>
      <c r="F930" s="1130"/>
      <c r="G930" s="1130"/>
      <c r="H930" s="1130"/>
      <c r="I930" s="1130"/>
      <c r="J930" s="1130"/>
      <c r="K930" s="1130"/>
      <c r="L930" s="1130"/>
      <c r="M930" s="1130"/>
      <c r="N930" s="1130"/>
      <c r="O930" s="1130"/>
      <c r="P930" s="1130"/>
      <c r="Q930" s="1130"/>
      <c r="R930" s="1130"/>
      <c r="S930" s="1130"/>
      <c r="T930" s="1130"/>
      <c r="U930" s="1130"/>
      <c r="V930" s="1130"/>
      <c r="W930" s="1130"/>
      <c r="X930" s="1130"/>
      <c r="Y930" s="1130"/>
      <c r="Z930" s="1130"/>
    </row>
    <row r="931" spans="1:26" ht="15.75" customHeight="1">
      <c r="A931" s="1130"/>
      <c r="B931" s="1130"/>
      <c r="C931" s="1130"/>
      <c r="D931" s="1130"/>
      <c r="E931" s="1130"/>
      <c r="F931" s="1130"/>
      <c r="G931" s="1130"/>
      <c r="H931" s="1130"/>
      <c r="I931" s="1130"/>
      <c r="J931" s="1130"/>
      <c r="K931" s="1130"/>
      <c r="L931" s="1130"/>
      <c r="M931" s="1130"/>
      <c r="N931" s="1130"/>
      <c r="O931" s="1130"/>
      <c r="P931" s="1130"/>
      <c r="Q931" s="1130"/>
      <c r="R931" s="1130"/>
      <c r="S931" s="1130"/>
      <c r="T931" s="1130"/>
      <c r="U931" s="1130"/>
      <c r="V931" s="1130"/>
      <c r="W931" s="1130"/>
      <c r="X931" s="1130"/>
      <c r="Y931" s="1130"/>
      <c r="Z931" s="1130"/>
    </row>
    <row r="932" spans="1:26" ht="15.75" customHeight="1">
      <c r="A932" s="1130"/>
      <c r="B932" s="1130"/>
      <c r="C932" s="1130"/>
      <c r="D932" s="1130"/>
      <c r="E932" s="1130"/>
      <c r="F932" s="1130"/>
      <c r="G932" s="1130"/>
      <c r="H932" s="1130"/>
      <c r="I932" s="1130"/>
      <c r="J932" s="1130"/>
      <c r="K932" s="1130"/>
      <c r="L932" s="1130"/>
      <c r="M932" s="1130"/>
      <c r="N932" s="1130"/>
      <c r="O932" s="1130"/>
      <c r="P932" s="1130"/>
      <c r="Q932" s="1130"/>
      <c r="R932" s="1130"/>
      <c r="S932" s="1130"/>
      <c r="T932" s="1130"/>
      <c r="U932" s="1130"/>
      <c r="V932" s="1130"/>
      <c r="W932" s="1130"/>
      <c r="X932" s="1130"/>
      <c r="Y932" s="1130"/>
      <c r="Z932" s="1130"/>
    </row>
    <row r="933" spans="1:26" ht="15.75" customHeight="1">
      <c r="A933" s="1130"/>
      <c r="B933" s="1130"/>
      <c r="C933" s="1130"/>
      <c r="D933" s="1130"/>
      <c r="E933" s="1130"/>
      <c r="F933" s="1130"/>
      <c r="G933" s="1130"/>
      <c r="H933" s="1130"/>
      <c r="I933" s="1130"/>
      <c r="J933" s="1130"/>
      <c r="K933" s="1130"/>
      <c r="L933" s="1130"/>
      <c r="M933" s="1130"/>
      <c r="N933" s="1130"/>
      <c r="O933" s="1130"/>
      <c r="P933" s="1130"/>
      <c r="Q933" s="1130"/>
      <c r="R933" s="1130"/>
      <c r="S933" s="1130"/>
      <c r="T933" s="1130"/>
      <c r="U933" s="1130"/>
      <c r="V933" s="1130"/>
      <c r="W933" s="1130"/>
      <c r="X933" s="1130"/>
      <c r="Y933" s="1130"/>
      <c r="Z933" s="1130"/>
    </row>
    <row r="934" spans="1:26" ht="15.75" customHeight="1">
      <c r="A934" s="1130"/>
      <c r="B934" s="1130"/>
      <c r="C934" s="1130"/>
      <c r="D934" s="1130"/>
      <c r="E934" s="1130"/>
      <c r="F934" s="1130"/>
      <c r="G934" s="1130"/>
      <c r="H934" s="1130"/>
      <c r="I934" s="1130"/>
      <c r="J934" s="1130"/>
      <c r="K934" s="1130"/>
      <c r="L934" s="1130"/>
      <c r="M934" s="1130"/>
      <c r="N934" s="1130"/>
      <c r="O934" s="1130"/>
      <c r="P934" s="1130"/>
      <c r="Q934" s="1130"/>
      <c r="R934" s="1130"/>
      <c r="S934" s="1130"/>
      <c r="T934" s="1130"/>
      <c r="U934" s="1130"/>
      <c r="V934" s="1130"/>
      <c r="W934" s="1130"/>
      <c r="X934" s="1130"/>
      <c r="Y934" s="1130"/>
      <c r="Z934" s="1130"/>
    </row>
    <row r="935" spans="1:26" ht="15.75" customHeight="1">
      <c r="A935" s="1130"/>
      <c r="B935" s="1130"/>
      <c r="C935" s="1130"/>
      <c r="D935" s="1130"/>
      <c r="E935" s="1130"/>
      <c r="F935" s="1130"/>
      <c r="G935" s="1130"/>
      <c r="H935" s="1130"/>
      <c r="I935" s="1130"/>
      <c r="J935" s="1130"/>
      <c r="K935" s="1130"/>
      <c r="L935" s="1130"/>
      <c r="M935" s="1130"/>
      <c r="N935" s="1130"/>
      <c r="O935" s="1130"/>
      <c r="P935" s="1130"/>
      <c r="Q935" s="1130"/>
      <c r="R935" s="1130"/>
      <c r="S935" s="1130"/>
      <c r="T935" s="1130"/>
      <c r="U935" s="1130"/>
      <c r="V935" s="1130"/>
      <c r="W935" s="1130"/>
      <c r="X935" s="1130"/>
      <c r="Y935" s="1130"/>
      <c r="Z935" s="1130"/>
    </row>
    <row r="936" spans="1:26" ht="15.75" customHeight="1">
      <c r="A936" s="1130"/>
      <c r="B936" s="1130"/>
      <c r="C936" s="1130"/>
      <c r="D936" s="1130"/>
      <c r="E936" s="1130"/>
      <c r="F936" s="1130"/>
      <c r="G936" s="1130"/>
      <c r="H936" s="1130"/>
      <c r="I936" s="1130"/>
      <c r="J936" s="1130"/>
      <c r="K936" s="1130"/>
      <c r="L936" s="1130"/>
      <c r="M936" s="1130"/>
      <c r="N936" s="1130"/>
      <c r="O936" s="1130"/>
      <c r="P936" s="1130"/>
      <c r="Q936" s="1130"/>
      <c r="R936" s="1130"/>
      <c r="S936" s="1130"/>
      <c r="T936" s="1130"/>
      <c r="U936" s="1130"/>
      <c r="V936" s="1130"/>
      <c r="W936" s="1130"/>
      <c r="X936" s="1130"/>
      <c r="Y936" s="1130"/>
      <c r="Z936" s="1130"/>
    </row>
    <row r="937" spans="1:26" ht="15.75" customHeight="1">
      <c r="A937" s="1130"/>
      <c r="B937" s="1130"/>
      <c r="C937" s="1130"/>
      <c r="D937" s="1130"/>
      <c r="E937" s="1130"/>
      <c r="F937" s="1130"/>
      <c r="G937" s="1130"/>
      <c r="H937" s="1130"/>
      <c r="I937" s="1130"/>
      <c r="J937" s="1130"/>
      <c r="K937" s="1130"/>
      <c r="L937" s="1130"/>
      <c r="M937" s="1130"/>
      <c r="N937" s="1130"/>
      <c r="O937" s="1130"/>
      <c r="P937" s="1130"/>
      <c r="Q937" s="1130"/>
      <c r="R937" s="1130"/>
      <c r="S937" s="1130"/>
      <c r="T937" s="1130"/>
      <c r="U937" s="1130"/>
      <c r="V937" s="1130"/>
      <c r="W937" s="1130"/>
      <c r="X937" s="1130"/>
      <c r="Y937" s="1130"/>
      <c r="Z937" s="1130"/>
    </row>
    <row r="938" spans="1:26" ht="15.75" customHeight="1">
      <c r="A938" s="1130"/>
      <c r="B938" s="1130"/>
      <c r="C938" s="1130"/>
      <c r="D938" s="1130"/>
      <c r="E938" s="1130"/>
      <c r="F938" s="1130"/>
      <c r="G938" s="1130"/>
      <c r="H938" s="1130"/>
      <c r="I938" s="1130"/>
      <c r="J938" s="1130"/>
      <c r="K938" s="1130"/>
      <c r="L938" s="1130"/>
      <c r="M938" s="1130"/>
      <c r="N938" s="1130"/>
      <c r="O938" s="1130"/>
      <c r="P938" s="1130"/>
      <c r="Q938" s="1130"/>
      <c r="R938" s="1130"/>
      <c r="S938" s="1130"/>
      <c r="T938" s="1130"/>
      <c r="U938" s="1130"/>
      <c r="V938" s="1130"/>
      <c r="W938" s="1130"/>
      <c r="X938" s="1130"/>
      <c r="Y938" s="1130"/>
      <c r="Z938" s="1130"/>
    </row>
    <row r="939" spans="1:26" ht="15.75" customHeight="1">
      <c r="A939" s="1130"/>
      <c r="B939" s="1130"/>
      <c r="C939" s="1130"/>
      <c r="D939" s="1130"/>
      <c r="E939" s="1130"/>
      <c r="F939" s="1130"/>
      <c r="G939" s="1130"/>
      <c r="H939" s="1130"/>
      <c r="I939" s="1130"/>
      <c r="J939" s="1130"/>
      <c r="K939" s="1130"/>
      <c r="L939" s="1130"/>
      <c r="M939" s="1130"/>
      <c r="N939" s="1130"/>
      <c r="O939" s="1130"/>
      <c r="P939" s="1130"/>
      <c r="Q939" s="1130"/>
      <c r="R939" s="1130"/>
      <c r="S939" s="1130"/>
      <c r="T939" s="1130"/>
      <c r="U939" s="1130"/>
      <c r="V939" s="1130"/>
      <c r="W939" s="1130"/>
      <c r="X939" s="1130"/>
      <c r="Y939" s="1130"/>
      <c r="Z939" s="1130"/>
    </row>
    <row r="940" spans="1:26" ht="15.75" customHeight="1">
      <c r="A940" s="1130"/>
      <c r="B940" s="1130"/>
      <c r="C940" s="1130"/>
      <c r="D940" s="1130"/>
      <c r="E940" s="1130"/>
      <c r="F940" s="1130"/>
      <c r="G940" s="1130"/>
      <c r="H940" s="1130"/>
      <c r="I940" s="1130"/>
      <c r="J940" s="1130"/>
      <c r="K940" s="1130"/>
      <c r="L940" s="1130"/>
      <c r="M940" s="1130"/>
      <c r="N940" s="1130"/>
      <c r="O940" s="1130"/>
      <c r="P940" s="1130"/>
      <c r="Q940" s="1130"/>
      <c r="R940" s="1130"/>
      <c r="S940" s="1130"/>
      <c r="T940" s="1130"/>
      <c r="U940" s="1130"/>
      <c r="V940" s="1130"/>
      <c r="W940" s="1130"/>
      <c r="X940" s="1130"/>
      <c r="Y940" s="1130"/>
      <c r="Z940" s="1130"/>
    </row>
    <row r="941" spans="1:26" ht="15.75" customHeight="1">
      <c r="A941" s="1130"/>
      <c r="B941" s="1130"/>
      <c r="C941" s="1130"/>
      <c r="D941" s="1130"/>
      <c r="E941" s="1130"/>
      <c r="F941" s="1130"/>
      <c r="G941" s="1130"/>
      <c r="H941" s="1130"/>
      <c r="I941" s="1130"/>
      <c r="J941" s="1130"/>
      <c r="K941" s="1130"/>
      <c r="L941" s="1130"/>
      <c r="M941" s="1130"/>
      <c r="N941" s="1130"/>
      <c r="O941" s="1130"/>
      <c r="P941" s="1130"/>
      <c r="Q941" s="1130"/>
      <c r="R941" s="1130"/>
      <c r="S941" s="1130"/>
      <c r="T941" s="1130"/>
      <c r="U941" s="1130"/>
      <c r="V941" s="1130"/>
      <c r="W941" s="1130"/>
      <c r="X941" s="1130"/>
      <c r="Y941" s="1130"/>
      <c r="Z941" s="1130"/>
    </row>
    <row r="942" spans="1:26" ht="15.75" customHeight="1">
      <c r="A942" s="1130"/>
      <c r="B942" s="1130"/>
      <c r="C942" s="1130"/>
      <c r="D942" s="1130"/>
      <c r="E942" s="1130"/>
      <c r="F942" s="1130"/>
      <c r="G942" s="1130"/>
      <c r="H942" s="1130"/>
      <c r="I942" s="1130"/>
      <c r="J942" s="1130"/>
      <c r="K942" s="1130"/>
      <c r="L942" s="1130"/>
      <c r="M942" s="1130"/>
      <c r="N942" s="1130"/>
      <c r="O942" s="1130"/>
      <c r="P942" s="1130"/>
      <c r="Q942" s="1130"/>
      <c r="R942" s="1130"/>
      <c r="S942" s="1130"/>
      <c r="T942" s="1130"/>
      <c r="U942" s="1130"/>
      <c r="V942" s="1130"/>
      <c r="W942" s="1130"/>
      <c r="X942" s="1130"/>
      <c r="Y942" s="1130"/>
      <c r="Z942" s="1130"/>
    </row>
    <row r="943" spans="1:26" ht="15.75" customHeight="1">
      <c r="A943" s="1130"/>
      <c r="B943" s="1130"/>
      <c r="C943" s="1130"/>
      <c r="D943" s="1130"/>
      <c r="E943" s="1130"/>
      <c r="F943" s="1130"/>
      <c r="G943" s="1130"/>
      <c r="H943" s="1130"/>
      <c r="I943" s="1130"/>
      <c r="J943" s="1130"/>
      <c r="K943" s="1130"/>
      <c r="L943" s="1130"/>
      <c r="M943" s="1130"/>
      <c r="N943" s="1130"/>
      <c r="O943" s="1130"/>
      <c r="P943" s="1130"/>
      <c r="Q943" s="1130"/>
      <c r="R943" s="1130"/>
      <c r="S943" s="1130"/>
      <c r="T943" s="1130"/>
      <c r="U943" s="1130"/>
      <c r="V943" s="1130"/>
      <c r="W943" s="1130"/>
      <c r="X943" s="1130"/>
      <c r="Y943" s="1130"/>
      <c r="Z943" s="1130"/>
    </row>
    <row r="944" spans="1:26" ht="15.75" customHeight="1">
      <c r="A944" s="1130"/>
      <c r="B944" s="1130"/>
      <c r="C944" s="1130"/>
      <c r="D944" s="1130"/>
      <c r="E944" s="1130"/>
      <c r="F944" s="1130"/>
      <c r="G944" s="1130"/>
      <c r="H944" s="1130"/>
      <c r="I944" s="1130"/>
      <c r="J944" s="1130"/>
      <c r="K944" s="1130"/>
      <c r="L944" s="1130"/>
      <c r="M944" s="1130"/>
      <c r="N944" s="1130"/>
      <c r="O944" s="1130"/>
      <c r="P944" s="1130"/>
      <c r="Q944" s="1130"/>
      <c r="R944" s="1130"/>
      <c r="S944" s="1130"/>
      <c r="T944" s="1130"/>
      <c r="U944" s="1130"/>
      <c r="V944" s="1130"/>
      <c r="W944" s="1130"/>
      <c r="X944" s="1130"/>
      <c r="Y944" s="1130"/>
      <c r="Z944" s="1130"/>
    </row>
    <row r="945" spans="1:26" ht="15.75" customHeight="1">
      <c r="A945" s="1130"/>
      <c r="B945" s="1130"/>
      <c r="C945" s="1130"/>
      <c r="D945" s="1130"/>
      <c r="E945" s="1130"/>
      <c r="F945" s="1130"/>
      <c r="G945" s="1130"/>
      <c r="H945" s="1130"/>
      <c r="I945" s="1130"/>
      <c r="J945" s="1130"/>
      <c r="K945" s="1130"/>
      <c r="L945" s="1130"/>
      <c r="M945" s="1130"/>
      <c r="N945" s="1130"/>
      <c r="O945" s="1130"/>
      <c r="P945" s="1130"/>
      <c r="Q945" s="1130"/>
      <c r="R945" s="1130"/>
      <c r="S945" s="1130"/>
      <c r="T945" s="1130"/>
      <c r="U945" s="1130"/>
      <c r="V945" s="1130"/>
      <c r="W945" s="1130"/>
      <c r="X945" s="1130"/>
      <c r="Y945" s="1130"/>
      <c r="Z945" s="1130"/>
    </row>
    <row r="946" spans="1:26" ht="15.75" customHeight="1">
      <c r="A946" s="1130"/>
      <c r="B946" s="1130"/>
      <c r="C946" s="1130"/>
      <c r="D946" s="1130"/>
      <c r="E946" s="1130"/>
      <c r="F946" s="1130"/>
      <c r="G946" s="1130"/>
      <c r="H946" s="1130"/>
      <c r="I946" s="1130"/>
      <c r="J946" s="1130"/>
      <c r="K946" s="1130"/>
      <c r="L946" s="1130"/>
      <c r="M946" s="1130"/>
      <c r="N946" s="1130"/>
      <c r="O946" s="1130"/>
      <c r="P946" s="1130"/>
      <c r="Q946" s="1130"/>
      <c r="R946" s="1130"/>
      <c r="S946" s="1130"/>
      <c r="T946" s="1130"/>
      <c r="U946" s="1130"/>
      <c r="V946" s="1130"/>
      <c r="W946" s="1130"/>
      <c r="X946" s="1130"/>
      <c r="Y946" s="1130"/>
      <c r="Z946" s="1130"/>
    </row>
    <row r="947" spans="1:26" ht="15.75" customHeight="1">
      <c r="A947" s="1130"/>
      <c r="B947" s="1130"/>
      <c r="C947" s="1130"/>
      <c r="D947" s="1130"/>
      <c r="E947" s="1130"/>
      <c r="F947" s="1130"/>
      <c r="G947" s="1130"/>
      <c r="H947" s="1130"/>
      <c r="I947" s="1130"/>
      <c r="J947" s="1130"/>
      <c r="K947" s="1130"/>
      <c r="L947" s="1130"/>
      <c r="M947" s="1130"/>
      <c r="N947" s="1130"/>
      <c r="O947" s="1130"/>
      <c r="P947" s="1130"/>
      <c r="Q947" s="1130"/>
      <c r="R947" s="1130"/>
      <c r="S947" s="1130"/>
      <c r="T947" s="1130"/>
      <c r="U947" s="1130"/>
      <c r="V947" s="1130"/>
      <c r="W947" s="1130"/>
      <c r="X947" s="1130"/>
      <c r="Y947" s="1130"/>
      <c r="Z947" s="1130"/>
    </row>
    <row r="948" spans="1:26" ht="15.75" customHeight="1">
      <c r="A948" s="1130"/>
      <c r="B948" s="1130"/>
      <c r="C948" s="1130"/>
      <c r="D948" s="1130"/>
      <c r="E948" s="1130"/>
      <c r="F948" s="1130"/>
      <c r="G948" s="1130"/>
      <c r="H948" s="1130"/>
      <c r="I948" s="1130"/>
      <c r="J948" s="1130"/>
      <c r="K948" s="1130"/>
      <c r="L948" s="1130"/>
      <c r="M948" s="1130"/>
      <c r="N948" s="1130"/>
      <c r="O948" s="1130"/>
      <c r="P948" s="1130"/>
      <c r="Q948" s="1130"/>
      <c r="R948" s="1130"/>
      <c r="S948" s="1130"/>
      <c r="T948" s="1130"/>
      <c r="U948" s="1130"/>
      <c r="V948" s="1130"/>
      <c r="W948" s="1130"/>
      <c r="X948" s="1130"/>
      <c r="Y948" s="1130"/>
      <c r="Z948" s="1130"/>
    </row>
    <row r="949" spans="1:26" ht="15.75" customHeight="1">
      <c r="A949" s="1130"/>
      <c r="B949" s="1130"/>
      <c r="C949" s="1130"/>
      <c r="D949" s="1130"/>
      <c r="E949" s="1130"/>
      <c r="F949" s="1130"/>
      <c r="G949" s="1130"/>
      <c r="H949" s="1130"/>
      <c r="I949" s="1130"/>
      <c r="J949" s="1130"/>
      <c r="K949" s="1130"/>
      <c r="L949" s="1130"/>
      <c r="M949" s="1130"/>
      <c r="N949" s="1130"/>
      <c r="O949" s="1130"/>
      <c r="P949" s="1130"/>
      <c r="Q949" s="1130"/>
      <c r="R949" s="1130"/>
      <c r="S949" s="1130"/>
      <c r="T949" s="1130"/>
      <c r="U949" s="1130"/>
      <c r="V949" s="1130"/>
      <c r="W949" s="1130"/>
      <c r="X949" s="1130"/>
      <c r="Y949" s="1130"/>
      <c r="Z949" s="1130"/>
    </row>
    <row r="950" spans="1:26" ht="15.75" customHeight="1">
      <c r="A950" s="1130"/>
      <c r="B950" s="1130"/>
      <c r="C950" s="1130"/>
      <c r="D950" s="1130"/>
      <c r="E950" s="1130"/>
      <c r="F950" s="1130"/>
      <c r="G950" s="1130"/>
      <c r="H950" s="1130"/>
      <c r="I950" s="1130"/>
      <c r="J950" s="1130"/>
      <c r="K950" s="1130"/>
      <c r="L950" s="1130"/>
      <c r="M950" s="1130"/>
      <c r="N950" s="1130"/>
      <c r="O950" s="1130"/>
      <c r="P950" s="1130"/>
      <c r="Q950" s="1130"/>
      <c r="R950" s="1130"/>
      <c r="S950" s="1130"/>
      <c r="T950" s="1130"/>
      <c r="U950" s="1130"/>
      <c r="V950" s="1130"/>
      <c r="W950" s="1130"/>
      <c r="X950" s="1130"/>
      <c r="Y950" s="1130"/>
      <c r="Z950" s="1130"/>
    </row>
    <row r="951" spans="1:26" ht="15.75" customHeight="1">
      <c r="A951" s="1130"/>
      <c r="B951" s="1130"/>
      <c r="C951" s="1130"/>
      <c r="D951" s="1130"/>
      <c r="E951" s="1130"/>
      <c r="F951" s="1130"/>
      <c r="G951" s="1130"/>
      <c r="H951" s="1130"/>
      <c r="I951" s="1130"/>
      <c r="J951" s="1130"/>
      <c r="K951" s="1130"/>
      <c r="L951" s="1130"/>
      <c r="M951" s="1130"/>
      <c r="N951" s="1130"/>
      <c r="O951" s="1130"/>
      <c r="P951" s="1130"/>
      <c r="Q951" s="1130"/>
      <c r="R951" s="1130"/>
      <c r="S951" s="1130"/>
      <c r="T951" s="1130"/>
      <c r="U951" s="1130"/>
      <c r="V951" s="1130"/>
      <c r="W951" s="1130"/>
      <c r="X951" s="1130"/>
      <c r="Y951" s="1130"/>
      <c r="Z951" s="1130"/>
    </row>
    <row r="952" spans="1:26" ht="15.75" customHeight="1">
      <c r="A952" s="1130"/>
      <c r="B952" s="1130"/>
      <c r="C952" s="1130"/>
      <c r="D952" s="1130"/>
      <c r="E952" s="1130"/>
      <c r="F952" s="1130"/>
      <c r="G952" s="1130"/>
      <c r="H952" s="1130"/>
      <c r="I952" s="1130"/>
      <c r="J952" s="1130"/>
      <c r="K952" s="1130"/>
      <c r="L952" s="1130"/>
      <c r="M952" s="1130"/>
      <c r="N952" s="1130"/>
      <c r="O952" s="1130"/>
      <c r="P952" s="1130"/>
      <c r="Q952" s="1130"/>
      <c r="R952" s="1130"/>
      <c r="S952" s="1130"/>
      <c r="T952" s="1130"/>
      <c r="U952" s="1130"/>
      <c r="V952" s="1130"/>
      <c r="W952" s="1130"/>
      <c r="X952" s="1130"/>
      <c r="Y952" s="1130"/>
      <c r="Z952" s="1130"/>
    </row>
    <row r="953" spans="1:26" ht="15.75" customHeight="1">
      <c r="A953" s="1130"/>
      <c r="B953" s="1130"/>
      <c r="C953" s="1130"/>
      <c r="D953" s="1130"/>
      <c r="E953" s="1130"/>
      <c r="F953" s="1130"/>
      <c r="G953" s="1130"/>
      <c r="H953" s="1130"/>
      <c r="I953" s="1130"/>
      <c r="J953" s="1130"/>
      <c r="K953" s="1130"/>
      <c r="L953" s="1130"/>
      <c r="M953" s="1130"/>
      <c r="N953" s="1130"/>
      <c r="O953" s="1130"/>
      <c r="P953" s="1130"/>
      <c r="Q953" s="1130"/>
      <c r="R953" s="1130"/>
      <c r="S953" s="1130"/>
      <c r="T953" s="1130"/>
      <c r="U953" s="1130"/>
      <c r="V953" s="1130"/>
      <c r="W953" s="1130"/>
      <c r="X953" s="1130"/>
      <c r="Y953" s="1130"/>
      <c r="Z953" s="1130"/>
    </row>
    <row r="954" spans="1:26" ht="15.75" customHeight="1">
      <c r="A954" s="1130"/>
      <c r="B954" s="1130"/>
      <c r="C954" s="1130"/>
      <c r="D954" s="1130"/>
      <c r="E954" s="1130"/>
      <c r="F954" s="1130"/>
      <c r="G954" s="1130"/>
      <c r="H954" s="1130"/>
      <c r="I954" s="1130"/>
      <c r="J954" s="1130"/>
      <c r="K954" s="1130"/>
      <c r="L954" s="1130"/>
      <c r="M954" s="1130"/>
      <c r="N954" s="1130"/>
      <c r="O954" s="1130"/>
      <c r="P954" s="1130"/>
      <c r="Q954" s="1130"/>
      <c r="R954" s="1130"/>
      <c r="S954" s="1130"/>
      <c r="T954" s="1130"/>
      <c r="U954" s="1130"/>
      <c r="V954" s="1130"/>
      <c r="W954" s="1130"/>
      <c r="X954" s="1130"/>
      <c r="Y954" s="1130"/>
      <c r="Z954" s="1130"/>
    </row>
    <row r="955" spans="1:26" ht="15.75" customHeight="1">
      <c r="A955" s="1130"/>
      <c r="B955" s="1130"/>
      <c r="C955" s="1130"/>
      <c r="D955" s="1130"/>
      <c r="E955" s="1130"/>
      <c r="F955" s="1130"/>
      <c r="G955" s="1130"/>
      <c r="H955" s="1130"/>
      <c r="I955" s="1130"/>
      <c r="J955" s="1130"/>
      <c r="K955" s="1130"/>
      <c r="L955" s="1130"/>
      <c r="M955" s="1130"/>
      <c r="N955" s="1130"/>
      <c r="O955" s="1130"/>
      <c r="P955" s="1130"/>
      <c r="Q955" s="1130"/>
      <c r="R955" s="1130"/>
      <c r="S955" s="1130"/>
      <c r="T955" s="1130"/>
      <c r="U955" s="1130"/>
      <c r="V955" s="1130"/>
      <c r="W955" s="1130"/>
      <c r="X955" s="1130"/>
      <c r="Y955" s="1130"/>
      <c r="Z955" s="1130"/>
    </row>
    <row r="956" spans="1:26" ht="15.75" customHeight="1">
      <c r="A956" s="1130"/>
      <c r="B956" s="1130"/>
      <c r="C956" s="1130"/>
      <c r="D956" s="1130"/>
      <c r="E956" s="1130"/>
      <c r="F956" s="1130"/>
      <c r="G956" s="1130"/>
      <c r="H956" s="1130"/>
      <c r="I956" s="1130"/>
      <c r="J956" s="1130"/>
      <c r="K956" s="1130"/>
      <c r="L956" s="1130"/>
      <c r="M956" s="1130"/>
      <c r="N956" s="1130"/>
      <c r="O956" s="1130"/>
      <c r="P956" s="1130"/>
      <c r="Q956" s="1130"/>
      <c r="R956" s="1130"/>
      <c r="S956" s="1130"/>
      <c r="T956" s="1130"/>
      <c r="U956" s="1130"/>
      <c r="V956" s="1130"/>
      <c r="W956" s="1130"/>
      <c r="X956" s="1130"/>
      <c r="Y956" s="1130"/>
      <c r="Z956" s="1130"/>
    </row>
    <row r="957" spans="1:26" ht="15.75" customHeight="1">
      <c r="A957" s="1130"/>
      <c r="B957" s="1130"/>
      <c r="C957" s="1130"/>
      <c r="D957" s="1130"/>
      <c r="E957" s="1130"/>
      <c r="F957" s="1130"/>
      <c r="G957" s="1130"/>
      <c r="H957" s="1130"/>
      <c r="I957" s="1130"/>
      <c r="J957" s="1130"/>
      <c r="K957" s="1130"/>
      <c r="L957" s="1130"/>
      <c r="M957" s="1130"/>
      <c r="N957" s="1130"/>
      <c r="O957" s="1130"/>
      <c r="P957" s="1130"/>
      <c r="Q957" s="1130"/>
      <c r="R957" s="1130"/>
      <c r="S957" s="1130"/>
      <c r="T957" s="1130"/>
      <c r="U957" s="1130"/>
      <c r="V957" s="1130"/>
      <c r="W957" s="1130"/>
      <c r="X957" s="1130"/>
      <c r="Y957" s="1130"/>
      <c r="Z957" s="1130"/>
    </row>
    <row r="958" spans="1:26" ht="15.75" customHeight="1">
      <c r="A958" s="1130"/>
      <c r="B958" s="1130"/>
      <c r="C958" s="1130"/>
      <c r="D958" s="1130"/>
      <c r="E958" s="1130"/>
      <c r="F958" s="1130"/>
      <c r="G958" s="1130"/>
      <c r="H958" s="1130"/>
      <c r="I958" s="1130"/>
      <c r="J958" s="1130"/>
      <c r="K958" s="1130"/>
      <c r="L958" s="1130"/>
      <c r="M958" s="1130"/>
      <c r="N958" s="1130"/>
      <c r="O958" s="1130"/>
      <c r="P958" s="1130"/>
      <c r="Q958" s="1130"/>
      <c r="R958" s="1130"/>
      <c r="S958" s="1130"/>
      <c r="T958" s="1130"/>
      <c r="U958" s="1130"/>
      <c r="V958" s="1130"/>
      <c r="W958" s="1130"/>
      <c r="X958" s="1130"/>
      <c r="Y958" s="1130"/>
      <c r="Z958" s="1130"/>
    </row>
    <row r="959" spans="1:26" ht="15.75" customHeight="1">
      <c r="A959" s="1130"/>
      <c r="B959" s="1130"/>
      <c r="C959" s="1130"/>
      <c r="D959" s="1130"/>
      <c r="E959" s="1130"/>
      <c r="F959" s="1130"/>
      <c r="G959" s="1130"/>
      <c r="H959" s="1130"/>
      <c r="I959" s="1130"/>
      <c r="J959" s="1130"/>
      <c r="K959" s="1130"/>
      <c r="L959" s="1130"/>
      <c r="M959" s="1130"/>
      <c r="N959" s="1130"/>
      <c r="O959" s="1130"/>
      <c r="P959" s="1130"/>
      <c r="Q959" s="1130"/>
      <c r="R959" s="1130"/>
      <c r="S959" s="1130"/>
      <c r="T959" s="1130"/>
      <c r="U959" s="1130"/>
      <c r="V959" s="1130"/>
      <c r="W959" s="1130"/>
      <c r="X959" s="1130"/>
      <c r="Y959" s="1130"/>
      <c r="Z959" s="1130"/>
    </row>
    <row r="960" spans="1:26" ht="15.75" customHeight="1">
      <c r="A960" s="1130"/>
      <c r="B960" s="1130"/>
      <c r="C960" s="1130"/>
      <c r="D960" s="1130"/>
      <c r="E960" s="1130"/>
      <c r="F960" s="1130"/>
      <c r="G960" s="1130"/>
      <c r="H960" s="1130"/>
      <c r="I960" s="1130"/>
      <c r="J960" s="1130"/>
      <c r="K960" s="1130"/>
      <c r="L960" s="1130"/>
      <c r="M960" s="1130"/>
      <c r="N960" s="1130"/>
      <c r="O960" s="1130"/>
      <c r="P960" s="1130"/>
      <c r="Q960" s="1130"/>
      <c r="R960" s="1130"/>
      <c r="S960" s="1130"/>
      <c r="T960" s="1130"/>
      <c r="U960" s="1130"/>
      <c r="V960" s="1130"/>
      <c r="W960" s="1130"/>
      <c r="X960" s="1130"/>
      <c r="Y960" s="1130"/>
      <c r="Z960" s="1130"/>
    </row>
    <row r="961" spans="1:26" ht="15.75" customHeight="1">
      <c r="A961" s="1130"/>
      <c r="B961" s="1130"/>
      <c r="C961" s="1130"/>
      <c r="D961" s="1130"/>
      <c r="E961" s="1130"/>
      <c r="F961" s="1130"/>
      <c r="G961" s="1130"/>
      <c r="H961" s="1130"/>
      <c r="I961" s="1130"/>
      <c r="J961" s="1130"/>
      <c r="K961" s="1130"/>
      <c r="L961" s="1130"/>
      <c r="M961" s="1130"/>
      <c r="N961" s="1130"/>
      <c r="O961" s="1130"/>
      <c r="P961" s="1130"/>
      <c r="Q961" s="1130"/>
      <c r="R961" s="1130"/>
      <c r="S961" s="1130"/>
      <c r="T961" s="1130"/>
      <c r="U961" s="1130"/>
      <c r="V961" s="1130"/>
      <c r="W961" s="1130"/>
      <c r="X961" s="1130"/>
      <c r="Y961" s="1130"/>
      <c r="Z961" s="1130"/>
    </row>
    <row r="962" spans="1:26" ht="15.75" customHeight="1">
      <c r="A962" s="1130"/>
      <c r="B962" s="1130"/>
      <c r="C962" s="1130"/>
      <c r="D962" s="1130"/>
      <c r="E962" s="1130"/>
      <c r="F962" s="1130"/>
      <c r="G962" s="1130"/>
      <c r="H962" s="1130"/>
      <c r="I962" s="1130"/>
      <c r="J962" s="1130"/>
      <c r="K962" s="1130"/>
      <c r="L962" s="1130"/>
      <c r="M962" s="1130"/>
      <c r="N962" s="1130"/>
      <c r="O962" s="1130"/>
      <c r="P962" s="1130"/>
      <c r="Q962" s="1130"/>
      <c r="R962" s="1130"/>
      <c r="S962" s="1130"/>
      <c r="T962" s="1130"/>
      <c r="U962" s="1130"/>
      <c r="V962" s="1130"/>
      <c r="W962" s="1130"/>
      <c r="X962" s="1130"/>
      <c r="Y962" s="1130"/>
      <c r="Z962" s="1130"/>
    </row>
    <row r="963" spans="1:26" ht="15.75" customHeight="1">
      <c r="A963" s="1130"/>
      <c r="B963" s="1130"/>
      <c r="C963" s="1130"/>
      <c r="D963" s="1130"/>
      <c r="E963" s="1130"/>
      <c r="F963" s="1130"/>
      <c r="G963" s="1130"/>
      <c r="H963" s="1130"/>
      <c r="I963" s="1130"/>
      <c r="J963" s="1130"/>
      <c r="K963" s="1130"/>
      <c r="L963" s="1130"/>
      <c r="M963" s="1130"/>
      <c r="N963" s="1130"/>
      <c r="O963" s="1130"/>
      <c r="P963" s="1130"/>
      <c r="Q963" s="1130"/>
      <c r="R963" s="1130"/>
      <c r="S963" s="1130"/>
      <c r="T963" s="1130"/>
      <c r="U963" s="1130"/>
      <c r="V963" s="1130"/>
      <c r="W963" s="1130"/>
      <c r="X963" s="1130"/>
      <c r="Y963" s="1130"/>
      <c r="Z963" s="1130"/>
    </row>
    <row r="964" spans="1:26" ht="15.75" customHeight="1">
      <c r="A964" s="1130"/>
      <c r="B964" s="1130"/>
      <c r="C964" s="1130"/>
      <c r="D964" s="1130"/>
      <c r="E964" s="1130"/>
      <c r="F964" s="1130"/>
      <c r="G964" s="1130"/>
      <c r="H964" s="1130"/>
      <c r="I964" s="1130"/>
      <c r="J964" s="1130"/>
      <c r="K964" s="1130"/>
      <c r="L964" s="1130"/>
      <c r="M964" s="1130"/>
      <c r="N964" s="1130"/>
      <c r="O964" s="1130"/>
      <c r="P964" s="1130"/>
      <c r="Q964" s="1130"/>
      <c r="R964" s="1130"/>
      <c r="S964" s="1130"/>
      <c r="T964" s="1130"/>
      <c r="U964" s="1130"/>
      <c r="V964" s="1130"/>
      <c r="W964" s="1130"/>
      <c r="X964" s="1130"/>
      <c r="Y964" s="1130"/>
      <c r="Z964" s="1130"/>
    </row>
    <row r="965" spans="1:26" ht="15.75" customHeight="1">
      <c r="A965" s="1130"/>
      <c r="B965" s="1130"/>
      <c r="C965" s="1130"/>
      <c r="D965" s="1130"/>
      <c r="E965" s="1130"/>
      <c r="F965" s="1130"/>
      <c r="G965" s="1130"/>
      <c r="H965" s="1130"/>
      <c r="I965" s="1130"/>
      <c r="J965" s="1130"/>
      <c r="K965" s="1130"/>
      <c r="L965" s="1130"/>
      <c r="M965" s="1130"/>
      <c r="N965" s="1130"/>
      <c r="O965" s="1130"/>
      <c r="P965" s="1130"/>
      <c r="Q965" s="1130"/>
      <c r="R965" s="1130"/>
      <c r="S965" s="1130"/>
      <c r="T965" s="1130"/>
      <c r="U965" s="1130"/>
      <c r="V965" s="1130"/>
      <c r="W965" s="1130"/>
      <c r="X965" s="1130"/>
      <c r="Y965" s="1130"/>
      <c r="Z965" s="1130"/>
    </row>
    <row r="966" spans="1:26" ht="15.75" customHeight="1">
      <c r="A966" s="1130"/>
      <c r="B966" s="1130"/>
      <c r="C966" s="1130"/>
      <c r="D966" s="1130"/>
      <c r="E966" s="1130"/>
      <c r="F966" s="1130"/>
      <c r="G966" s="1130"/>
      <c r="H966" s="1130"/>
      <c r="I966" s="1130"/>
      <c r="J966" s="1130"/>
      <c r="K966" s="1130"/>
      <c r="L966" s="1130"/>
      <c r="M966" s="1130"/>
      <c r="N966" s="1130"/>
      <c r="O966" s="1130"/>
      <c r="P966" s="1130"/>
      <c r="Q966" s="1130"/>
      <c r="R966" s="1130"/>
      <c r="S966" s="1130"/>
      <c r="T966" s="1130"/>
      <c r="U966" s="1130"/>
      <c r="V966" s="1130"/>
      <c r="W966" s="1130"/>
      <c r="X966" s="1130"/>
      <c r="Y966" s="1130"/>
      <c r="Z966" s="1130"/>
    </row>
    <row r="967" spans="1:26" ht="15.75" customHeight="1">
      <c r="A967" s="1130"/>
      <c r="B967" s="1130"/>
      <c r="C967" s="1130"/>
      <c r="D967" s="1130"/>
      <c r="E967" s="1130"/>
      <c r="F967" s="1130"/>
      <c r="G967" s="1130"/>
      <c r="H967" s="1130"/>
      <c r="I967" s="1130"/>
      <c r="J967" s="1130"/>
      <c r="K967" s="1130"/>
      <c r="L967" s="1130"/>
      <c r="M967" s="1130"/>
      <c r="N967" s="1130"/>
      <c r="O967" s="1130"/>
      <c r="P967" s="1130"/>
      <c r="Q967" s="1130"/>
      <c r="R967" s="1130"/>
      <c r="S967" s="1130"/>
      <c r="T967" s="1130"/>
      <c r="U967" s="1130"/>
      <c r="V967" s="1130"/>
      <c r="W967" s="1130"/>
      <c r="X967" s="1130"/>
      <c r="Y967" s="1130"/>
      <c r="Z967" s="1130"/>
    </row>
    <row r="968" spans="1:26" ht="15.75" customHeight="1">
      <c r="A968" s="1130"/>
      <c r="B968" s="1130"/>
      <c r="C968" s="1130"/>
      <c r="D968" s="1130"/>
      <c r="E968" s="1130"/>
      <c r="F968" s="1130"/>
      <c r="G968" s="1130"/>
      <c r="H968" s="1130"/>
      <c r="I968" s="1130"/>
      <c r="J968" s="1130"/>
      <c r="K968" s="1130"/>
      <c r="L968" s="1130"/>
      <c r="M968" s="1130"/>
      <c r="N968" s="1130"/>
      <c r="O968" s="1130"/>
      <c r="P968" s="1130"/>
      <c r="Q968" s="1130"/>
      <c r="R968" s="1130"/>
      <c r="S968" s="1130"/>
      <c r="T968" s="1130"/>
      <c r="U968" s="1130"/>
      <c r="V968" s="1130"/>
      <c r="W968" s="1130"/>
      <c r="X968" s="1130"/>
      <c r="Y968" s="1130"/>
      <c r="Z968" s="1130"/>
    </row>
    <row r="969" spans="1:26" ht="15.75" customHeight="1">
      <c r="A969" s="1130"/>
      <c r="B969" s="1130"/>
      <c r="C969" s="1130"/>
      <c r="D969" s="1130"/>
      <c r="E969" s="1130"/>
      <c r="F969" s="1130"/>
      <c r="G969" s="1130"/>
      <c r="H969" s="1130"/>
      <c r="I969" s="1130"/>
      <c r="J969" s="1130"/>
      <c r="K969" s="1130"/>
      <c r="L969" s="1130"/>
      <c r="M969" s="1130"/>
      <c r="N969" s="1130"/>
      <c r="O969" s="1130"/>
      <c r="P969" s="1130"/>
      <c r="Q969" s="1130"/>
      <c r="R969" s="1130"/>
      <c r="S969" s="1130"/>
      <c r="T969" s="1130"/>
      <c r="U969" s="1130"/>
      <c r="V969" s="1130"/>
      <c r="W969" s="1130"/>
      <c r="X969" s="1130"/>
      <c r="Y969" s="1130"/>
      <c r="Z969" s="1130"/>
    </row>
    <row r="970" spans="1:26" ht="15.75" customHeight="1">
      <c r="A970" s="1130"/>
      <c r="B970" s="1130"/>
      <c r="C970" s="1130"/>
      <c r="D970" s="1130"/>
      <c r="E970" s="1130"/>
      <c r="F970" s="1130"/>
      <c r="G970" s="1130"/>
      <c r="H970" s="1130"/>
      <c r="I970" s="1130"/>
      <c r="J970" s="1130"/>
      <c r="K970" s="1130"/>
      <c r="L970" s="1130"/>
      <c r="M970" s="1130"/>
      <c r="N970" s="1130"/>
      <c r="O970" s="1130"/>
      <c r="P970" s="1130"/>
      <c r="Q970" s="1130"/>
      <c r="R970" s="1130"/>
      <c r="S970" s="1130"/>
      <c r="T970" s="1130"/>
      <c r="U970" s="1130"/>
      <c r="V970" s="1130"/>
      <c r="W970" s="1130"/>
      <c r="X970" s="1130"/>
      <c r="Y970" s="1130"/>
      <c r="Z970" s="1130"/>
    </row>
    <row r="971" spans="1:26" ht="15.75" customHeight="1">
      <c r="A971" s="1130"/>
      <c r="B971" s="1130"/>
      <c r="C971" s="1130"/>
      <c r="D971" s="1130"/>
      <c r="E971" s="1130"/>
      <c r="F971" s="1130"/>
      <c r="G971" s="1130"/>
      <c r="H971" s="1130"/>
      <c r="I971" s="1130"/>
      <c r="J971" s="1130"/>
      <c r="K971" s="1130"/>
      <c r="L971" s="1130"/>
      <c r="M971" s="1130"/>
      <c r="N971" s="1130"/>
      <c r="O971" s="1130"/>
      <c r="P971" s="1130"/>
      <c r="Q971" s="1130"/>
      <c r="R971" s="1130"/>
      <c r="S971" s="1130"/>
      <c r="T971" s="1130"/>
      <c r="U971" s="1130"/>
      <c r="V971" s="1130"/>
      <c r="W971" s="1130"/>
      <c r="X971" s="1130"/>
      <c r="Y971" s="1130"/>
      <c r="Z971" s="1130"/>
    </row>
    <row r="972" spans="1:26" ht="15.75" customHeight="1">
      <c r="A972" s="1130"/>
      <c r="B972" s="1130"/>
      <c r="C972" s="1130"/>
      <c r="D972" s="1130"/>
      <c r="E972" s="1130"/>
      <c r="F972" s="1130"/>
      <c r="G972" s="1130"/>
      <c r="H972" s="1130"/>
      <c r="I972" s="1130"/>
      <c r="J972" s="1130"/>
      <c r="K972" s="1130"/>
      <c r="L972" s="1130"/>
      <c r="M972" s="1130"/>
      <c r="N972" s="1130"/>
      <c r="O972" s="1130"/>
      <c r="P972" s="1130"/>
      <c r="Q972" s="1130"/>
      <c r="R972" s="1130"/>
      <c r="S972" s="1130"/>
      <c r="T972" s="1130"/>
      <c r="U972" s="1130"/>
      <c r="V972" s="1130"/>
      <c r="W972" s="1130"/>
      <c r="X972" s="1130"/>
      <c r="Y972" s="1130"/>
      <c r="Z972" s="1130"/>
    </row>
  </sheetData>
  <printOptions horizontalCentered="1"/>
  <pageMargins left="0.7" right="0.7" top="0.71" bottom="0.59" header="0.3" footer="0.16"/>
  <pageSetup paperSize="9" scale="84" fitToHeight="10" orientation="landscape" r:id="rId1"/>
  <rowBreaks count="1" manualBreakCount="1">
    <brk id="27" max="12" man="1"/>
  </rowBreaks>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1">
    <tabColor rgb="FF7030A0"/>
    <pageSetUpPr fitToPage="1"/>
  </sheetPr>
  <dimension ref="A1:Z1000"/>
  <sheetViews>
    <sheetView workbookViewId="0"/>
  </sheetViews>
  <sheetFormatPr defaultColWidth="14.44140625" defaultRowHeight="15" customHeight="1"/>
  <cols>
    <col min="1" max="1" width="12.5546875" style="1131" customWidth="1"/>
    <col min="2" max="2" width="27.5546875" style="1131" customWidth="1"/>
    <col min="3" max="4" width="9.109375" style="1131" customWidth="1"/>
    <col min="5" max="5" width="9.88671875" style="1131" customWidth="1"/>
    <col min="6" max="6" width="10.109375" style="1131" customWidth="1"/>
    <col min="7" max="8" width="9.109375" style="1131" customWidth="1"/>
    <col min="9" max="9" width="12" style="1131" customWidth="1"/>
    <col min="10" max="10" width="13" style="1131" customWidth="1"/>
    <col min="11" max="11" width="11.6640625" style="1131" customWidth="1"/>
    <col min="12" max="12" width="10.6640625" style="1131" bestFit="1" customWidth="1"/>
    <col min="13" max="13" width="15.33203125" style="1131" bestFit="1" customWidth="1"/>
    <col min="14" max="26" width="9.109375" style="1131" customWidth="1"/>
    <col min="27" max="16384" width="14.44140625" style="1131"/>
  </cols>
  <sheetData>
    <row r="1" spans="1:26" s="520" customFormat="1" ht="19.2">
      <c r="A1" s="522"/>
      <c r="C1" s="523"/>
      <c r="D1" s="537"/>
      <c r="E1" s="1223"/>
      <c r="F1" s="1223"/>
      <c r="G1" s="523"/>
    </row>
    <row r="2" spans="1:26" s="520" customFormat="1" ht="19.2">
      <c r="A2" s="522"/>
      <c r="C2" s="523"/>
      <c r="D2" s="537"/>
      <c r="E2" s="1223"/>
      <c r="F2" s="1223"/>
      <c r="G2" s="523"/>
    </row>
    <row r="3" spans="1:26" s="520" customFormat="1" ht="19.2">
      <c r="A3" s="226" t="s">
        <v>0</v>
      </c>
      <c r="B3" s="1248" t="s">
        <v>1564</v>
      </c>
      <c r="C3" s="523"/>
      <c r="D3" s="537"/>
      <c r="E3" s="1223"/>
      <c r="F3" s="1223"/>
      <c r="G3" s="523"/>
    </row>
    <row r="4" spans="1:26" s="520" customFormat="1" ht="19.2">
      <c r="A4" s="119" t="s">
        <v>1</v>
      </c>
      <c r="B4" s="1248">
        <v>930100</v>
      </c>
      <c r="C4" s="523"/>
      <c r="D4" s="537"/>
      <c r="E4" s="1223"/>
      <c r="F4" s="1223"/>
      <c r="G4" s="523"/>
    </row>
    <row r="5" spans="1:26" s="520" customFormat="1" ht="19.2">
      <c r="A5" s="119" t="s">
        <v>2</v>
      </c>
      <c r="B5" s="1247" t="s">
        <v>331</v>
      </c>
      <c r="C5" s="523"/>
      <c r="D5" s="537"/>
      <c r="E5" s="1223"/>
      <c r="I5" s="1276" t="s">
        <v>1561</v>
      </c>
      <c r="J5" s="523" t="s">
        <v>1566</v>
      </c>
    </row>
    <row r="6" spans="1:26" s="520" customFormat="1" ht="19.2">
      <c r="A6" s="119" t="s">
        <v>3</v>
      </c>
      <c r="B6" s="1247" t="s">
        <v>1569</v>
      </c>
      <c r="C6" s="523"/>
      <c r="D6" s="537"/>
      <c r="E6" s="1223"/>
      <c r="I6" s="1276" t="s">
        <v>171</v>
      </c>
      <c r="J6" s="523" t="s">
        <v>1563</v>
      </c>
    </row>
    <row r="7" spans="1:26" s="520" customFormat="1" ht="19.2">
      <c r="A7" s="119" t="s">
        <v>4</v>
      </c>
      <c r="B7" s="1247"/>
      <c r="C7" s="523"/>
      <c r="D7" s="537"/>
      <c r="E7" s="1223"/>
      <c r="I7" s="1276" t="s">
        <v>106</v>
      </c>
      <c r="J7" s="1277">
        <f ca="1">TODAY()</f>
        <v>44942</v>
      </c>
    </row>
    <row r="8" spans="1:26" ht="16.8">
      <c r="A8" s="4"/>
      <c r="B8" s="55"/>
      <c r="C8" s="19"/>
      <c r="D8" s="19"/>
      <c r="E8" s="20"/>
      <c r="F8" s="1130"/>
      <c r="G8" s="1130"/>
      <c r="H8" s="1130"/>
      <c r="I8" s="1130"/>
      <c r="J8" s="1130"/>
      <c r="K8" s="1130"/>
      <c r="L8" s="1130"/>
      <c r="M8" s="1130"/>
      <c r="N8" s="1130"/>
      <c r="O8" s="1130"/>
      <c r="P8" s="1130"/>
      <c r="Q8" s="1130"/>
      <c r="R8" s="1130"/>
      <c r="S8" s="1130"/>
      <c r="T8" s="1130"/>
      <c r="U8" s="1130"/>
      <c r="V8" s="1130"/>
      <c r="W8" s="1130"/>
      <c r="X8" s="1130"/>
      <c r="Y8" s="1130"/>
      <c r="Z8" s="1130"/>
    </row>
    <row r="9" spans="1:26" ht="13.2">
      <c r="A9" s="1196" t="s">
        <v>332</v>
      </c>
      <c r="B9" s="1196" t="s">
        <v>8</v>
      </c>
      <c r="C9" s="1196" t="s">
        <v>9</v>
      </c>
      <c r="D9" s="1196" t="s">
        <v>333</v>
      </c>
      <c r="E9" s="1196" t="s">
        <v>11</v>
      </c>
      <c r="F9" s="1196" t="s">
        <v>12</v>
      </c>
      <c r="G9" s="1196" t="s">
        <v>13</v>
      </c>
      <c r="H9" s="1196" t="s">
        <v>15</v>
      </c>
      <c r="I9" s="1196" t="s">
        <v>14</v>
      </c>
      <c r="J9" s="1196" t="s">
        <v>16</v>
      </c>
      <c r="K9" s="1225" t="s">
        <v>17</v>
      </c>
      <c r="L9" s="1226" t="s">
        <v>1233</v>
      </c>
      <c r="M9" s="1226" t="s">
        <v>1234</v>
      </c>
      <c r="N9" s="1130"/>
      <c r="O9" s="1130"/>
      <c r="P9" s="1130"/>
      <c r="Q9" s="1130"/>
      <c r="R9" s="1130"/>
      <c r="S9" s="1130"/>
      <c r="T9" s="1130"/>
      <c r="U9" s="1130"/>
      <c r="V9" s="1130"/>
      <c r="W9" s="1130"/>
      <c r="X9" s="1130"/>
      <c r="Y9" s="1130"/>
      <c r="Z9" s="1130"/>
    </row>
    <row r="10" spans="1:26" ht="13.2">
      <c r="A10" s="1174">
        <v>1</v>
      </c>
      <c r="B10" s="1175" t="s">
        <v>18</v>
      </c>
      <c r="C10" s="1174" t="s">
        <v>85</v>
      </c>
      <c r="D10" s="1174"/>
      <c r="E10" s="1174">
        <v>464.43</v>
      </c>
      <c r="F10" s="1174">
        <f>2*3.8</f>
        <v>7.6</v>
      </c>
      <c r="G10" s="1174"/>
      <c r="H10" s="1174">
        <f>E10*F10</f>
        <v>3529.6679999999997</v>
      </c>
      <c r="I10" s="1174"/>
      <c r="J10" s="1176">
        <f>H10</f>
        <v>3529.6679999999997</v>
      </c>
      <c r="K10" s="1211"/>
      <c r="L10" s="1206"/>
      <c r="M10" s="1206"/>
      <c r="N10" s="1130"/>
      <c r="O10" s="1130"/>
      <c r="P10" s="1130"/>
      <c r="Q10" s="1130"/>
      <c r="R10" s="1130"/>
      <c r="S10" s="1130"/>
      <c r="T10" s="1130"/>
      <c r="U10" s="1130"/>
      <c r="V10" s="1130"/>
      <c r="W10" s="1130"/>
      <c r="X10" s="1130"/>
      <c r="Y10" s="1130"/>
      <c r="Z10" s="1130"/>
    </row>
    <row r="11" spans="1:26" ht="13.2">
      <c r="A11" s="1156"/>
      <c r="B11" s="1156"/>
      <c r="C11" s="1156"/>
      <c r="D11" s="1156"/>
      <c r="E11" s="1156"/>
      <c r="F11" s="1156"/>
      <c r="G11" s="1156"/>
      <c r="H11" s="1156"/>
      <c r="I11" s="1166" t="s">
        <v>439</v>
      </c>
      <c r="J11" s="1150">
        <f>SUM(J8:J10)</f>
        <v>3529.6679999999997</v>
      </c>
      <c r="K11" s="1212"/>
      <c r="L11" s="1206">
        <v>40.5</v>
      </c>
      <c r="M11" s="1229">
        <f>L11*J11</f>
        <v>142951.55399999997</v>
      </c>
      <c r="N11" s="1130"/>
      <c r="O11" s="1130"/>
      <c r="P11" s="1130"/>
      <c r="Q11" s="1130"/>
      <c r="R11" s="1130"/>
      <c r="S11" s="1130"/>
      <c r="T11" s="1130"/>
      <c r="U11" s="1130"/>
      <c r="V11" s="1130"/>
      <c r="W11" s="1130"/>
      <c r="X11" s="1130"/>
      <c r="Y11" s="1130"/>
      <c r="Z11" s="1130"/>
    </row>
    <row r="12" spans="1:26" ht="13.2">
      <c r="A12" s="1177">
        <v>2</v>
      </c>
      <c r="B12" s="1178" t="s">
        <v>766</v>
      </c>
      <c r="C12" s="1179" t="s">
        <v>306</v>
      </c>
      <c r="D12" s="1179"/>
      <c r="E12" s="1179"/>
      <c r="F12" s="1179"/>
      <c r="G12" s="1179"/>
      <c r="H12" s="1179"/>
      <c r="I12" s="1179"/>
      <c r="J12" s="1179"/>
      <c r="K12" s="1213"/>
      <c r="L12" s="1206"/>
      <c r="M12" s="1229"/>
      <c r="N12" s="1130"/>
      <c r="O12" s="1130"/>
      <c r="P12" s="1130"/>
      <c r="Q12" s="1130"/>
      <c r="R12" s="1130"/>
      <c r="S12" s="1130"/>
      <c r="T12" s="1130"/>
      <c r="U12" s="1130"/>
      <c r="V12" s="1130"/>
      <c r="W12" s="1130"/>
      <c r="X12" s="1130"/>
      <c r="Y12" s="1130"/>
      <c r="Z12" s="1130"/>
    </row>
    <row r="13" spans="1:26" ht="13.2">
      <c r="A13" s="1160"/>
      <c r="B13" s="1159" t="s">
        <v>1433</v>
      </c>
      <c r="C13" s="1161"/>
      <c r="D13" s="1161">
        <v>1</v>
      </c>
      <c r="E13" s="1162">
        <v>20</v>
      </c>
      <c r="F13" s="1162"/>
      <c r="G13" s="1162"/>
      <c r="H13" s="1162">
        <v>279.58999999999997</v>
      </c>
      <c r="I13" s="1162"/>
      <c r="J13" s="1163">
        <f>D13*E13*H13</f>
        <v>5591.7999999999993</v>
      </c>
      <c r="K13" s="1214"/>
      <c r="L13" s="1206"/>
      <c r="M13" s="1229"/>
      <c r="N13" s="1130"/>
      <c r="O13" s="1130"/>
      <c r="P13" s="1130"/>
      <c r="Q13" s="1130"/>
      <c r="R13" s="1130"/>
      <c r="S13" s="1130"/>
      <c r="T13" s="1130"/>
      <c r="U13" s="1130"/>
      <c r="V13" s="1130"/>
      <c r="W13" s="1130"/>
      <c r="X13" s="1130"/>
      <c r="Y13" s="1130"/>
      <c r="Z13" s="1130"/>
    </row>
    <row r="14" spans="1:26" ht="13.2">
      <c r="A14" s="1160"/>
      <c r="B14" s="1159" t="s">
        <v>1434</v>
      </c>
      <c r="C14" s="1161"/>
      <c r="D14" s="1161">
        <v>1</v>
      </c>
      <c r="E14" s="1162">
        <v>100</v>
      </c>
      <c r="F14" s="1162"/>
      <c r="G14" s="1162"/>
      <c r="H14" s="1162">
        <v>163.35</v>
      </c>
      <c r="I14" s="1164"/>
      <c r="J14" s="1163">
        <f t="shared" ref="J14:J17" si="0">D14*E14*H14</f>
        <v>16335</v>
      </c>
      <c r="K14" s="1214"/>
      <c r="L14" s="1206"/>
      <c r="M14" s="1229"/>
      <c r="N14" s="1130"/>
      <c r="O14" s="1130"/>
      <c r="P14" s="1130"/>
      <c r="Q14" s="1130"/>
      <c r="R14" s="1130"/>
      <c r="S14" s="1130"/>
      <c r="T14" s="1130"/>
      <c r="U14" s="1130"/>
      <c r="V14" s="1130"/>
      <c r="W14" s="1130"/>
      <c r="X14" s="1130"/>
      <c r="Y14" s="1130"/>
      <c r="Z14" s="1130"/>
    </row>
    <row r="15" spans="1:26" ht="13.2">
      <c r="A15" s="1160"/>
      <c r="B15" s="1159" t="s">
        <v>1435</v>
      </c>
      <c r="C15" s="1159"/>
      <c r="D15" s="1161">
        <v>1</v>
      </c>
      <c r="E15" s="1159">
        <v>80</v>
      </c>
      <c r="F15" s="1159"/>
      <c r="G15" s="1159"/>
      <c r="H15" s="1159">
        <v>48.215000000000003</v>
      </c>
      <c r="I15" s="1165"/>
      <c r="J15" s="1163">
        <f t="shared" si="0"/>
        <v>3857.2000000000003</v>
      </c>
      <c r="K15" s="1214"/>
      <c r="L15" s="1206"/>
      <c r="M15" s="1229"/>
      <c r="N15" s="1130"/>
      <c r="O15" s="1130"/>
      <c r="P15" s="1130"/>
      <c r="Q15" s="1130"/>
      <c r="R15" s="1130"/>
      <c r="S15" s="1130"/>
      <c r="T15" s="1130"/>
      <c r="U15" s="1130"/>
      <c r="V15" s="1130"/>
      <c r="W15" s="1130"/>
      <c r="X15" s="1130"/>
      <c r="Y15" s="1130"/>
      <c r="Z15" s="1130"/>
    </row>
    <row r="16" spans="1:26" ht="13.2">
      <c r="A16" s="1160"/>
      <c r="B16" s="1159" t="s">
        <v>1436</v>
      </c>
      <c r="C16" s="1159"/>
      <c r="D16" s="1161">
        <v>1</v>
      </c>
      <c r="E16" s="1159">
        <v>160</v>
      </c>
      <c r="F16" s="1159"/>
      <c r="G16" s="1159"/>
      <c r="H16" s="1159">
        <v>45.82</v>
      </c>
      <c r="I16" s="1158"/>
      <c r="J16" s="1163">
        <f t="shared" si="0"/>
        <v>7331.2</v>
      </c>
      <c r="K16" s="1214"/>
      <c r="L16" s="1206"/>
      <c r="M16" s="1229"/>
      <c r="N16" s="1130"/>
      <c r="O16" s="1130"/>
      <c r="P16" s="1130"/>
      <c r="Q16" s="1130"/>
      <c r="R16" s="1130"/>
      <c r="S16" s="1130"/>
      <c r="T16" s="1130"/>
      <c r="U16" s="1130"/>
      <c r="V16" s="1130"/>
      <c r="W16" s="1130"/>
      <c r="X16" s="1130"/>
      <c r="Y16" s="1130"/>
      <c r="Z16" s="1130"/>
    </row>
    <row r="17" spans="1:26" ht="13.2">
      <c r="A17" s="1160"/>
      <c r="B17" s="1159" t="s">
        <v>1437</v>
      </c>
      <c r="C17" s="1159"/>
      <c r="D17" s="1161">
        <v>1</v>
      </c>
      <c r="E17" s="1159">
        <v>104.43</v>
      </c>
      <c r="F17" s="1159"/>
      <c r="G17" s="1159"/>
      <c r="H17" s="1159">
        <v>42.35</v>
      </c>
      <c r="I17" s="1158"/>
      <c r="J17" s="1163">
        <f t="shared" si="0"/>
        <v>4422.6105000000007</v>
      </c>
      <c r="K17" s="1214"/>
      <c r="L17" s="1206"/>
      <c r="M17" s="1229"/>
      <c r="N17" s="1130"/>
      <c r="O17" s="1130"/>
      <c r="P17" s="1130"/>
      <c r="Q17" s="1130"/>
      <c r="R17" s="1130"/>
      <c r="S17" s="1130"/>
      <c r="T17" s="1130"/>
      <c r="U17" s="1130"/>
      <c r="V17" s="1130"/>
      <c r="W17" s="1130"/>
      <c r="X17" s="1130"/>
      <c r="Y17" s="1130"/>
      <c r="Z17" s="1130"/>
    </row>
    <row r="18" spans="1:26" ht="13.2">
      <c r="A18" s="1160"/>
      <c r="B18" s="1159"/>
      <c r="C18" s="1159"/>
      <c r="D18" s="1161"/>
      <c r="E18" s="1159"/>
      <c r="F18" s="1159"/>
      <c r="G18" s="1159"/>
      <c r="H18" s="1159"/>
      <c r="I18" s="1166" t="s">
        <v>439</v>
      </c>
      <c r="J18" s="1150">
        <f>SUM(J13:J17)</f>
        <v>37537.8105</v>
      </c>
      <c r="K18" s="1214"/>
      <c r="L18" s="1206"/>
      <c r="M18" s="1229"/>
      <c r="N18" s="1130"/>
      <c r="O18" s="1130"/>
      <c r="P18" s="1130"/>
      <c r="Q18" s="1130"/>
      <c r="R18" s="1130"/>
      <c r="S18" s="1130"/>
      <c r="T18" s="1130"/>
      <c r="U18" s="1130"/>
      <c r="V18" s="1130"/>
      <c r="W18" s="1130"/>
      <c r="X18" s="1130"/>
      <c r="Y18" s="1130"/>
      <c r="Z18" s="1130"/>
    </row>
    <row r="19" spans="1:26" ht="13.2">
      <c r="A19" s="1160"/>
      <c r="B19" s="1159"/>
      <c r="C19" s="1159"/>
      <c r="D19" s="1161"/>
      <c r="E19" s="1159"/>
      <c r="F19" s="1159"/>
      <c r="G19" s="1159"/>
      <c r="H19" s="1159"/>
      <c r="I19" s="1198" t="s">
        <v>1494</v>
      </c>
      <c r="J19" s="1163">
        <f>0.65*J18</f>
        <v>24399.576825</v>
      </c>
      <c r="K19" s="1214"/>
      <c r="L19" s="1206">
        <v>320</v>
      </c>
      <c r="M19" s="1229">
        <f>L19*J19</f>
        <v>7807864.5839999998</v>
      </c>
      <c r="N19" s="1130"/>
      <c r="O19" s="1130"/>
      <c r="P19" s="1130"/>
      <c r="Q19" s="1130"/>
      <c r="R19" s="1130"/>
      <c r="S19" s="1130"/>
      <c r="T19" s="1130"/>
      <c r="U19" s="1130"/>
      <c r="V19" s="1130"/>
      <c r="W19" s="1130"/>
      <c r="X19" s="1130"/>
      <c r="Y19" s="1130"/>
      <c r="Z19" s="1130"/>
    </row>
    <row r="20" spans="1:26" ht="13.2">
      <c r="A20" s="1160"/>
      <c r="B20" s="1159"/>
      <c r="C20" s="1159"/>
      <c r="D20" s="1161"/>
      <c r="E20" s="1159"/>
      <c r="F20" s="1159"/>
      <c r="G20" s="1159"/>
      <c r="H20" s="1159"/>
      <c r="I20" s="1198" t="s">
        <v>1495</v>
      </c>
      <c r="J20" s="1163">
        <f>0.35*J18</f>
        <v>13138.233674999999</v>
      </c>
      <c r="K20" s="1214"/>
      <c r="L20" s="1206">
        <v>1350</v>
      </c>
      <c r="M20" s="1229">
        <f>L20*J20</f>
        <v>17736615.46125</v>
      </c>
      <c r="N20" s="1130"/>
      <c r="O20" s="1130"/>
      <c r="P20" s="1130"/>
      <c r="Q20" s="1130"/>
      <c r="R20" s="1130"/>
      <c r="S20" s="1130"/>
      <c r="T20" s="1130"/>
      <c r="U20" s="1130"/>
      <c r="V20" s="1130"/>
      <c r="W20" s="1130"/>
      <c r="X20" s="1130"/>
      <c r="Y20" s="1130"/>
      <c r="Z20" s="1130"/>
    </row>
    <row r="21" spans="1:26" ht="13.2">
      <c r="A21" s="1160"/>
      <c r="B21" s="1159"/>
      <c r="C21" s="1159"/>
      <c r="D21" s="1159"/>
      <c r="E21" s="1159"/>
      <c r="F21" s="1159"/>
      <c r="G21" s="1159"/>
      <c r="H21" s="1159"/>
      <c r="K21" s="1214"/>
      <c r="L21" s="1206"/>
      <c r="M21" s="1229"/>
      <c r="N21" s="1130"/>
      <c r="O21" s="1130"/>
      <c r="P21" s="1130"/>
      <c r="Q21" s="1130"/>
      <c r="R21" s="1130"/>
      <c r="S21" s="1130"/>
      <c r="T21" s="1130"/>
      <c r="U21" s="1130"/>
      <c r="V21" s="1130"/>
      <c r="W21" s="1130"/>
      <c r="X21" s="1130"/>
      <c r="Y21" s="1130"/>
      <c r="Z21" s="1130"/>
    </row>
    <row r="22" spans="1:26" ht="13.2">
      <c r="A22" s="1177">
        <v>3</v>
      </c>
      <c r="B22" s="1178" t="s">
        <v>422</v>
      </c>
      <c r="C22" s="1179" t="s">
        <v>306</v>
      </c>
      <c r="D22" s="1179"/>
      <c r="E22" s="1179"/>
      <c r="F22" s="1179"/>
      <c r="G22" s="1179"/>
      <c r="H22" s="1179"/>
      <c r="I22" s="1178"/>
      <c r="J22" s="1197"/>
      <c r="K22" s="1213"/>
      <c r="L22" s="1206"/>
      <c r="M22" s="1229"/>
      <c r="N22" s="1130"/>
      <c r="O22" s="1130"/>
      <c r="P22" s="1130"/>
      <c r="Q22" s="1130"/>
      <c r="R22" s="1130"/>
      <c r="S22" s="1130"/>
      <c r="T22" s="1130"/>
      <c r="U22" s="1130"/>
      <c r="V22" s="1130"/>
      <c r="W22" s="1130"/>
      <c r="X22" s="1130"/>
      <c r="Y22" s="1130"/>
      <c r="Z22" s="1130"/>
    </row>
    <row r="23" spans="1:26" ht="13.2">
      <c r="A23" s="1160"/>
      <c r="B23" s="1159" t="s">
        <v>1433</v>
      </c>
      <c r="C23" s="1161"/>
      <c r="D23" s="1161">
        <v>1</v>
      </c>
      <c r="E23" s="1162">
        <v>20</v>
      </c>
      <c r="F23" s="1162"/>
      <c r="G23" s="1162"/>
      <c r="H23" s="1162">
        <v>0</v>
      </c>
      <c r="I23" s="1162"/>
      <c r="J23" s="1163">
        <f t="shared" ref="J23:J27" si="1">D23*E23*H23</f>
        <v>0</v>
      </c>
      <c r="K23" s="1214"/>
      <c r="L23" s="1206"/>
      <c r="M23" s="1229"/>
      <c r="N23" s="1130"/>
      <c r="O23" s="1130"/>
      <c r="P23" s="1130"/>
      <c r="Q23" s="1130"/>
      <c r="R23" s="1130"/>
      <c r="S23" s="1130"/>
      <c r="T23" s="1130"/>
      <c r="U23" s="1130"/>
      <c r="V23" s="1130"/>
      <c r="W23" s="1130"/>
      <c r="X23" s="1130"/>
      <c r="Y23" s="1130"/>
      <c r="Z23" s="1130"/>
    </row>
    <row r="24" spans="1:26" ht="13.2">
      <c r="A24" s="1160"/>
      <c r="B24" s="1159" t="s">
        <v>1434</v>
      </c>
      <c r="C24" s="1161"/>
      <c r="D24" s="1161">
        <v>1</v>
      </c>
      <c r="E24" s="1162">
        <v>100</v>
      </c>
      <c r="F24" s="1162"/>
      <c r="G24" s="1162"/>
      <c r="H24" s="1162">
        <f>AVERAGE(2.181+1.637,0)</f>
        <v>1.909</v>
      </c>
      <c r="I24" s="1162"/>
      <c r="J24" s="1163">
        <f t="shared" si="1"/>
        <v>190.9</v>
      </c>
      <c r="K24" s="1214"/>
      <c r="L24" s="1206"/>
      <c r="M24" s="1229"/>
      <c r="N24" s="1130"/>
      <c r="O24" s="1130"/>
      <c r="P24" s="1130"/>
      <c r="Q24" s="1130"/>
      <c r="R24" s="1130"/>
      <c r="S24" s="1130"/>
      <c r="T24" s="1130"/>
      <c r="U24" s="1130"/>
      <c r="V24" s="1130"/>
      <c r="W24" s="1130"/>
      <c r="X24" s="1130"/>
      <c r="Y24" s="1130"/>
      <c r="Z24" s="1130"/>
    </row>
    <row r="25" spans="1:26" ht="15.75" customHeight="1">
      <c r="A25" s="1160"/>
      <c r="B25" s="1159" t="s">
        <v>1435</v>
      </c>
      <c r="C25" s="1161"/>
      <c r="D25" s="1161">
        <v>1</v>
      </c>
      <c r="E25" s="1162">
        <v>80</v>
      </c>
      <c r="F25" s="1162"/>
      <c r="G25" s="1162"/>
      <c r="H25" s="1162">
        <f>AVERAGE(2.181+1.637,5.424)</f>
        <v>4.6210000000000004</v>
      </c>
      <c r="I25" s="1162"/>
      <c r="J25" s="1163">
        <f t="shared" si="1"/>
        <v>369.68000000000006</v>
      </c>
      <c r="K25" s="1214"/>
      <c r="L25" s="1206"/>
      <c r="M25" s="1229"/>
      <c r="N25" s="1130"/>
      <c r="O25" s="1130"/>
      <c r="P25" s="1130"/>
      <c r="Q25" s="1130"/>
      <c r="R25" s="1130"/>
      <c r="S25" s="1130"/>
      <c r="T25" s="1130"/>
      <c r="U25" s="1130"/>
      <c r="V25" s="1130"/>
      <c r="W25" s="1130"/>
      <c r="X25" s="1130"/>
      <c r="Y25" s="1130"/>
      <c r="Z25" s="1130"/>
    </row>
    <row r="26" spans="1:26" ht="15.75" customHeight="1">
      <c r="A26" s="1160"/>
      <c r="B26" s="1159" t="s">
        <v>1436</v>
      </c>
      <c r="C26" s="1161"/>
      <c r="D26" s="1161">
        <v>1</v>
      </c>
      <c r="E26" s="1162">
        <v>160</v>
      </c>
      <c r="F26" s="1162"/>
      <c r="G26" s="1162"/>
      <c r="H26" s="1162">
        <f>AVERAGE(5.424,3.575+1.619)</f>
        <v>5.3090000000000002</v>
      </c>
      <c r="I26" s="1162"/>
      <c r="J26" s="1163">
        <f t="shared" si="1"/>
        <v>849.44</v>
      </c>
      <c r="K26" s="1214"/>
      <c r="L26" s="1206"/>
      <c r="M26" s="1229"/>
      <c r="N26" s="1130"/>
      <c r="O26" s="1130"/>
      <c r="P26" s="1130"/>
      <c r="Q26" s="1130"/>
      <c r="R26" s="1130"/>
      <c r="S26" s="1130"/>
      <c r="T26" s="1130"/>
      <c r="U26" s="1130"/>
      <c r="V26" s="1130"/>
      <c r="W26" s="1130"/>
      <c r="X26" s="1130"/>
      <c r="Y26" s="1130"/>
      <c r="Z26" s="1130"/>
    </row>
    <row r="27" spans="1:26" ht="15.75" customHeight="1">
      <c r="A27" s="1160"/>
      <c r="B27" s="1159" t="s">
        <v>1437</v>
      </c>
      <c r="C27" s="1161"/>
      <c r="D27" s="1161">
        <v>1</v>
      </c>
      <c r="E27" s="1162">
        <v>104.43</v>
      </c>
      <c r="F27" s="1162"/>
      <c r="G27" s="1162"/>
      <c r="H27" s="1162">
        <f>AVERAGE(3.575+1.619,0)</f>
        <v>2.597</v>
      </c>
      <c r="I27" s="1168"/>
      <c r="J27" s="1163">
        <f t="shared" si="1"/>
        <v>271.20471000000003</v>
      </c>
      <c r="K27" s="1215"/>
      <c r="L27" s="1206"/>
      <c r="M27" s="1229"/>
      <c r="N27" s="1130"/>
      <c r="O27" s="1130"/>
      <c r="P27" s="1130"/>
      <c r="Q27" s="1130"/>
      <c r="R27" s="1130"/>
      <c r="S27" s="1130"/>
      <c r="T27" s="1130"/>
      <c r="U27" s="1130"/>
      <c r="V27" s="1130"/>
      <c r="W27" s="1130"/>
      <c r="X27" s="1130"/>
      <c r="Y27" s="1130"/>
      <c r="Z27" s="1130"/>
    </row>
    <row r="28" spans="1:26" ht="15.75" customHeight="1">
      <c r="A28" s="1160"/>
      <c r="B28" s="1169"/>
      <c r="C28" s="1161"/>
      <c r="D28" s="1161"/>
      <c r="E28" s="1162"/>
      <c r="F28" s="1162"/>
      <c r="G28" s="1162"/>
      <c r="H28" s="1162"/>
      <c r="I28" s="1166" t="s">
        <v>439</v>
      </c>
      <c r="J28" s="1150">
        <f>SUM(J23:J27)</f>
        <v>1681.22471</v>
      </c>
      <c r="K28" s="1214"/>
      <c r="L28" s="1206">
        <v>210</v>
      </c>
      <c r="M28" s="1229">
        <f>L28*J28</f>
        <v>353057.18910000002</v>
      </c>
      <c r="N28" s="1130"/>
      <c r="O28" s="1130"/>
      <c r="P28" s="1130"/>
      <c r="Q28" s="1130"/>
      <c r="R28" s="1130"/>
      <c r="S28" s="1130"/>
      <c r="T28" s="1130"/>
      <c r="U28" s="1130"/>
      <c r="V28" s="1130"/>
      <c r="W28" s="1130"/>
      <c r="X28" s="1130"/>
      <c r="Y28" s="1130"/>
      <c r="Z28" s="1130"/>
    </row>
    <row r="29" spans="1:26" ht="15.75" customHeight="1">
      <c r="A29" s="1160"/>
      <c r="B29" s="1159"/>
      <c r="C29" s="1159"/>
      <c r="D29" s="1159"/>
      <c r="E29" s="1159"/>
      <c r="F29" s="1159"/>
      <c r="G29" s="1159"/>
      <c r="H29" s="1159"/>
      <c r="I29" s="1158"/>
      <c r="J29" s="1167"/>
      <c r="K29" s="1214"/>
      <c r="L29" s="1206"/>
      <c r="M29" s="1229"/>
      <c r="N29" s="1130"/>
      <c r="O29" s="1130"/>
      <c r="P29" s="1130"/>
      <c r="Q29" s="1130"/>
      <c r="R29" s="1130"/>
      <c r="S29" s="1130"/>
      <c r="T29" s="1130"/>
      <c r="U29" s="1130"/>
      <c r="V29" s="1130"/>
      <c r="W29" s="1130"/>
      <c r="X29" s="1130"/>
      <c r="Y29" s="1130"/>
      <c r="Z29" s="1130"/>
    </row>
    <row r="30" spans="1:26" ht="15.75" customHeight="1">
      <c r="A30" s="1177">
        <v>4</v>
      </c>
      <c r="B30" s="1178" t="s">
        <v>314</v>
      </c>
      <c r="C30" s="1179" t="s">
        <v>306</v>
      </c>
      <c r="D30" s="1179"/>
      <c r="E30" s="1179"/>
      <c r="F30" s="1179"/>
      <c r="G30" s="1179"/>
      <c r="H30" s="1179"/>
      <c r="I30" s="1179"/>
      <c r="J30" s="1178"/>
      <c r="K30" s="1213"/>
      <c r="L30" s="1206"/>
      <c r="M30" s="1229"/>
      <c r="N30" s="1130"/>
      <c r="O30" s="1130"/>
      <c r="P30" s="1130"/>
      <c r="Q30" s="1130"/>
      <c r="R30" s="1130"/>
      <c r="S30" s="1130"/>
      <c r="T30" s="1130"/>
      <c r="U30" s="1130"/>
      <c r="V30" s="1130"/>
      <c r="W30" s="1130"/>
      <c r="X30" s="1130"/>
      <c r="Y30" s="1130"/>
      <c r="Z30" s="1130"/>
    </row>
    <row r="31" spans="1:26" ht="15.75" customHeight="1">
      <c r="A31" s="1157"/>
      <c r="B31" s="1159" t="s">
        <v>767</v>
      </c>
      <c r="C31" s="1161"/>
      <c r="D31" s="1161">
        <v>1</v>
      </c>
      <c r="E31" s="1162"/>
      <c r="F31" s="1162"/>
      <c r="G31" s="1162">
        <v>7.4999999999999997E-2</v>
      </c>
      <c r="H31" s="1162">
        <v>1764.83</v>
      </c>
      <c r="I31" s="1162"/>
      <c r="J31" s="1162">
        <f>H31*G31*D31</f>
        <v>132.36224999999999</v>
      </c>
      <c r="K31" s="1214"/>
      <c r="L31" s="1206"/>
      <c r="M31" s="1229"/>
      <c r="N31" s="1130"/>
      <c r="O31" s="1130"/>
      <c r="P31" s="1130"/>
      <c r="Q31" s="1130"/>
      <c r="R31" s="1130"/>
      <c r="S31" s="1130"/>
      <c r="T31" s="1130"/>
      <c r="U31" s="1130"/>
      <c r="V31" s="1130"/>
      <c r="W31" s="1130"/>
      <c r="X31" s="1130"/>
      <c r="Y31" s="1130"/>
      <c r="Z31" s="1130"/>
    </row>
    <row r="32" spans="1:26" ht="15.75" customHeight="1">
      <c r="A32" s="1157"/>
      <c r="B32" s="1159"/>
      <c r="C32" s="1161"/>
      <c r="D32" s="1161"/>
      <c r="E32" s="1162"/>
      <c r="F32" s="1162"/>
      <c r="G32" s="1162"/>
      <c r="H32" s="1162"/>
      <c r="I32" s="1149" t="s">
        <v>439</v>
      </c>
      <c r="J32" s="1150">
        <f>J31</f>
        <v>132.36224999999999</v>
      </c>
      <c r="K32" s="1214"/>
      <c r="L32" s="1206">
        <v>13500</v>
      </c>
      <c r="M32" s="1229">
        <f>L32*J32</f>
        <v>1786890.3749999998</v>
      </c>
      <c r="N32" s="1130"/>
      <c r="O32" s="1130"/>
      <c r="P32" s="1130"/>
      <c r="Q32" s="1130"/>
      <c r="R32" s="1130"/>
      <c r="S32" s="1130"/>
      <c r="T32" s="1130"/>
      <c r="U32" s="1130"/>
      <c r="V32" s="1130"/>
      <c r="W32" s="1130"/>
      <c r="X32" s="1130"/>
      <c r="Y32" s="1130"/>
      <c r="Z32" s="1130"/>
    </row>
    <row r="33" spans="1:26" ht="15.75" customHeight="1">
      <c r="A33" s="1177">
        <v>5</v>
      </c>
      <c r="B33" s="1178" t="s">
        <v>229</v>
      </c>
      <c r="C33" s="1179" t="s">
        <v>306</v>
      </c>
      <c r="D33" s="1179"/>
      <c r="E33" s="1179"/>
      <c r="F33" s="1179"/>
      <c r="G33" s="1179"/>
      <c r="H33" s="1179"/>
      <c r="I33" s="1179"/>
      <c r="J33" s="1178"/>
      <c r="K33" s="1213"/>
      <c r="L33" s="1206"/>
      <c r="M33" s="1229"/>
      <c r="N33" s="1130"/>
      <c r="O33" s="1130"/>
      <c r="P33" s="1130"/>
      <c r="Q33" s="1130"/>
      <c r="R33" s="1130"/>
      <c r="S33" s="1130"/>
      <c r="T33" s="1130"/>
      <c r="U33" s="1130"/>
      <c r="V33" s="1130"/>
      <c r="W33" s="1130"/>
      <c r="X33" s="1130"/>
      <c r="Y33" s="1130"/>
      <c r="Z33" s="1130"/>
    </row>
    <row r="34" spans="1:26" ht="15.75" customHeight="1">
      <c r="A34" s="1157"/>
      <c r="B34" s="1159" t="s">
        <v>767</v>
      </c>
      <c r="C34" s="1161"/>
      <c r="D34" s="1161">
        <v>1</v>
      </c>
      <c r="E34" s="1162"/>
      <c r="F34" s="1162"/>
      <c r="G34" s="1162"/>
      <c r="H34" s="1162">
        <v>1164.83</v>
      </c>
      <c r="I34" s="1162"/>
      <c r="J34" s="1162">
        <f>H34</f>
        <v>1164.83</v>
      </c>
      <c r="K34" s="1214"/>
      <c r="L34" s="1206"/>
      <c r="M34" s="1229"/>
      <c r="N34" s="1130"/>
      <c r="O34" s="1130"/>
      <c r="P34" s="1130"/>
      <c r="Q34" s="1130"/>
      <c r="R34" s="1130"/>
      <c r="S34" s="1130"/>
      <c r="T34" s="1130"/>
      <c r="U34" s="1130"/>
      <c r="V34" s="1130"/>
      <c r="W34" s="1130"/>
      <c r="X34" s="1130"/>
      <c r="Y34" s="1130"/>
      <c r="Z34" s="1130"/>
    </row>
    <row r="35" spans="1:26" ht="15.75" customHeight="1">
      <c r="A35" s="1157"/>
      <c r="B35" s="1159"/>
      <c r="C35" s="1159"/>
      <c r="D35" s="1159"/>
      <c r="E35" s="1159"/>
      <c r="F35" s="1159"/>
      <c r="G35" s="1159"/>
      <c r="H35" s="1159"/>
      <c r="I35" s="1149" t="s">
        <v>439</v>
      </c>
      <c r="J35" s="1150">
        <f>J34</f>
        <v>1164.83</v>
      </c>
      <c r="K35" s="1214"/>
      <c r="L35" s="1206"/>
      <c r="M35" s="1229"/>
      <c r="N35" s="1130"/>
      <c r="O35" s="1130"/>
      <c r="P35" s="1130"/>
      <c r="Q35" s="1130"/>
      <c r="R35" s="1130"/>
      <c r="S35" s="1130"/>
      <c r="T35" s="1130"/>
      <c r="U35" s="1130"/>
      <c r="V35" s="1130"/>
      <c r="W35" s="1130"/>
      <c r="X35" s="1130"/>
      <c r="Y35" s="1130"/>
      <c r="Z35" s="1130"/>
    </row>
    <row r="36" spans="1:26" ht="15.75" customHeight="1">
      <c r="A36" s="1177">
        <v>6</v>
      </c>
      <c r="B36" s="1178" t="s">
        <v>315</v>
      </c>
      <c r="C36" s="1179"/>
      <c r="D36" s="1179"/>
      <c r="E36" s="1179"/>
      <c r="F36" s="1179"/>
      <c r="G36" s="1179"/>
      <c r="H36" s="1179"/>
      <c r="I36" s="1179"/>
      <c r="J36" s="1179"/>
      <c r="K36" s="1213"/>
      <c r="L36" s="1206"/>
      <c r="M36" s="1229"/>
      <c r="N36" s="1130"/>
      <c r="O36" s="1130"/>
      <c r="P36" s="1130"/>
      <c r="Q36" s="1130"/>
      <c r="R36" s="1130"/>
      <c r="S36" s="1130"/>
      <c r="T36" s="1130"/>
      <c r="U36" s="1130"/>
      <c r="V36" s="1130"/>
      <c r="W36" s="1130"/>
      <c r="X36" s="1130"/>
      <c r="Y36" s="1130"/>
      <c r="Z36" s="1130"/>
    </row>
    <row r="37" spans="1:26" ht="15.75" customHeight="1">
      <c r="A37" s="1157"/>
      <c r="B37" s="1169" t="s">
        <v>1438</v>
      </c>
      <c r="C37" s="1161"/>
      <c r="D37" s="1161">
        <v>1</v>
      </c>
      <c r="E37" s="1162">
        <v>200</v>
      </c>
      <c r="F37" s="1162"/>
      <c r="G37" s="1162"/>
      <c r="H37" s="1162">
        <v>3.5779999999999998</v>
      </c>
      <c r="I37" s="1162"/>
      <c r="J37" s="1159">
        <f t="shared" ref="J37:J39" si="2">D37*E37*H37</f>
        <v>715.6</v>
      </c>
      <c r="K37" s="1214"/>
      <c r="L37" s="1206"/>
      <c r="M37" s="1229"/>
      <c r="N37" s="1130"/>
      <c r="O37" s="1130"/>
      <c r="P37" s="1130"/>
      <c r="Q37" s="1130"/>
      <c r="R37" s="1130"/>
      <c r="S37" s="1130"/>
      <c r="T37" s="1130"/>
      <c r="U37" s="1130"/>
      <c r="V37" s="1130"/>
      <c r="W37" s="1130"/>
      <c r="X37" s="1130"/>
      <c r="Y37" s="1130"/>
      <c r="Z37" s="1130"/>
    </row>
    <row r="38" spans="1:26" ht="15.75" customHeight="1">
      <c r="A38" s="1157"/>
      <c r="B38" s="1169" t="s">
        <v>1439</v>
      </c>
      <c r="C38" s="1161"/>
      <c r="D38" s="1161">
        <v>1</v>
      </c>
      <c r="E38" s="1162">
        <v>160</v>
      </c>
      <c r="F38" s="1162"/>
      <c r="G38" s="1162"/>
      <c r="H38" s="1162">
        <v>4.1784999999999997</v>
      </c>
      <c r="I38" s="1162"/>
      <c r="J38" s="1163">
        <f t="shared" si="2"/>
        <v>668.56</v>
      </c>
      <c r="K38" s="1214"/>
      <c r="L38" s="1206"/>
      <c r="M38" s="1229"/>
      <c r="N38" s="1130"/>
      <c r="O38" s="1130"/>
      <c r="P38" s="1130"/>
      <c r="Q38" s="1130"/>
      <c r="R38" s="1130"/>
      <c r="S38" s="1130"/>
      <c r="T38" s="1130"/>
      <c r="U38" s="1130"/>
      <c r="V38" s="1130"/>
      <c r="W38" s="1130"/>
      <c r="X38" s="1130"/>
      <c r="Y38" s="1130"/>
      <c r="Z38" s="1130"/>
    </row>
    <row r="39" spans="1:26" ht="15.75" customHeight="1">
      <c r="A39" s="1157"/>
      <c r="B39" s="1169" t="s">
        <v>1440</v>
      </c>
      <c r="C39" s="1161"/>
      <c r="D39" s="1161">
        <v>1</v>
      </c>
      <c r="E39" s="1162">
        <v>104.43</v>
      </c>
      <c r="F39" s="1162"/>
      <c r="G39" s="1162"/>
      <c r="H39" s="1162">
        <f>3.579+1.19</f>
        <v>4.7690000000000001</v>
      </c>
      <c r="I39" s="1162"/>
      <c r="J39" s="1163">
        <f t="shared" si="2"/>
        <v>498.02667000000002</v>
      </c>
      <c r="K39" s="1214"/>
      <c r="L39" s="1206"/>
      <c r="M39" s="1229"/>
      <c r="N39" s="1130"/>
      <c r="O39" s="1130"/>
      <c r="P39" s="1130"/>
      <c r="Q39" s="1130"/>
      <c r="R39" s="1130"/>
      <c r="S39" s="1130"/>
      <c r="T39" s="1130"/>
      <c r="U39" s="1130"/>
      <c r="V39" s="1130"/>
      <c r="W39" s="1130"/>
      <c r="X39" s="1130"/>
      <c r="Y39" s="1130"/>
      <c r="Z39" s="1130"/>
    </row>
    <row r="40" spans="1:26" ht="15.75" customHeight="1">
      <c r="A40" s="1157"/>
      <c r="B40" s="1169"/>
      <c r="C40" s="1161"/>
      <c r="D40" s="1161"/>
      <c r="E40" s="1162"/>
      <c r="F40" s="1162"/>
      <c r="G40" s="1162"/>
      <c r="H40" s="1162"/>
      <c r="I40" s="1166" t="s">
        <v>439</v>
      </c>
      <c r="J40" s="1150">
        <f>SUM(J37:J39)</f>
        <v>1882.1866699999998</v>
      </c>
      <c r="K40" s="1214"/>
      <c r="L40" s="1206">
        <v>17500</v>
      </c>
      <c r="M40" s="1229">
        <f>L40*J40</f>
        <v>32938266.724999998</v>
      </c>
      <c r="N40" s="1130"/>
      <c r="O40" s="1130"/>
      <c r="P40" s="1130"/>
      <c r="Q40" s="1130"/>
      <c r="R40" s="1130"/>
      <c r="S40" s="1130"/>
      <c r="T40" s="1130"/>
      <c r="U40" s="1130"/>
      <c r="V40" s="1130"/>
      <c r="W40" s="1130"/>
      <c r="X40" s="1130"/>
      <c r="Y40" s="1130"/>
      <c r="Z40" s="1130"/>
    </row>
    <row r="41" spans="1:26" ht="15.75" customHeight="1">
      <c r="A41" s="1177">
        <v>7</v>
      </c>
      <c r="B41" s="1184" t="s">
        <v>1441</v>
      </c>
      <c r="C41" s="1181" t="s">
        <v>46</v>
      </c>
      <c r="D41" s="1181"/>
      <c r="E41" s="1182"/>
      <c r="F41" s="1182"/>
      <c r="G41" s="1182"/>
      <c r="H41" s="1182"/>
      <c r="I41" s="1182"/>
      <c r="J41" s="1183"/>
      <c r="K41" s="1213"/>
      <c r="L41" s="1206"/>
      <c r="M41" s="1229"/>
      <c r="N41" s="1130"/>
      <c r="O41" s="1130"/>
      <c r="P41" s="1130"/>
      <c r="Q41" s="1130"/>
      <c r="R41" s="1130"/>
      <c r="S41" s="1130"/>
      <c r="T41" s="1130"/>
      <c r="U41" s="1130"/>
      <c r="V41" s="1130"/>
      <c r="W41" s="1130"/>
      <c r="X41" s="1130"/>
      <c r="Y41" s="1130"/>
      <c r="Z41" s="1130"/>
    </row>
    <row r="42" spans="1:26" ht="15.75" customHeight="1">
      <c r="A42" s="1160"/>
      <c r="B42" s="1170" t="s">
        <v>1442</v>
      </c>
      <c r="C42" s="1161"/>
      <c r="D42" s="1161">
        <v>1</v>
      </c>
      <c r="E42" s="1162">
        <v>0</v>
      </c>
      <c r="F42" s="1162"/>
      <c r="G42" s="1162"/>
      <c r="H42" s="1162"/>
      <c r="I42" s="1162"/>
      <c r="J42" s="1163">
        <f t="shared" ref="J42:J43" si="3">E42</f>
        <v>0</v>
      </c>
      <c r="K42" s="1214"/>
      <c r="L42" s="1206"/>
      <c r="M42" s="1229"/>
      <c r="N42" s="1130"/>
      <c r="O42" s="1130"/>
      <c r="P42" s="1130"/>
      <c r="Q42" s="1130"/>
      <c r="R42" s="1130"/>
      <c r="S42" s="1130"/>
      <c r="T42" s="1130"/>
      <c r="U42" s="1130"/>
      <c r="V42" s="1130"/>
      <c r="W42" s="1130"/>
      <c r="X42" s="1130"/>
      <c r="Y42" s="1130"/>
      <c r="Z42" s="1130"/>
    </row>
    <row r="43" spans="1:26" ht="15.75" customHeight="1">
      <c r="A43" s="1160"/>
      <c r="B43" s="1170" t="s">
        <v>1443</v>
      </c>
      <c r="C43" s="1161"/>
      <c r="D43" s="1161">
        <v>1</v>
      </c>
      <c r="E43" s="1162">
        <v>464.43</v>
      </c>
      <c r="F43" s="1162"/>
      <c r="G43" s="1162"/>
      <c r="H43" s="1162"/>
      <c r="I43" s="1162"/>
      <c r="J43" s="1163">
        <f t="shared" si="3"/>
        <v>464.43</v>
      </c>
      <c r="K43" s="1214"/>
      <c r="L43" s="1206"/>
      <c r="M43" s="1229"/>
      <c r="N43" s="1130"/>
      <c r="O43" s="1130"/>
      <c r="P43" s="1130"/>
      <c r="Q43" s="1130"/>
      <c r="R43" s="1130"/>
      <c r="S43" s="1130"/>
      <c r="T43" s="1130"/>
      <c r="U43" s="1130"/>
      <c r="V43" s="1130"/>
      <c r="W43" s="1130"/>
      <c r="X43" s="1130"/>
      <c r="Y43" s="1130"/>
      <c r="Z43" s="1130"/>
    </row>
    <row r="44" spans="1:26" ht="15.75" customHeight="1">
      <c r="A44" s="1160"/>
      <c r="B44" s="1169"/>
      <c r="C44" s="1161"/>
      <c r="D44" s="1161"/>
      <c r="E44" s="1162"/>
      <c r="F44" s="1162"/>
      <c r="G44" s="1162"/>
      <c r="H44" s="1162"/>
      <c r="I44" s="1162"/>
      <c r="J44" s="1163"/>
      <c r="K44" s="1214"/>
      <c r="L44" s="1206"/>
      <c r="M44" s="1229"/>
      <c r="N44" s="1130"/>
      <c r="O44" s="1130"/>
      <c r="P44" s="1130"/>
      <c r="Q44" s="1130"/>
      <c r="R44" s="1130"/>
      <c r="S44" s="1130"/>
      <c r="T44" s="1130"/>
      <c r="U44" s="1130"/>
      <c r="V44" s="1130"/>
      <c r="W44" s="1130"/>
      <c r="X44" s="1130"/>
      <c r="Y44" s="1130"/>
      <c r="Z44" s="1130"/>
    </row>
    <row r="45" spans="1:26" ht="15.75" customHeight="1">
      <c r="A45" s="1160"/>
      <c r="B45" s="1159"/>
      <c r="C45" s="1159"/>
      <c r="D45" s="1159"/>
      <c r="E45" s="1159"/>
      <c r="F45" s="1159"/>
      <c r="G45" s="1159"/>
      <c r="H45" s="1159"/>
      <c r="I45" s="1149" t="s">
        <v>439</v>
      </c>
      <c r="J45" s="1150">
        <f>SUM(J42:J43)</f>
        <v>464.43</v>
      </c>
      <c r="K45" s="1214"/>
      <c r="L45" s="1206"/>
      <c r="M45" s="1229"/>
      <c r="N45" s="1130"/>
      <c r="O45" s="1130"/>
      <c r="P45" s="1130"/>
      <c r="Q45" s="1130"/>
      <c r="R45" s="1130"/>
      <c r="S45" s="1130"/>
      <c r="T45" s="1130"/>
      <c r="U45" s="1130"/>
      <c r="V45" s="1130"/>
      <c r="W45" s="1130"/>
      <c r="X45" s="1130"/>
      <c r="Y45" s="1130"/>
      <c r="Z45" s="1130"/>
    </row>
    <row r="46" spans="1:26" ht="15.75" customHeight="1">
      <c r="A46" s="1177">
        <v>8</v>
      </c>
      <c r="B46" s="1178" t="s">
        <v>309</v>
      </c>
      <c r="C46" s="1179" t="s">
        <v>85</v>
      </c>
      <c r="D46" s="1179"/>
      <c r="E46" s="1179"/>
      <c r="F46" s="1179"/>
      <c r="G46" s="1179"/>
      <c r="H46" s="1179"/>
      <c r="I46" s="1179"/>
      <c r="J46" s="1179"/>
      <c r="K46" s="1213"/>
      <c r="L46" s="1206"/>
      <c r="M46" s="1229"/>
      <c r="N46" s="1130"/>
      <c r="O46" s="1130"/>
      <c r="P46" s="1130"/>
      <c r="Q46" s="1130"/>
      <c r="R46" s="1130"/>
      <c r="S46" s="1130"/>
      <c r="T46" s="1130"/>
      <c r="U46" s="1130"/>
      <c r="V46" s="1130"/>
      <c r="W46" s="1130"/>
      <c r="X46" s="1130"/>
      <c r="Y46" s="1130"/>
      <c r="Z46" s="1130"/>
    </row>
    <row r="47" spans="1:26" ht="15.75" customHeight="1">
      <c r="A47" s="1157"/>
      <c r="B47" s="1170" t="s">
        <v>1444</v>
      </c>
      <c r="C47" s="1161"/>
      <c r="D47" s="1161"/>
      <c r="E47" s="1162"/>
      <c r="F47" s="1162"/>
      <c r="G47" s="1162"/>
      <c r="H47" s="1162"/>
      <c r="I47" s="1162"/>
      <c r="J47" s="1159"/>
      <c r="K47" s="1214"/>
      <c r="L47" s="1206"/>
      <c r="M47" s="1229"/>
      <c r="N47" s="1130"/>
      <c r="O47" s="1130"/>
      <c r="P47" s="1130"/>
      <c r="Q47" s="1130"/>
      <c r="R47" s="1130"/>
      <c r="S47" s="1130"/>
      <c r="T47" s="1130"/>
      <c r="U47" s="1130"/>
      <c r="V47" s="1130"/>
      <c r="W47" s="1130"/>
      <c r="X47" s="1130"/>
      <c r="Y47" s="1130"/>
      <c r="Z47" s="1130"/>
    </row>
    <row r="48" spans="1:26" ht="15.75" customHeight="1">
      <c r="A48" s="1157"/>
      <c r="B48" s="1169" t="s">
        <v>1445</v>
      </c>
      <c r="C48" s="1161"/>
      <c r="D48" s="1161">
        <v>2</v>
      </c>
      <c r="E48" s="1162">
        <v>280</v>
      </c>
      <c r="F48" s="1162"/>
      <c r="G48" s="1162">
        <v>2.6</v>
      </c>
      <c r="H48" s="1162"/>
      <c r="I48" s="1162"/>
      <c r="J48" s="1159">
        <f t="shared" ref="J48:J49" si="4">D48*E48*G48</f>
        <v>1456</v>
      </c>
      <c r="K48" s="1214"/>
      <c r="L48" s="1206"/>
      <c r="M48" s="1229"/>
      <c r="N48" s="1130"/>
      <c r="O48" s="1130"/>
      <c r="P48" s="1130"/>
      <c r="Q48" s="1130"/>
      <c r="R48" s="1130"/>
      <c r="S48" s="1130"/>
      <c r="T48" s="1130"/>
      <c r="U48" s="1130"/>
      <c r="V48" s="1130"/>
      <c r="W48" s="1130"/>
      <c r="X48" s="1130"/>
      <c r="Y48" s="1130"/>
      <c r="Z48" s="1130"/>
    </row>
    <row r="49" spans="1:26" ht="15.75" customHeight="1">
      <c r="A49" s="1157"/>
      <c r="B49" s="1169" t="s">
        <v>1446</v>
      </c>
      <c r="C49" s="1161"/>
      <c r="D49" s="1161">
        <v>2</v>
      </c>
      <c r="E49" s="1162">
        <v>280</v>
      </c>
      <c r="F49" s="1162"/>
      <c r="G49" s="1162">
        <v>2.1</v>
      </c>
      <c r="H49" s="1162"/>
      <c r="I49" s="1162"/>
      <c r="J49" s="1159">
        <f t="shared" si="4"/>
        <v>1176</v>
      </c>
      <c r="K49" s="1214"/>
      <c r="L49" s="1206"/>
      <c r="M49" s="1229"/>
      <c r="N49" s="1130"/>
      <c r="O49" s="1130"/>
      <c r="P49" s="1130"/>
      <c r="Q49" s="1130"/>
      <c r="R49" s="1130"/>
      <c r="S49" s="1130"/>
      <c r="T49" s="1130"/>
      <c r="U49" s="1130"/>
      <c r="V49" s="1130"/>
      <c r="W49" s="1130"/>
      <c r="X49" s="1130"/>
      <c r="Y49" s="1130"/>
      <c r="Z49" s="1130"/>
    </row>
    <row r="50" spans="1:26" ht="15.75" customHeight="1">
      <c r="A50" s="1157"/>
      <c r="B50" s="1169" t="s">
        <v>1447</v>
      </c>
      <c r="C50" s="1161"/>
      <c r="D50" s="1161">
        <v>0</v>
      </c>
      <c r="E50" s="1162">
        <v>280</v>
      </c>
      <c r="F50" s="1162"/>
      <c r="G50" s="1162">
        <v>3.8</v>
      </c>
      <c r="H50" s="1162"/>
      <c r="I50" s="1162"/>
      <c r="J50" s="1159">
        <f>G50*E50*D50</f>
        <v>0</v>
      </c>
      <c r="K50" s="1214"/>
      <c r="L50" s="1206"/>
      <c r="M50" s="1229"/>
      <c r="N50" s="1130"/>
      <c r="O50" s="1130"/>
      <c r="P50" s="1130"/>
      <c r="Q50" s="1130"/>
      <c r="R50" s="1130"/>
      <c r="S50" s="1130"/>
      <c r="T50" s="1130"/>
      <c r="U50" s="1130"/>
      <c r="V50" s="1130"/>
      <c r="W50" s="1130"/>
      <c r="X50" s="1130"/>
      <c r="Y50" s="1130"/>
      <c r="Z50" s="1130"/>
    </row>
    <row r="51" spans="1:26" ht="15.75" customHeight="1">
      <c r="A51" s="1157"/>
      <c r="B51" s="1169"/>
      <c r="C51" s="1161"/>
      <c r="D51" s="1161"/>
      <c r="E51" s="1162"/>
      <c r="F51" s="1162"/>
      <c r="G51" s="1162"/>
      <c r="H51" s="1162"/>
      <c r="I51" s="1162"/>
      <c r="J51" s="1159"/>
      <c r="K51" s="1214"/>
      <c r="L51" s="1206"/>
      <c r="M51" s="1229"/>
      <c r="N51" s="1130"/>
      <c r="O51" s="1130"/>
      <c r="P51" s="1130"/>
      <c r="Q51" s="1130"/>
      <c r="R51" s="1130"/>
      <c r="S51" s="1130"/>
      <c r="T51" s="1130"/>
      <c r="U51" s="1130"/>
      <c r="V51" s="1130"/>
      <c r="W51" s="1130"/>
      <c r="X51" s="1130"/>
      <c r="Y51" s="1130"/>
      <c r="Z51" s="1130"/>
    </row>
    <row r="52" spans="1:26" ht="15.75" customHeight="1">
      <c r="A52" s="1157"/>
      <c r="B52" s="1169"/>
      <c r="C52" s="1161"/>
      <c r="D52" s="1161"/>
      <c r="E52" s="1162"/>
      <c r="F52" s="1162"/>
      <c r="G52" s="1159"/>
      <c r="H52" s="1162"/>
      <c r="I52" s="1162"/>
      <c r="J52" s="1159"/>
      <c r="K52" s="1214"/>
      <c r="L52" s="1206"/>
      <c r="M52" s="1229"/>
      <c r="N52" s="1130"/>
      <c r="O52" s="1130"/>
      <c r="P52" s="1130"/>
      <c r="Q52" s="1130"/>
      <c r="R52" s="1130"/>
      <c r="S52" s="1130"/>
      <c r="T52" s="1130"/>
      <c r="U52" s="1130"/>
      <c r="V52" s="1130"/>
      <c r="W52" s="1130"/>
      <c r="X52" s="1130"/>
      <c r="Y52" s="1130"/>
      <c r="Z52" s="1130"/>
    </row>
    <row r="53" spans="1:26" ht="15.75" customHeight="1">
      <c r="A53" s="1157"/>
      <c r="B53" s="1170" t="s">
        <v>1448</v>
      </c>
      <c r="C53" s="1161"/>
      <c r="D53" s="1161"/>
      <c r="E53" s="1162"/>
      <c r="F53" s="1162"/>
      <c r="G53" s="1159"/>
      <c r="H53" s="1162"/>
      <c r="I53" s="1162"/>
      <c r="J53" s="1159"/>
      <c r="K53" s="1214"/>
      <c r="L53" s="1206"/>
      <c r="M53" s="1229"/>
      <c r="N53" s="1130"/>
      <c r="O53" s="1130"/>
      <c r="P53" s="1130"/>
      <c r="Q53" s="1130"/>
      <c r="R53" s="1130"/>
      <c r="S53" s="1130"/>
      <c r="T53" s="1130"/>
      <c r="U53" s="1130"/>
      <c r="V53" s="1130"/>
      <c r="W53" s="1130"/>
      <c r="X53" s="1130"/>
      <c r="Y53" s="1130"/>
      <c r="Z53" s="1130"/>
    </row>
    <row r="54" spans="1:26" ht="15.75" customHeight="1">
      <c r="A54" s="1157"/>
      <c r="B54" s="1169" t="s">
        <v>1449</v>
      </c>
      <c r="C54" s="1161"/>
      <c r="D54" s="1161">
        <v>0</v>
      </c>
      <c r="E54" s="1162">
        <v>184.43</v>
      </c>
      <c r="F54" s="1162">
        <v>3.8</v>
      </c>
      <c r="G54" s="1159"/>
      <c r="H54" s="1162"/>
      <c r="I54" s="1162"/>
      <c r="J54" s="1159">
        <f>D54*F54*E54</f>
        <v>0</v>
      </c>
      <c r="K54" s="1214"/>
      <c r="L54" s="1206"/>
      <c r="M54" s="1229"/>
      <c r="N54" s="1130"/>
      <c r="O54" s="1130"/>
      <c r="P54" s="1130"/>
      <c r="Q54" s="1130"/>
      <c r="R54" s="1130"/>
      <c r="S54" s="1130"/>
      <c r="T54" s="1130"/>
      <c r="U54" s="1130"/>
      <c r="V54" s="1130"/>
      <c r="W54" s="1130"/>
      <c r="X54" s="1130"/>
      <c r="Y54" s="1130"/>
      <c r="Z54" s="1130"/>
    </row>
    <row r="55" spans="1:26" ht="15.75" customHeight="1">
      <c r="A55" s="1157"/>
      <c r="B55" s="1169" t="s">
        <v>769</v>
      </c>
      <c r="C55" s="1161"/>
      <c r="D55" s="1161">
        <v>4</v>
      </c>
      <c r="E55" s="1162">
        <v>184.43</v>
      </c>
      <c r="F55" s="1162"/>
      <c r="G55" s="1159">
        <v>2.6</v>
      </c>
      <c r="H55" s="1162"/>
      <c r="I55" s="1162"/>
      <c r="J55" s="1159">
        <f>D55*E55*G55</f>
        <v>1918.0720000000001</v>
      </c>
      <c r="K55" s="1214"/>
      <c r="L55" s="1206"/>
      <c r="M55" s="1229"/>
      <c r="N55" s="1130"/>
      <c r="O55" s="1130"/>
      <c r="P55" s="1130"/>
      <c r="Q55" s="1130"/>
      <c r="R55" s="1130"/>
      <c r="S55" s="1130"/>
      <c r="T55" s="1130"/>
      <c r="U55" s="1130"/>
      <c r="V55" s="1130"/>
      <c r="W55" s="1130"/>
      <c r="X55" s="1130"/>
      <c r="Y55" s="1130"/>
      <c r="Z55" s="1130"/>
    </row>
    <row r="56" spans="1:26" ht="15.75" customHeight="1">
      <c r="A56" s="1157"/>
      <c r="B56" s="1169" t="s">
        <v>770</v>
      </c>
      <c r="C56" s="1161"/>
      <c r="D56" s="1161">
        <v>2</v>
      </c>
      <c r="E56" s="1162">
        <v>184.43</v>
      </c>
      <c r="F56" s="1162">
        <v>2.8</v>
      </c>
      <c r="G56" s="1159"/>
      <c r="H56" s="1162"/>
      <c r="I56" s="1162"/>
      <c r="J56" s="1159">
        <f>D56*E56*F56</f>
        <v>1032.808</v>
      </c>
      <c r="K56" s="1214"/>
      <c r="L56" s="1206"/>
      <c r="M56" s="1229"/>
      <c r="N56" s="1130"/>
      <c r="O56" s="1130"/>
      <c r="P56" s="1130"/>
      <c r="Q56" s="1130"/>
      <c r="R56" s="1130"/>
      <c r="S56" s="1130"/>
      <c r="T56" s="1130"/>
      <c r="U56" s="1130"/>
      <c r="V56" s="1130"/>
      <c r="W56" s="1130"/>
      <c r="X56" s="1130"/>
      <c r="Y56" s="1130"/>
      <c r="Z56" s="1130"/>
    </row>
    <row r="57" spans="1:26" ht="15.75" customHeight="1">
      <c r="A57" s="1157"/>
      <c r="B57" s="1169"/>
      <c r="C57" s="1161"/>
      <c r="D57" s="1161"/>
      <c r="E57" s="1162"/>
      <c r="F57" s="1162"/>
      <c r="G57" s="1159"/>
      <c r="H57" s="1162"/>
      <c r="I57" s="1162"/>
      <c r="J57" s="1159"/>
      <c r="K57" s="1214"/>
      <c r="L57" s="1206"/>
      <c r="M57" s="1229"/>
      <c r="N57" s="1130"/>
      <c r="O57" s="1130"/>
      <c r="P57" s="1130"/>
      <c r="Q57" s="1130"/>
      <c r="R57" s="1130"/>
      <c r="S57" s="1130"/>
      <c r="T57" s="1130"/>
      <c r="U57" s="1130"/>
      <c r="V57" s="1130"/>
      <c r="W57" s="1130"/>
      <c r="X57" s="1130"/>
      <c r="Y57" s="1130"/>
      <c r="Z57" s="1130"/>
    </row>
    <row r="58" spans="1:26" ht="15.75" customHeight="1">
      <c r="A58" s="1160"/>
      <c r="B58" s="1159"/>
      <c r="C58" s="1159"/>
      <c r="D58" s="1159"/>
      <c r="E58" s="1159"/>
      <c r="F58" s="1159"/>
      <c r="G58" s="1159"/>
      <c r="H58" s="1159"/>
      <c r="I58" s="1149" t="s">
        <v>439</v>
      </c>
      <c r="J58" s="1150">
        <f>SUM(J48:J56)</f>
        <v>5582.88</v>
      </c>
      <c r="K58" s="1214"/>
      <c r="L58" s="1206">
        <v>1285</v>
      </c>
      <c r="M58" s="1229">
        <f>L58*J58</f>
        <v>7174000.7999999998</v>
      </c>
      <c r="N58" s="1130"/>
      <c r="O58" s="1130"/>
      <c r="P58" s="1130"/>
      <c r="Q58" s="1130"/>
      <c r="R58" s="1130"/>
      <c r="S58" s="1130"/>
      <c r="T58" s="1130"/>
      <c r="U58" s="1130"/>
      <c r="V58" s="1130"/>
      <c r="W58" s="1130"/>
      <c r="X58" s="1130"/>
      <c r="Y58" s="1130"/>
      <c r="Z58" s="1130"/>
    </row>
    <row r="59" spans="1:26" ht="15.75" customHeight="1">
      <c r="A59" s="1160"/>
      <c r="B59" s="1159"/>
      <c r="C59" s="1159"/>
      <c r="D59" s="1159"/>
      <c r="E59" s="1159"/>
      <c r="F59" s="1159"/>
      <c r="G59" s="1159"/>
      <c r="H59" s="1159"/>
      <c r="I59" s="1159"/>
      <c r="J59" s="1159"/>
      <c r="K59" s="1214"/>
      <c r="L59" s="1206"/>
      <c r="M59" s="1229"/>
      <c r="N59" s="1130"/>
      <c r="O59" s="1130"/>
      <c r="P59" s="1130"/>
      <c r="Q59" s="1130"/>
      <c r="R59" s="1130"/>
      <c r="S59" s="1130"/>
      <c r="T59" s="1130"/>
      <c r="U59" s="1130"/>
      <c r="V59" s="1130"/>
      <c r="W59" s="1130"/>
      <c r="X59" s="1130"/>
      <c r="Y59" s="1130"/>
      <c r="Z59" s="1130"/>
    </row>
    <row r="60" spans="1:26" ht="15.75" customHeight="1">
      <c r="A60" s="1177">
        <v>9</v>
      </c>
      <c r="B60" s="1178" t="s">
        <v>24</v>
      </c>
      <c r="C60" s="1179" t="s">
        <v>25</v>
      </c>
      <c r="D60" s="1179"/>
      <c r="E60" s="1179"/>
      <c r="F60" s="1179"/>
      <c r="G60" s="1179"/>
      <c r="H60" s="1185" t="s">
        <v>334</v>
      </c>
      <c r="I60" s="1179"/>
      <c r="J60" s="1197">
        <f>1%*J40*7850/1000</f>
        <v>147.75165359499999</v>
      </c>
      <c r="K60" s="1213"/>
      <c r="L60" s="1206"/>
      <c r="M60" s="1229"/>
      <c r="N60" s="1130"/>
      <c r="O60" s="1130"/>
      <c r="P60" s="1130"/>
      <c r="Q60" s="1130"/>
      <c r="R60" s="1130"/>
      <c r="S60" s="1130"/>
      <c r="T60" s="1130"/>
      <c r="U60" s="1130"/>
      <c r="V60" s="1130"/>
      <c r="W60" s="1130"/>
      <c r="X60" s="1130"/>
      <c r="Y60" s="1130"/>
      <c r="Z60" s="1130"/>
    </row>
    <row r="61" spans="1:26" ht="15.75" customHeight="1">
      <c r="A61" s="1159"/>
      <c r="B61" s="1159"/>
      <c r="C61" s="1159"/>
      <c r="D61" s="1159"/>
      <c r="E61" s="1159"/>
      <c r="F61" s="1159"/>
      <c r="G61" s="1159"/>
      <c r="H61" s="1159"/>
      <c r="I61" s="1149" t="s">
        <v>439</v>
      </c>
      <c r="J61" s="1150">
        <f>J60</f>
        <v>147.75165359499999</v>
      </c>
      <c r="K61" s="1214"/>
      <c r="L61" s="1206">
        <v>130000</v>
      </c>
      <c r="M61" s="1229">
        <f>L61*J61</f>
        <v>19207714.967349999</v>
      </c>
      <c r="N61" s="1130"/>
      <c r="O61" s="1130"/>
      <c r="P61" s="1130"/>
      <c r="Q61" s="1130"/>
      <c r="R61" s="1130"/>
      <c r="S61" s="1130"/>
      <c r="T61" s="1130"/>
      <c r="U61" s="1130"/>
      <c r="V61" s="1130"/>
      <c r="W61" s="1130"/>
      <c r="X61" s="1130"/>
      <c r="Y61" s="1130"/>
      <c r="Z61" s="1130"/>
    </row>
    <row r="62" spans="1:26" ht="15.75" customHeight="1">
      <c r="A62" s="1158"/>
      <c r="B62" s="1159"/>
      <c r="C62" s="1159"/>
      <c r="D62" s="1159"/>
      <c r="E62" s="1159"/>
      <c r="F62" s="1159"/>
      <c r="G62" s="1159"/>
      <c r="H62" s="1159"/>
      <c r="I62" s="1159"/>
      <c r="J62" s="1159"/>
      <c r="K62" s="1214"/>
      <c r="L62" s="1206"/>
      <c r="M62" s="1229"/>
      <c r="N62" s="1130"/>
      <c r="O62" s="1130"/>
      <c r="P62" s="1130"/>
      <c r="Q62" s="1130"/>
      <c r="R62" s="1130"/>
      <c r="S62" s="1130"/>
      <c r="T62" s="1130"/>
      <c r="U62" s="1130"/>
      <c r="V62" s="1130"/>
      <c r="W62" s="1130"/>
      <c r="X62" s="1130"/>
      <c r="Y62" s="1130"/>
      <c r="Z62" s="1130"/>
    </row>
    <row r="63" spans="1:26" ht="15.75" customHeight="1">
      <c r="A63" s="1177">
        <v>10</v>
      </c>
      <c r="B63" s="1178" t="s">
        <v>1546</v>
      </c>
      <c r="C63" s="1179" t="s">
        <v>307</v>
      </c>
      <c r="D63" s="1179"/>
      <c r="E63" s="1179"/>
      <c r="F63" s="1179"/>
      <c r="G63" s="1179"/>
      <c r="H63" s="1179"/>
      <c r="I63" s="1179"/>
      <c r="J63" s="1179"/>
      <c r="K63" s="1213"/>
      <c r="L63" s="1206"/>
      <c r="M63" s="1229"/>
      <c r="N63" s="1130"/>
      <c r="O63" s="1130"/>
      <c r="P63" s="1130"/>
      <c r="Q63" s="1130"/>
      <c r="R63" s="1130"/>
      <c r="S63" s="1130"/>
      <c r="T63" s="1130"/>
      <c r="U63" s="1130"/>
      <c r="V63" s="1130"/>
      <c r="W63" s="1130"/>
      <c r="X63" s="1130"/>
      <c r="Y63" s="1130"/>
      <c r="Z63" s="1130"/>
    </row>
    <row r="64" spans="1:26" ht="15.75" customHeight="1">
      <c r="A64" s="1159"/>
      <c r="B64" s="1159" t="s">
        <v>1502</v>
      </c>
      <c r="C64" s="1159"/>
      <c r="D64" s="1159"/>
      <c r="E64" s="1159"/>
      <c r="F64" s="1159"/>
      <c r="G64" s="1159"/>
      <c r="H64" s="1159"/>
      <c r="I64" s="1159"/>
      <c r="J64" s="1159">
        <v>306</v>
      </c>
      <c r="K64" s="1214"/>
      <c r="L64" s="1206"/>
      <c r="M64" s="1229"/>
      <c r="N64" s="1130"/>
      <c r="O64" s="1130"/>
      <c r="P64" s="1130"/>
      <c r="Q64" s="1130"/>
      <c r="R64" s="1130"/>
      <c r="S64" s="1130"/>
      <c r="T64" s="1130"/>
      <c r="U64" s="1130"/>
      <c r="V64" s="1130"/>
      <c r="W64" s="1130"/>
      <c r="X64" s="1130"/>
      <c r="Y64" s="1130"/>
      <c r="Z64" s="1130"/>
    </row>
    <row r="65" spans="1:26" ht="15.75" customHeight="1">
      <c r="A65" s="1158"/>
      <c r="B65" s="1159" t="s">
        <v>1450</v>
      </c>
      <c r="C65" s="1159"/>
      <c r="D65" s="1159"/>
      <c r="E65" s="1159"/>
      <c r="F65" s="1159"/>
      <c r="G65" s="1159"/>
      <c r="H65" s="1159"/>
      <c r="I65" s="1159"/>
      <c r="J65" s="1159">
        <v>767</v>
      </c>
      <c r="K65" s="1214"/>
      <c r="L65" s="1206"/>
      <c r="M65" s="1229"/>
      <c r="N65" s="1130"/>
      <c r="O65" s="1130"/>
      <c r="P65" s="1130"/>
      <c r="Q65" s="1130"/>
      <c r="R65" s="1130"/>
      <c r="S65" s="1130"/>
      <c r="T65" s="1130"/>
      <c r="U65" s="1130"/>
      <c r="V65" s="1130"/>
      <c r="W65" s="1130"/>
      <c r="X65" s="1130"/>
      <c r="Y65" s="1130"/>
      <c r="Z65" s="1130"/>
    </row>
    <row r="66" spans="1:26" ht="15.75" customHeight="1">
      <c r="A66" s="1159"/>
      <c r="B66" s="1159" t="s">
        <v>1451</v>
      </c>
      <c r="C66" s="1159"/>
      <c r="D66" s="1159"/>
      <c r="E66" s="1159"/>
      <c r="F66" s="1159"/>
      <c r="G66" s="1159"/>
      <c r="H66" s="1159"/>
      <c r="I66" s="1159"/>
      <c r="J66" s="1159">
        <v>213</v>
      </c>
      <c r="K66" s="1214"/>
      <c r="L66" s="1206"/>
      <c r="M66" s="1229"/>
      <c r="N66" s="1130"/>
      <c r="O66" s="1130"/>
      <c r="P66" s="1130"/>
      <c r="Q66" s="1130"/>
      <c r="R66" s="1130"/>
      <c r="S66" s="1130"/>
      <c r="T66" s="1130"/>
      <c r="U66" s="1130"/>
      <c r="V66" s="1130"/>
      <c r="W66" s="1130"/>
      <c r="X66" s="1130"/>
      <c r="Y66" s="1130"/>
      <c r="Z66" s="1130"/>
    </row>
    <row r="67" spans="1:26" ht="15.75" customHeight="1">
      <c r="A67" s="1159"/>
      <c r="B67" s="1159" t="s">
        <v>1439</v>
      </c>
      <c r="C67" s="1159"/>
      <c r="D67" s="1159"/>
      <c r="E67" s="1159"/>
      <c r="F67" s="1159"/>
      <c r="G67" s="1159"/>
      <c r="H67" s="1159"/>
      <c r="I67" s="1159"/>
      <c r="J67" s="1159">
        <v>427</v>
      </c>
      <c r="K67" s="1214"/>
      <c r="L67" s="1206"/>
      <c r="M67" s="1229"/>
      <c r="N67" s="1130"/>
      <c r="O67" s="1130"/>
      <c r="P67" s="1130"/>
      <c r="Q67" s="1130"/>
      <c r="R67" s="1130"/>
      <c r="S67" s="1130"/>
      <c r="T67" s="1130"/>
      <c r="U67" s="1130"/>
      <c r="V67" s="1130"/>
      <c r="W67" s="1130"/>
      <c r="X67" s="1130"/>
      <c r="Y67" s="1130"/>
      <c r="Z67" s="1130"/>
    </row>
    <row r="68" spans="1:26" ht="15.75" customHeight="1">
      <c r="A68" s="1158"/>
      <c r="B68" s="1158"/>
      <c r="C68" s="1159"/>
      <c r="D68" s="1159"/>
      <c r="E68" s="1159"/>
      <c r="F68" s="1159"/>
      <c r="G68" s="1159"/>
      <c r="H68" s="1159"/>
      <c r="I68" s="1149" t="s">
        <v>439</v>
      </c>
      <c r="J68" s="1149">
        <f>SUM(J64:J67)</f>
        <v>1713</v>
      </c>
      <c r="K68" s="1214"/>
      <c r="L68" s="1206">
        <v>4500</v>
      </c>
      <c r="M68" s="1229">
        <f>L68*J68</f>
        <v>7708500</v>
      </c>
      <c r="N68" s="1130"/>
      <c r="O68" s="1130"/>
      <c r="P68" s="1130"/>
      <c r="Q68" s="1130"/>
      <c r="R68" s="1130"/>
      <c r="S68" s="1130"/>
      <c r="T68" s="1130"/>
      <c r="U68" s="1130"/>
      <c r="V68" s="1130"/>
      <c r="W68" s="1130"/>
      <c r="X68" s="1130"/>
      <c r="Y68" s="1130"/>
      <c r="Z68" s="1130"/>
    </row>
    <row r="69" spans="1:26" ht="15.75" customHeight="1">
      <c r="A69" s="1187">
        <v>11</v>
      </c>
      <c r="B69" s="1189" t="s">
        <v>1478</v>
      </c>
      <c r="C69" s="1190" t="s">
        <v>21</v>
      </c>
      <c r="D69" s="1190"/>
      <c r="E69" s="1190"/>
      <c r="F69" s="1190"/>
      <c r="G69" s="1190"/>
      <c r="H69" s="1190"/>
      <c r="I69" s="1190"/>
      <c r="J69" s="1190"/>
      <c r="K69" s="1203"/>
      <c r="L69" s="1206"/>
      <c r="M69" s="1229"/>
      <c r="N69" s="1130"/>
      <c r="O69" s="1130"/>
      <c r="P69" s="1130"/>
      <c r="Q69" s="1130"/>
      <c r="R69" s="1130"/>
      <c r="S69" s="1130"/>
      <c r="T69" s="1130"/>
      <c r="U69" s="1130"/>
      <c r="V69" s="1130"/>
      <c r="W69" s="1130"/>
      <c r="X69" s="1130"/>
      <c r="Y69" s="1130"/>
      <c r="Z69" s="1130"/>
    </row>
    <row r="70" spans="1:26" ht="15.75" customHeight="1">
      <c r="A70" s="1135"/>
      <c r="B70" s="1135" t="s">
        <v>1452</v>
      </c>
      <c r="C70" s="1135"/>
      <c r="D70" s="1135"/>
      <c r="E70" s="1135"/>
      <c r="F70" s="1135"/>
      <c r="G70" s="1135"/>
      <c r="H70" s="1135"/>
      <c r="I70" s="1135"/>
      <c r="J70" s="1135"/>
      <c r="K70" s="1204"/>
      <c r="L70" s="1206"/>
      <c r="M70" s="1229"/>
      <c r="N70" s="1130"/>
      <c r="O70" s="1130"/>
      <c r="P70" s="1130"/>
      <c r="Q70" s="1130"/>
      <c r="R70" s="1130"/>
      <c r="S70" s="1130"/>
      <c r="T70" s="1130"/>
      <c r="U70" s="1130"/>
      <c r="V70" s="1130"/>
      <c r="W70" s="1130"/>
      <c r="X70" s="1130"/>
      <c r="Y70" s="1130"/>
      <c r="Z70" s="1130"/>
    </row>
    <row r="71" spans="1:26" ht="15.75" customHeight="1">
      <c r="A71" s="1135"/>
      <c r="B71" s="1159" t="s">
        <v>1450</v>
      </c>
      <c r="C71" s="1135">
        <v>1</v>
      </c>
      <c r="D71" s="1135">
        <v>15</v>
      </c>
      <c r="E71" s="1135"/>
      <c r="F71" s="1135"/>
      <c r="G71" s="1135"/>
      <c r="H71" s="1135">
        <v>1</v>
      </c>
      <c r="I71" s="1135"/>
      <c r="J71" s="1135">
        <f>C71*D71*H71</f>
        <v>15</v>
      </c>
      <c r="K71" s="1204"/>
      <c r="L71" s="1206"/>
      <c r="M71" s="1229"/>
      <c r="N71" s="1130"/>
      <c r="O71" s="1130"/>
      <c r="P71" s="1130"/>
      <c r="Q71" s="1130"/>
      <c r="R71" s="1130"/>
      <c r="S71" s="1130"/>
      <c r="T71" s="1130"/>
      <c r="U71" s="1130"/>
      <c r="V71" s="1130"/>
      <c r="W71" s="1130"/>
      <c r="X71" s="1130"/>
      <c r="Y71" s="1130"/>
      <c r="Z71" s="1130"/>
    </row>
    <row r="72" spans="1:26" ht="15.75" customHeight="1">
      <c r="A72" s="1135"/>
      <c r="B72" s="1159" t="s">
        <v>1451</v>
      </c>
      <c r="C72" s="1135">
        <v>1</v>
      </c>
      <c r="D72" s="1135">
        <v>80</v>
      </c>
      <c r="E72" s="1135"/>
      <c r="F72" s="1135"/>
      <c r="G72" s="1135"/>
      <c r="H72" s="1135">
        <v>4.5</v>
      </c>
      <c r="I72" s="1135"/>
      <c r="J72" s="1135">
        <f t="shared" ref="J72:J74" si="5">C72*D72*H72</f>
        <v>360</v>
      </c>
      <c r="K72" s="1204"/>
      <c r="L72" s="1206"/>
      <c r="M72" s="1229"/>
      <c r="N72" s="1130"/>
      <c r="O72" s="1130"/>
      <c r="P72" s="1130"/>
      <c r="Q72" s="1130"/>
      <c r="R72" s="1130"/>
      <c r="S72" s="1130"/>
      <c r="T72" s="1130"/>
      <c r="U72" s="1130"/>
      <c r="V72" s="1130"/>
      <c r="W72" s="1130"/>
      <c r="X72" s="1130"/>
      <c r="Y72" s="1130"/>
      <c r="Z72" s="1130"/>
    </row>
    <row r="73" spans="1:26" ht="15.75" customHeight="1">
      <c r="A73" s="1135"/>
      <c r="B73" s="1159" t="s">
        <v>1439</v>
      </c>
      <c r="C73" s="1135">
        <v>1</v>
      </c>
      <c r="D73" s="1135">
        <v>160</v>
      </c>
      <c r="E73" s="1135"/>
      <c r="F73" s="1135"/>
      <c r="G73" s="1135"/>
      <c r="H73" s="1135">
        <f>AVERAGE(9,5)</f>
        <v>7</v>
      </c>
      <c r="I73" s="1135"/>
      <c r="J73" s="1135">
        <f t="shared" si="5"/>
        <v>1120</v>
      </c>
      <c r="K73" s="1204"/>
      <c r="L73" s="1206"/>
      <c r="M73" s="1229"/>
      <c r="N73" s="1130"/>
      <c r="O73" s="1130"/>
      <c r="P73" s="1130"/>
      <c r="Q73" s="1130"/>
      <c r="R73" s="1130"/>
      <c r="S73" s="1130"/>
      <c r="T73" s="1130"/>
      <c r="U73" s="1130"/>
      <c r="V73" s="1130"/>
      <c r="W73" s="1130"/>
      <c r="X73" s="1130"/>
      <c r="Y73" s="1130"/>
      <c r="Z73" s="1130"/>
    </row>
    <row r="74" spans="1:26" ht="15.75" customHeight="1">
      <c r="A74" s="1135"/>
      <c r="B74" s="1159" t="s">
        <v>1440</v>
      </c>
      <c r="C74" s="1135">
        <v>1</v>
      </c>
      <c r="D74" s="1135">
        <v>40</v>
      </c>
      <c r="E74" s="1135"/>
      <c r="F74" s="1135"/>
      <c r="G74" s="1135"/>
      <c r="H74" s="1135">
        <f>AVERAGE(5,0)</f>
        <v>2.5</v>
      </c>
      <c r="I74" s="1135"/>
      <c r="J74" s="1135">
        <f t="shared" si="5"/>
        <v>100</v>
      </c>
      <c r="K74" s="1204"/>
      <c r="L74" s="1206"/>
      <c r="M74" s="1229"/>
      <c r="N74" s="1130"/>
      <c r="O74" s="1130"/>
      <c r="P74" s="1130"/>
      <c r="Q74" s="1130"/>
      <c r="R74" s="1130"/>
      <c r="S74" s="1130"/>
      <c r="T74" s="1130"/>
      <c r="U74" s="1130"/>
      <c r="V74" s="1130"/>
      <c r="W74" s="1130"/>
      <c r="X74" s="1130"/>
      <c r="Y74" s="1130"/>
      <c r="Z74" s="1130"/>
    </row>
    <row r="75" spans="1:26" ht="15.75" customHeight="1">
      <c r="A75" s="1135"/>
      <c r="B75" s="1135"/>
      <c r="C75" s="1135"/>
      <c r="D75" s="1135"/>
      <c r="E75" s="1135"/>
      <c r="F75" s="1135"/>
      <c r="G75" s="1135"/>
      <c r="H75" s="1135"/>
      <c r="I75" s="1149" t="s">
        <v>439</v>
      </c>
      <c r="J75" s="1149">
        <f>SUM(J71:J74)</f>
        <v>1595</v>
      </c>
      <c r="K75" s="1204"/>
      <c r="L75" s="1206">
        <v>5189.5</v>
      </c>
      <c r="M75" s="1229">
        <f>L75*J75</f>
        <v>8277252.5</v>
      </c>
      <c r="N75" s="1130"/>
      <c r="O75" s="1130"/>
      <c r="P75" s="1130"/>
      <c r="Q75" s="1130"/>
      <c r="R75" s="1130"/>
      <c r="S75" s="1130"/>
      <c r="T75" s="1130"/>
      <c r="U75" s="1130"/>
      <c r="V75" s="1130"/>
      <c r="W75" s="1130"/>
      <c r="X75" s="1130"/>
      <c r="Y75" s="1130"/>
      <c r="Z75" s="1130"/>
    </row>
    <row r="76" spans="1:26" ht="15.75" customHeight="1">
      <c r="A76" s="1135"/>
      <c r="B76" s="1135"/>
      <c r="C76" s="1135"/>
      <c r="D76" s="1135"/>
      <c r="E76" s="1135"/>
      <c r="F76" s="1135"/>
      <c r="G76" s="1135"/>
      <c r="H76" s="1135"/>
      <c r="I76" s="1135"/>
      <c r="J76" s="1135"/>
      <c r="K76" s="1204"/>
      <c r="L76" s="1206" t="s">
        <v>20</v>
      </c>
      <c r="M76" s="1229">
        <f>SUM(M10:M75)</f>
        <v>103133114.1557</v>
      </c>
      <c r="N76" s="1130"/>
      <c r="O76" s="1130"/>
      <c r="P76" s="1130"/>
      <c r="Q76" s="1130"/>
      <c r="R76" s="1130"/>
      <c r="S76" s="1130"/>
      <c r="T76" s="1130"/>
      <c r="U76" s="1130"/>
      <c r="V76" s="1130"/>
      <c r="W76" s="1130"/>
      <c r="X76" s="1130"/>
      <c r="Y76" s="1130"/>
      <c r="Z76" s="1130"/>
    </row>
    <row r="77" spans="1:26" ht="15.75" customHeight="1">
      <c r="A77" s="1130"/>
      <c r="B77" s="1130"/>
      <c r="C77" s="1130"/>
      <c r="D77" s="1130"/>
      <c r="E77" s="1130"/>
      <c r="F77" s="1130"/>
      <c r="G77" s="1130"/>
      <c r="H77" s="1130"/>
      <c r="I77" s="1130"/>
      <c r="J77" s="1130"/>
      <c r="K77" s="1130"/>
      <c r="L77" s="1130"/>
      <c r="M77" s="1130" t="s">
        <v>1480</v>
      </c>
      <c r="N77" s="1130"/>
      <c r="O77" s="1130"/>
      <c r="P77" s="1130"/>
      <c r="Q77" s="1130"/>
      <c r="R77" s="1130"/>
      <c r="S77" s="1130"/>
      <c r="T77" s="1130"/>
      <c r="U77" s="1130"/>
      <c r="V77" s="1130"/>
      <c r="W77" s="1130"/>
      <c r="X77" s="1130"/>
      <c r="Y77" s="1130"/>
      <c r="Z77" s="1130"/>
    </row>
    <row r="78" spans="1:26" ht="15.75" customHeight="1">
      <c r="A78" s="1130"/>
      <c r="B78" s="1130"/>
      <c r="C78" s="1130"/>
      <c r="D78" s="1130"/>
      <c r="E78" s="1130"/>
      <c r="F78" s="1130"/>
      <c r="G78" s="1130"/>
      <c r="H78" s="1130"/>
      <c r="I78" s="1130"/>
      <c r="J78" s="1130"/>
      <c r="K78" s="1130"/>
      <c r="L78" s="1130"/>
      <c r="M78" s="1130"/>
      <c r="N78" s="1130"/>
      <c r="O78" s="1130"/>
      <c r="P78" s="1130"/>
      <c r="Q78" s="1130"/>
      <c r="R78" s="1130"/>
      <c r="S78" s="1130"/>
      <c r="T78" s="1130"/>
      <c r="U78" s="1130"/>
      <c r="V78" s="1130"/>
      <c r="W78" s="1130"/>
      <c r="X78" s="1130"/>
      <c r="Y78" s="1130"/>
      <c r="Z78" s="1130"/>
    </row>
    <row r="79" spans="1:26" ht="15.75" customHeight="1">
      <c r="A79" s="1130"/>
      <c r="B79" s="1130"/>
      <c r="C79" s="1130"/>
      <c r="D79" s="1130"/>
      <c r="E79" s="1130"/>
      <c r="F79" s="1130"/>
      <c r="G79" s="1130"/>
      <c r="H79" s="1130"/>
      <c r="I79" s="1130"/>
      <c r="J79" s="1130"/>
      <c r="K79" s="1130"/>
      <c r="L79" s="1130"/>
      <c r="M79" s="1130"/>
      <c r="N79" s="1130"/>
      <c r="O79" s="1130"/>
      <c r="P79" s="1130"/>
      <c r="Q79" s="1130"/>
      <c r="R79" s="1130"/>
      <c r="S79" s="1130"/>
      <c r="T79" s="1130"/>
      <c r="U79" s="1130"/>
      <c r="V79" s="1130"/>
      <c r="W79" s="1130"/>
      <c r="X79" s="1130"/>
      <c r="Y79" s="1130"/>
      <c r="Z79" s="1130"/>
    </row>
    <row r="80" spans="1:26" ht="15.75" customHeight="1">
      <c r="A80" s="1130"/>
      <c r="B80" s="1130"/>
      <c r="C80" s="1130"/>
      <c r="D80" s="1130"/>
      <c r="E80" s="1130"/>
      <c r="F80" s="1130"/>
      <c r="G80" s="1130"/>
      <c r="H80" s="1130"/>
      <c r="I80" s="1130"/>
      <c r="J80" s="1130"/>
      <c r="K80" s="1130"/>
      <c r="L80" s="1130"/>
      <c r="M80" s="1130"/>
      <c r="N80" s="1130"/>
      <c r="O80" s="1130"/>
      <c r="P80" s="1130"/>
      <c r="Q80" s="1130"/>
      <c r="R80" s="1130"/>
      <c r="S80" s="1130"/>
      <c r="T80" s="1130"/>
      <c r="U80" s="1130"/>
      <c r="V80" s="1130"/>
      <c r="W80" s="1130"/>
      <c r="X80" s="1130"/>
      <c r="Y80" s="1130"/>
      <c r="Z80" s="1130"/>
    </row>
    <row r="81" spans="1:26" ht="15.75" customHeight="1">
      <c r="A81" s="1130"/>
      <c r="B81" s="1130"/>
      <c r="C81" s="1130"/>
      <c r="D81" s="1130"/>
      <c r="E81" s="1130"/>
      <c r="F81" s="1130"/>
      <c r="G81" s="1130"/>
      <c r="H81" s="1130"/>
      <c r="I81" s="1130"/>
      <c r="J81" s="1130"/>
      <c r="K81" s="1130"/>
      <c r="L81" s="1130"/>
      <c r="M81" s="1130"/>
      <c r="N81" s="1130"/>
      <c r="O81" s="1130"/>
      <c r="P81" s="1130"/>
      <c r="Q81" s="1130"/>
      <c r="R81" s="1130"/>
      <c r="S81" s="1130"/>
      <c r="T81" s="1130"/>
      <c r="U81" s="1130"/>
      <c r="V81" s="1130"/>
      <c r="W81" s="1130"/>
      <c r="X81" s="1130"/>
      <c r="Y81" s="1130"/>
      <c r="Z81" s="1130"/>
    </row>
    <row r="82" spans="1:26" ht="15.75" customHeight="1">
      <c r="A82" s="1130"/>
      <c r="B82" s="1130"/>
      <c r="C82" s="1130"/>
      <c r="D82" s="1130"/>
      <c r="E82" s="1130"/>
      <c r="F82" s="1130"/>
      <c r="G82" s="1130"/>
      <c r="H82" s="1130"/>
      <c r="I82" s="1130"/>
      <c r="J82" s="1130"/>
      <c r="K82" s="1130"/>
      <c r="L82" s="1130"/>
      <c r="M82" s="1130"/>
      <c r="N82" s="1130"/>
      <c r="O82" s="1130"/>
      <c r="P82" s="1130"/>
      <c r="Q82" s="1130"/>
      <c r="R82" s="1130"/>
      <c r="S82" s="1130"/>
      <c r="T82" s="1130"/>
      <c r="U82" s="1130"/>
      <c r="V82" s="1130"/>
      <c r="W82" s="1130"/>
      <c r="X82" s="1130"/>
      <c r="Y82" s="1130"/>
      <c r="Z82" s="1130"/>
    </row>
    <row r="83" spans="1:26" ht="15.75" customHeight="1">
      <c r="A83" s="1130"/>
      <c r="B83" s="1130"/>
      <c r="C83" s="1130"/>
      <c r="D83" s="1130"/>
      <c r="E83" s="1130"/>
      <c r="F83" s="1130"/>
      <c r="G83" s="1130"/>
      <c r="H83" s="1130"/>
      <c r="I83" s="1130"/>
      <c r="J83" s="1130"/>
      <c r="K83" s="1130"/>
      <c r="L83" s="1130"/>
      <c r="M83" s="1130"/>
      <c r="N83" s="1130"/>
      <c r="O83" s="1130"/>
      <c r="P83" s="1130"/>
      <c r="Q83" s="1130"/>
      <c r="R83" s="1130"/>
      <c r="S83" s="1130"/>
      <c r="T83" s="1130"/>
      <c r="U83" s="1130"/>
      <c r="V83" s="1130"/>
      <c r="W83" s="1130"/>
      <c r="X83" s="1130"/>
      <c r="Y83" s="1130"/>
      <c r="Z83" s="1130"/>
    </row>
    <row r="84" spans="1:26" ht="15.75" customHeight="1">
      <c r="A84" s="1130"/>
      <c r="B84" s="1130"/>
      <c r="C84" s="1130"/>
      <c r="D84" s="1130"/>
      <c r="E84" s="1130"/>
      <c r="F84" s="1130"/>
      <c r="G84" s="1130"/>
      <c r="H84" s="1130"/>
      <c r="I84" s="1130"/>
      <c r="J84" s="1130"/>
      <c r="K84" s="1130"/>
      <c r="L84" s="1130"/>
      <c r="M84" s="1130"/>
      <c r="N84" s="1130"/>
      <c r="O84" s="1130"/>
      <c r="P84" s="1130"/>
      <c r="Q84" s="1130"/>
      <c r="R84" s="1130"/>
      <c r="S84" s="1130"/>
      <c r="T84" s="1130"/>
      <c r="U84" s="1130"/>
      <c r="V84" s="1130"/>
      <c r="W84" s="1130"/>
      <c r="X84" s="1130"/>
      <c r="Y84" s="1130"/>
      <c r="Z84" s="1130"/>
    </row>
    <row r="85" spans="1:26" ht="15.75" customHeight="1">
      <c r="A85" s="1130"/>
      <c r="B85" s="1130"/>
      <c r="C85" s="1130"/>
      <c r="D85" s="1130"/>
      <c r="E85" s="1130"/>
      <c r="F85" s="1130"/>
      <c r="G85" s="1130"/>
      <c r="H85" s="1130"/>
      <c r="I85" s="1130"/>
      <c r="J85" s="1130"/>
      <c r="K85" s="1130"/>
      <c r="L85" s="1130"/>
      <c r="M85" s="1130"/>
      <c r="N85" s="1130"/>
      <c r="O85" s="1130"/>
      <c r="P85" s="1130"/>
      <c r="Q85" s="1130"/>
      <c r="R85" s="1130"/>
      <c r="S85" s="1130"/>
      <c r="T85" s="1130"/>
      <c r="U85" s="1130"/>
      <c r="V85" s="1130"/>
      <c r="W85" s="1130"/>
      <c r="X85" s="1130"/>
      <c r="Y85" s="1130"/>
      <c r="Z85" s="1130"/>
    </row>
    <row r="86" spans="1:26" ht="15.75" customHeight="1">
      <c r="A86" s="1130"/>
      <c r="B86" s="1130"/>
      <c r="C86" s="1130"/>
      <c r="D86" s="1130"/>
      <c r="E86" s="1130"/>
      <c r="F86" s="1130"/>
      <c r="G86" s="1130"/>
      <c r="H86" s="1130"/>
      <c r="I86" s="1130"/>
      <c r="J86" s="1130"/>
      <c r="K86" s="1130"/>
      <c r="L86" s="1130"/>
      <c r="M86" s="1130"/>
      <c r="N86" s="1130"/>
      <c r="O86" s="1130"/>
      <c r="P86" s="1130"/>
      <c r="Q86" s="1130"/>
      <c r="R86" s="1130"/>
      <c r="S86" s="1130"/>
      <c r="T86" s="1130"/>
      <c r="U86" s="1130"/>
      <c r="V86" s="1130"/>
      <c r="W86" s="1130"/>
      <c r="X86" s="1130"/>
      <c r="Y86" s="1130"/>
      <c r="Z86" s="1130"/>
    </row>
    <row r="87" spans="1:26" ht="15.75" customHeight="1">
      <c r="A87" s="1130"/>
      <c r="B87" s="1130"/>
      <c r="C87" s="1130"/>
      <c r="D87" s="1130"/>
      <c r="E87" s="1130"/>
      <c r="F87" s="1130"/>
      <c r="G87" s="1130"/>
      <c r="H87" s="1130"/>
      <c r="I87" s="1130"/>
      <c r="J87" s="1130"/>
      <c r="K87" s="1130"/>
      <c r="L87" s="1130"/>
      <c r="M87" s="1130"/>
      <c r="N87" s="1130"/>
      <c r="O87" s="1130"/>
      <c r="P87" s="1130"/>
      <c r="Q87" s="1130"/>
      <c r="R87" s="1130"/>
      <c r="S87" s="1130"/>
      <c r="T87" s="1130"/>
      <c r="U87" s="1130"/>
      <c r="V87" s="1130"/>
      <c r="W87" s="1130"/>
      <c r="X87" s="1130"/>
      <c r="Y87" s="1130"/>
      <c r="Z87" s="1130"/>
    </row>
    <row r="88" spans="1:26" ht="15.75" customHeight="1">
      <c r="A88" s="1130"/>
      <c r="B88" s="1130"/>
      <c r="C88" s="1130"/>
      <c r="D88" s="1130"/>
      <c r="E88" s="1130"/>
      <c r="F88" s="1130"/>
      <c r="G88" s="1130"/>
      <c r="H88" s="1130"/>
      <c r="I88" s="1130"/>
      <c r="J88" s="1130"/>
      <c r="K88" s="1130"/>
      <c r="L88" s="1130"/>
      <c r="M88" s="1130"/>
      <c r="N88" s="1130"/>
      <c r="O88" s="1130"/>
      <c r="P88" s="1130"/>
      <c r="Q88" s="1130"/>
      <c r="R88" s="1130"/>
      <c r="S88" s="1130"/>
      <c r="T88" s="1130"/>
      <c r="U88" s="1130"/>
      <c r="V88" s="1130"/>
      <c r="W88" s="1130"/>
      <c r="X88" s="1130"/>
      <c r="Y88" s="1130"/>
      <c r="Z88" s="1130"/>
    </row>
    <row r="89" spans="1:26" ht="15.75" customHeight="1">
      <c r="A89" s="1130"/>
      <c r="B89" s="1130"/>
      <c r="C89" s="1130"/>
      <c r="D89" s="1130"/>
      <c r="E89" s="1130"/>
      <c r="F89" s="1130"/>
      <c r="G89" s="1130"/>
      <c r="H89" s="1130"/>
      <c r="I89" s="1130"/>
      <c r="J89" s="1130"/>
      <c r="K89" s="1130"/>
      <c r="L89" s="1130"/>
      <c r="M89" s="1130"/>
      <c r="N89" s="1130"/>
      <c r="O89" s="1130"/>
      <c r="P89" s="1130"/>
      <c r="Q89" s="1130"/>
      <c r="R89" s="1130"/>
      <c r="S89" s="1130"/>
      <c r="T89" s="1130"/>
      <c r="U89" s="1130"/>
      <c r="V89" s="1130"/>
      <c r="W89" s="1130"/>
      <c r="X89" s="1130"/>
      <c r="Y89" s="1130"/>
      <c r="Z89" s="1130"/>
    </row>
    <row r="90" spans="1:26" ht="15.75" customHeight="1">
      <c r="A90" s="1130"/>
      <c r="B90" s="1130"/>
      <c r="C90" s="1130"/>
      <c r="D90" s="1130"/>
      <c r="E90" s="1130"/>
      <c r="F90" s="1130"/>
      <c r="G90" s="1130"/>
      <c r="H90" s="1130"/>
      <c r="I90" s="1130"/>
      <c r="J90" s="1130"/>
      <c r="K90" s="1130"/>
      <c r="L90" s="1130"/>
      <c r="M90" s="1130"/>
      <c r="N90" s="1130"/>
      <c r="O90" s="1130"/>
      <c r="P90" s="1130"/>
      <c r="Q90" s="1130"/>
      <c r="R90" s="1130"/>
      <c r="S90" s="1130"/>
      <c r="T90" s="1130"/>
      <c r="U90" s="1130"/>
      <c r="V90" s="1130"/>
      <c r="W90" s="1130"/>
      <c r="X90" s="1130"/>
      <c r="Y90" s="1130"/>
      <c r="Z90" s="1130"/>
    </row>
    <row r="91" spans="1:26" ht="15.75" customHeight="1">
      <c r="A91" s="1130"/>
      <c r="B91" s="1130"/>
      <c r="C91" s="1130"/>
      <c r="D91" s="1130"/>
      <c r="E91" s="1130"/>
      <c r="F91" s="1130"/>
      <c r="G91" s="1130"/>
      <c r="H91" s="1130"/>
      <c r="I91" s="1130"/>
      <c r="J91" s="1130"/>
      <c r="K91" s="1130"/>
      <c r="L91" s="1130"/>
      <c r="M91" s="1130"/>
      <c r="N91" s="1130"/>
      <c r="O91" s="1130"/>
      <c r="P91" s="1130"/>
      <c r="Q91" s="1130"/>
      <c r="R91" s="1130"/>
      <c r="S91" s="1130"/>
      <c r="T91" s="1130"/>
      <c r="U91" s="1130"/>
      <c r="V91" s="1130"/>
      <c r="W91" s="1130"/>
      <c r="X91" s="1130"/>
      <c r="Y91" s="1130"/>
      <c r="Z91" s="1130"/>
    </row>
    <row r="92" spans="1:26" ht="15.75" customHeight="1">
      <c r="A92" s="1130"/>
      <c r="B92" s="1130"/>
      <c r="C92" s="1130"/>
      <c r="D92" s="1130"/>
      <c r="E92" s="1130"/>
      <c r="F92" s="1130"/>
      <c r="G92" s="1130"/>
      <c r="H92" s="1130"/>
      <c r="I92" s="1130"/>
      <c r="J92" s="1130"/>
      <c r="K92" s="1130"/>
      <c r="L92" s="1130"/>
      <c r="M92" s="1130"/>
      <c r="N92" s="1130"/>
      <c r="O92" s="1130"/>
      <c r="P92" s="1130"/>
      <c r="Q92" s="1130"/>
      <c r="R92" s="1130"/>
      <c r="S92" s="1130"/>
      <c r="T92" s="1130"/>
      <c r="U92" s="1130"/>
      <c r="V92" s="1130"/>
      <c r="W92" s="1130"/>
      <c r="X92" s="1130"/>
      <c r="Y92" s="1130"/>
      <c r="Z92" s="1130"/>
    </row>
    <row r="93" spans="1:26" ht="15.75" customHeight="1">
      <c r="A93" s="1130"/>
      <c r="B93" s="1130"/>
      <c r="C93" s="1130"/>
      <c r="D93" s="1130"/>
      <c r="E93" s="1130"/>
      <c r="F93" s="1130"/>
      <c r="G93" s="1130"/>
      <c r="H93" s="1130"/>
      <c r="I93" s="1130"/>
      <c r="J93" s="1130"/>
      <c r="K93" s="1130"/>
      <c r="L93" s="1130"/>
      <c r="M93" s="1130"/>
      <c r="N93" s="1130"/>
      <c r="O93" s="1130"/>
      <c r="P93" s="1130"/>
      <c r="Q93" s="1130"/>
      <c r="R93" s="1130"/>
      <c r="S93" s="1130"/>
      <c r="T93" s="1130"/>
      <c r="U93" s="1130"/>
      <c r="V93" s="1130"/>
      <c r="W93" s="1130"/>
      <c r="X93" s="1130"/>
      <c r="Y93" s="1130"/>
      <c r="Z93" s="1130"/>
    </row>
    <row r="94" spans="1:26" ht="15.75" customHeight="1">
      <c r="A94" s="1130"/>
      <c r="B94" s="1130"/>
      <c r="C94" s="1130"/>
      <c r="D94" s="1130"/>
      <c r="E94" s="1130"/>
      <c r="F94" s="1130"/>
      <c r="G94" s="1130"/>
      <c r="H94" s="1130"/>
      <c r="I94" s="1130"/>
      <c r="J94" s="1130"/>
      <c r="K94" s="1130"/>
      <c r="L94" s="1130"/>
      <c r="M94" s="1130"/>
      <c r="N94" s="1130"/>
      <c r="O94" s="1130"/>
      <c r="P94" s="1130"/>
      <c r="Q94" s="1130"/>
      <c r="R94" s="1130"/>
      <c r="S94" s="1130"/>
      <c r="T94" s="1130"/>
      <c r="U94" s="1130"/>
      <c r="V94" s="1130"/>
      <c r="W94" s="1130"/>
      <c r="X94" s="1130"/>
      <c r="Y94" s="1130"/>
      <c r="Z94" s="1130"/>
    </row>
    <row r="95" spans="1:26" ht="15.75" customHeight="1">
      <c r="A95" s="1130"/>
      <c r="B95" s="1130"/>
      <c r="C95" s="1130"/>
      <c r="D95" s="1130"/>
      <c r="E95" s="1130"/>
      <c r="F95" s="1130"/>
      <c r="G95" s="1130"/>
      <c r="H95" s="1130"/>
      <c r="I95" s="1130"/>
      <c r="J95" s="1130"/>
      <c r="K95" s="1130"/>
      <c r="L95" s="1130"/>
      <c r="M95" s="1130"/>
      <c r="N95" s="1130"/>
      <c r="O95" s="1130"/>
      <c r="P95" s="1130"/>
      <c r="Q95" s="1130"/>
      <c r="R95" s="1130"/>
      <c r="S95" s="1130"/>
      <c r="T95" s="1130"/>
      <c r="U95" s="1130"/>
      <c r="V95" s="1130"/>
      <c r="W95" s="1130"/>
      <c r="X95" s="1130"/>
      <c r="Y95" s="1130"/>
      <c r="Z95" s="1130"/>
    </row>
    <row r="96" spans="1:26" ht="15.75" customHeight="1">
      <c r="A96" s="1130"/>
      <c r="B96" s="1130"/>
      <c r="C96" s="1130"/>
      <c r="D96" s="1130"/>
      <c r="E96" s="1130"/>
      <c r="F96" s="1130"/>
      <c r="G96" s="1130"/>
      <c r="H96" s="1130"/>
      <c r="I96" s="1130"/>
      <c r="J96" s="1130"/>
      <c r="K96" s="1130"/>
      <c r="L96" s="1130"/>
      <c r="M96" s="1130"/>
      <c r="N96" s="1130"/>
      <c r="O96" s="1130"/>
      <c r="P96" s="1130"/>
      <c r="Q96" s="1130"/>
      <c r="R96" s="1130"/>
      <c r="S96" s="1130"/>
      <c r="T96" s="1130"/>
      <c r="U96" s="1130"/>
      <c r="V96" s="1130"/>
      <c r="W96" s="1130"/>
      <c r="X96" s="1130"/>
      <c r="Y96" s="1130"/>
      <c r="Z96" s="1130"/>
    </row>
    <row r="97" spans="1:26" ht="15.75" customHeight="1">
      <c r="A97" s="1130"/>
      <c r="B97" s="1130"/>
      <c r="C97" s="1130"/>
      <c r="D97" s="1130"/>
      <c r="E97" s="1130"/>
      <c r="F97" s="1130"/>
      <c r="G97" s="1130"/>
      <c r="H97" s="1130"/>
      <c r="I97" s="1130"/>
      <c r="J97" s="1130"/>
      <c r="K97" s="1130"/>
      <c r="L97" s="1130"/>
      <c r="M97" s="1130"/>
      <c r="N97" s="1130"/>
      <c r="O97" s="1130"/>
      <c r="P97" s="1130"/>
      <c r="Q97" s="1130"/>
      <c r="R97" s="1130"/>
      <c r="S97" s="1130"/>
      <c r="T97" s="1130"/>
      <c r="U97" s="1130"/>
      <c r="V97" s="1130"/>
      <c r="W97" s="1130"/>
      <c r="X97" s="1130"/>
      <c r="Y97" s="1130"/>
      <c r="Z97" s="1130"/>
    </row>
    <row r="98" spans="1:26" ht="15.75" customHeight="1">
      <c r="A98" s="1130"/>
      <c r="B98" s="1130"/>
      <c r="C98" s="1130"/>
      <c r="D98" s="1130"/>
      <c r="E98" s="1130"/>
      <c r="F98" s="1130"/>
      <c r="G98" s="1130"/>
      <c r="H98" s="1130"/>
      <c r="I98" s="1130"/>
      <c r="J98" s="1130"/>
      <c r="K98" s="1130"/>
      <c r="L98" s="1130"/>
      <c r="M98" s="1130"/>
      <c r="N98" s="1130"/>
      <c r="O98" s="1130"/>
      <c r="P98" s="1130"/>
      <c r="Q98" s="1130"/>
      <c r="R98" s="1130"/>
      <c r="S98" s="1130"/>
      <c r="T98" s="1130"/>
      <c r="U98" s="1130"/>
      <c r="V98" s="1130"/>
      <c r="W98" s="1130"/>
      <c r="X98" s="1130"/>
      <c r="Y98" s="1130"/>
      <c r="Z98" s="1130"/>
    </row>
    <row r="99" spans="1:26" ht="15.75" customHeight="1">
      <c r="A99" s="1130"/>
      <c r="B99" s="1130"/>
      <c r="C99" s="1130"/>
      <c r="D99" s="1130"/>
      <c r="E99" s="1130"/>
      <c r="F99" s="1130"/>
      <c r="G99" s="1130"/>
      <c r="H99" s="1130"/>
      <c r="I99" s="1130"/>
      <c r="J99" s="1130"/>
      <c r="K99" s="1130"/>
      <c r="L99" s="1130"/>
      <c r="M99" s="1130"/>
      <c r="N99" s="1130"/>
      <c r="O99" s="1130"/>
      <c r="P99" s="1130"/>
      <c r="Q99" s="1130"/>
      <c r="R99" s="1130"/>
      <c r="S99" s="1130"/>
      <c r="T99" s="1130"/>
      <c r="U99" s="1130"/>
      <c r="V99" s="1130"/>
      <c r="W99" s="1130"/>
      <c r="X99" s="1130"/>
      <c r="Y99" s="1130"/>
      <c r="Z99" s="1130"/>
    </row>
    <row r="100" spans="1:26" ht="15.75" customHeight="1">
      <c r="A100" s="1130"/>
      <c r="B100" s="1130"/>
      <c r="C100" s="1130"/>
      <c r="D100" s="1130"/>
      <c r="E100" s="1130"/>
      <c r="F100" s="1130"/>
      <c r="G100" s="1130"/>
      <c r="H100" s="1130"/>
      <c r="I100" s="1130"/>
      <c r="J100" s="1130"/>
      <c r="K100" s="1130"/>
      <c r="L100" s="1130"/>
      <c r="M100" s="1130"/>
      <c r="N100" s="1130"/>
      <c r="O100" s="1130"/>
      <c r="P100" s="1130"/>
      <c r="Q100" s="1130"/>
      <c r="R100" s="1130"/>
      <c r="S100" s="1130"/>
      <c r="T100" s="1130"/>
      <c r="U100" s="1130"/>
      <c r="V100" s="1130"/>
      <c r="W100" s="1130"/>
      <c r="X100" s="1130"/>
      <c r="Y100" s="1130"/>
      <c r="Z100" s="1130"/>
    </row>
    <row r="101" spans="1:26" ht="15.75" customHeight="1">
      <c r="A101" s="1130"/>
      <c r="B101" s="1130"/>
      <c r="C101" s="1130"/>
      <c r="D101" s="1130"/>
      <c r="E101" s="1130"/>
      <c r="F101" s="1130"/>
      <c r="G101" s="1130"/>
      <c r="H101" s="1130"/>
      <c r="I101" s="1130"/>
      <c r="J101" s="1130"/>
      <c r="K101" s="1130"/>
      <c r="L101" s="1130"/>
      <c r="M101" s="1130"/>
      <c r="N101" s="1130"/>
      <c r="O101" s="1130"/>
      <c r="P101" s="1130"/>
      <c r="Q101" s="1130"/>
      <c r="R101" s="1130"/>
      <c r="S101" s="1130"/>
      <c r="T101" s="1130"/>
      <c r="U101" s="1130"/>
      <c r="V101" s="1130"/>
      <c r="W101" s="1130"/>
      <c r="X101" s="1130"/>
      <c r="Y101" s="1130"/>
      <c r="Z101" s="1130"/>
    </row>
    <row r="102" spans="1:26" ht="15.75" customHeight="1">
      <c r="A102" s="1130"/>
      <c r="B102" s="1130"/>
      <c r="C102" s="1130"/>
      <c r="D102" s="1130"/>
      <c r="E102" s="1130"/>
      <c r="F102" s="1130"/>
      <c r="G102" s="1130"/>
      <c r="H102" s="1130"/>
      <c r="I102" s="1130"/>
      <c r="J102" s="1130"/>
      <c r="K102" s="1130"/>
      <c r="L102" s="1130"/>
      <c r="M102" s="1130"/>
      <c r="N102" s="1130"/>
      <c r="O102" s="1130"/>
      <c r="P102" s="1130"/>
      <c r="Q102" s="1130"/>
      <c r="R102" s="1130"/>
      <c r="S102" s="1130"/>
      <c r="T102" s="1130"/>
      <c r="U102" s="1130"/>
      <c r="V102" s="1130"/>
      <c r="W102" s="1130"/>
      <c r="X102" s="1130"/>
      <c r="Y102" s="1130"/>
      <c r="Z102" s="1130"/>
    </row>
    <row r="103" spans="1:26" ht="15.75" customHeight="1">
      <c r="A103" s="1130"/>
      <c r="B103" s="1130"/>
      <c r="C103" s="1130"/>
      <c r="D103" s="1130"/>
      <c r="E103" s="1130"/>
      <c r="F103" s="1130"/>
      <c r="G103" s="1130"/>
      <c r="H103" s="1130"/>
      <c r="I103" s="1130"/>
      <c r="J103" s="1130"/>
      <c r="K103" s="1130"/>
      <c r="L103" s="1130"/>
      <c r="M103" s="1130"/>
      <c r="N103" s="1130"/>
      <c r="O103" s="1130"/>
      <c r="P103" s="1130"/>
      <c r="Q103" s="1130"/>
      <c r="R103" s="1130"/>
      <c r="S103" s="1130"/>
      <c r="T103" s="1130"/>
      <c r="U103" s="1130"/>
      <c r="V103" s="1130"/>
      <c r="W103" s="1130"/>
      <c r="X103" s="1130"/>
      <c r="Y103" s="1130"/>
      <c r="Z103" s="1130"/>
    </row>
    <row r="104" spans="1:26" ht="15.75" customHeight="1">
      <c r="A104" s="1130"/>
      <c r="B104" s="1130"/>
      <c r="C104" s="1130"/>
      <c r="D104" s="1130"/>
      <c r="E104" s="1130"/>
      <c r="F104" s="1130"/>
      <c r="G104" s="1130"/>
      <c r="H104" s="1130"/>
      <c r="I104" s="1130"/>
      <c r="J104" s="1130"/>
      <c r="K104" s="1130"/>
      <c r="L104" s="1130"/>
      <c r="M104" s="1130"/>
      <c r="N104" s="1130"/>
      <c r="O104" s="1130"/>
      <c r="P104" s="1130"/>
      <c r="Q104" s="1130"/>
      <c r="R104" s="1130"/>
      <c r="S104" s="1130"/>
      <c r="T104" s="1130"/>
      <c r="U104" s="1130"/>
      <c r="V104" s="1130"/>
      <c r="W104" s="1130"/>
      <c r="X104" s="1130"/>
      <c r="Y104" s="1130"/>
      <c r="Z104" s="1130"/>
    </row>
    <row r="105" spans="1:26" ht="15.75" customHeight="1">
      <c r="A105" s="1130"/>
      <c r="B105" s="1130"/>
      <c r="C105" s="1130"/>
      <c r="D105" s="1130"/>
      <c r="E105" s="1130"/>
      <c r="F105" s="1130"/>
      <c r="G105" s="1130"/>
      <c r="H105" s="1130"/>
      <c r="I105" s="1130"/>
      <c r="J105" s="1130"/>
      <c r="K105" s="1130"/>
      <c r="L105" s="1130"/>
      <c r="M105" s="1130"/>
      <c r="N105" s="1130"/>
      <c r="O105" s="1130"/>
      <c r="P105" s="1130"/>
      <c r="Q105" s="1130"/>
      <c r="R105" s="1130"/>
      <c r="S105" s="1130"/>
      <c r="T105" s="1130"/>
      <c r="U105" s="1130"/>
      <c r="V105" s="1130"/>
      <c r="W105" s="1130"/>
      <c r="X105" s="1130"/>
      <c r="Y105" s="1130"/>
      <c r="Z105" s="1130"/>
    </row>
    <row r="106" spans="1:26" ht="15.75" customHeight="1">
      <c r="A106" s="1130"/>
      <c r="B106" s="1130"/>
      <c r="C106" s="1130"/>
      <c r="D106" s="1130"/>
      <c r="E106" s="1130"/>
      <c r="F106" s="1130"/>
      <c r="G106" s="1130"/>
      <c r="H106" s="1130"/>
      <c r="I106" s="1130"/>
      <c r="J106" s="1130"/>
      <c r="K106" s="1130"/>
      <c r="L106" s="1130"/>
      <c r="M106" s="1130"/>
      <c r="N106" s="1130"/>
      <c r="O106" s="1130"/>
      <c r="P106" s="1130"/>
      <c r="Q106" s="1130"/>
      <c r="R106" s="1130"/>
      <c r="S106" s="1130"/>
      <c r="T106" s="1130"/>
      <c r="U106" s="1130"/>
      <c r="V106" s="1130"/>
      <c r="W106" s="1130"/>
      <c r="X106" s="1130"/>
      <c r="Y106" s="1130"/>
      <c r="Z106" s="1130"/>
    </row>
    <row r="107" spans="1:26" ht="15.75" customHeight="1">
      <c r="A107" s="1130"/>
      <c r="B107" s="1130"/>
      <c r="C107" s="1130"/>
      <c r="D107" s="1130"/>
      <c r="E107" s="1130"/>
      <c r="F107" s="1130"/>
      <c r="G107" s="1130"/>
      <c r="H107" s="1130"/>
      <c r="I107" s="1130"/>
      <c r="J107" s="1130"/>
      <c r="K107" s="1130"/>
      <c r="L107" s="1130"/>
      <c r="M107" s="1130"/>
      <c r="N107" s="1130"/>
      <c r="O107" s="1130"/>
      <c r="P107" s="1130"/>
      <c r="Q107" s="1130"/>
      <c r="R107" s="1130"/>
      <c r="S107" s="1130"/>
      <c r="T107" s="1130"/>
      <c r="U107" s="1130"/>
      <c r="V107" s="1130"/>
      <c r="W107" s="1130"/>
      <c r="X107" s="1130"/>
      <c r="Y107" s="1130"/>
      <c r="Z107" s="1130"/>
    </row>
    <row r="108" spans="1:26" ht="15.75" customHeight="1">
      <c r="A108" s="1130"/>
      <c r="B108" s="1130"/>
      <c r="C108" s="1130"/>
      <c r="D108" s="1130"/>
      <c r="E108" s="1130"/>
      <c r="F108" s="1130"/>
      <c r="G108" s="1130"/>
      <c r="H108" s="1130"/>
      <c r="I108" s="1130"/>
      <c r="J108" s="1130"/>
      <c r="K108" s="1130"/>
      <c r="L108" s="1130"/>
      <c r="M108" s="1130"/>
      <c r="N108" s="1130"/>
      <c r="O108" s="1130"/>
      <c r="P108" s="1130"/>
      <c r="Q108" s="1130"/>
      <c r="R108" s="1130"/>
      <c r="S108" s="1130"/>
      <c r="T108" s="1130"/>
      <c r="U108" s="1130"/>
      <c r="V108" s="1130"/>
      <c r="W108" s="1130"/>
      <c r="X108" s="1130"/>
      <c r="Y108" s="1130"/>
      <c r="Z108" s="1130"/>
    </row>
    <row r="109" spans="1:26" ht="15.75" customHeight="1">
      <c r="A109" s="1130"/>
      <c r="B109" s="1130"/>
      <c r="C109" s="1130"/>
      <c r="D109" s="1130"/>
      <c r="E109" s="1130"/>
      <c r="F109" s="1130"/>
      <c r="G109" s="1130"/>
      <c r="H109" s="1130"/>
      <c r="I109" s="1130"/>
      <c r="J109" s="1130"/>
      <c r="K109" s="1130"/>
      <c r="L109" s="1130"/>
      <c r="M109" s="1130"/>
      <c r="N109" s="1130"/>
      <c r="O109" s="1130"/>
      <c r="P109" s="1130"/>
      <c r="Q109" s="1130"/>
      <c r="R109" s="1130"/>
      <c r="S109" s="1130"/>
      <c r="T109" s="1130"/>
      <c r="U109" s="1130"/>
      <c r="V109" s="1130"/>
      <c r="W109" s="1130"/>
      <c r="X109" s="1130"/>
      <c r="Y109" s="1130"/>
      <c r="Z109" s="1130"/>
    </row>
    <row r="110" spans="1:26" ht="15.75" customHeight="1">
      <c r="A110" s="1130"/>
      <c r="B110" s="1130"/>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0"/>
      <c r="Z110" s="1130"/>
    </row>
    <row r="111" spans="1:26" ht="15.75" customHeight="1">
      <c r="A111" s="1130"/>
      <c r="B111" s="1130"/>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0"/>
      <c r="Z111" s="1130"/>
    </row>
    <row r="112" spans="1:26" ht="15.75" customHeight="1">
      <c r="A112" s="1130"/>
      <c r="B112" s="1130"/>
      <c r="C112" s="1130"/>
      <c r="D112" s="1130"/>
      <c r="E112" s="1130"/>
      <c r="F112" s="1130"/>
      <c r="G112" s="1130"/>
      <c r="H112" s="1130"/>
      <c r="I112" s="1130"/>
      <c r="J112" s="1130"/>
      <c r="K112" s="1130"/>
      <c r="L112" s="1130"/>
      <c r="M112" s="1130"/>
      <c r="N112" s="1130"/>
      <c r="O112" s="1130"/>
      <c r="P112" s="1130"/>
      <c r="Q112" s="1130"/>
      <c r="R112" s="1130"/>
      <c r="S112" s="1130"/>
      <c r="T112" s="1130"/>
      <c r="U112" s="1130"/>
      <c r="V112" s="1130"/>
      <c r="W112" s="1130"/>
      <c r="X112" s="1130"/>
      <c r="Y112" s="1130"/>
      <c r="Z112" s="1130"/>
    </row>
    <row r="113" spans="1:26" ht="15.75" customHeight="1">
      <c r="A113" s="1130"/>
      <c r="B113" s="1130"/>
      <c r="C113" s="1130"/>
      <c r="D113" s="1130"/>
      <c r="E113" s="1130"/>
      <c r="F113" s="1130"/>
      <c r="G113" s="1130"/>
      <c r="H113" s="1130"/>
      <c r="I113" s="1130"/>
      <c r="J113" s="1130"/>
      <c r="K113" s="1130"/>
      <c r="L113" s="1130"/>
      <c r="M113" s="1130"/>
      <c r="N113" s="1130"/>
      <c r="O113" s="1130"/>
      <c r="P113" s="1130"/>
      <c r="Q113" s="1130"/>
      <c r="R113" s="1130"/>
      <c r="S113" s="1130"/>
      <c r="T113" s="1130"/>
      <c r="U113" s="1130"/>
      <c r="V113" s="1130"/>
      <c r="W113" s="1130"/>
      <c r="X113" s="1130"/>
      <c r="Y113" s="1130"/>
      <c r="Z113" s="1130"/>
    </row>
    <row r="114" spans="1:26" ht="15.75" customHeight="1">
      <c r="A114" s="1130"/>
      <c r="B114" s="1130"/>
      <c r="C114" s="1130"/>
      <c r="D114" s="1130"/>
      <c r="E114" s="1130"/>
      <c r="F114" s="1130"/>
      <c r="G114" s="1130"/>
      <c r="H114" s="1130"/>
      <c r="I114" s="1130"/>
      <c r="J114" s="1130"/>
      <c r="K114" s="1130"/>
      <c r="L114" s="1130"/>
      <c r="M114" s="1130"/>
      <c r="N114" s="1130"/>
      <c r="O114" s="1130"/>
      <c r="P114" s="1130"/>
      <c r="Q114" s="1130"/>
      <c r="R114" s="1130"/>
      <c r="S114" s="1130"/>
      <c r="T114" s="1130"/>
      <c r="U114" s="1130"/>
      <c r="V114" s="1130"/>
      <c r="W114" s="1130"/>
      <c r="X114" s="1130"/>
      <c r="Y114" s="1130"/>
      <c r="Z114" s="1130"/>
    </row>
    <row r="115" spans="1:26" ht="15.75" customHeight="1">
      <c r="A115" s="1130"/>
      <c r="B115" s="1130"/>
      <c r="C115" s="1130"/>
      <c r="D115" s="1130"/>
      <c r="E115" s="1130"/>
      <c r="F115" s="1130"/>
      <c r="G115" s="1130"/>
      <c r="H115" s="1130"/>
      <c r="I115" s="1130"/>
      <c r="J115" s="1130"/>
      <c r="K115" s="1130"/>
      <c r="L115" s="1130"/>
      <c r="M115" s="1130"/>
      <c r="N115" s="1130"/>
      <c r="O115" s="1130"/>
      <c r="P115" s="1130"/>
      <c r="Q115" s="1130"/>
      <c r="R115" s="1130"/>
      <c r="S115" s="1130"/>
      <c r="T115" s="1130"/>
      <c r="U115" s="1130"/>
      <c r="V115" s="1130"/>
      <c r="W115" s="1130"/>
      <c r="X115" s="1130"/>
      <c r="Y115" s="1130"/>
      <c r="Z115" s="1130"/>
    </row>
    <row r="116" spans="1:26" ht="15.75" customHeight="1">
      <c r="A116" s="1130"/>
      <c r="B116" s="1130"/>
      <c r="C116" s="1130"/>
      <c r="D116" s="1130"/>
      <c r="E116" s="1130"/>
      <c r="F116" s="1130"/>
      <c r="G116" s="1130"/>
      <c r="H116" s="1130"/>
      <c r="I116" s="1130"/>
      <c r="J116" s="1130"/>
      <c r="K116" s="1130"/>
      <c r="L116" s="1130"/>
      <c r="M116" s="1130"/>
      <c r="N116" s="1130"/>
      <c r="O116" s="1130"/>
      <c r="P116" s="1130"/>
      <c r="Q116" s="1130"/>
      <c r="R116" s="1130"/>
      <c r="S116" s="1130"/>
      <c r="T116" s="1130"/>
      <c r="U116" s="1130"/>
      <c r="V116" s="1130"/>
      <c r="W116" s="1130"/>
      <c r="X116" s="1130"/>
      <c r="Y116" s="1130"/>
      <c r="Z116" s="1130"/>
    </row>
    <row r="117" spans="1:26" ht="15.75" customHeight="1">
      <c r="A117" s="1130"/>
      <c r="B117" s="1130"/>
      <c r="C117" s="1130"/>
      <c r="D117" s="1130"/>
      <c r="E117" s="1130"/>
      <c r="F117" s="1130"/>
      <c r="G117" s="1130"/>
      <c r="H117" s="1130"/>
      <c r="I117" s="1130"/>
      <c r="J117" s="1130"/>
      <c r="K117" s="1130"/>
      <c r="L117" s="1130"/>
      <c r="M117" s="1130"/>
      <c r="N117" s="1130"/>
      <c r="O117" s="1130"/>
      <c r="P117" s="1130"/>
      <c r="Q117" s="1130"/>
      <c r="R117" s="1130"/>
      <c r="S117" s="1130"/>
      <c r="T117" s="1130"/>
      <c r="U117" s="1130"/>
      <c r="V117" s="1130"/>
      <c r="W117" s="1130"/>
      <c r="X117" s="1130"/>
      <c r="Y117" s="1130"/>
      <c r="Z117" s="1130"/>
    </row>
    <row r="118" spans="1:26" ht="15.75" customHeight="1">
      <c r="A118" s="1130"/>
      <c r="B118" s="1130"/>
      <c r="C118" s="1130"/>
      <c r="D118" s="1130"/>
      <c r="E118" s="1130"/>
      <c r="F118" s="1130"/>
      <c r="G118" s="1130"/>
      <c r="H118" s="1130"/>
      <c r="I118" s="1130"/>
      <c r="J118" s="1130"/>
      <c r="K118" s="1130"/>
      <c r="L118" s="1130"/>
      <c r="M118" s="1130"/>
      <c r="N118" s="1130"/>
      <c r="O118" s="1130"/>
      <c r="P118" s="1130"/>
      <c r="Q118" s="1130"/>
      <c r="R118" s="1130"/>
      <c r="S118" s="1130"/>
      <c r="T118" s="1130"/>
      <c r="U118" s="1130"/>
      <c r="V118" s="1130"/>
      <c r="W118" s="1130"/>
      <c r="X118" s="1130"/>
      <c r="Y118" s="1130"/>
      <c r="Z118" s="1130"/>
    </row>
    <row r="119" spans="1:26" ht="15.75" customHeight="1">
      <c r="A119" s="1130"/>
      <c r="B119" s="1130"/>
      <c r="C119" s="1130"/>
      <c r="D119" s="1130"/>
      <c r="E119" s="1130"/>
      <c r="F119" s="1130"/>
      <c r="G119" s="1130"/>
      <c r="H119" s="1130"/>
      <c r="I119" s="1130"/>
      <c r="J119" s="1130"/>
      <c r="K119" s="1130"/>
      <c r="L119" s="1130"/>
      <c r="M119" s="1130"/>
      <c r="N119" s="1130"/>
      <c r="O119" s="1130"/>
      <c r="P119" s="1130"/>
      <c r="Q119" s="1130"/>
      <c r="R119" s="1130"/>
      <c r="S119" s="1130"/>
      <c r="T119" s="1130"/>
      <c r="U119" s="1130"/>
      <c r="V119" s="1130"/>
      <c r="W119" s="1130"/>
      <c r="X119" s="1130"/>
      <c r="Y119" s="1130"/>
      <c r="Z119" s="1130"/>
    </row>
    <row r="120" spans="1:26" ht="15.75" customHeight="1">
      <c r="A120" s="1130"/>
      <c r="B120" s="1130"/>
      <c r="C120" s="1130"/>
      <c r="D120" s="1130"/>
      <c r="E120" s="1130"/>
      <c r="F120" s="1130"/>
      <c r="G120" s="1130"/>
      <c r="H120" s="1130"/>
      <c r="I120" s="1130"/>
      <c r="J120" s="1130"/>
      <c r="K120" s="1130"/>
      <c r="L120" s="1130"/>
      <c r="M120" s="1130"/>
      <c r="N120" s="1130"/>
      <c r="O120" s="1130"/>
      <c r="P120" s="1130"/>
      <c r="Q120" s="1130"/>
      <c r="R120" s="1130"/>
      <c r="S120" s="1130"/>
      <c r="T120" s="1130"/>
      <c r="U120" s="1130"/>
      <c r="V120" s="1130"/>
      <c r="W120" s="1130"/>
      <c r="X120" s="1130"/>
      <c r="Y120" s="1130"/>
      <c r="Z120" s="1130"/>
    </row>
    <row r="121" spans="1:26" ht="15.75" customHeight="1">
      <c r="A121" s="1130"/>
      <c r="B121" s="1130"/>
      <c r="C121" s="1130"/>
      <c r="D121" s="1130"/>
      <c r="E121" s="1130"/>
      <c r="F121" s="1130"/>
      <c r="G121" s="1130"/>
      <c r="H121" s="1130"/>
      <c r="I121" s="1130"/>
      <c r="J121" s="1130"/>
      <c r="K121" s="1130"/>
      <c r="L121" s="1130"/>
      <c r="M121" s="1130"/>
      <c r="N121" s="1130"/>
      <c r="O121" s="1130"/>
      <c r="P121" s="1130"/>
      <c r="Q121" s="1130"/>
      <c r="R121" s="1130"/>
      <c r="S121" s="1130"/>
      <c r="T121" s="1130"/>
      <c r="U121" s="1130"/>
      <c r="V121" s="1130"/>
      <c r="W121" s="1130"/>
      <c r="X121" s="1130"/>
      <c r="Y121" s="1130"/>
      <c r="Z121" s="1130"/>
    </row>
    <row r="122" spans="1:26" ht="15.75" customHeight="1">
      <c r="A122" s="1130"/>
      <c r="B122" s="1130"/>
      <c r="C122" s="1130"/>
      <c r="D122" s="1130"/>
      <c r="E122" s="1130"/>
      <c r="F122" s="1130"/>
      <c r="G122" s="1130"/>
      <c r="H122" s="1130"/>
      <c r="I122" s="1130"/>
      <c r="J122" s="1130"/>
      <c r="K122" s="1130"/>
      <c r="L122" s="1130"/>
      <c r="M122" s="1130"/>
      <c r="N122" s="1130"/>
      <c r="O122" s="1130"/>
      <c r="P122" s="1130"/>
      <c r="Q122" s="1130"/>
      <c r="R122" s="1130"/>
      <c r="S122" s="1130"/>
      <c r="T122" s="1130"/>
      <c r="U122" s="1130"/>
      <c r="V122" s="1130"/>
      <c r="W122" s="1130"/>
      <c r="X122" s="1130"/>
      <c r="Y122" s="1130"/>
      <c r="Z122" s="1130"/>
    </row>
    <row r="123" spans="1:26" ht="15.75" customHeight="1">
      <c r="A123" s="1130"/>
      <c r="B123" s="1130"/>
      <c r="C123" s="1130"/>
      <c r="D123" s="1130"/>
      <c r="E123" s="1130"/>
      <c r="F123" s="1130"/>
      <c r="G123" s="1130"/>
      <c r="H123" s="1130"/>
      <c r="I123" s="1130"/>
      <c r="J123" s="1130"/>
      <c r="K123" s="1130"/>
      <c r="L123" s="1130"/>
      <c r="M123" s="1130"/>
      <c r="N123" s="1130"/>
      <c r="O123" s="1130"/>
      <c r="P123" s="1130"/>
      <c r="Q123" s="1130"/>
      <c r="R123" s="1130"/>
      <c r="S123" s="1130"/>
      <c r="T123" s="1130"/>
      <c r="U123" s="1130"/>
      <c r="V123" s="1130"/>
      <c r="W123" s="1130"/>
      <c r="X123" s="1130"/>
      <c r="Y123" s="1130"/>
      <c r="Z123" s="1130"/>
    </row>
    <row r="124" spans="1:26" ht="15.75" customHeight="1">
      <c r="A124" s="1130"/>
      <c r="B124" s="1130"/>
      <c r="C124" s="1130"/>
      <c r="D124" s="1130"/>
      <c r="E124" s="1130"/>
      <c r="F124" s="1130"/>
      <c r="G124" s="1130"/>
      <c r="H124" s="1130"/>
      <c r="I124" s="1130"/>
      <c r="J124" s="1130"/>
      <c r="K124" s="1130"/>
      <c r="L124" s="1130"/>
      <c r="M124" s="1130"/>
      <c r="N124" s="1130"/>
      <c r="O124" s="1130"/>
      <c r="P124" s="1130"/>
      <c r="Q124" s="1130"/>
      <c r="R124" s="1130"/>
      <c r="S124" s="1130"/>
      <c r="T124" s="1130"/>
      <c r="U124" s="1130"/>
      <c r="V124" s="1130"/>
      <c r="W124" s="1130"/>
      <c r="X124" s="1130"/>
      <c r="Y124" s="1130"/>
      <c r="Z124" s="1130"/>
    </row>
    <row r="125" spans="1:26" ht="15.75" customHeight="1">
      <c r="A125" s="1130"/>
      <c r="B125" s="1130"/>
      <c r="C125" s="1130"/>
      <c r="D125" s="1130"/>
      <c r="E125" s="1130"/>
      <c r="F125" s="1130"/>
      <c r="G125" s="1130"/>
      <c r="H125" s="1130"/>
      <c r="I125" s="1130"/>
      <c r="J125" s="1130"/>
      <c r="K125" s="1130"/>
      <c r="L125" s="1130"/>
      <c r="M125" s="1130"/>
      <c r="N125" s="1130"/>
      <c r="O125" s="1130"/>
      <c r="P125" s="1130"/>
      <c r="Q125" s="1130"/>
      <c r="R125" s="1130"/>
      <c r="S125" s="1130"/>
      <c r="T125" s="1130"/>
      <c r="U125" s="1130"/>
      <c r="V125" s="1130"/>
      <c r="W125" s="1130"/>
      <c r="X125" s="1130"/>
      <c r="Y125" s="1130"/>
      <c r="Z125" s="1130"/>
    </row>
    <row r="126" spans="1:26" ht="15.75" customHeight="1">
      <c r="A126" s="1130"/>
      <c r="B126" s="1130"/>
      <c r="C126" s="1130"/>
      <c r="D126" s="1130"/>
      <c r="E126" s="1130"/>
      <c r="F126" s="1130"/>
      <c r="G126" s="1130"/>
      <c r="H126" s="1130"/>
      <c r="I126" s="1130"/>
      <c r="J126" s="1130"/>
      <c r="K126" s="1130"/>
      <c r="L126" s="1130"/>
      <c r="M126" s="1130"/>
      <c r="N126" s="1130"/>
      <c r="O126" s="1130"/>
      <c r="P126" s="1130"/>
      <c r="Q126" s="1130"/>
      <c r="R126" s="1130"/>
      <c r="S126" s="1130"/>
      <c r="T126" s="1130"/>
      <c r="U126" s="1130"/>
      <c r="V126" s="1130"/>
      <c r="W126" s="1130"/>
      <c r="X126" s="1130"/>
      <c r="Y126" s="1130"/>
      <c r="Z126" s="1130"/>
    </row>
    <row r="127" spans="1:26" ht="15.75" customHeight="1">
      <c r="A127" s="1130"/>
      <c r="B127" s="1130"/>
      <c r="C127" s="1130"/>
      <c r="D127" s="1130"/>
      <c r="E127" s="1130"/>
      <c r="F127" s="1130"/>
      <c r="G127" s="1130"/>
      <c r="H127" s="1130"/>
      <c r="I127" s="1130"/>
      <c r="J127" s="1130"/>
      <c r="K127" s="1130"/>
      <c r="L127" s="1130"/>
      <c r="M127" s="1130"/>
      <c r="N127" s="1130"/>
      <c r="O127" s="1130"/>
      <c r="P127" s="1130"/>
      <c r="Q127" s="1130"/>
      <c r="R127" s="1130"/>
      <c r="S127" s="1130"/>
      <c r="T127" s="1130"/>
      <c r="U127" s="1130"/>
      <c r="V127" s="1130"/>
      <c r="W127" s="1130"/>
      <c r="X127" s="1130"/>
      <c r="Y127" s="1130"/>
      <c r="Z127" s="1130"/>
    </row>
    <row r="128" spans="1:26" ht="15.75" customHeight="1">
      <c r="A128" s="1130"/>
      <c r="B128" s="1130"/>
      <c r="C128" s="1130"/>
      <c r="D128" s="1130"/>
      <c r="E128" s="1130"/>
      <c r="F128" s="1130"/>
      <c r="G128" s="1130"/>
      <c r="H128" s="1130"/>
      <c r="I128" s="1130"/>
      <c r="J128" s="1130"/>
      <c r="K128" s="1130"/>
      <c r="L128" s="1130"/>
      <c r="M128" s="1130"/>
      <c r="N128" s="1130"/>
      <c r="O128" s="1130"/>
      <c r="P128" s="1130"/>
      <c r="Q128" s="1130"/>
      <c r="R128" s="1130"/>
      <c r="S128" s="1130"/>
      <c r="T128" s="1130"/>
      <c r="U128" s="1130"/>
      <c r="V128" s="1130"/>
      <c r="W128" s="1130"/>
      <c r="X128" s="1130"/>
      <c r="Y128" s="1130"/>
      <c r="Z128" s="1130"/>
    </row>
    <row r="129" spans="1:26" ht="15.75" customHeight="1">
      <c r="A129" s="1130"/>
      <c r="B129" s="1130"/>
      <c r="C129" s="1130"/>
      <c r="D129" s="1130"/>
      <c r="E129" s="1130"/>
      <c r="F129" s="1130"/>
      <c r="G129" s="1130"/>
      <c r="H129" s="1130"/>
      <c r="I129" s="1130"/>
      <c r="J129" s="1130"/>
      <c r="K129" s="1130"/>
      <c r="L129" s="1130"/>
      <c r="M129" s="1130"/>
      <c r="N129" s="1130"/>
      <c r="O129" s="1130"/>
      <c r="P129" s="1130"/>
      <c r="Q129" s="1130"/>
      <c r="R129" s="1130"/>
      <c r="S129" s="1130"/>
      <c r="T129" s="1130"/>
      <c r="U129" s="1130"/>
      <c r="V129" s="1130"/>
      <c r="W129" s="1130"/>
      <c r="X129" s="1130"/>
      <c r="Y129" s="1130"/>
      <c r="Z129" s="1130"/>
    </row>
    <row r="130" spans="1:26" ht="15.75" customHeight="1">
      <c r="A130" s="1130"/>
      <c r="B130" s="1130"/>
      <c r="C130" s="1130"/>
      <c r="D130" s="1130"/>
      <c r="E130" s="1130"/>
      <c r="F130" s="1130"/>
      <c r="G130" s="1130"/>
      <c r="H130" s="1130"/>
      <c r="I130" s="1130"/>
      <c r="J130" s="1130"/>
      <c r="K130" s="1130"/>
      <c r="L130" s="1130"/>
      <c r="M130" s="1130"/>
      <c r="N130" s="1130"/>
      <c r="O130" s="1130"/>
      <c r="P130" s="1130"/>
      <c r="Q130" s="1130"/>
      <c r="R130" s="1130"/>
      <c r="S130" s="1130"/>
      <c r="T130" s="1130"/>
      <c r="U130" s="1130"/>
      <c r="V130" s="1130"/>
      <c r="W130" s="1130"/>
      <c r="X130" s="1130"/>
      <c r="Y130" s="1130"/>
      <c r="Z130" s="1130"/>
    </row>
    <row r="131" spans="1:26" ht="15.75" customHeight="1">
      <c r="A131" s="1130"/>
      <c r="B131" s="1130"/>
      <c r="C131" s="1130"/>
      <c r="D131" s="1130"/>
      <c r="E131" s="1130"/>
      <c r="F131" s="1130"/>
      <c r="G131" s="1130"/>
      <c r="H131" s="1130"/>
      <c r="I131" s="1130"/>
      <c r="J131" s="1130"/>
      <c r="K131" s="1130"/>
      <c r="L131" s="1130"/>
      <c r="M131" s="1130"/>
      <c r="N131" s="1130"/>
      <c r="O131" s="1130"/>
      <c r="P131" s="1130"/>
      <c r="Q131" s="1130"/>
      <c r="R131" s="1130"/>
      <c r="S131" s="1130"/>
      <c r="T131" s="1130"/>
      <c r="U131" s="1130"/>
      <c r="V131" s="1130"/>
      <c r="W131" s="1130"/>
      <c r="X131" s="1130"/>
      <c r="Y131" s="1130"/>
      <c r="Z131" s="1130"/>
    </row>
    <row r="132" spans="1:26" ht="15.75" customHeight="1">
      <c r="A132" s="1130"/>
      <c r="B132" s="1130"/>
      <c r="C132" s="1130"/>
      <c r="D132" s="1130"/>
      <c r="E132" s="1130"/>
      <c r="F132" s="1130"/>
      <c r="G132" s="1130"/>
      <c r="H132" s="1130"/>
      <c r="I132" s="1130"/>
      <c r="J132" s="1130"/>
      <c r="K132" s="1130"/>
      <c r="L132" s="1130"/>
      <c r="M132" s="1130"/>
      <c r="N132" s="1130"/>
      <c r="O132" s="1130"/>
      <c r="P132" s="1130"/>
      <c r="Q132" s="1130"/>
      <c r="R132" s="1130"/>
      <c r="S132" s="1130"/>
      <c r="T132" s="1130"/>
      <c r="U132" s="1130"/>
      <c r="V132" s="1130"/>
      <c r="W132" s="1130"/>
      <c r="X132" s="1130"/>
      <c r="Y132" s="1130"/>
      <c r="Z132" s="1130"/>
    </row>
    <row r="133" spans="1:26" ht="15.75" customHeight="1">
      <c r="A133" s="1130"/>
      <c r="B133" s="1130"/>
      <c r="C133" s="1130"/>
      <c r="D133" s="1130"/>
      <c r="E133" s="1130"/>
      <c r="F133" s="1130"/>
      <c r="G133" s="1130"/>
      <c r="H133" s="1130"/>
      <c r="I133" s="1130"/>
      <c r="J133" s="1130"/>
      <c r="K133" s="1130"/>
      <c r="L133" s="1130"/>
      <c r="M133" s="1130"/>
      <c r="N133" s="1130"/>
      <c r="O133" s="1130"/>
      <c r="P133" s="1130"/>
      <c r="Q133" s="1130"/>
      <c r="R133" s="1130"/>
      <c r="S133" s="1130"/>
      <c r="T133" s="1130"/>
      <c r="U133" s="1130"/>
      <c r="V133" s="1130"/>
      <c r="W133" s="1130"/>
      <c r="X133" s="1130"/>
      <c r="Y133" s="1130"/>
      <c r="Z133" s="1130"/>
    </row>
    <row r="134" spans="1:26" ht="15.75" customHeight="1">
      <c r="A134" s="1130"/>
      <c r="B134" s="1130"/>
      <c r="C134" s="1130"/>
      <c r="D134" s="1130"/>
      <c r="E134" s="1130"/>
      <c r="F134" s="1130"/>
      <c r="G134" s="1130"/>
      <c r="H134" s="1130"/>
      <c r="I134" s="1130"/>
      <c r="J134" s="1130"/>
      <c r="K134" s="1130"/>
      <c r="L134" s="1130"/>
      <c r="M134" s="1130"/>
      <c r="N134" s="1130"/>
      <c r="O134" s="1130"/>
      <c r="P134" s="1130"/>
      <c r="Q134" s="1130"/>
      <c r="R134" s="1130"/>
      <c r="S134" s="1130"/>
      <c r="T134" s="1130"/>
      <c r="U134" s="1130"/>
      <c r="V134" s="1130"/>
      <c r="W134" s="1130"/>
      <c r="X134" s="1130"/>
      <c r="Y134" s="1130"/>
      <c r="Z134" s="1130"/>
    </row>
    <row r="135" spans="1:26" ht="15.75" customHeight="1">
      <c r="A135" s="1130"/>
      <c r="B135" s="1130"/>
      <c r="C135" s="1130"/>
      <c r="D135" s="1130"/>
      <c r="E135" s="1130"/>
      <c r="F135" s="1130"/>
      <c r="G135" s="1130"/>
      <c r="H135" s="1130"/>
      <c r="I135" s="1130"/>
      <c r="J135" s="1130"/>
      <c r="K135" s="1130"/>
      <c r="L135" s="1130"/>
      <c r="M135" s="1130"/>
      <c r="N135" s="1130"/>
      <c r="O135" s="1130"/>
      <c r="P135" s="1130"/>
      <c r="Q135" s="1130"/>
      <c r="R135" s="1130"/>
      <c r="S135" s="1130"/>
      <c r="T135" s="1130"/>
      <c r="U135" s="1130"/>
      <c r="V135" s="1130"/>
      <c r="W135" s="1130"/>
      <c r="X135" s="1130"/>
      <c r="Y135" s="1130"/>
      <c r="Z135" s="1130"/>
    </row>
    <row r="136" spans="1:26" ht="15.75" customHeight="1">
      <c r="A136" s="1130"/>
      <c r="B136" s="1130"/>
      <c r="C136" s="1130"/>
      <c r="D136" s="1130"/>
      <c r="E136" s="1130"/>
      <c r="F136" s="1130"/>
      <c r="G136" s="1130"/>
      <c r="H136" s="1130"/>
      <c r="I136" s="1130"/>
      <c r="J136" s="1130"/>
      <c r="K136" s="1130"/>
      <c r="L136" s="1130"/>
      <c r="M136" s="1130"/>
      <c r="N136" s="1130"/>
      <c r="O136" s="1130"/>
      <c r="P136" s="1130"/>
      <c r="Q136" s="1130"/>
      <c r="R136" s="1130"/>
      <c r="S136" s="1130"/>
      <c r="T136" s="1130"/>
      <c r="U136" s="1130"/>
      <c r="V136" s="1130"/>
      <c r="W136" s="1130"/>
      <c r="X136" s="1130"/>
      <c r="Y136" s="1130"/>
      <c r="Z136" s="1130"/>
    </row>
    <row r="137" spans="1:26" ht="15.75" customHeight="1">
      <c r="A137" s="1130"/>
      <c r="B137" s="1130"/>
      <c r="C137" s="1130"/>
      <c r="D137" s="1130"/>
      <c r="E137" s="1130"/>
      <c r="F137" s="1130"/>
      <c r="G137" s="1130"/>
      <c r="H137" s="1130"/>
      <c r="I137" s="1130"/>
      <c r="J137" s="1130"/>
      <c r="K137" s="1130"/>
      <c r="L137" s="1130"/>
      <c r="M137" s="1130"/>
      <c r="N137" s="1130"/>
      <c r="O137" s="1130"/>
      <c r="P137" s="1130"/>
      <c r="Q137" s="1130"/>
      <c r="R137" s="1130"/>
      <c r="S137" s="1130"/>
      <c r="T137" s="1130"/>
      <c r="U137" s="1130"/>
      <c r="V137" s="1130"/>
      <c r="W137" s="1130"/>
      <c r="X137" s="1130"/>
      <c r="Y137" s="1130"/>
      <c r="Z137" s="1130"/>
    </row>
    <row r="138" spans="1:26" ht="15.75" customHeight="1">
      <c r="A138" s="1130"/>
      <c r="B138" s="1130"/>
      <c r="C138" s="1130"/>
      <c r="D138" s="1130"/>
      <c r="E138" s="1130"/>
      <c r="F138" s="1130"/>
      <c r="G138" s="1130"/>
      <c r="H138" s="1130"/>
      <c r="I138" s="1130"/>
      <c r="J138" s="1130"/>
      <c r="K138" s="1130"/>
      <c r="L138" s="1130"/>
      <c r="M138" s="1130"/>
      <c r="N138" s="1130"/>
      <c r="O138" s="1130"/>
      <c r="P138" s="1130"/>
      <c r="Q138" s="1130"/>
      <c r="R138" s="1130"/>
      <c r="S138" s="1130"/>
      <c r="T138" s="1130"/>
      <c r="U138" s="1130"/>
      <c r="V138" s="1130"/>
      <c r="W138" s="1130"/>
      <c r="X138" s="1130"/>
      <c r="Y138" s="1130"/>
      <c r="Z138" s="1130"/>
    </row>
    <row r="139" spans="1:26" ht="15.75" customHeight="1">
      <c r="A139" s="1130"/>
      <c r="B139" s="1130"/>
      <c r="C139" s="1130"/>
      <c r="D139" s="1130"/>
      <c r="E139" s="1130"/>
      <c r="F139" s="1130"/>
      <c r="G139" s="1130"/>
      <c r="H139" s="1130"/>
      <c r="I139" s="1130"/>
      <c r="J139" s="1130"/>
      <c r="K139" s="1130"/>
      <c r="L139" s="1130"/>
      <c r="M139" s="1130"/>
      <c r="N139" s="1130"/>
      <c r="O139" s="1130"/>
      <c r="P139" s="1130"/>
      <c r="Q139" s="1130"/>
      <c r="R139" s="1130"/>
      <c r="S139" s="1130"/>
      <c r="T139" s="1130"/>
      <c r="U139" s="1130"/>
      <c r="V139" s="1130"/>
      <c r="W139" s="1130"/>
      <c r="X139" s="1130"/>
      <c r="Y139" s="1130"/>
      <c r="Z139" s="1130"/>
    </row>
    <row r="140" spans="1:26" ht="15.75" customHeight="1">
      <c r="A140" s="1130"/>
      <c r="B140" s="1130"/>
      <c r="C140" s="1130"/>
      <c r="D140" s="1130"/>
      <c r="E140" s="1130"/>
      <c r="F140" s="1130"/>
      <c r="G140" s="1130"/>
      <c r="H140" s="1130"/>
      <c r="I140" s="1130"/>
      <c r="J140" s="1130"/>
      <c r="K140" s="1130"/>
      <c r="L140" s="1130"/>
      <c r="M140" s="1130"/>
      <c r="N140" s="1130"/>
      <c r="O140" s="1130"/>
      <c r="P140" s="1130"/>
      <c r="Q140" s="1130"/>
      <c r="R140" s="1130"/>
      <c r="S140" s="1130"/>
      <c r="T140" s="1130"/>
      <c r="U140" s="1130"/>
      <c r="V140" s="1130"/>
      <c r="W140" s="1130"/>
      <c r="X140" s="1130"/>
      <c r="Y140" s="1130"/>
      <c r="Z140" s="1130"/>
    </row>
    <row r="141" spans="1:26" ht="15.75" customHeight="1">
      <c r="A141" s="1130"/>
      <c r="B141" s="1130"/>
      <c r="C141" s="1130"/>
      <c r="D141" s="1130"/>
      <c r="E141" s="1130"/>
      <c r="F141" s="1130"/>
      <c r="G141" s="1130"/>
      <c r="H141" s="1130"/>
      <c r="I141" s="1130"/>
      <c r="J141" s="1130"/>
      <c r="K141" s="1130"/>
      <c r="L141" s="1130"/>
      <c r="M141" s="1130"/>
      <c r="N141" s="1130"/>
      <c r="O141" s="1130"/>
      <c r="P141" s="1130"/>
      <c r="Q141" s="1130"/>
      <c r="R141" s="1130"/>
      <c r="S141" s="1130"/>
      <c r="T141" s="1130"/>
      <c r="U141" s="1130"/>
      <c r="V141" s="1130"/>
      <c r="W141" s="1130"/>
      <c r="X141" s="1130"/>
      <c r="Y141" s="1130"/>
      <c r="Z141" s="1130"/>
    </row>
    <row r="142" spans="1:26" ht="15.75" customHeight="1">
      <c r="A142" s="1130"/>
      <c r="B142" s="1130"/>
      <c r="C142" s="1130"/>
      <c r="D142" s="1130"/>
      <c r="E142" s="1130"/>
      <c r="F142" s="1130"/>
      <c r="G142" s="1130"/>
      <c r="H142" s="1130"/>
      <c r="I142" s="1130"/>
      <c r="J142" s="1130"/>
      <c r="K142" s="1130"/>
      <c r="L142" s="1130"/>
      <c r="M142" s="1130"/>
      <c r="N142" s="1130"/>
      <c r="O142" s="1130"/>
      <c r="P142" s="1130"/>
      <c r="Q142" s="1130"/>
      <c r="R142" s="1130"/>
      <c r="S142" s="1130"/>
      <c r="T142" s="1130"/>
      <c r="U142" s="1130"/>
      <c r="V142" s="1130"/>
      <c r="W142" s="1130"/>
      <c r="X142" s="1130"/>
      <c r="Y142" s="1130"/>
      <c r="Z142" s="1130"/>
    </row>
    <row r="143" spans="1:26" ht="15.75" customHeight="1">
      <c r="A143" s="1130"/>
      <c r="B143" s="1130"/>
      <c r="C143" s="1130"/>
      <c r="D143" s="1130"/>
      <c r="E143" s="1130"/>
      <c r="F143" s="1130"/>
      <c r="G143" s="1130"/>
      <c r="H143" s="1130"/>
      <c r="I143" s="1130"/>
      <c r="J143" s="1130"/>
      <c r="K143" s="1130"/>
      <c r="L143" s="1130"/>
      <c r="M143" s="1130"/>
      <c r="N143" s="1130"/>
      <c r="O143" s="1130"/>
      <c r="P143" s="1130"/>
      <c r="Q143" s="1130"/>
      <c r="R143" s="1130"/>
      <c r="S143" s="1130"/>
      <c r="T143" s="1130"/>
      <c r="U143" s="1130"/>
      <c r="V143" s="1130"/>
      <c r="W143" s="1130"/>
      <c r="X143" s="1130"/>
      <c r="Y143" s="1130"/>
      <c r="Z143" s="1130"/>
    </row>
    <row r="144" spans="1:26" ht="15.75" customHeight="1">
      <c r="A144" s="1130"/>
      <c r="B144" s="1130"/>
      <c r="C144" s="1130"/>
      <c r="D144" s="1130"/>
      <c r="E144" s="1130"/>
      <c r="F144" s="1130"/>
      <c r="G144" s="1130"/>
      <c r="H144" s="1130"/>
      <c r="I144" s="1130"/>
      <c r="J144" s="1130"/>
      <c r="K144" s="1130"/>
      <c r="L144" s="1130"/>
      <c r="M144" s="1130"/>
      <c r="N144" s="1130"/>
      <c r="O144" s="1130"/>
      <c r="P144" s="1130"/>
      <c r="Q144" s="1130"/>
      <c r="R144" s="1130"/>
      <c r="S144" s="1130"/>
      <c r="T144" s="1130"/>
      <c r="U144" s="1130"/>
      <c r="V144" s="1130"/>
      <c r="W144" s="1130"/>
      <c r="X144" s="1130"/>
      <c r="Y144" s="1130"/>
      <c r="Z144" s="1130"/>
    </row>
    <row r="145" spans="1:26" ht="15.75" customHeight="1">
      <c r="A145" s="1130"/>
      <c r="B145" s="1130"/>
      <c r="C145" s="1130"/>
      <c r="D145" s="1130"/>
      <c r="E145" s="1130"/>
      <c r="F145" s="1130"/>
      <c r="G145" s="1130"/>
      <c r="H145" s="1130"/>
      <c r="I145" s="1130"/>
      <c r="J145" s="1130"/>
      <c r="K145" s="1130"/>
      <c r="L145" s="1130"/>
      <c r="M145" s="1130"/>
      <c r="N145" s="1130"/>
      <c r="O145" s="1130"/>
      <c r="P145" s="1130"/>
      <c r="Q145" s="1130"/>
      <c r="R145" s="1130"/>
      <c r="S145" s="1130"/>
      <c r="T145" s="1130"/>
      <c r="U145" s="1130"/>
      <c r="V145" s="1130"/>
      <c r="W145" s="1130"/>
      <c r="X145" s="1130"/>
      <c r="Y145" s="1130"/>
      <c r="Z145" s="1130"/>
    </row>
    <row r="146" spans="1:26" ht="15.75" customHeight="1">
      <c r="A146" s="1130"/>
      <c r="B146" s="1130"/>
      <c r="C146" s="1130"/>
      <c r="D146" s="1130"/>
      <c r="E146" s="1130"/>
      <c r="F146" s="1130"/>
      <c r="G146" s="1130"/>
      <c r="H146" s="1130"/>
      <c r="I146" s="1130"/>
      <c r="J146" s="1130"/>
      <c r="K146" s="1130"/>
      <c r="L146" s="1130"/>
      <c r="M146" s="1130"/>
      <c r="N146" s="1130"/>
      <c r="O146" s="1130"/>
      <c r="P146" s="1130"/>
      <c r="Q146" s="1130"/>
      <c r="R146" s="1130"/>
      <c r="S146" s="1130"/>
      <c r="T146" s="1130"/>
      <c r="U146" s="1130"/>
      <c r="V146" s="1130"/>
      <c r="W146" s="1130"/>
      <c r="X146" s="1130"/>
      <c r="Y146" s="1130"/>
      <c r="Z146" s="1130"/>
    </row>
    <row r="147" spans="1:26" ht="15.75" customHeight="1">
      <c r="A147" s="1130"/>
      <c r="B147" s="1130"/>
      <c r="C147" s="1130"/>
      <c r="D147" s="1130"/>
      <c r="E147" s="1130"/>
      <c r="F147" s="1130"/>
      <c r="G147" s="1130"/>
      <c r="H147" s="1130"/>
      <c r="I147" s="1130"/>
      <c r="J147" s="1130"/>
      <c r="K147" s="1130"/>
      <c r="L147" s="1130"/>
      <c r="M147" s="1130"/>
      <c r="N147" s="1130"/>
      <c r="O147" s="1130"/>
      <c r="P147" s="1130"/>
      <c r="Q147" s="1130"/>
      <c r="R147" s="1130"/>
      <c r="S147" s="1130"/>
      <c r="T147" s="1130"/>
      <c r="U147" s="1130"/>
      <c r="V147" s="1130"/>
      <c r="W147" s="1130"/>
      <c r="X147" s="1130"/>
      <c r="Y147" s="1130"/>
      <c r="Z147" s="1130"/>
    </row>
    <row r="148" spans="1:26" ht="15.75" customHeight="1">
      <c r="A148" s="1130"/>
      <c r="B148" s="1130"/>
      <c r="C148" s="1130"/>
      <c r="D148" s="1130"/>
      <c r="E148" s="1130"/>
      <c r="F148" s="1130"/>
      <c r="G148" s="1130"/>
      <c r="H148" s="1130"/>
      <c r="I148" s="1130"/>
      <c r="J148" s="1130"/>
      <c r="K148" s="1130"/>
      <c r="L148" s="1130"/>
      <c r="M148" s="1130"/>
      <c r="N148" s="1130"/>
      <c r="O148" s="1130"/>
      <c r="P148" s="1130"/>
      <c r="Q148" s="1130"/>
      <c r="R148" s="1130"/>
      <c r="S148" s="1130"/>
      <c r="T148" s="1130"/>
      <c r="U148" s="1130"/>
      <c r="V148" s="1130"/>
      <c r="W148" s="1130"/>
      <c r="X148" s="1130"/>
      <c r="Y148" s="1130"/>
      <c r="Z148" s="1130"/>
    </row>
    <row r="149" spans="1:26" ht="15.75" customHeight="1">
      <c r="A149" s="1130"/>
      <c r="B149" s="1130"/>
      <c r="C149" s="1130"/>
      <c r="D149" s="1130"/>
      <c r="E149" s="1130"/>
      <c r="F149" s="1130"/>
      <c r="G149" s="1130"/>
      <c r="H149" s="1130"/>
      <c r="I149" s="1130"/>
      <c r="J149" s="1130"/>
      <c r="K149" s="1130"/>
      <c r="L149" s="1130"/>
      <c r="M149" s="1130"/>
      <c r="N149" s="1130"/>
      <c r="O149" s="1130"/>
      <c r="P149" s="1130"/>
      <c r="Q149" s="1130"/>
      <c r="R149" s="1130"/>
      <c r="S149" s="1130"/>
      <c r="T149" s="1130"/>
      <c r="U149" s="1130"/>
      <c r="V149" s="1130"/>
      <c r="W149" s="1130"/>
      <c r="X149" s="1130"/>
      <c r="Y149" s="1130"/>
      <c r="Z149" s="1130"/>
    </row>
    <row r="150" spans="1:26" ht="15.75" customHeight="1">
      <c r="A150" s="1130"/>
      <c r="B150" s="1130"/>
      <c r="C150" s="1130"/>
      <c r="D150" s="1130"/>
      <c r="E150" s="1130"/>
      <c r="F150" s="1130"/>
      <c r="G150" s="1130"/>
      <c r="H150" s="1130"/>
      <c r="I150" s="1130"/>
      <c r="J150" s="1130"/>
      <c r="K150" s="1130"/>
      <c r="L150" s="1130"/>
      <c r="M150" s="1130"/>
      <c r="N150" s="1130"/>
      <c r="O150" s="1130"/>
      <c r="P150" s="1130"/>
      <c r="Q150" s="1130"/>
      <c r="R150" s="1130"/>
      <c r="S150" s="1130"/>
      <c r="T150" s="1130"/>
      <c r="U150" s="1130"/>
      <c r="V150" s="1130"/>
      <c r="W150" s="1130"/>
      <c r="X150" s="1130"/>
      <c r="Y150" s="1130"/>
      <c r="Z150" s="1130"/>
    </row>
    <row r="151" spans="1:26" ht="15.75" customHeight="1">
      <c r="A151" s="1130"/>
      <c r="B151" s="1130"/>
      <c r="C151" s="1130"/>
      <c r="D151" s="1130"/>
      <c r="E151" s="1130"/>
      <c r="F151" s="1130"/>
      <c r="G151" s="1130"/>
      <c r="H151" s="1130"/>
      <c r="I151" s="1130"/>
      <c r="J151" s="1130"/>
      <c r="K151" s="1130"/>
      <c r="L151" s="1130"/>
      <c r="M151" s="1130"/>
      <c r="N151" s="1130"/>
      <c r="O151" s="1130"/>
      <c r="P151" s="1130"/>
      <c r="Q151" s="1130"/>
      <c r="R151" s="1130"/>
      <c r="S151" s="1130"/>
      <c r="T151" s="1130"/>
      <c r="U151" s="1130"/>
      <c r="V151" s="1130"/>
      <c r="W151" s="1130"/>
      <c r="X151" s="1130"/>
      <c r="Y151" s="1130"/>
      <c r="Z151" s="1130"/>
    </row>
    <row r="152" spans="1:26" ht="15.75" customHeight="1">
      <c r="A152" s="1130"/>
      <c r="B152" s="1130"/>
      <c r="C152" s="1130"/>
      <c r="D152" s="1130"/>
      <c r="E152" s="1130"/>
      <c r="F152" s="1130"/>
      <c r="G152" s="1130"/>
      <c r="H152" s="1130"/>
      <c r="I152" s="1130"/>
      <c r="J152" s="1130"/>
      <c r="K152" s="1130"/>
      <c r="L152" s="1130"/>
      <c r="M152" s="1130"/>
      <c r="N152" s="1130"/>
      <c r="O152" s="1130"/>
      <c r="P152" s="1130"/>
      <c r="Q152" s="1130"/>
      <c r="R152" s="1130"/>
      <c r="S152" s="1130"/>
      <c r="T152" s="1130"/>
      <c r="U152" s="1130"/>
      <c r="V152" s="1130"/>
      <c r="W152" s="1130"/>
      <c r="X152" s="1130"/>
      <c r="Y152" s="1130"/>
      <c r="Z152" s="1130"/>
    </row>
    <row r="153" spans="1:26" ht="15.75" customHeight="1">
      <c r="A153" s="1130"/>
      <c r="B153" s="1130"/>
      <c r="C153" s="1130"/>
      <c r="D153" s="1130"/>
      <c r="E153" s="1130"/>
      <c r="F153" s="1130"/>
      <c r="G153" s="1130"/>
      <c r="H153" s="1130"/>
      <c r="I153" s="1130"/>
      <c r="J153" s="1130"/>
      <c r="K153" s="1130"/>
      <c r="L153" s="1130"/>
      <c r="M153" s="1130"/>
      <c r="N153" s="1130"/>
      <c r="O153" s="1130"/>
      <c r="P153" s="1130"/>
      <c r="Q153" s="1130"/>
      <c r="R153" s="1130"/>
      <c r="S153" s="1130"/>
      <c r="T153" s="1130"/>
      <c r="U153" s="1130"/>
      <c r="V153" s="1130"/>
      <c r="W153" s="1130"/>
      <c r="X153" s="1130"/>
      <c r="Y153" s="1130"/>
      <c r="Z153" s="1130"/>
    </row>
    <row r="154" spans="1:26" ht="15.75" customHeight="1">
      <c r="A154" s="1130"/>
      <c r="B154" s="1130"/>
      <c r="C154" s="1130"/>
      <c r="D154" s="1130"/>
      <c r="E154" s="1130"/>
      <c r="F154" s="1130"/>
      <c r="G154" s="1130"/>
      <c r="H154" s="1130"/>
      <c r="I154" s="1130"/>
      <c r="J154" s="1130"/>
      <c r="K154" s="1130"/>
      <c r="L154" s="1130"/>
      <c r="M154" s="1130"/>
      <c r="N154" s="1130"/>
      <c r="O154" s="1130"/>
      <c r="P154" s="1130"/>
      <c r="Q154" s="1130"/>
      <c r="R154" s="1130"/>
      <c r="S154" s="1130"/>
      <c r="T154" s="1130"/>
      <c r="U154" s="1130"/>
      <c r="V154" s="1130"/>
      <c r="W154" s="1130"/>
      <c r="X154" s="1130"/>
      <c r="Y154" s="1130"/>
      <c r="Z154" s="1130"/>
    </row>
    <row r="155" spans="1:26" ht="15.75" customHeight="1">
      <c r="A155" s="1130"/>
      <c r="B155" s="1130"/>
      <c r="C155" s="1130"/>
      <c r="D155" s="1130"/>
      <c r="E155" s="1130"/>
      <c r="F155" s="1130"/>
      <c r="G155" s="1130"/>
      <c r="H155" s="1130"/>
      <c r="I155" s="1130"/>
      <c r="J155" s="1130"/>
      <c r="K155" s="1130"/>
      <c r="L155" s="1130"/>
      <c r="M155" s="1130"/>
      <c r="N155" s="1130"/>
      <c r="O155" s="1130"/>
      <c r="P155" s="1130"/>
      <c r="Q155" s="1130"/>
      <c r="R155" s="1130"/>
      <c r="S155" s="1130"/>
      <c r="T155" s="1130"/>
      <c r="U155" s="1130"/>
      <c r="V155" s="1130"/>
      <c r="W155" s="1130"/>
      <c r="X155" s="1130"/>
      <c r="Y155" s="1130"/>
      <c r="Z155" s="1130"/>
    </row>
    <row r="156" spans="1:26" ht="15.75" customHeight="1">
      <c r="A156" s="1130"/>
      <c r="B156" s="1130"/>
      <c r="C156" s="1130"/>
      <c r="D156" s="1130"/>
      <c r="E156" s="1130"/>
      <c r="F156" s="1130"/>
      <c r="G156" s="1130"/>
      <c r="H156" s="1130"/>
      <c r="I156" s="1130"/>
      <c r="J156" s="1130"/>
      <c r="K156" s="1130"/>
      <c r="L156" s="1130"/>
      <c r="M156" s="1130"/>
      <c r="N156" s="1130"/>
      <c r="O156" s="1130"/>
      <c r="P156" s="1130"/>
      <c r="Q156" s="1130"/>
      <c r="R156" s="1130"/>
      <c r="S156" s="1130"/>
      <c r="T156" s="1130"/>
      <c r="U156" s="1130"/>
      <c r="V156" s="1130"/>
      <c r="W156" s="1130"/>
      <c r="X156" s="1130"/>
      <c r="Y156" s="1130"/>
      <c r="Z156" s="1130"/>
    </row>
    <row r="157" spans="1:26" ht="15.75" customHeight="1">
      <c r="A157" s="1130"/>
      <c r="B157" s="1130"/>
      <c r="C157" s="1130"/>
      <c r="D157" s="1130"/>
      <c r="E157" s="1130"/>
      <c r="F157" s="1130"/>
      <c r="G157" s="1130"/>
      <c r="H157" s="1130"/>
      <c r="I157" s="1130"/>
      <c r="J157" s="1130"/>
      <c r="K157" s="1130"/>
      <c r="L157" s="1130"/>
      <c r="M157" s="1130"/>
      <c r="N157" s="1130"/>
      <c r="O157" s="1130"/>
      <c r="P157" s="1130"/>
      <c r="Q157" s="1130"/>
      <c r="R157" s="1130"/>
      <c r="S157" s="1130"/>
      <c r="T157" s="1130"/>
      <c r="U157" s="1130"/>
      <c r="V157" s="1130"/>
      <c r="W157" s="1130"/>
      <c r="X157" s="1130"/>
      <c r="Y157" s="1130"/>
      <c r="Z157" s="1130"/>
    </row>
    <row r="158" spans="1:26" ht="15.75" customHeight="1">
      <c r="A158" s="1130"/>
      <c r="B158" s="1130"/>
      <c r="C158" s="1130"/>
      <c r="D158" s="1130"/>
      <c r="E158" s="1130"/>
      <c r="F158" s="1130"/>
      <c r="G158" s="1130"/>
      <c r="H158" s="1130"/>
      <c r="I158" s="1130"/>
      <c r="J158" s="1130"/>
      <c r="K158" s="1130"/>
      <c r="L158" s="1130"/>
      <c r="M158" s="1130"/>
      <c r="N158" s="1130"/>
      <c r="O158" s="1130"/>
      <c r="P158" s="1130"/>
      <c r="Q158" s="1130"/>
      <c r="R158" s="1130"/>
      <c r="S158" s="1130"/>
      <c r="T158" s="1130"/>
      <c r="U158" s="1130"/>
      <c r="V158" s="1130"/>
      <c r="W158" s="1130"/>
      <c r="X158" s="1130"/>
      <c r="Y158" s="1130"/>
      <c r="Z158" s="1130"/>
    </row>
    <row r="159" spans="1:26" ht="15.75" customHeight="1">
      <c r="A159" s="1130"/>
      <c r="B159" s="1130"/>
      <c r="C159" s="1130"/>
      <c r="D159" s="1130"/>
      <c r="E159" s="1130"/>
      <c r="F159" s="1130"/>
      <c r="G159" s="1130"/>
      <c r="H159" s="1130"/>
      <c r="I159" s="1130"/>
      <c r="J159" s="1130"/>
      <c r="K159" s="1130"/>
      <c r="L159" s="1130"/>
      <c r="M159" s="1130"/>
      <c r="N159" s="1130"/>
      <c r="O159" s="1130"/>
      <c r="P159" s="1130"/>
      <c r="Q159" s="1130"/>
      <c r="R159" s="1130"/>
      <c r="S159" s="1130"/>
      <c r="T159" s="1130"/>
      <c r="U159" s="1130"/>
      <c r="V159" s="1130"/>
      <c r="W159" s="1130"/>
      <c r="X159" s="1130"/>
      <c r="Y159" s="1130"/>
      <c r="Z159" s="1130"/>
    </row>
    <row r="160" spans="1:26" ht="15.75" customHeight="1">
      <c r="A160" s="1130"/>
      <c r="B160" s="1130"/>
      <c r="C160" s="1130"/>
      <c r="D160" s="1130"/>
      <c r="E160" s="1130"/>
      <c r="F160" s="1130"/>
      <c r="G160" s="1130"/>
      <c r="H160" s="1130"/>
      <c r="I160" s="1130"/>
      <c r="J160" s="1130"/>
      <c r="K160" s="1130"/>
      <c r="L160" s="1130"/>
      <c r="M160" s="1130"/>
      <c r="N160" s="1130"/>
      <c r="O160" s="1130"/>
      <c r="P160" s="1130"/>
      <c r="Q160" s="1130"/>
      <c r="R160" s="1130"/>
      <c r="S160" s="1130"/>
      <c r="T160" s="1130"/>
      <c r="U160" s="1130"/>
      <c r="V160" s="1130"/>
      <c r="W160" s="1130"/>
      <c r="X160" s="1130"/>
      <c r="Y160" s="1130"/>
      <c r="Z160" s="1130"/>
    </row>
    <row r="161" spans="1:26" ht="15.75" customHeight="1">
      <c r="A161" s="1130"/>
      <c r="B161" s="1130"/>
      <c r="C161" s="1130"/>
      <c r="D161" s="1130"/>
      <c r="E161" s="1130"/>
      <c r="F161" s="1130"/>
      <c r="G161" s="1130"/>
      <c r="H161" s="1130"/>
      <c r="I161" s="1130"/>
      <c r="J161" s="1130"/>
      <c r="K161" s="1130"/>
      <c r="L161" s="1130"/>
      <c r="M161" s="1130"/>
      <c r="N161" s="1130"/>
      <c r="O161" s="1130"/>
      <c r="P161" s="1130"/>
      <c r="Q161" s="1130"/>
      <c r="R161" s="1130"/>
      <c r="S161" s="1130"/>
      <c r="T161" s="1130"/>
      <c r="U161" s="1130"/>
      <c r="V161" s="1130"/>
      <c r="W161" s="1130"/>
      <c r="X161" s="1130"/>
      <c r="Y161" s="1130"/>
      <c r="Z161" s="1130"/>
    </row>
    <row r="162" spans="1:26" ht="15.75" customHeight="1">
      <c r="A162" s="1130"/>
      <c r="B162" s="1130"/>
      <c r="C162" s="1130"/>
      <c r="D162" s="1130"/>
      <c r="E162" s="1130"/>
      <c r="F162" s="1130"/>
      <c r="G162" s="1130"/>
      <c r="H162" s="1130"/>
      <c r="I162" s="1130"/>
      <c r="J162" s="1130"/>
      <c r="K162" s="1130"/>
      <c r="L162" s="1130"/>
      <c r="M162" s="1130"/>
      <c r="N162" s="1130"/>
      <c r="O162" s="1130"/>
      <c r="P162" s="1130"/>
      <c r="Q162" s="1130"/>
      <c r="R162" s="1130"/>
      <c r="S162" s="1130"/>
      <c r="T162" s="1130"/>
      <c r="U162" s="1130"/>
      <c r="V162" s="1130"/>
      <c r="W162" s="1130"/>
      <c r="X162" s="1130"/>
      <c r="Y162" s="1130"/>
      <c r="Z162" s="1130"/>
    </row>
    <row r="163" spans="1:26" ht="15.75" customHeight="1">
      <c r="A163" s="1130"/>
      <c r="B163" s="1130"/>
      <c r="C163" s="1130"/>
      <c r="D163" s="1130"/>
      <c r="E163" s="1130"/>
      <c r="F163" s="1130"/>
      <c r="G163" s="1130"/>
      <c r="H163" s="1130"/>
      <c r="I163" s="1130"/>
      <c r="J163" s="1130"/>
      <c r="K163" s="1130"/>
      <c r="L163" s="1130"/>
      <c r="M163" s="1130"/>
      <c r="N163" s="1130"/>
      <c r="O163" s="1130"/>
      <c r="P163" s="1130"/>
      <c r="Q163" s="1130"/>
      <c r="R163" s="1130"/>
      <c r="S163" s="1130"/>
      <c r="T163" s="1130"/>
      <c r="U163" s="1130"/>
      <c r="V163" s="1130"/>
      <c r="W163" s="1130"/>
      <c r="X163" s="1130"/>
      <c r="Y163" s="1130"/>
      <c r="Z163" s="1130"/>
    </row>
    <row r="164" spans="1:26" ht="15.75" customHeight="1">
      <c r="A164" s="1130"/>
      <c r="B164" s="1130"/>
      <c r="C164" s="1130"/>
      <c r="D164" s="1130"/>
      <c r="E164" s="1130"/>
      <c r="F164" s="1130"/>
      <c r="G164" s="1130"/>
      <c r="H164" s="1130"/>
      <c r="I164" s="1130"/>
      <c r="J164" s="1130"/>
      <c r="K164" s="1130"/>
      <c r="L164" s="1130"/>
      <c r="M164" s="1130"/>
      <c r="N164" s="1130"/>
      <c r="O164" s="1130"/>
      <c r="P164" s="1130"/>
      <c r="Q164" s="1130"/>
      <c r="R164" s="1130"/>
      <c r="S164" s="1130"/>
      <c r="T164" s="1130"/>
      <c r="U164" s="1130"/>
      <c r="V164" s="1130"/>
      <c r="W164" s="1130"/>
      <c r="X164" s="1130"/>
      <c r="Y164" s="1130"/>
      <c r="Z164" s="1130"/>
    </row>
    <row r="165" spans="1:26" ht="15.75" customHeight="1">
      <c r="A165" s="1130"/>
      <c r="B165" s="1130"/>
      <c r="C165" s="1130"/>
      <c r="D165" s="1130"/>
      <c r="E165" s="1130"/>
      <c r="F165" s="1130"/>
      <c r="G165" s="1130"/>
      <c r="H165" s="1130"/>
      <c r="I165" s="1130"/>
      <c r="J165" s="1130"/>
      <c r="K165" s="1130"/>
      <c r="L165" s="1130"/>
      <c r="M165" s="1130"/>
      <c r="N165" s="1130"/>
      <c r="O165" s="1130"/>
      <c r="P165" s="1130"/>
      <c r="Q165" s="1130"/>
      <c r="R165" s="1130"/>
      <c r="S165" s="1130"/>
      <c r="T165" s="1130"/>
      <c r="U165" s="1130"/>
      <c r="V165" s="1130"/>
      <c r="W165" s="1130"/>
      <c r="X165" s="1130"/>
      <c r="Y165" s="1130"/>
      <c r="Z165" s="1130"/>
    </row>
    <row r="166" spans="1:26" ht="15.75" customHeight="1">
      <c r="A166" s="1130"/>
      <c r="B166" s="1130"/>
      <c r="C166" s="1130"/>
      <c r="D166" s="1130"/>
      <c r="E166" s="1130"/>
      <c r="F166" s="1130"/>
      <c r="G166" s="1130"/>
      <c r="H166" s="1130"/>
      <c r="I166" s="1130"/>
      <c r="J166" s="1130"/>
      <c r="K166" s="1130"/>
      <c r="L166" s="1130"/>
      <c r="M166" s="1130"/>
      <c r="N166" s="1130"/>
      <c r="O166" s="1130"/>
      <c r="P166" s="1130"/>
      <c r="Q166" s="1130"/>
      <c r="R166" s="1130"/>
      <c r="S166" s="1130"/>
      <c r="T166" s="1130"/>
      <c r="U166" s="1130"/>
      <c r="V166" s="1130"/>
      <c r="W166" s="1130"/>
      <c r="X166" s="1130"/>
      <c r="Y166" s="1130"/>
      <c r="Z166" s="1130"/>
    </row>
    <row r="167" spans="1:26" ht="15.75" customHeight="1">
      <c r="A167" s="1130"/>
      <c r="B167" s="1130"/>
      <c r="C167" s="1130"/>
      <c r="D167" s="1130"/>
      <c r="E167" s="1130"/>
      <c r="F167" s="1130"/>
      <c r="G167" s="1130"/>
      <c r="H167" s="1130"/>
      <c r="I167" s="1130"/>
      <c r="J167" s="1130"/>
      <c r="K167" s="1130"/>
      <c r="L167" s="1130"/>
      <c r="M167" s="1130"/>
      <c r="N167" s="1130"/>
      <c r="O167" s="1130"/>
      <c r="P167" s="1130"/>
      <c r="Q167" s="1130"/>
      <c r="R167" s="1130"/>
      <c r="S167" s="1130"/>
      <c r="T167" s="1130"/>
      <c r="U167" s="1130"/>
      <c r="V167" s="1130"/>
      <c r="W167" s="1130"/>
      <c r="X167" s="1130"/>
      <c r="Y167" s="1130"/>
      <c r="Z167" s="1130"/>
    </row>
    <row r="168" spans="1:26" ht="15.75" customHeight="1">
      <c r="A168" s="1130"/>
      <c r="B168" s="1130"/>
      <c r="C168" s="1130"/>
      <c r="D168" s="1130"/>
      <c r="E168" s="1130"/>
      <c r="F168" s="1130"/>
      <c r="G168" s="1130"/>
      <c r="H168" s="1130"/>
      <c r="I168" s="1130"/>
      <c r="J168" s="1130"/>
      <c r="K168" s="1130"/>
      <c r="L168" s="1130"/>
      <c r="M168" s="1130"/>
      <c r="N168" s="1130"/>
      <c r="O168" s="1130"/>
      <c r="P168" s="1130"/>
      <c r="Q168" s="1130"/>
      <c r="R168" s="1130"/>
      <c r="S168" s="1130"/>
      <c r="T168" s="1130"/>
      <c r="U168" s="1130"/>
      <c r="V168" s="1130"/>
      <c r="W168" s="1130"/>
      <c r="X168" s="1130"/>
      <c r="Y168" s="1130"/>
      <c r="Z168" s="1130"/>
    </row>
    <row r="169" spans="1:26" ht="15.75" customHeight="1">
      <c r="A169" s="1130"/>
      <c r="B169" s="1130"/>
      <c r="C169" s="1130"/>
      <c r="D169" s="1130"/>
      <c r="E169" s="1130"/>
      <c r="F169" s="1130"/>
      <c r="G169" s="1130"/>
      <c r="H169" s="1130"/>
      <c r="I169" s="1130"/>
      <c r="J169" s="1130"/>
      <c r="K169" s="1130"/>
      <c r="L169" s="1130"/>
      <c r="M169" s="1130"/>
      <c r="N169" s="1130"/>
      <c r="O169" s="1130"/>
      <c r="P169" s="1130"/>
      <c r="Q169" s="1130"/>
      <c r="R169" s="1130"/>
      <c r="S169" s="1130"/>
      <c r="T169" s="1130"/>
      <c r="U169" s="1130"/>
      <c r="V169" s="1130"/>
      <c r="W169" s="1130"/>
      <c r="X169" s="1130"/>
      <c r="Y169" s="1130"/>
      <c r="Z169" s="1130"/>
    </row>
    <row r="170" spans="1:26" ht="15.75" customHeight="1">
      <c r="A170" s="1130"/>
      <c r="B170" s="1130"/>
      <c r="C170" s="1130"/>
      <c r="D170" s="1130"/>
      <c r="E170" s="1130"/>
      <c r="F170" s="1130"/>
      <c r="G170" s="1130"/>
      <c r="H170" s="1130"/>
      <c r="I170" s="1130"/>
      <c r="J170" s="1130"/>
      <c r="K170" s="1130"/>
      <c r="L170" s="1130"/>
      <c r="M170" s="1130"/>
      <c r="N170" s="1130"/>
      <c r="O170" s="1130"/>
      <c r="P170" s="1130"/>
      <c r="Q170" s="1130"/>
      <c r="R170" s="1130"/>
      <c r="S170" s="1130"/>
      <c r="T170" s="1130"/>
      <c r="U170" s="1130"/>
      <c r="V170" s="1130"/>
      <c r="W170" s="1130"/>
      <c r="X170" s="1130"/>
      <c r="Y170" s="1130"/>
      <c r="Z170" s="1130"/>
    </row>
    <row r="171" spans="1:26" ht="15.75" customHeight="1">
      <c r="A171" s="1130"/>
      <c r="B171" s="1130"/>
      <c r="C171" s="1130"/>
      <c r="D171" s="1130"/>
      <c r="E171" s="1130"/>
      <c r="F171" s="1130"/>
      <c r="G171" s="1130"/>
      <c r="H171" s="1130"/>
      <c r="I171" s="1130"/>
      <c r="J171" s="1130"/>
      <c r="K171" s="1130"/>
      <c r="L171" s="1130"/>
      <c r="M171" s="1130"/>
      <c r="N171" s="1130"/>
      <c r="O171" s="1130"/>
      <c r="P171" s="1130"/>
      <c r="Q171" s="1130"/>
      <c r="R171" s="1130"/>
      <c r="S171" s="1130"/>
      <c r="T171" s="1130"/>
      <c r="U171" s="1130"/>
      <c r="V171" s="1130"/>
      <c r="W171" s="1130"/>
      <c r="X171" s="1130"/>
      <c r="Y171" s="1130"/>
      <c r="Z171" s="1130"/>
    </row>
    <row r="172" spans="1:26" ht="15.75" customHeight="1">
      <c r="A172" s="1130"/>
      <c r="B172" s="1130"/>
      <c r="C172" s="1130"/>
      <c r="D172" s="1130"/>
      <c r="E172" s="1130"/>
      <c r="F172" s="1130"/>
      <c r="G172" s="1130"/>
      <c r="H172" s="1130"/>
      <c r="I172" s="1130"/>
      <c r="J172" s="1130"/>
      <c r="K172" s="1130"/>
      <c r="L172" s="1130"/>
      <c r="M172" s="1130"/>
      <c r="N172" s="1130"/>
      <c r="O172" s="1130"/>
      <c r="P172" s="1130"/>
      <c r="Q172" s="1130"/>
      <c r="R172" s="1130"/>
      <c r="S172" s="1130"/>
      <c r="T172" s="1130"/>
      <c r="U172" s="1130"/>
      <c r="V172" s="1130"/>
      <c r="W172" s="1130"/>
      <c r="X172" s="1130"/>
      <c r="Y172" s="1130"/>
      <c r="Z172" s="1130"/>
    </row>
    <row r="173" spans="1:26" ht="15.75" customHeight="1">
      <c r="A173" s="1130"/>
      <c r="B173" s="1130"/>
      <c r="C173" s="1130"/>
      <c r="D173" s="1130"/>
      <c r="E173" s="1130"/>
      <c r="F173" s="1130"/>
      <c r="G173" s="1130"/>
      <c r="H173" s="1130"/>
      <c r="I173" s="1130"/>
      <c r="J173" s="1130"/>
      <c r="K173" s="1130"/>
      <c r="L173" s="1130"/>
      <c r="M173" s="1130"/>
      <c r="N173" s="1130"/>
      <c r="O173" s="1130"/>
      <c r="P173" s="1130"/>
      <c r="Q173" s="1130"/>
      <c r="R173" s="1130"/>
      <c r="S173" s="1130"/>
      <c r="T173" s="1130"/>
      <c r="U173" s="1130"/>
      <c r="V173" s="1130"/>
      <c r="W173" s="1130"/>
      <c r="X173" s="1130"/>
      <c r="Y173" s="1130"/>
      <c r="Z173" s="1130"/>
    </row>
    <row r="174" spans="1:26" ht="15.75" customHeight="1">
      <c r="A174" s="1130"/>
      <c r="B174" s="1130"/>
      <c r="C174" s="1130"/>
      <c r="D174" s="1130"/>
      <c r="E174" s="1130"/>
      <c r="F174" s="1130"/>
      <c r="G174" s="1130"/>
      <c r="H174" s="1130"/>
      <c r="I174" s="1130"/>
      <c r="J174" s="1130"/>
      <c r="K174" s="1130"/>
      <c r="L174" s="1130"/>
      <c r="M174" s="1130"/>
      <c r="N174" s="1130"/>
      <c r="O174" s="1130"/>
      <c r="P174" s="1130"/>
      <c r="Q174" s="1130"/>
      <c r="R174" s="1130"/>
      <c r="S174" s="1130"/>
      <c r="T174" s="1130"/>
      <c r="U174" s="1130"/>
      <c r="V174" s="1130"/>
      <c r="W174" s="1130"/>
      <c r="X174" s="1130"/>
      <c r="Y174" s="1130"/>
      <c r="Z174" s="1130"/>
    </row>
    <row r="175" spans="1:26" ht="15.75" customHeight="1">
      <c r="A175" s="1130"/>
      <c r="B175" s="1130"/>
      <c r="C175" s="1130"/>
      <c r="D175" s="1130"/>
      <c r="E175" s="1130"/>
      <c r="F175" s="1130"/>
      <c r="G175" s="1130"/>
      <c r="H175" s="1130"/>
      <c r="I175" s="1130"/>
      <c r="J175" s="1130"/>
      <c r="K175" s="1130"/>
      <c r="L175" s="1130"/>
      <c r="M175" s="1130"/>
      <c r="N175" s="1130"/>
      <c r="O175" s="1130"/>
      <c r="P175" s="1130"/>
      <c r="Q175" s="1130"/>
      <c r="R175" s="1130"/>
      <c r="S175" s="1130"/>
      <c r="T175" s="1130"/>
      <c r="U175" s="1130"/>
      <c r="V175" s="1130"/>
      <c r="W175" s="1130"/>
      <c r="X175" s="1130"/>
      <c r="Y175" s="1130"/>
      <c r="Z175" s="1130"/>
    </row>
    <row r="176" spans="1:26" ht="15.75" customHeight="1">
      <c r="A176" s="1130"/>
      <c r="B176" s="1130"/>
      <c r="C176" s="1130"/>
      <c r="D176" s="1130"/>
      <c r="E176" s="1130"/>
      <c r="F176" s="1130"/>
      <c r="G176" s="1130"/>
      <c r="H176" s="1130"/>
      <c r="I176" s="1130"/>
      <c r="J176" s="1130"/>
      <c r="K176" s="1130"/>
      <c r="L176" s="1130"/>
      <c r="M176" s="1130"/>
      <c r="N176" s="1130"/>
      <c r="O176" s="1130"/>
      <c r="P176" s="1130"/>
      <c r="Q176" s="1130"/>
      <c r="R176" s="1130"/>
      <c r="S176" s="1130"/>
      <c r="T176" s="1130"/>
      <c r="U176" s="1130"/>
      <c r="V176" s="1130"/>
      <c r="W176" s="1130"/>
      <c r="X176" s="1130"/>
      <c r="Y176" s="1130"/>
      <c r="Z176" s="1130"/>
    </row>
    <row r="177" spans="1:26" ht="15.75" customHeight="1">
      <c r="A177" s="1130"/>
      <c r="B177" s="1130"/>
      <c r="C177" s="1130"/>
      <c r="D177" s="1130"/>
      <c r="E177" s="1130"/>
      <c r="F177" s="1130"/>
      <c r="G177" s="1130"/>
      <c r="H177" s="1130"/>
      <c r="I177" s="1130"/>
      <c r="J177" s="1130"/>
      <c r="K177" s="1130"/>
      <c r="L177" s="1130"/>
      <c r="M177" s="1130"/>
      <c r="N177" s="1130"/>
      <c r="O177" s="1130"/>
      <c r="P177" s="1130"/>
      <c r="Q177" s="1130"/>
      <c r="R177" s="1130"/>
      <c r="S177" s="1130"/>
      <c r="T177" s="1130"/>
      <c r="U177" s="1130"/>
      <c r="V177" s="1130"/>
      <c r="W177" s="1130"/>
      <c r="X177" s="1130"/>
      <c r="Y177" s="1130"/>
      <c r="Z177" s="1130"/>
    </row>
    <row r="178" spans="1:26" ht="15.75" customHeight="1">
      <c r="A178" s="1130"/>
      <c r="B178" s="1130"/>
      <c r="C178" s="1130"/>
      <c r="D178" s="1130"/>
      <c r="E178" s="1130"/>
      <c r="F178" s="1130"/>
      <c r="G178" s="1130"/>
      <c r="H178" s="1130"/>
      <c r="I178" s="1130"/>
      <c r="J178" s="1130"/>
      <c r="K178" s="1130"/>
      <c r="L178" s="1130"/>
      <c r="M178" s="1130"/>
      <c r="N178" s="1130"/>
      <c r="O178" s="1130"/>
      <c r="P178" s="1130"/>
      <c r="Q178" s="1130"/>
      <c r="R178" s="1130"/>
      <c r="S178" s="1130"/>
      <c r="T178" s="1130"/>
      <c r="U178" s="1130"/>
      <c r="V178" s="1130"/>
      <c r="W178" s="1130"/>
      <c r="X178" s="1130"/>
      <c r="Y178" s="1130"/>
      <c r="Z178" s="1130"/>
    </row>
    <row r="179" spans="1:26" ht="15.75" customHeight="1">
      <c r="A179" s="1130"/>
      <c r="B179" s="1130"/>
      <c r="C179" s="1130"/>
      <c r="D179" s="1130"/>
      <c r="E179" s="1130"/>
      <c r="F179" s="1130"/>
      <c r="G179" s="1130"/>
      <c r="H179" s="1130"/>
      <c r="I179" s="1130"/>
      <c r="J179" s="1130"/>
      <c r="K179" s="1130"/>
      <c r="L179" s="1130"/>
      <c r="M179" s="1130"/>
      <c r="N179" s="1130"/>
      <c r="O179" s="1130"/>
      <c r="P179" s="1130"/>
      <c r="Q179" s="1130"/>
      <c r="R179" s="1130"/>
      <c r="S179" s="1130"/>
      <c r="T179" s="1130"/>
      <c r="U179" s="1130"/>
      <c r="V179" s="1130"/>
      <c r="W179" s="1130"/>
      <c r="X179" s="1130"/>
      <c r="Y179" s="1130"/>
      <c r="Z179" s="1130"/>
    </row>
    <row r="180" spans="1:26" ht="15.75" customHeight="1">
      <c r="A180" s="1130"/>
      <c r="B180" s="1130"/>
      <c r="C180" s="1130"/>
      <c r="D180" s="1130"/>
      <c r="E180" s="1130"/>
      <c r="F180" s="1130"/>
      <c r="G180" s="1130"/>
      <c r="H180" s="1130"/>
      <c r="I180" s="1130"/>
      <c r="J180" s="1130"/>
      <c r="K180" s="1130"/>
      <c r="L180" s="1130"/>
      <c r="M180" s="1130"/>
      <c r="N180" s="1130"/>
      <c r="O180" s="1130"/>
      <c r="P180" s="1130"/>
      <c r="Q180" s="1130"/>
      <c r="R180" s="1130"/>
      <c r="S180" s="1130"/>
      <c r="T180" s="1130"/>
      <c r="U180" s="1130"/>
      <c r="V180" s="1130"/>
      <c r="W180" s="1130"/>
      <c r="X180" s="1130"/>
      <c r="Y180" s="1130"/>
      <c r="Z180" s="1130"/>
    </row>
    <row r="181" spans="1:26" ht="15.75" customHeight="1">
      <c r="A181" s="1130"/>
      <c r="B181" s="1130"/>
      <c r="C181" s="1130"/>
      <c r="D181" s="1130"/>
      <c r="E181" s="1130"/>
      <c r="F181" s="1130"/>
      <c r="G181" s="1130"/>
      <c r="H181" s="1130"/>
      <c r="I181" s="1130"/>
      <c r="J181" s="1130"/>
      <c r="K181" s="1130"/>
      <c r="L181" s="1130"/>
      <c r="M181" s="1130"/>
      <c r="N181" s="1130"/>
      <c r="O181" s="1130"/>
      <c r="P181" s="1130"/>
      <c r="Q181" s="1130"/>
      <c r="R181" s="1130"/>
      <c r="S181" s="1130"/>
      <c r="T181" s="1130"/>
      <c r="U181" s="1130"/>
      <c r="V181" s="1130"/>
      <c r="W181" s="1130"/>
      <c r="X181" s="1130"/>
      <c r="Y181" s="1130"/>
      <c r="Z181" s="1130"/>
    </row>
    <row r="182" spans="1:26" ht="15.75" customHeight="1">
      <c r="A182" s="1130"/>
      <c r="B182" s="1130"/>
      <c r="C182" s="1130"/>
      <c r="D182" s="1130"/>
      <c r="E182" s="1130"/>
      <c r="F182" s="1130"/>
      <c r="G182" s="1130"/>
      <c r="H182" s="1130"/>
      <c r="I182" s="1130"/>
      <c r="J182" s="1130"/>
      <c r="K182" s="1130"/>
      <c r="L182" s="1130"/>
      <c r="M182" s="1130"/>
      <c r="N182" s="1130"/>
      <c r="O182" s="1130"/>
      <c r="P182" s="1130"/>
      <c r="Q182" s="1130"/>
      <c r="R182" s="1130"/>
      <c r="S182" s="1130"/>
      <c r="T182" s="1130"/>
      <c r="U182" s="1130"/>
      <c r="V182" s="1130"/>
      <c r="W182" s="1130"/>
      <c r="X182" s="1130"/>
      <c r="Y182" s="1130"/>
      <c r="Z182" s="1130"/>
    </row>
    <row r="183" spans="1:26" ht="15.75" customHeight="1">
      <c r="A183" s="1130"/>
      <c r="B183" s="1130"/>
      <c r="C183" s="1130"/>
      <c r="D183" s="1130"/>
      <c r="E183" s="1130"/>
      <c r="F183" s="1130"/>
      <c r="G183" s="1130"/>
      <c r="H183" s="1130"/>
      <c r="I183" s="1130"/>
      <c r="J183" s="1130"/>
      <c r="K183" s="1130"/>
      <c r="L183" s="1130"/>
      <c r="M183" s="1130"/>
      <c r="N183" s="1130"/>
      <c r="O183" s="1130"/>
      <c r="P183" s="1130"/>
      <c r="Q183" s="1130"/>
      <c r="R183" s="1130"/>
      <c r="S183" s="1130"/>
      <c r="T183" s="1130"/>
      <c r="U183" s="1130"/>
      <c r="V183" s="1130"/>
      <c r="W183" s="1130"/>
      <c r="X183" s="1130"/>
      <c r="Y183" s="1130"/>
      <c r="Z183" s="1130"/>
    </row>
    <row r="184" spans="1:26" ht="15.75" customHeight="1">
      <c r="A184" s="1130"/>
      <c r="B184" s="1130"/>
      <c r="C184" s="1130"/>
      <c r="D184" s="1130"/>
      <c r="E184" s="1130"/>
      <c r="F184" s="1130"/>
      <c r="G184" s="1130"/>
      <c r="H184" s="1130"/>
      <c r="I184" s="1130"/>
      <c r="J184" s="1130"/>
      <c r="K184" s="1130"/>
      <c r="L184" s="1130"/>
      <c r="M184" s="1130"/>
      <c r="N184" s="1130"/>
      <c r="O184" s="1130"/>
      <c r="P184" s="1130"/>
      <c r="Q184" s="1130"/>
      <c r="R184" s="1130"/>
      <c r="S184" s="1130"/>
      <c r="T184" s="1130"/>
      <c r="U184" s="1130"/>
      <c r="V184" s="1130"/>
      <c r="W184" s="1130"/>
      <c r="X184" s="1130"/>
      <c r="Y184" s="1130"/>
      <c r="Z184" s="1130"/>
    </row>
    <row r="185" spans="1:26" ht="15.75" customHeight="1">
      <c r="A185" s="1130"/>
      <c r="B185" s="1130"/>
      <c r="C185" s="1130"/>
      <c r="D185" s="1130"/>
      <c r="E185" s="1130"/>
      <c r="F185" s="1130"/>
      <c r="G185" s="1130"/>
      <c r="H185" s="1130"/>
      <c r="I185" s="1130"/>
      <c r="J185" s="1130"/>
      <c r="K185" s="1130"/>
      <c r="L185" s="1130"/>
      <c r="M185" s="1130"/>
      <c r="N185" s="1130"/>
      <c r="O185" s="1130"/>
      <c r="P185" s="1130"/>
      <c r="Q185" s="1130"/>
      <c r="R185" s="1130"/>
      <c r="S185" s="1130"/>
      <c r="T185" s="1130"/>
      <c r="U185" s="1130"/>
      <c r="V185" s="1130"/>
      <c r="W185" s="1130"/>
      <c r="X185" s="1130"/>
      <c r="Y185" s="1130"/>
      <c r="Z185" s="1130"/>
    </row>
    <row r="186" spans="1:26" ht="15.75" customHeight="1">
      <c r="A186" s="1130"/>
      <c r="B186" s="1130"/>
      <c r="C186" s="1130"/>
      <c r="D186" s="1130"/>
      <c r="E186" s="1130"/>
      <c r="F186" s="1130"/>
      <c r="G186" s="1130"/>
      <c r="H186" s="1130"/>
      <c r="I186" s="1130"/>
      <c r="J186" s="1130"/>
      <c r="K186" s="1130"/>
      <c r="L186" s="1130"/>
      <c r="M186" s="1130"/>
      <c r="N186" s="1130"/>
      <c r="O186" s="1130"/>
      <c r="P186" s="1130"/>
      <c r="Q186" s="1130"/>
      <c r="R186" s="1130"/>
      <c r="S186" s="1130"/>
      <c r="T186" s="1130"/>
      <c r="U186" s="1130"/>
      <c r="V186" s="1130"/>
      <c r="W186" s="1130"/>
      <c r="X186" s="1130"/>
      <c r="Y186" s="1130"/>
      <c r="Z186" s="1130"/>
    </row>
    <row r="187" spans="1:26" ht="15.75" customHeight="1">
      <c r="A187" s="1130"/>
      <c r="B187" s="1130"/>
      <c r="C187" s="1130"/>
      <c r="D187" s="1130"/>
      <c r="E187" s="1130"/>
      <c r="F187" s="1130"/>
      <c r="G187" s="1130"/>
      <c r="H187" s="1130"/>
      <c r="I187" s="1130"/>
      <c r="J187" s="1130"/>
      <c r="K187" s="1130"/>
      <c r="L187" s="1130"/>
      <c r="M187" s="1130"/>
      <c r="N187" s="1130"/>
      <c r="O187" s="1130"/>
      <c r="P187" s="1130"/>
      <c r="Q187" s="1130"/>
      <c r="R187" s="1130"/>
      <c r="S187" s="1130"/>
      <c r="T187" s="1130"/>
      <c r="U187" s="1130"/>
      <c r="V187" s="1130"/>
      <c r="W187" s="1130"/>
      <c r="X187" s="1130"/>
      <c r="Y187" s="1130"/>
      <c r="Z187" s="1130"/>
    </row>
    <row r="188" spans="1:26" ht="15.75" customHeight="1">
      <c r="A188" s="1130"/>
      <c r="B188" s="1130"/>
      <c r="C188" s="1130"/>
      <c r="D188" s="1130"/>
      <c r="E188" s="1130"/>
      <c r="F188" s="1130"/>
      <c r="G188" s="1130"/>
      <c r="H188" s="1130"/>
      <c r="I188" s="1130"/>
      <c r="J188" s="1130"/>
      <c r="K188" s="1130"/>
      <c r="L188" s="1130"/>
      <c r="M188" s="1130"/>
      <c r="N188" s="1130"/>
      <c r="O188" s="1130"/>
      <c r="P188" s="1130"/>
      <c r="Q188" s="1130"/>
      <c r="R188" s="1130"/>
      <c r="S188" s="1130"/>
      <c r="T188" s="1130"/>
      <c r="U188" s="1130"/>
      <c r="V188" s="1130"/>
      <c r="W188" s="1130"/>
      <c r="X188" s="1130"/>
      <c r="Y188" s="1130"/>
      <c r="Z188" s="1130"/>
    </row>
    <row r="189" spans="1:26" ht="15.75" customHeight="1">
      <c r="A189" s="1130"/>
      <c r="B189" s="1130"/>
      <c r="C189" s="1130"/>
      <c r="D189" s="1130"/>
      <c r="E189" s="1130"/>
      <c r="F189" s="1130"/>
      <c r="G189" s="1130"/>
      <c r="H189" s="1130"/>
      <c r="I189" s="1130"/>
      <c r="J189" s="1130"/>
      <c r="K189" s="1130"/>
      <c r="L189" s="1130"/>
      <c r="M189" s="1130"/>
      <c r="N189" s="1130"/>
      <c r="O189" s="1130"/>
      <c r="P189" s="1130"/>
      <c r="Q189" s="1130"/>
      <c r="R189" s="1130"/>
      <c r="S189" s="1130"/>
      <c r="T189" s="1130"/>
      <c r="U189" s="1130"/>
      <c r="V189" s="1130"/>
      <c r="W189" s="1130"/>
      <c r="X189" s="1130"/>
      <c r="Y189" s="1130"/>
      <c r="Z189" s="1130"/>
    </row>
    <row r="190" spans="1:26" ht="15.75" customHeight="1">
      <c r="A190" s="1130"/>
      <c r="B190" s="1130"/>
      <c r="C190" s="1130"/>
      <c r="D190" s="1130"/>
      <c r="E190" s="1130"/>
      <c r="F190" s="1130"/>
      <c r="G190" s="1130"/>
      <c r="H190" s="1130"/>
      <c r="I190" s="1130"/>
      <c r="J190" s="1130"/>
      <c r="K190" s="1130"/>
      <c r="L190" s="1130"/>
      <c r="M190" s="1130"/>
      <c r="N190" s="1130"/>
      <c r="O190" s="1130"/>
      <c r="P190" s="1130"/>
      <c r="Q190" s="1130"/>
      <c r="R190" s="1130"/>
      <c r="S190" s="1130"/>
      <c r="T190" s="1130"/>
      <c r="U190" s="1130"/>
      <c r="V190" s="1130"/>
      <c r="W190" s="1130"/>
      <c r="X190" s="1130"/>
      <c r="Y190" s="1130"/>
      <c r="Z190" s="1130"/>
    </row>
    <row r="191" spans="1:26" ht="15.75" customHeight="1">
      <c r="A191" s="1130"/>
      <c r="B191" s="1130"/>
      <c r="C191" s="1130"/>
      <c r="D191" s="1130"/>
      <c r="E191" s="1130"/>
      <c r="F191" s="1130"/>
      <c r="G191" s="1130"/>
      <c r="H191" s="1130"/>
      <c r="I191" s="1130"/>
      <c r="J191" s="1130"/>
      <c r="K191" s="1130"/>
      <c r="L191" s="1130"/>
      <c r="M191" s="1130"/>
      <c r="N191" s="1130"/>
      <c r="O191" s="1130"/>
      <c r="P191" s="1130"/>
      <c r="Q191" s="1130"/>
      <c r="R191" s="1130"/>
      <c r="S191" s="1130"/>
      <c r="T191" s="1130"/>
      <c r="U191" s="1130"/>
      <c r="V191" s="1130"/>
      <c r="W191" s="1130"/>
      <c r="X191" s="1130"/>
      <c r="Y191" s="1130"/>
      <c r="Z191" s="1130"/>
    </row>
    <row r="192" spans="1:26" ht="15.75" customHeight="1">
      <c r="A192" s="1130"/>
      <c r="B192" s="1130"/>
      <c r="C192" s="1130"/>
      <c r="D192" s="1130"/>
      <c r="E192" s="1130"/>
      <c r="F192" s="1130"/>
      <c r="G192" s="1130"/>
      <c r="H192" s="1130"/>
      <c r="I192" s="1130"/>
      <c r="J192" s="1130"/>
      <c r="K192" s="1130"/>
      <c r="L192" s="1130"/>
      <c r="M192" s="1130"/>
      <c r="N192" s="1130"/>
      <c r="O192" s="1130"/>
      <c r="P192" s="1130"/>
      <c r="Q192" s="1130"/>
      <c r="R192" s="1130"/>
      <c r="S192" s="1130"/>
      <c r="T192" s="1130"/>
      <c r="U192" s="1130"/>
      <c r="V192" s="1130"/>
      <c r="W192" s="1130"/>
      <c r="X192" s="1130"/>
      <c r="Y192" s="1130"/>
      <c r="Z192" s="1130"/>
    </row>
    <row r="193" spans="1:26" ht="15.75" customHeight="1">
      <c r="A193" s="1130"/>
      <c r="B193" s="1130"/>
      <c r="C193" s="1130"/>
      <c r="D193" s="1130"/>
      <c r="E193" s="1130"/>
      <c r="F193" s="1130"/>
      <c r="G193" s="1130"/>
      <c r="H193" s="1130"/>
      <c r="I193" s="1130"/>
      <c r="J193" s="1130"/>
      <c r="K193" s="1130"/>
      <c r="L193" s="1130"/>
      <c r="M193" s="1130"/>
      <c r="N193" s="1130"/>
      <c r="O193" s="1130"/>
      <c r="P193" s="1130"/>
      <c r="Q193" s="1130"/>
      <c r="R193" s="1130"/>
      <c r="S193" s="1130"/>
      <c r="T193" s="1130"/>
      <c r="U193" s="1130"/>
      <c r="V193" s="1130"/>
      <c r="W193" s="1130"/>
      <c r="X193" s="1130"/>
      <c r="Y193" s="1130"/>
      <c r="Z193" s="1130"/>
    </row>
    <row r="194" spans="1:26" ht="15.75" customHeight="1">
      <c r="A194" s="1130"/>
      <c r="B194" s="1130"/>
      <c r="C194" s="1130"/>
      <c r="D194" s="1130"/>
      <c r="E194" s="1130"/>
      <c r="F194" s="1130"/>
      <c r="G194" s="1130"/>
      <c r="H194" s="1130"/>
      <c r="I194" s="1130"/>
      <c r="J194" s="1130"/>
      <c r="K194" s="1130"/>
      <c r="L194" s="1130"/>
      <c r="M194" s="1130"/>
      <c r="N194" s="1130"/>
      <c r="O194" s="1130"/>
      <c r="P194" s="1130"/>
      <c r="Q194" s="1130"/>
      <c r="R194" s="1130"/>
      <c r="S194" s="1130"/>
      <c r="T194" s="1130"/>
      <c r="U194" s="1130"/>
      <c r="V194" s="1130"/>
      <c r="W194" s="1130"/>
      <c r="X194" s="1130"/>
      <c r="Y194" s="1130"/>
      <c r="Z194" s="1130"/>
    </row>
    <row r="195" spans="1:26" ht="15.75" customHeight="1">
      <c r="A195" s="1130"/>
      <c r="B195" s="1130"/>
      <c r="C195" s="1130"/>
      <c r="D195" s="1130"/>
      <c r="E195" s="1130"/>
      <c r="F195" s="1130"/>
      <c r="G195" s="1130"/>
      <c r="H195" s="1130"/>
      <c r="I195" s="1130"/>
      <c r="J195" s="1130"/>
      <c r="K195" s="1130"/>
      <c r="L195" s="1130"/>
      <c r="M195" s="1130"/>
      <c r="N195" s="1130"/>
      <c r="O195" s="1130"/>
      <c r="P195" s="1130"/>
      <c r="Q195" s="1130"/>
      <c r="R195" s="1130"/>
      <c r="S195" s="1130"/>
      <c r="T195" s="1130"/>
      <c r="U195" s="1130"/>
      <c r="V195" s="1130"/>
      <c r="W195" s="1130"/>
      <c r="X195" s="1130"/>
      <c r="Y195" s="1130"/>
      <c r="Z195" s="1130"/>
    </row>
    <row r="196" spans="1:26" ht="15.75" customHeight="1">
      <c r="A196" s="1130"/>
      <c r="B196" s="1130"/>
      <c r="C196" s="1130"/>
      <c r="D196" s="1130"/>
      <c r="E196" s="1130"/>
      <c r="F196" s="1130"/>
      <c r="G196" s="1130"/>
      <c r="H196" s="1130"/>
      <c r="I196" s="1130"/>
      <c r="J196" s="1130"/>
      <c r="K196" s="1130"/>
      <c r="L196" s="1130"/>
      <c r="M196" s="1130"/>
      <c r="N196" s="1130"/>
      <c r="O196" s="1130"/>
      <c r="P196" s="1130"/>
      <c r="Q196" s="1130"/>
      <c r="R196" s="1130"/>
      <c r="S196" s="1130"/>
      <c r="T196" s="1130"/>
      <c r="U196" s="1130"/>
      <c r="V196" s="1130"/>
      <c r="W196" s="1130"/>
      <c r="X196" s="1130"/>
      <c r="Y196" s="1130"/>
      <c r="Z196" s="1130"/>
    </row>
    <row r="197" spans="1:26" ht="15.75" customHeight="1">
      <c r="A197" s="1130"/>
      <c r="B197" s="1130"/>
      <c r="C197" s="1130"/>
      <c r="D197" s="1130"/>
      <c r="E197" s="1130"/>
      <c r="F197" s="1130"/>
      <c r="G197" s="1130"/>
      <c r="H197" s="1130"/>
      <c r="I197" s="1130"/>
      <c r="J197" s="1130"/>
      <c r="K197" s="1130"/>
      <c r="L197" s="1130"/>
      <c r="M197" s="1130"/>
      <c r="N197" s="1130"/>
      <c r="O197" s="1130"/>
      <c r="P197" s="1130"/>
      <c r="Q197" s="1130"/>
      <c r="R197" s="1130"/>
      <c r="S197" s="1130"/>
      <c r="T197" s="1130"/>
      <c r="U197" s="1130"/>
      <c r="V197" s="1130"/>
      <c r="W197" s="1130"/>
      <c r="X197" s="1130"/>
      <c r="Y197" s="1130"/>
      <c r="Z197" s="1130"/>
    </row>
    <row r="198" spans="1:26" ht="15.75" customHeight="1">
      <c r="A198" s="1130"/>
      <c r="B198" s="1130"/>
      <c r="C198" s="1130"/>
      <c r="D198" s="1130"/>
      <c r="E198" s="1130"/>
      <c r="F198" s="1130"/>
      <c r="G198" s="1130"/>
      <c r="H198" s="1130"/>
      <c r="I198" s="1130"/>
      <c r="J198" s="1130"/>
      <c r="K198" s="1130"/>
      <c r="L198" s="1130"/>
      <c r="M198" s="1130"/>
      <c r="N198" s="1130"/>
      <c r="O198" s="1130"/>
      <c r="P198" s="1130"/>
      <c r="Q198" s="1130"/>
      <c r="R198" s="1130"/>
      <c r="S198" s="1130"/>
      <c r="T198" s="1130"/>
      <c r="U198" s="1130"/>
      <c r="V198" s="1130"/>
      <c r="W198" s="1130"/>
      <c r="X198" s="1130"/>
      <c r="Y198" s="1130"/>
      <c r="Z198" s="1130"/>
    </row>
    <row r="199" spans="1:26" ht="15.75" customHeight="1">
      <c r="A199" s="1130"/>
      <c r="B199" s="1130"/>
      <c r="C199" s="1130"/>
      <c r="D199" s="1130"/>
      <c r="E199" s="1130"/>
      <c r="F199" s="1130"/>
      <c r="G199" s="1130"/>
      <c r="H199" s="1130"/>
      <c r="I199" s="1130"/>
      <c r="J199" s="1130"/>
      <c r="K199" s="1130"/>
      <c r="L199" s="1130"/>
      <c r="M199" s="1130"/>
      <c r="N199" s="1130"/>
      <c r="O199" s="1130"/>
      <c r="P199" s="1130"/>
      <c r="Q199" s="1130"/>
      <c r="R199" s="1130"/>
      <c r="S199" s="1130"/>
      <c r="T199" s="1130"/>
      <c r="U199" s="1130"/>
      <c r="V199" s="1130"/>
      <c r="W199" s="1130"/>
      <c r="X199" s="1130"/>
      <c r="Y199" s="1130"/>
      <c r="Z199" s="1130"/>
    </row>
    <row r="200" spans="1:26" ht="15.75" customHeight="1">
      <c r="A200" s="1130"/>
      <c r="B200" s="1130"/>
      <c r="C200" s="1130"/>
      <c r="D200" s="1130"/>
      <c r="E200" s="1130"/>
      <c r="F200" s="1130"/>
      <c r="G200" s="1130"/>
      <c r="H200" s="1130"/>
      <c r="I200" s="1130"/>
      <c r="J200" s="1130"/>
      <c r="K200" s="1130"/>
      <c r="L200" s="1130"/>
      <c r="M200" s="1130"/>
      <c r="N200" s="1130"/>
      <c r="O200" s="1130"/>
      <c r="P200" s="1130"/>
      <c r="Q200" s="1130"/>
      <c r="R200" s="1130"/>
      <c r="S200" s="1130"/>
      <c r="T200" s="1130"/>
      <c r="U200" s="1130"/>
      <c r="V200" s="1130"/>
      <c r="W200" s="1130"/>
      <c r="X200" s="1130"/>
      <c r="Y200" s="1130"/>
      <c r="Z200" s="1130"/>
    </row>
    <row r="201" spans="1:26" ht="15.75" customHeight="1">
      <c r="A201" s="1130"/>
      <c r="B201" s="1130"/>
      <c r="C201" s="1130"/>
      <c r="D201" s="1130"/>
      <c r="E201" s="1130"/>
      <c r="F201" s="1130"/>
      <c r="G201" s="1130"/>
      <c r="H201" s="1130"/>
      <c r="I201" s="1130"/>
      <c r="J201" s="1130"/>
      <c r="K201" s="1130"/>
      <c r="L201" s="1130"/>
      <c r="M201" s="1130"/>
      <c r="N201" s="1130"/>
      <c r="O201" s="1130"/>
      <c r="P201" s="1130"/>
      <c r="Q201" s="1130"/>
      <c r="R201" s="1130"/>
      <c r="S201" s="1130"/>
      <c r="T201" s="1130"/>
      <c r="U201" s="1130"/>
      <c r="V201" s="1130"/>
      <c r="W201" s="1130"/>
      <c r="X201" s="1130"/>
      <c r="Y201" s="1130"/>
      <c r="Z201" s="1130"/>
    </row>
    <row r="202" spans="1:26" ht="15.75" customHeight="1">
      <c r="A202" s="1130"/>
      <c r="B202" s="1130"/>
      <c r="C202" s="1130"/>
      <c r="D202" s="1130"/>
      <c r="E202" s="1130"/>
      <c r="F202" s="1130"/>
      <c r="G202" s="1130"/>
      <c r="H202" s="1130"/>
      <c r="I202" s="1130"/>
      <c r="J202" s="1130"/>
      <c r="K202" s="1130"/>
      <c r="L202" s="1130"/>
      <c r="M202" s="1130"/>
      <c r="N202" s="1130"/>
      <c r="O202" s="1130"/>
      <c r="P202" s="1130"/>
      <c r="Q202" s="1130"/>
      <c r="R202" s="1130"/>
      <c r="S202" s="1130"/>
      <c r="T202" s="1130"/>
      <c r="U202" s="1130"/>
      <c r="V202" s="1130"/>
      <c r="W202" s="1130"/>
      <c r="X202" s="1130"/>
      <c r="Y202" s="1130"/>
      <c r="Z202" s="1130"/>
    </row>
    <row r="203" spans="1:26" ht="15.75" customHeight="1">
      <c r="A203" s="1130"/>
      <c r="B203" s="1130"/>
      <c r="C203" s="1130"/>
      <c r="D203" s="1130"/>
      <c r="E203" s="1130"/>
      <c r="F203" s="1130"/>
      <c r="G203" s="1130"/>
      <c r="H203" s="1130"/>
      <c r="I203" s="1130"/>
      <c r="J203" s="1130"/>
      <c r="K203" s="1130"/>
      <c r="L203" s="1130"/>
      <c r="M203" s="1130"/>
      <c r="N203" s="1130"/>
      <c r="O203" s="1130"/>
      <c r="P203" s="1130"/>
      <c r="Q203" s="1130"/>
      <c r="R203" s="1130"/>
      <c r="S203" s="1130"/>
      <c r="T203" s="1130"/>
      <c r="U203" s="1130"/>
      <c r="V203" s="1130"/>
      <c r="W203" s="1130"/>
      <c r="X203" s="1130"/>
      <c r="Y203" s="1130"/>
      <c r="Z203" s="1130"/>
    </row>
    <row r="204" spans="1:26" ht="15.75" customHeight="1">
      <c r="A204" s="1130"/>
      <c r="B204" s="1130"/>
      <c r="C204" s="1130"/>
      <c r="D204" s="1130"/>
      <c r="E204" s="1130"/>
      <c r="F204" s="1130"/>
      <c r="G204" s="1130"/>
      <c r="H204" s="1130"/>
      <c r="I204" s="1130"/>
      <c r="J204" s="1130"/>
      <c r="K204" s="1130"/>
      <c r="L204" s="1130"/>
      <c r="M204" s="1130"/>
      <c r="N204" s="1130"/>
      <c r="O204" s="1130"/>
      <c r="P204" s="1130"/>
      <c r="Q204" s="1130"/>
      <c r="R204" s="1130"/>
      <c r="S204" s="1130"/>
      <c r="T204" s="1130"/>
      <c r="U204" s="1130"/>
      <c r="V204" s="1130"/>
      <c r="W204" s="1130"/>
      <c r="X204" s="1130"/>
      <c r="Y204" s="1130"/>
      <c r="Z204" s="1130"/>
    </row>
    <row r="205" spans="1:26" ht="15.75" customHeight="1">
      <c r="A205" s="1130"/>
      <c r="B205" s="1130"/>
      <c r="C205" s="1130"/>
      <c r="D205" s="1130"/>
      <c r="E205" s="1130"/>
      <c r="F205" s="1130"/>
      <c r="G205" s="1130"/>
      <c r="H205" s="1130"/>
      <c r="I205" s="1130"/>
      <c r="J205" s="1130"/>
      <c r="K205" s="1130"/>
      <c r="L205" s="1130"/>
      <c r="M205" s="1130"/>
      <c r="N205" s="1130"/>
      <c r="O205" s="1130"/>
      <c r="P205" s="1130"/>
      <c r="Q205" s="1130"/>
      <c r="R205" s="1130"/>
      <c r="S205" s="1130"/>
      <c r="T205" s="1130"/>
      <c r="U205" s="1130"/>
      <c r="V205" s="1130"/>
      <c r="W205" s="1130"/>
      <c r="X205" s="1130"/>
      <c r="Y205" s="1130"/>
      <c r="Z205" s="1130"/>
    </row>
    <row r="206" spans="1:26" ht="15.75" customHeight="1">
      <c r="A206" s="1130"/>
      <c r="B206" s="1130"/>
      <c r="C206" s="1130"/>
      <c r="D206" s="1130"/>
      <c r="E206" s="1130"/>
      <c r="F206" s="1130"/>
      <c r="G206" s="1130"/>
      <c r="H206" s="1130"/>
      <c r="I206" s="1130"/>
      <c r="J206" s="1130"/>
      <c r="K206" s="1130"/>
      <c r="L206" s="1130"/>
      <c r="M206" s="1130"/>
      <c r="N206" s="1130"/>
      <c r="O206" s="1130"/>
      <c r="P206" s="1130"/>
      <c r="Q206" s="1130"/>
      <c r="R206" s="1130"/>
      <c r="S206" s="1130"/>
      <c r="T206" s="1130"/>
      <c r="U206" s="1130"/>
      <c r="V206" s="1130"/>
      <c r="W206" s="1130"/>
      <c r="X206" s="1130"/>
      <c r="Y206" s="1130"/>
      <c r="Z206" s="1130"/>
    </row>
    <row r="207" spans="1:26" ht="15.75" customHeight="1">
      <c r="A207" s="1130"/>
      <c r="B207" s="1130"/>
      <c r="C207" s="1130"/>
      <c r="D207" s="1130"/>
      <c r="E207" s="1130"/>
      <c r="F207" s="1130"/>
      <c r="G207" s="1130"/>
      <c r="H207" s="1130"/>
      <c r="I207" s="1130"/>
      <c r="J207" s="1130"/>
      <c r="K207" s="1130"/>
      <c r="L207" s="1130"/>
      <c r="M207" s="1130"/>
      <c r="N207" s="1130"/>
      <c r="O207" s="1130"/>
      <c r="P207" s="1130"/>
      <c r="Q207" s="1130"/>
      <c r="R207" s="1130"/>
      <c r="S207" s="1130"/>
      <c r="T207" s="1130"/>
      <c r="U207" s="1130"/>
      <c r="V207" s="1130"/>
      <c r="W207" s="1130"/>
      <c r="X207" s="1130"/>
      <c r="Y207" s="1130"/>
      <c r="Z207" s="1130"/>
    </row>
    <row r="208" spans="1:26" ht="15.75" customHeight="1">
      <c r="A208" s="1130"/>
      <c r="B208" s="1130"/>
      <c r="C208" s="1130"/>
      <c r="D208" s="1130"/>
      <c r="E208" s="1130"/>
      <c r="F208" s="1130"/>
      <c r="G208" s="1130"/>
      <c r="H208" s="1130"/>
      <c r="I208" s="1130"/>
      <c r="J208" s="1130"/>
      <c r="K208" s="1130"/>
      <c r="L208" s="1130"/>
      <c r="M208" s="1130"/>
      <c r="N208" s="1130"/>
      <c r="O208" s="1130"/>
      <c r="P208" s="1130"/>
      <c r="Q208" s="1130"/>
      <c r="R208" s="1130"/>
      <c r="S208" s="1130"/>
      <c r="T208" s="1130"/>
      <c r="U208" s="1130"/>
      <c r="V208" s="1130"/>
      <c r="W208" s="1130"/>
      <c r="X208" s="1130"/>
      <c r="Y208" s="1130"/>
      <c r="Z208" s="1130"/>
    </row>
    <row r="209" spans="1:26" ht="15.75" customHeight="1">
      <c r="A209" s="1130"/>
      <c r="B209" s="1130"/>
      <c r="C209" s="1130"/>
      <c r="D209" s="1130"/>
      <c r="E209" s="1130"/>
      <c r="F209" s="1130"/>
      <c r="G209" s="1130"/>
      <c r="H209" s="1130"/>
      <c r="I209" s="1130"/>
      <c r="J209" s="1130"/>
      <c r="K209" s="1130"/>
      <c r="L209" s="1130"/>
      <c r="M209" s="1130"/>
      <c r="N209" s="1130"/>
      <c r="O209" s="1130"/>
      <c r="P209" s="1130"/>
      <c r="Q209" s="1130"/>
      <c r="R209" s="1130"/>
      <c r="S209" s="1130"/>
      <c r="T209" s="1130"/>
      <c r="U209" s="1130"/>
      <c r="V209" s="1130"/>
      <c r="W209" s="1130"/>
      <c r="X209" s="1130"/>
      <c r="Y209" s="1130"/>
      <c r="Z209" s="1130"/>
    </row>
    <row r="210" spans="1:26" ht="15.75" customHeight="1">
      <c r="A210" s="1130"/>
      <c r="B210" s="1130"/>
      <c r="C210" s="1130"/>
      <c r="D210" s="1130"/>
      <c r="E210" s="1130"/>
      <c r="F210" s="1130"/>
      <c r="G210" s="1130"/>
      <c r="H210" s="1130"/>
      <c r="I210" s="1130"/>
      <c r="J210" s="1130"/>
      <c r="K210" s="1130"/>
      <c r="L210" s="1130"/>
      <c r="M210" s="1130"/>
      <c r="N210" s="1130"/>
      <c r="O210" s="1130"/>
      <c r="P210" s="1130"/>
      <c r="Q210" s="1130"/>
      <c r="R210" s="1130"/>
      <c r="S210" s="1130"/>
      <c r="T210" s="1130"/>
      <c r="U210" s="1130"/>
      <c r="V210" s="1130"/>
      <c r="W210" s="1130"/>
      <c r="X210" s="1130"/>
      <c r="Y210" s="1130"/>
      <c r="Z210" s="1130"/>
    </row>
    <row r="211" spans="1:26" ht="15.75" customHeight="1">
      <c r="A211" s="1130"/>
      <c r="B211" s="1130"/>
      <c r="C211" s="1130"/>
      <c r="D211" s="1130"/>
      <c r="E211" s="1130"/>
      <c r="F211" s="1130"/>
      <c r="G211" s="1130"/>
      <c r="H211" s="1130"/>
      <c r="I211" s="1130"/>
      <c r="J211" s="1130"/>
      <c r="K211" s="1130"/>
      <c r="L211" s="1130"/>
      <c r="M211" s="1130"/>
      <c r="N211" s="1130"/>
      <c r="O211" s="1130"/>
      <c r="P211" s="1130"/>
      <c r="Q211" s="1130"/>
      <c r="R211" s="1130"/>
      <c r="S211" s="1130"/>
      <c r="T211" s="1130"/>
      <c r="U211" s="1130"/>
      <c r="V211" s="1130"/>
      <c r="W211" s="1130"/>
      <c r="X211" s="1130"/>
      <c r="Y211" s="1130"/>
      <c r="Z211" s="1130"/>
    </row>
    <row r="212" spans="1:26" ht="15.75" customHeight="1">
      <c r="A212" s="1130"/>
      <c r="B212" s="1130"/>
      <c r="C212" s="1130"/>
      <c r="D212" s="1130"/>
      <c r="E212" s="1130"/>
      <c r="F212" s="1130"/>
      <c r="G212" s="1130"/>
      <c r="H212" s="1130"/>
      <c r="I212" s="1130"/>
      <c r="J212" s="1130"/>
      <c r="K212" s="1130"/>
      <c r="L212" s="1130"/>
      <c r="M212" s="1130"/>
      <c r="N212" s="1130"/>
      <c r="O212" s="1130"/>
      <c r="P212" s="1130"/>
      <c r="Q212" s="1130"/>
      <c r="R212" s="1130"/>
      <c r="S212" s="1130"/>
      <c r="T212" s="1130"/>
      <c r="U212" s="1130"/>
      <c r="V212" s="1130"/>
      <c r="W212" s="1130"/>
      <c r="X212" s="1130"/>
      <c r="Y212" s="1130"/>
      <c r="Z212" s="1130"/>
    </row>
    <row r="213" spans="1:26" ht="15.75" customHeight="1">
      <c r="A213" s="1130"/>
      <c r="B213" s="1130"/>
      <c r="C213" s="1130"/>
      <c r="D213" s="1130"/>
      <c r="E213" s="1130"/>
      <c r="F213" s="1130"/>
      <c r="G213" s="1130"/>
      <c r="H213" s="1130"/>
      <c r="I213" s="1130"/>
      <c r="J213" s="1130"/>
      <c r="K213" s="1130"/>
      <c r="L213" s="1130"/>
      <c r="M213" s="1130"/>
      <c r="N213" s="1130"/>
      <c r="O213" s="1130"/>
      <c r="P213" s="1130"/>
      <c r="Q213" s="1130"/>
      <c r="R213" s="1130"/>
      <c r="S213" s="1130"/>
      <c r="T213" s="1130"/>
      <c r="U213" s="1130"/>
      <c r="V213" s="1130"/>
      <c r="W213" s="1130"/>
      <c r="X213" s="1130"/>
      <c r="Y213" s="1130"/>
      <c r="Z213" s="1130"/>
    </row>
    <row r="214" spans="1:26" ht="15.75" customHeight="1">
      <c r="A214" s="1130"/>
      <c r="B214" s="1130"/>
      <c r="C214" s="1130"/>
      <c r="D214" s="1130"/>
      <c r="E214" s="1130"/>
      <c r="F214" s="1130"/>
      <c r="G214" s="1130"/>
      <c r="H214" s="1130"/>
      <c r="I214" s="1130"/>
      <c r="J214" s="1130"/>
      <c r="K214" s="1130"/>
      <c r="L214" s="1130"/>
      <c r="M214" s="1130"/>
      <c r="N214" s="1130"/>
      <c r="O214" s="1130"/>
      <c r="P214" s="1130"/>
      <c r="Q214" s="1130"/>
      <c r="R214" s="1130"/>
      <c r="S214" s="1130"/>
      <c r="T214" s="1130"/>
      <c r="U214" s="1130"/>
      <c r="V214" s="1130"/>
      <c r="W214" s="1130"/>
      <c r="X214" s="1130"/>
      <c r="Y214" s="1130"/>
      <c r="Z214" s="1130"/>
    </row>
    <row r="215" spans="1:26" ht="15.75" customHeight="1">
      <c r="A215" s="1130"/>
      <c r="B215" s="1130"/>
      <c r="C215" s="1130"/>
      <c r="D215" s="1130"/>
      <c r="E215" s="1130"/>
      <c r="F215" s="1130"/>
      <c r="G215" s="1130"/>
      <c r="H215" s="1130"/>
      <c r="I215" s="1130"/>
      <c r="J215" s="1130"/>
      <c r="K215" s="1130"/>
      <c r="L215" s="1130"/>
      <c r="M215" s="1130"/>
      <c r="N215" s="1130"/>
      <c r="O215" s="1130"/>
      <c r="P215" s="1130"/>
      <c r="Q215" s="1130"/>
      <c r="R215" s="1130"/>
      <c r="S215" s="1130"/>
      <c r="T215" s="1130"/>
      <c r="U215" s="1130"/>
      <c r="V215" s="1130"/>
      <c r="W215" s="1130"/>
      <c r="X215" s="1130"/>
      <c r="Y215" s="1130"/>
      <c r="Z215" s="1130"/>
    </row>
    <row r="216" spans="1:26" ht="15.75" customHeight="1">
      <c r="A216" s="1130"/>
      <c r="B216" s="1130"/>
      <c r="C216" s="1130"/>
      <c r="D216" s="1130"/>
      <c r="E216" s="1130"/>
      <c r="F216" s="1130"/>
      <c r="G216" s="1130"/>
      <c r="H216" s="1130"/>
      <c r="I216" s="1130"/>
      <c r="J216" s="1130"/>
      <c r="K216" s="1130"/>
      <c r="L216" s="1130"/>
      <c r="M216" s="1130"/>
      <c r="N216" s="1130"/>
      <c r="O216" s="1130"/>
      <c r="P216" s="1130"/>
      <c r="Q216" s="1130"/>
      <c r="R216" s="1130"/>
      <c r="S216" s="1130"/>
      <c r="T216" s="1130"/>
      <c r="U216" s="1130"/>
      <c r="V216" s="1130"/>
      <c r="W216" s="1130"/>
      <c r="X216" s="1130"/>
      <c r="Y216" s="1130"/>
      <c r="Z216" s="1130"/>
    </row>
    <row r="217" spans="1:26" ht="15.75" customHeight="1">
      <c r="A217" s="1130"/>
      <c r="B217" s="1130"/>
      <c r="C217" s="1130"/>
      <c r="D217" s="1130"/>
      <c r="E217" s="1130"/>
      <c r="F217" s="1130"/>
      <c r="G217" s="1130"/>
      <c r="H217" s="1130"/>
      <c r="I217" s="1130"/>
      <c r="J217" s="1130"/>
      <c r="K217" s="1130"/>
      <c r="L217" s="1130"/>
      <c r="M217" s="1130"/>
      <c r="N217" s="1130"/>
      <c r="O217" s="1130"/>
      <c r="P217" s="1130"/>
      <c r="Q217" s="1130"/>
      <c r="R217" s="1130"/>
      <c r="S217" s="1130"/>
      <c r="T217" s="1130"/>
      <c r="U217" s="1130"/>
      <c r="V217" s="1130"/>
      <c r="W217" s="1130"/>
      <c r="X217" s="1130"/>
      <c r="Y217" s="1130"/>
      <c r="Z217" s="1130"/>
    </row>
    <row r="218" spans="1:26" ht="15.75" customHeight="1">
      <c r="A218" s="1130"/>
      <c r="B218" s="1130"/>
      <c r="C218" s="1130"/>
      <c r="D218" s="1130"/>
      <c r="E218" s="1130"/>
      <c r="F218" s="1130"/>
      <c r="G218" s="1130"/>
      <c r="H218" s="1130"/>
      <c r="I218" s="1130"/>
      <c r="J218" s="1130"/>
      <c r="K218" s="1130"/>
      <c r="L218" s="1130"/>
      <c r="M218" s="1130"/>
      <c r="N218" s="1130"/>
      <c r="O218" s="1130"/>
      <c r="P218" s="1130"/>
      <c r="Q218" s="1130"/>
      <c r="R218" s="1130"/>
      <c r="S218" s="1130"/>
      <c r="T218" s="1130"/>
      <c r="U218" s="1130"/>
      <c r="V218" s="1130"/>
      <c r="W218" s="1130"/>
      <c r="X218" s="1130"/>
      <c r="Y218" s="1130"/>
      <c r="Z218" s="1130"/>
    </row>
    <row r="219" spans="1:26" ht="15.75" customHeight="1">
      <c r="A219" s="1130"/>
      <c r="B219" s="1130"/>
      <c r="C219" s="1130"/>
      <c r="D219" s="1130"/>
      <c r="E219" s="1130"/>
      <c r="F219" s="1130"/>
      <c r="G219" s="1130"/>
      <c r="H219" s="1130"/>
      <c r="I219" s="1130"/>
      <c r="J219" s="1130"/>
      <c r="K219" s="1130"/>
      <c r="L219" s="1130"/>
      <c r="M219" s="1130"/>
      <c r="N219" s="1130"/>
      <c r="O219" s="1130"/>
      <c r="P219" s="1130"/>
      <c r="Q219" s="1130"/>
      <c r="R219" s="1130"/>
      <c r="S219" s="1130"/>
      <c r="T219" s="1130"/>
      <c r="U219" s="1130"/>
      <c r="V219" s="1130"/>
      <c r="W219" s="1130"/>
      <c r="X219" s="1130"/>
      <c r="Y219" s="1130"/>
      <c r="Z219" s="1130"/>
    </row>
    <row r="220" spans="1:26" ht="15.75" customHeight="1">
      <c r="A220" s="1130"/>
      <c r="B220" s="1130"/>
      <c r="C220" s="1130"/>
      <c r="D220" s="1130"/>
      <c r="E220" s="1130"/>
      <c r="F220" s="1130"/>
      <c r="G220" s="1130"/>
      <c r="H220" s="1130"/>
      <c r="I220" s="1130"/>
      <c r="J220" s="1130"/>
      <c r="K220" s="1130"/>
      <c r="L220" s="1130"/>
      <c r="M220" s="1130"/>
      <c r="N220" s="1130"/>
      <c r="O220" s="1130"/>
      <c r="P220" s="1130"/>
      <c r="Q220" s="1130"/>
      <c r="R220" s="1130"/>
      <c r="S220" s="1130"/>
      <c r="T220" s="1130"/>
      <c r="U220" s="1130"/>
      <c r="V220" s="1130"/>
      <c r="W220" s="1130"/>
      <c r="X220" s="1130"/>
      <c r="Y220" s="1130"/>
      <c r="Z220" s="1130"/>
    </row>
    <row r="221" spans="1:26" ht="15.75" customHeight="1">
      <c r="A221" s="1130"/>
      <c r="B221" s="1130"/>
      <c r="C221" s="1130"/>
      <c r="D221" s="1130"/>
      <c r="E221" s="1130"/>
      <c r="F221" s="1130"/>
      <c r="G221" s="1130"/>
      <c r="H221" s="1130"/>
      <c r="I221" s="1130"/>
      <c r="J221" s="1130"/>
      <c r="K221" s="1130"/>
      <c r="L221" s="1130"/>
      <c r="M221" s="1130"/>
      <c r="N221" s="1130"/>
      <c r="O221" s="1130"/>
      <c r="P221" s="1130"/>
      <c r="Q221" s="1130"/>
      <c r="R221" s="1130"/>
      <c r="S221" s="1130"/>
      <c r="T221" s="1130"/>
      <c r="U221" s="1130"/>
      <c r="V221" s="1130"/>
      <c r="W221" s="1130"/>
      <c r="X221" s="1130"/>
      <c r="Y221" s="1130"/>
      <c r="Z221" s="1130"/>
    </row>
    <row r="222" spans="1:26" ht="15.75" customHeight="1">
      <c r="A222" s="1130"/>
      <c r="B222" s="1130"/>
      <c r="C222" s="1130"/>
      <c r="D222" s="1130"/>
      <c r="E222" s="1130"/>
      <c r="F222" s="1130"/>
      <c r="G222" s="1130"/>
      <c r="H222" s="1130"/>
      <c r="I222" s="1130"/>
      <c r="J222" s="1130"/>
      <c r="K222" s="1130"/>
      <c r="L222" s="1130"/>
      <c r="M222" s="1130"/>
      <c r="N222" s="1130"/>
      <c r="O222" s="1130"/>
      <c r="P222" s="1130"/>
      <c r="Q222" s="1130"/>
      <c r="R222" s="1130"/>
      <c r="S222" s="1130"/>
      <c r="T222" s="1130"/>
      <c r="U222" s="1130"/>
      <c r="V222" s="1130"/>
      <c r="W222" s="1130"/>
      <c r="X222" s="1130"/>
      <c r="Y222" s="1130"/>
      <c r="Z222" s="1130"/>
    </row>
    <row r="223" spans="1:26" ht="15.75" customHeight="1">
      <c r="A223" s="1130"/>
      <c r="B223" s="1130"/>
      <c r="C223" s="1130"/>
      <c r="D223" s="1130"/>
      <c r="E223" s="1130"/>
      <c r="F223" s="1130"/>
      <c r="G223" s="1130"/>
      <c r="H223" s="1130"/>
      <c r="I223" s="1130"/>
      <c r="J223" s="1130"/>
      <c r="K223" s="1130"/>
      <c r="L223" s="1130"/>
      <c r="M223" s="1130"/>
      <c r="N223" s="1130"/>
      <c r="O223" s="1130"/>
      <c r="P223" s="1130"/>
      <c r="Q223" s="1130"/>
      <c r="R223" s="1130"/>
      <c r="S223" s="1130"/>
      <c r="T223" s="1130"/>
      <c r="U223" s="1130"/>
      <c r="V223" s="1130"/>
      <c r="W223" s="1130"/>
      <c r="X223" s="1130"/>
      <c r="Y223" s="1130"/>
      <c r="Z223" s="1130"/>
    </row>
    <row r="224" spans="1:26" ht="15.75" customHeight="1">
      <c r="A224" s="1130"/>
      <c r="B224" s="1130"/>
      <c r="C224" s="1130"/>
      <c r="D224" s="1130"/>
      <c r="E224" s="1130"/>
      <c r="F224" s="1130"/>
      <c r="G224" s="1130"/>
      <c r="H224" s="1130"/>
      <c r="I224" s="1130"/>
      <c r="J224" s="1130"/>
      <c r="K224" s="1130"/>
      <c r="L224" s="1130"/>
      <c r="M224" s="1130"/>
      <c r="N224" s="1130"/>
      <c r="O224" s="1130"/>
      <c r="P224" s="1130"/>
      <c r="Q224" s="1130"/>
      <c r="R224" s="1130"/>
      <c r="S224" s="1130"/>
      <c r="T224" s="1130"/>
      <c r="U224" s="1130"/>
      <c r="V224" s="1130"/>
      <c r="W224" s="1130"/>
      <c r="X224" s="1130"/>
      <c r="Y224" s="1130"/>
      <c r="Z224" s="1130"/>
    </row>
    <row r="225" spans="1:26" ht="15.75" customHeight="1">
      <c r="A225" s="1130"/>
      <c r="B225" s="1130"/>
      <c r="C225" s="1130"/>
      <c r="D225" s="1130"/>
      <c r="E225" s="1130"/>
      <c r="F225" s="1130"/>
      <c r="G225" s="1130"/>
      <c r="H225" s="1130"/>
      <c r="I225" s="1130"/>
      <c r="J225" s="1130"/>
      <c r="K225" s="1130"/>
      <c r="L225" s="1130"/>
      <c r="M225" s="1130"/>
      <c r="N225" s="1130"/>
      <c r="O225" s="1130"/>
      <c r="P225" s="1130"/>
      <c r="Q225" s="1130"/>
      <c r="R225" s="1130"/>
      <c r="S225" s="1130"/>
      <c r="T225" s="1130"/>
      <c r="U225" s="1130"/>
      <c r="V225" s="1130"/>
      <c r="W225" s="1130"/>
      <c r="X225" s="1130"/>
      <c r="Y225" s="1130"/>
      <c r="Z225" s="1130"/>
    </row>
    <row r="226" spans="1:26" ht="15.75" customHeight="1">
      <c r="A226" s="1130"/>
      <c r="B226" s="1130"/>
      <c r="C226" s="1130"/>
      <c r="D226" s="1130"/>
      <c r="E226" s="1130"/>
      <c r="F226" s="1130"/>
      <c r="G226" s="1130"/>
      <c r="H226" s="1130"/>
      <c r="I226" s="1130"/>
      <c r="J226" s="1130"/>
      <c r="K226" s="1130"/>
      <c r="L226" s="1130"/>
      <c r="M226" s="1130"/>
      <c r="N226" s="1130"/>
      <c r="O226" s="1130"/>
      <c r="P226" s="1130"/>
      <c r="Q226" s="1130"/>
      <c r="R226" s="1130"/>
      <c r="S226" s="1130"/>
      <c r="T226" s="1130"/>
      <c r="U226" s="1130"/>
      <c r="V226" s="1130"/>
      <c r="W226" s="1130"/>
      <c r="X226" s="1130"/>
      <c r="Y226" s="1130"/>
      <c r="Z226" s="1130"/>
    </row>
    <row r="227" spans="1:26" ht="15.75" customHeight="1">
      <c r="A227" s="1130"/>
      <c r="B227" s="1130"/>
      <c r="C227" s="1130"/>
      <c r="D227" s="1130"/>
      <c r="E227" s="1130"/>
      <c r="F227" s="1130"/>
      <c r="G227" s="1130"/>
      <c r="H227" s="1130"/>
      <c r="I227" s="1130"/>
      <c r="J227" s="1130"/>
      <c r="K227" s="1130"/>
      <c r="L227" s="1130"/>
      <c r="M227" s="1130"/>
      <c r="N227" s="1130"/>
      <c r="O227" s="1130"/>
      <c r="P227" s="1130"/>
      <c r="Q227" s="1130"/>
      <c r="R227" s="1130"/>
      <c r="S227" s="1130"/>
      <c r="T227" s="1130"/>
      <c r="U227" s="1130"/>
      <c r="V227" s="1130"/>
      <c r="W227" s="1130"/>
      <c r="X227" s="1130"/>
      <c r="Y227" s="1130"/>
      <c r="Z227" s="1130"/>
    </row>
    <row r="228" spans="1:26" ht="15.75" customHeight="1">
      <c r="A228" s="1130"/>
      <c r="B228" s="1130"/>
      <c r="C228" s="1130"/>
      <c r="D228" s="1130"/>
      <c r="E228" s="1130"/>
      <c r="F228" s="1130"/>
      <c r="G228" s="1130"/>
      <c r="H228" s="1130"/>
      <c r="I228" s="1130"/>
      <c r="J228" s="1130"/>
      <c r="K228" s="1130"/>
      <c r="L228" s="1130"/>
      <c r="M228" s="1130"/>
      <c r="N228" s="1130"/>
      <c r="O228" s="1130"/>
      <c r="P228" s="1130"/>
      <c r="Q228" s="1130"/>
      <c r="R228" s="1130"/>
      <c r="S228" s="1130"/>
      <c r="T228" s="1130"/>
      <c r="U228" s="1130"/>
      <c r="V228" s="1130"/>
      <c r="W228" s="1130"/>
      <c r="X228" s="1130"/>
      <c r="Y228" s="1130"/>
      <c r="Z228" s="1130"/>
    </row>
    <row r="229" spans="1:26" ht="15.75" customHeight="1">
      <c r="A229" s="1130"/>
      <c r="B229" s="1130"/>
      <c r="C229" s="1130"/>
      <c r="D229" s="1130"/>
      <c r="E229" s="1130"/>
      <c r="F229" s="1130"/>
      <c r="G229" s="1130"/>
      <c r="H229" s="1130"/>
      <c r="I229" s="1130"/>
      <c r="J229" s="1130"/>
      <c r="K229" s="1130"/>
      <c r="L229" s="1130"/>
      <c r="M229" s="1130"/>
      <c r="N229" s="1130"/>
      <c r="O229" s="1130"/>
      <c r="P229" s="1130"/>
      <c r="Q229" s="1130"/>
      <c r="R229" s="1130"/>
      <c r="S229" s="1130"/>
      <c r="T229" s="1130"/>
      <c r="U229" s="1130"/>
      <c r="V229" s="1130"/>
      <c r="W229" s="1130"/>
      <c r="X229" s="1130"/>
      <c r="Y229" s="1130"/>
      <c r="Z229" s="1130"/>
    </row>
    <row r="230" spans="1:26" ht="15.75" customHeight="1">
      <c r="A230" s="1130"/>
      <c r="B230" s="1130"/>
      <c r="C230" s="1130"/>
      <c r="D230" s="1130"/>
      <c r="E230" s="1130"/>
      <c r="F230" s="1130"/>
      <c r="G230" s="1130"/>
      <c r="H230" s="1130"/>
      <c r="I230" s="1130"/>
      <c r="J230" s="1130"/>
      <c r="K230" s="1130"/>
      <c r="L230" s="1130"/>
      <c r="M230" s="1130"/>
      <c r="N230" s="1130"/>
      <c r="O230" s="1130"/>
      <c r="P230" s="1130"/>
      <c r="Q230" s="1130"/>
      <c r="R230" s="1130"/>
      <c r="S230" s="1130"/>
      <c r="T230" s="1130"/>
      <c r="U230" s="1130"/>
      <c r="V230" s="1130"/>
      <c r="W230" s="1130"/>
      <c r="X230" s="1130"/>
      <c r="Y230" s="1130"/>
      <c r="Z230" s="1130"/>
    </row>
    <row r="231" spans="1:26" ht="15.75" customHeight="1">
      <c r="A231" s="1130"/>
      <c r="B231" s="1130"/>
      <c r="C231" s="1130"/>
      <c r="D231" s="1130"/>
      <c r="E231" s="1130"/>
      <c r="F231" s="1130"/>
      <c r="G231" s="1130"/>
      <c r="H231" s="1130"/>
      <c r="I231" s="1130"/>
      <c r="J231" s="1130"/>
      <c r="K231" s="1130"/>
      <c r="L231" s="1130"/>
      <c r="M231" s="1130"/>
      <c r="N231" s="1130"/>
      <c r="O231" s="1130"/>
      <c r="P231" s="1130"/>
      <c r="Q231" s="1130"/>
      <c r="R231" s="1130"/>
      <c r="S231" s="1130"/>
      <c r="T231" s="1130"/>
      <c r="U231" s="1130"/>
      <c r="V231" s="1130"/>
      <c r="W231" s="1130"/>
      <c r="X231" s="1130"/>
      <c r="Y231" s="1130"/>
      <c r="Z231" s="1130"/>
    </row>
    <row r="232" spans="1:26" ht="15.75" customHeight="1">
      <c r="A232" s="1130"/>
      <c r="B232" s="1130"/>
      <c r="C232" s="1130"/>
      <c r="D232" s="1130"/>
      <c r="E232" s="1130"/>
      <c r="F232" s="1130"/>
      <c r="G232" s="1130"/>
      <c r="H232" s="1130"/>
      <c r="I232" s="1130"/>
      <c r="J232" s="1130"/>
      <c r="K232" s="1130"/>
      <c r="L232" s="1130"/>
      <c r="M232" s="1130"/>
      <c r="N232" s="1130"/>
      <c r="O232" s="1130"/>
      <c r="P232" s="1130"/>
      <c r="Q232" s="1130"/>
      <c r="R232" s="1130"/>
      <c r="S232" s="1130"/>
      <c r="T232" s="1130"/>
      <c r="U232" s="1130"/>
      <c r="V232" s="1130"/>
      <c r="W232" s="1130"/>
      <c r="X232" s="1130"/>
      <c r="Y232" s="1130"/>
      <c r="Z232" s="1130"/>
    </row>
    <row r="233" spans="1:26" ht="15.75" customHeight="1">
      <c r="A233" s="1130"/>
      <c r="B233" s="1130"/>
      <c r="C233" s="1130"/>
      <c r="D233" s="1130"/>
      <c r="E233" s="1130"/>
      <c r="F233" s="1130"/>
      <c r="G233" s="1130"/>
      <c r="H233" s="1130"/>
      <c r="I233" s="1130"/>
      <c r="J233" s="1130"/>
      <c r="K233" s="1130"/>
      <c r="L233" s="1130"/>
      <c r="M233" s="1130"/>
      <c r="N233" s="1130"/>
      <c r="O233" s="1130"/>
      <c r="P233" s="1130"/>
      <c r="Q233" s="1130"/>
      <c r="R233" s="1130"/>
      <c r="S233" s="1130"/>
      <c r="T233" s="1130"/>
      <c r="U233" s="1130"/>
      <c r="V233" s="1130"/>
      <c r="W233" s="1130"/>
      <c r="X233" s="1130"/>
      <c r="Y233" s="1130"/>
      <c r="Z233" s="1130"/>
    </row>
    <row r="234" spans="1:26" ht="15.75" customHeight="1">
      <c r="A234" s="1130"/>
      <c r="B234" s="1130"/>
      <c r="C234" s="1130"/>
      <c r="D234" s="1130"/>
      <c r="E234" s="1130"/>
      <c r="F234" s="1130"/>
      <c r="G234" s="1130"/>
      <c r="H234" s="1130"/>
      <c r="I234" s="1130"/>
      <c r="J234" s="1130"/>
      <c r="K234" s="1130"/>
      <c r="L234" s="1130"/>
      <c r="M234" s="1130"/>
      <c r="N234" s="1130"/>
      <c r="O234" s="1130"/>
      <c r="P234" s="1130"/>
      <c r="Q234" s="1130"/>
      <c r="R234" s="1130"/>
      <c r="S234" s="1130"/>
      <c r="T234" s="1130"/>
      <c r="U234" s="1130"/>
      <c r="V234" s="1130"/>
      <c r="W234" s="1130"/>
      <c r="X234" s="1130"/>
      <c r="Y234" s="1130"/>
      <c r="Z234" s="1130"/>
    </row>
    <row r="235" spans="1:26" ht="15.75" customHeight="1">
      <c r="A235" s="1130"/>
      <c r="B235" s="1130"/>
      <c r="C235" s="1130"/>
      <c r="D235" s="1130"/>
      <c r="E235" s="1130"/>
      <c r="F235" s="1130"/>
      <c r="G235" s="1130"/>
      <c r="H235" s="1130"/>
      <c r="I235" s="1130"/>
      <c r="J235" s="1130"/>
      <c r="K235" s="1130"/>
      <c r="L235" s="1130"/>
      <c r="M235" s="1130"/>
      <c r="N235" s="1130"/>
      <c r="O235" s="1130"/>
      <c r="P235" s="1130"/>
      <c r="Q235" s="1130"/>
      <c r="R235" s="1130"/>
      <c r="S235" s="1130"/>
      <c r="T235" s="1130"/>
      <c r="U235" s="1130"/>
      <c r="V235" s="1130"/>
      <c r="W235" s="1130"/>
      <c r="X235" s="1130"/>
      <c r="Y235" s="1130"/>
      <c r="Z235" s="1130"/>
    </row>
    <row r="236" spans="1:26" ht="15.75" customHeight="1">
      <c r="A236" s="1130"/>
      <c r="B236" s="1130"/>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row>
    <row r="237" spans="1:26" ht="15.75" customHeight="1">
      <c r="A237" s="1130"/>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row>
    <row r="238" spans="1:26" ht="15.75" customHeight="1">
      <c r="A238" s="1130"/>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row>
    <row r="239" spans="1:26" ht="15.75" customHeight="1">
      <c r="A239" s="1130"/>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row>
    <row r="240" spans="1:26" ht="15.75" customHeight="1">
      <c r="A240" s="1130"/>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row>
    <row r="241" spans="1:26" ht="15.75" customHeight="1">
      <c r="A241" s="1130"/>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row>
    <row r="242" spans="1:26" ht="15.75" customHeight="1">
      <c r="A242" s="1130"/>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row>
    <row r="243" spans="1:26" ht="15.75" customHeight="1">
      <c r="A243" s="1130"/>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row>
    <row r="244" spans="1:26" ht="15.75" customHeight="1">
      <c r="A244" s="1130"/>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row>
    <row r="245" spans="1:26" ht="15.75" customHeight="1">
      <c r="A245" s="1130"/>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row>
    <row r="246" spans="1:26" ht="15.75" customHeight="1">
      <c r="A246" s="1130"/>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row>
    <row r="247" spans="1:26" ht="15.75" customHeight="1">
      <c r="A247" s="1130"/>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row>
    <row r="248" spans="1:26" ht="15.75" customHeight="1">
      <c r="A248" s="1130"/>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row>
    <row r="249" spans="1:26" ht="15.75" customHeight="1">
      <c r="A249" s="1130"/>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row>
    <row r="250" spans="1:26" ht="15.75" customHeight="1">
      <c r="A250" s="1130"/>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row>
    <row r="251" spans="1:26" ht="15.75" customHeight="1">
      <c r="A251" s="1130"/>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row>
    <row r="252" spans="1:26" ht="15.75" customHeight="1">
      <c r="A252" s="1130"/>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row>
    <row r="253" spans="1:26" ht="15.75" customHeight="1">
      <c r="A253" s="1130"/>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row>
    <row r="254" spans="1:26" ht="15.75" customHeight="1">
      <c r="A254" s="1130"/>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row>
    <row r="255" spans="1:26" ht="15.75" customHeight="1">
      <c r="A255" s="1130"/>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row>
    <row r="256" spans="1:26" ht="15.75" customHeight="1">
      <c r="A256" s="1130"/>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row>
    <row r="257" spans="1:26" ht="15.75" customHeight="1">
      <c r="A257" s="1130"/>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row>
    <row r="258" spans="1:26" ht="15.75" customHeight="1">
      <c r="A258" s="1130"/>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row>
    <row r="259" spans="1:26" ht="15.75" customHeight="1">
      <c r="A259" s="1130"/>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row>
    <row r="260" spans="1:26" ht="15.75" customHeight="1">
      <c r="A260" s="1130"/>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row>
    <row r="261" spans="1:26" ht="15.75" customHeight="1">
      <c r="A261" s="1130"/>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row>
    <row r="262" spans="1:26" ht="15.75" customHeight="1">
      <c r="A262" s="1130"/>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row>
    <row r="263" spans="1:26" ht="15.75" customHeight="1">
      <c r="A263" s="1130"/>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row>
    <row r="264" spans="1:26" ht="15.75" customHeight="1">
      <c r="A264" s="1130"/>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row>
    <row r="265" spans="1:26" ht="15.75" customHeight="1">
      <c r="A265" s="1130"/>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row>
    <row r="266" spans="1:26" ht="15.75" customHeight="1">
      <c r="A266" s="1130"/>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row>
    <row r="267" spans="1:26" ht="15.75" customHeight="1">
      <c r="A267" s="1130"/>
      <c r="B267" s="1130"/>
      <c r="C267" s="1130"/>
      <c r="D267" s="1130"/>
      <c r="E267" s="1130"/>
      <c r="F267" s="1130"/>
      <c r="G267" s="1130"/>
      <c r="H267" s="1130"/>
      <c r="I267" s="1130"/>
      <c r="J267" s="1130"/>
      <c r="K267" s="1130"/>
      <c r="L267" s="1130"/>
      <c r="M267" s="1130"/>
      <c r="N267" s="1130"/>
      <c r="O267" s="1130"/>
      <c r="P267" s="1130"/>
      <c r="Q267" s="1130"/>
      <c r="R267" s="1130"/>
      <c r="S267" s="1130"/>
      <c r="T267" s="1130"/>
      <c r="U267" s="1130"/>
      <c r="V267" s="1130"/>
      <c r="W267" s="1130"/>
      <c r="X267" s="1130"/>
      <c r="Y267" s="1130"/>
      <c r="Z267" s="1130"/>
    </row>
    <row r="268" spans="1:26" ht="15.75" customHeight="1">
      <c r="A268" s="1130"/>
      <c r="B268" s="1130"/>
      <c r="C268" s="1130"/>
      <c r="D268" s="1130"/>
      <c r="E268" s="1130"/>
      <c r="F268" s="1130"/>
      <c r="G268" s="1130"/>
      <c r="H268" s="1130"/>
      <c r="I268" s="1130"/>
      <c r="J268" s="1130"/>
      <c r="K268" s="1130"/>
      <c r="L268" s="1130"/>
      <c r="M268" s="1130"/>
      <c r="N268" s="1130"/>
      <c r="O268" s="1130"/>
      <c r="P268" s="1130"/>
      <c r="Q268" s="1130"/>
      <c r="R268" s="1130"/>
      <c r="S268" s="1130"/>
      <c r="T268" s="1130"/>
      <c r="U268" s="1130"/>
      <c r="V268" s="1130"/>
      <c r="W268" s="1130"/>
      <c r="X268" s="1130"/>
      <c r="Y268" s="1130"/>
      <c r="Z268" s="1130"/>
    </row>
    <row r="269" spans="1:26" ht="15.75" customHeight="1">
      <c r="A269" s="1130"/>
      <c r="B269" s="1130"/>
      <c r="C269" s="1130"/>
      <c r="D269" s="1130"/>
      <c r="E269" s="1130"/>
      <c r="F269" s="1130"/>
      <c r="G269" s="1130"/>
      <c r="H269" s="1130"/>
      <c r="I269" s="1130"/>
      <c r="J269" s="1130"/>
      <c r="K269" s="1130"/>
      <c r="L269" s="1130"/>
      <c r="M269" s="1130"/>
      <c r="N269" s="1130"/>
      <c r="O269" s="1130"/>
      <c r="P269" s="1130"/>
      <c r="Q269" s="1130"/>
      <c r="R269" s="1130"/>
      <c r="S269" s="1130"/>
      <c r="T269" s="1130"/>
      <c r="U269" s="1130"/>
      <c r="V269" s="1130"/>
      <c r="W269" s="1130"/>
      <c r="X269" s="1130"/>
      <c r="Y269" s="1130"/>
      <c r="Z269" s="1130"/>
    </row>
    <row r="270" spans="1:26" ht="15.75" customHeight="1">
      <c r="A270" s="1130"/>
      <c r="B270" s="1130"/>
      <c r="C270" s="1130"/>
      <c r="D270" s="1130"/>
      <c r="E270" s="1130"/>
      <c r="F270" s="1130"/>
      <c r="G270" s="1130"/>
      <c r="H270" s="1130"/>
      <c r="I270" s="1130"/>
      <c r="J270" s="1130"/>
      <c r="K270" s="1130"/>
      <c r="L270" s="1130"/>
      <c r="M270" s="1130"/>
      <c r="N270" s="1130"/>
      <c r="O270" s="1130"/>
      <c r="P270" s="1130"/>
      <c r="Q270" s="1130"/>
      <c r="R270" s="1130"/>
      <c r="S270" s="1130"/>
      <c r="T270" s="1130"/>
      <c r="U270" s="1130"/>
      <c r="V270" s="1130"/>
      <c r="W270" s="1130"/>
      <c r="X270" s="1130"/>
      <c r="Y270" s="1130"/>
      <c r="Z270" s="1130"/>
    </row>
    <row r="271" spans="1:26" ht="15.75" customHeight="1">
      <c r="A271" s="1130"/>
      <c r="B271" s="1130"/>
      <c r="C271" s="1130"/>
      <c r="D271" s="1130"/>
      <c r="E271" s="1130"/>
      <c r="F271" s="1130"/>
      <c r="G271" s="1130"/>
      <c r="H271" s="1130"/>
      <c r="I271" s="1130"/>
      <c r="J271" s="1130"/>
      <c r="K271" s="1130"/>
      <c r="L271" s="1130"/>
      <c r="M271" s="1130"/>
      <c r="N271" s="1130"/>
      <c r="O271" s="1130"/>
      <c r="P271" s="1130"/>
      <c r="Q271" s="1130"/>
      <c r="R271" s="1130"/>
      <c r="S271" s="1130"/>
      <c r="T271" s="1130"/>
      <c r="U271" s="1130"/>
      <c r="V271" s="1130"/>
      <c r="W271" s="1130"/>
      <c r="X271" s="1130"/>
      <c r="Y271" s="1130"/>
      <c r="Z271" s="1130"/>
    </row>
    <row r="272" spans="1:26" ht="15.75" customHeight="1">
      <c r="A272" s="1130"/>
      <c r="B272" s="1130"/>
      <c r="C272" s="1130"/>
      <c r="D272" s="1130"/>
      <c r="E272" s="1130"/>
      <c r="F272" s="1130"/>
      <c r="G272" s="1130"/>
      <c r="H272" s="1130"/>
      <c r="I272" s="1130"/>
      <c r="J272" s="1130"/>
      <c r="K272" s="1130"/>
      <c r="L272" s="1130"/>
      <c r="M272" s="1130"/>
      <c r="N272" s="1130"/>
      <c r="O272" s="1130"/>
      <c r="P272" s="1130"/>
      <c r="Q272" s="1130"/>
      <c r="R272" s="1130"/>
      <c r="S272" s="1130"/>
      <c r="T272" s="1130"/>
      <c r="U272" s="1130"/>
      <c r="V272" s="1130"/>
      <c r="W272" s="1130"/>
      <c r="X272" s="1130"/>
      <c r="Y272" s="1130"/>
      <c r="Z272" s="1130"/>
    </row>
    <row r="273" spans="1:26" ht="15.75" customHeight="1">
      <c r="A273" s="1130"/>
      <c r="B273" s="1130"/>
      <c r="C273" s="1130"/>
      <c r="D273" s="1130"/>
      <c r="E273" s="1130"/>
      <c r="F273" s="1130"/>
      <c r="G273" s="1130"/>
      <c r="H273" s="1130"/>
      <c r="I273" s="1130"/>
      <c r="J273" s="1130"/>
      <c r="K273" s="1130"/>
      <c r="L273" s="1130"/>
      <c r="M273" s="1130"/>
      <c r="N273" s="1130"/>
      <c r="O273" s="1130"/>
      <c r="P273" s="1130"/>
      <c r="Q273" s="1130"/>
      <c r="R273" s="1130"/>
      <c r="S273" s="1130"/>
      <c r="T273" s="1130"/>
      <c r="U273" s="1130"/>
      <c r="V273" s="1130"/>
      <c r="W273" s="1130"/>
      <c r="X273" s="1130"/>
      <c r="Y273" s="1130"/>
      <c r="Z273" s="1130"/>
    </row>
    <row r="274" spans="1:26" ht="15.75" customHeight="1">
      <c r="A274" s="1130"/>
      <c r="B274" s="1130"/>
      <c r="C274" s="1130"/>
      <c r="D274" s="1130"/>
      <c r="E274" s="1130"/>
      <c r="F274" s="1130"/>
      <c r="G274" s="1130"/>
      <c r="H274" s="1130"/>
      <c r="I274" s="1130"/>
      <c r="J274" s="1130"/>
      <c r="K274" s="1130"/>
      <c r="L274" s="1130"/>
      <c r="M274" s="1130"/>
      <c r="N274" s="1130"/>
      <c r="O274" s="1130"/>
      <c r="P274" s="1130"/>
      <c r="Q274" s="1130"/>
      <c r="R274" s="1130"/>
      <c r="S274" s="1130"/>
      <c r="T274" s="1130"/>
      <c r="U274" s="1130"/>
      <c r="V274" s="1130"/>
      <c r="W274" s="1130"/>
      <c r="X274" s="1130"/>
      <c r="Y274" s="1130"/>
      <c r="Z274" s="1130"/>
    </row>
    <row r="275" spans="1:26" ht="15.75" customHeight="1">
      <c r="A275" s="1130"/>
      <c r="B275" s="1130"/>
      <c r="C275" s="1130"/>
      <c r="D275" s="1130"/>
      <c r="E275" s="1130"/>
      <c r="F275" s="1130"/>
      <c r="G275" s="1130"/>
      <c r="H275" s="1130"/>
      <c r="I275" s="1130"/>
      <c r="J275" s="1130"/>
      <c r="K275" s="1130"/>
      <c r="L275" s="1130"/>
      <c r="M275" s="1130"/>
      <c r="N275" s="1130"/>
      <c r="O275" s="1130"/>
      <c r="P275" s="1130"/>
      <c r="Q275" s="1130"/>
      <c r="R275" s="1130"/>
      <c r="S275" s="1130"/>
      <c r="T275" s="1130"/>
      <c r="U275" s="1130"/>
      <c r="V275" s="1130"/>
      <c r="W275" s="1130"/>
      <c r="X275" s="1130"/>
      <c r="Y275" s="1130"/>
      <c r="Z275" s="1130"/>
    </row>
    <row r="276" spans="1:26" ht="15.75" customHeight="1">
      <c r="A276" s="1130"/>
      <c r="B276" s="1130"/>
      <c r="C276" s="1130"/>
      <c r="D276" s="1130"/>
      <c r="E276" s="1130"/>
      <c r="F276" s="1130"/>
      <c r="G276" s="1130"/>
      <c r="H276" s="1130"/>
      <c r="I276" s="1130"/>
      <c r="J276" s="1130"/>
      <c r="K276" s="1130"/>
      <c r="L276" s="1130"/>
      <c r="M276" s="1130"/>
      <c r="N276" s="1130"/>
      <c r="O276" s="1130"/>
      <c r="P276" s="1130"/>
      <c r="Q276" s="1130"/>
      <c r="R276" s="1130"/>
      <c r="S276" s="1130"/>
      <c r="T276" s="1130"/>
      <c r="U276" s="1130"/>
      <c r="V276" s="1130"/>
      <c r="W276" s="1130"/>
      <c r="X276" s="1130"/>
      <c r="Y276" s="1130"/>
      <c r="Z276" s="1130"/>
    </row>
    <row r="277" spans="1:26" ht="15.75" customHeight="1">
      <c r="A277" s="1130"/>
      <c r="B277" s="1130"/>
      <c r="C277" s="1130"/>
      <c r="D277" s="1130"/>
      <c r="E277" s="1130"/>
      <c r="F277" s="1130"/>
      <c r="G277" s="1130"/>
      <c r="H277" s="1130"/>
      <c r="I277" s="1130"/>
      <c r="J277" s="1130"/>
      <c r="K277" s="1130"/>
      <c r="L277" s="1130"/>
      <c r="M277" s="1130"/>
      <c r="N277" s="1130"/>
      <c r="O277" s="1130"/>
      <c r="P277" s="1130"/>
      <c r="Q277" s="1130"/>
      <c r="R277" s="1130"/>
      <c r="S277" s="1130"/>
      <c r="T277" s="1130"/>
      <c r="U277" s="1130"/>
      <c r="V277" s="1130"/>
      <c r="W277" s="1130"/>
      <c r="X277" s="1130"/>
      <c r="Y277" s="1130"/>
      <c r="Z277" s="1130"/>
    </row>
    <row r="278" spans="1:26" ht="15.75" customHeight="1">
      <c r="A278" s="1130"/>
      <c r="B278" s="1130"/>
      <c r="C278" s="1130"/>
      <c r="D278" s="1130"/>
      <c r="E278" s="1130"/>
      <c r="F278" s="1130"/>
      <c r="G278" s="1130"/>
      <c r="H278" s="1130"/>
      <c r="I278" s="1130"/>
      <c r="J278" s="1130"/>
      <c r="K278" s="1130"/>
      <c r="L278" s="1130"/>
      <c r="M278" s="1130"/>
      <c r="N278" s="1130"/>
      <c r="O278" s="1130"/>
      <c r="P278" s="1130"/>
      <c r="Q278" s="1130"/>
      <c r="R278" s="1130"/>
      <c r="S278" s="1130"/>
      <c r="T278" s="1130"/>
      <c r="U278" s="1130"/>
      <c r="V278" s="1130"/>
      <c r="W278" s="1130"/>
      <c r="X278" s="1130"/>
      <c r="Y278" s="1130"/>
      <c r="Z278" s="1130"/>
    </row>
    <row r="279" spans="1:26" ht="15.75" customHeight="1">
      <c r="A279" s="1130"/>
      <c r="B279" s="1130"/>
      <c r="C279" s="1130"/>
      <c r="D279" s="1130"/>
      <c r="E279" s="1130"/>
      <c r="F279" s="1130"/>
      <c r="G279" s="1130"/>
      <c r="H279" s="1130"/>
      <c r="I279" s="1130"/>
      <c r="J279" s="1130"/>
      <c r="K279" s="1130"/>
      <c r="L279" s="1130"/>
      <c r="M279" s="1130"/>
      <c r="N279" s="1130"/>
      <c r="O279" s="1130"/>
      <c r="P279" s="1130"/>
      <c r="Q279" s="1130"/>
      <c r="R279" s="1130"/>
      <c r="S279" s="1130"/>
      <c r="T279" s="1130"/>
      <c r="U279" s="1130"/>
      <c r="V279" s="1130"/>
      <c r="W279" s="1130"/>
      <c r="X279" s="1130"/>
      <c r="Y279" s="1130"/>
      <c r="Z279" s="1130"/>
    </row>
    <row r="280" spans="1:26" ht="15.75" customHeight="1">
      <c r="A280" s="1130"/>
      <c r="B280" s="1130"/>
      <c r="C280" s="1130"/>
      <c r="D280" s="1130"/>
      <c r="E280" s="1130"/>
      <c r="F280" s="1130"/>
      <c r="G280" s="1130"/>
      <c r="H280" s="1130"/>
      <c r="I280" s="1130"/>
      <c r="J280" s="1130"/>
      <c r="K280" s="1130"/>
      <c r="L280" s="1130"/>
      <c r="M280" s="1130"/>
      <c r="N280" s="1130"/>
      <c r="O280" s="1130"/>
      <c r="P280" s="1130"/>
      <c r="Q280" s="1130"/>
      <c r="R280" s="1130"/>
      <c r="S280" s="1130"/>
      <c r="T280" s="1130"/>
      <c r="U280" s="1130"/>
      <c r="V280" s="1130"/>
      <c r="W280" s="1130"/>
      <c r="X280" s="1130"/>
      <c r="Y280" s="1130"/>
      <c r="Z280" s="1130"/>
    </row>
    <row r="281" spans="1:26" ht="15.75" customHeight="1">
      <c r="A281" s="1130"/>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row>
    <row r="282" spans="1:26" ht="15.75" customHeight="1">
      <c r="A282" s="1130"/>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row>
    <row r="283" spans="1:26" ht="15.75" customHeight="1">
      <c r="A283" s="1130"/>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row>
    <row r="284" spans="1:26" ht="15.75" customHeight="1">
      <c r="A284" s="1130"/>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row>
    <row r="285" spans="1:26" ht="15.75" customHeight="1">
      <c r="A285" s="1130"/>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row>
    <row r="286" spans="1:26" ht="15.75" customHeight="1">
      <c r="A286" s="1130"/>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row>
    <row r="287" spans="1:26" ht="15.75" customHeight="1">
      <c r="A287" s="1130"/>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row>
    <row r="288" spans="1:26" ht="15.75" customHeight="1">
      <c r="A288" s="1130"/>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row>
    <row r="289" spans="1:26" ht="15.75" customHeight="1">
      <c r="A289" s="1130"/>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row>
    <row r="290" spans="1:26" ht="15.75" customHeight="1">
      <c r="A290" s="1130"/>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row>
    <row r="291" spans="1:26" ht="15.75" customHeight="1">
      <c r="A291" s="1130"/>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row>
    <row r="292" spans="1:26" ht="15.75" customHeight="1">
      <c r="A292" s="1130"/>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row>
    <row r="293" spans="1:26" ht="15.75" customHeight="1">
      <c r="A293" s="1130"/>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row>
    <row r="294" spans="1:26" ht="15.75" customHeight="1">
      <c r="A294" s="1130"/>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row>
    <row r="295" spans="1:26" ht="15.75" customHeight="1">
      <c r="A295" s="1130"/>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row>
    <row r="296" spans="1:26" ht="15.75" customHeight="1">
      <c r="A296" s="1130"/>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row>
    <row r="297" spans="1:26" ht="15.75" customHeight="1">
      <c r="A297" s="1130"/>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row>
    <row r="298" spans="1:26" ht="15.75" customHeight="1">
      <c r="A298" s="1130"/>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row>
    <row r="299" spans="1:26" ht="15.75" customHeight="1">
      <c r="A299" s="1130"/>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row>
    <row r="300" spans="1:26" ht="15.75" customHeight="1">
      <c r="A300" s="1130"/>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row>
    <row r="301" spans="1:26" ht="15.75" customHeight="1">
      <c r="A301" s="1130"/>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row>
    <row r="302" spans="1:26" ht="15.75" customHeight="1">
      <c r="A302" s="1130"/>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row>
    <row r="303" spans="1:26" ht="15.75" customHeight="1">
      <c r="A303" s="1130"/>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row>
    <row r="304" spans="1:26" ht="15.75" customHeight="1">
      <c r="A304" s="1130"/>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row>
    <row r="305" spans="1:26" ht="15.75" customHeight="1">
      <c r="A305" s="1130"/>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row>
    <row r="306" spans="1:26" ht="15.75" customHeight="1">
      <c r="A306" s="1130"/>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row>
    <row r="307" spans="1:26" ht="15.75" customHeight="1">
      <c r="A307" s="1130"/>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row>
    <row r="308" spans="1:26" ht="15.75" customHeight="1">
      <c r="A308" s="1130"/>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row>
    <row r="309" spans="1:26" ht="15.75" customHeight="1">
      <c r="A309" s="1130"/>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row>
    <row r="310" spans="1:26" ht="15.75" customHeight="1">
      <c r="A310" s="1130"/>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row>
    <row r="311" spans="1:26" ht="15.75" customHeight="1">
      <c r="A311" s="1130"/>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row>
    <row r="312" spans="1:26" ht="15.75" customHeight="1">
      <c r="A312" s="1130"/>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row>
    <row r="313" spans="1:26" ht="15.75" customHeight="1">
      <c r="A313" s="1130"/>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row>
    <row r="314" spans="1:26" ht="15.75" customHeight="1">
      <c r="A314" s="1130"/>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row>
    <row r="315" spans="1:26" ht="15.75" customHeight="1">
      <c r="A315" s="1130"/>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row>
    <row r="316" spans="1:26" ht="15.75" customHeight="1">
      <c r="A316" s="1130"/>
      <c r="B316" s="1130"/>
      <c r="C316" s="1130"/>
      <c r="D316" s="1130"/>
      <c r="E316" s="1130"/>
      <c r="F316" s="1130"/>
      <c r="G316" s="1130"/>
      <c r="H316" s="1130"/>
      <c r="I316" s="1130"/>
      <c r="J316" s="1130"/>
      <c r="K316" s="1130"/>
      <c r="L316" s="1130"/>
      <c r="M316" s="1130"/>
      <c r="N316" s="1130"/>
      <c r="O316" s="1130"/>
      <c r="P316" s="1130"/>
      <c r="Q316" s="1130"/>
      <c r="R316" s="1130"/>
      <c r="S316" s="1130"/>
      <c r="T316" s="1130"/>
      <c r="U316" s="1130"/>
      <c r="V316" s="1130"/>
      <c r="W316" s="1130"/>
      <c r="X316" s="1130"/>
      <c r="Y316" s="1130"/>
      <c r="Z316" s="1130"/>
    </row>
    <row r="317" spans="1:26" ht="15.75" customHeight="1">
      <c r="A317" s="1130"/>
      <c r="B317" s="1130"/>
      <c r="C317" s="1130"/>
      <c r="D317" s="1130"/>
      <c r="E317" s="1130"/>
      <c r="F317" s="1130"/>
      <c r="G317" s="1130"/>
      <c r="H317" s="1130"/>
      <c r="I317" s="1130"/>
      <c r="J317" s="1130"/>
      <c r="K317" s="1130"/>
      <c r="L317" s="1130"/>
      <c r="M317" s="1130"/>
      <c r="N317" s="1130"/>
      <c r="O317" s="1130"/>
      <c r="P317" s="1130"/>
      <c r="Q317" s="1130"/>
      <c r="R317" s="1130"/>
      <c r="S317" s="1130"/>
      <c r="T317" s="1130"/>
      <c r="U317" s="1130"/>
      <c r="V317" s="1130"/>
      <c r="W317" s="1130"/>
      <c r="X317" s="1130"/>
      <c r="Y317" s="1130"/>
      <c r="Z317" s="1130"/>
    </row>
    <row r="318" spans="1:26" ht="15.75" customHeight="1">
      <c r="A318" s="1130"/>
      <c r="B318" s="1130"/>
      <c r="C318" s="1130"/>
      <c r="D318" s="1130"/>
      <c r="E318" s="1130"/>
      <c r="F318" s="1130"/>
      <c r="G318" s="1130"/>
      <c r="H318" s="1130"/>
      <c r="I318" s="1130"/>
      <c r="J318" s="1130"/>
      <c r="K318" s="1130"/>
      <c r="L318" s="1130"/>
      <c r="M318" s="1130"/>
      <c r="N318" s="1130"/>
      <c r="O318" s="1130"/>
      <c r="P318" s="1130"/>
      <c r="Q318" s="1130"/>
      <c r="R318" s="1130"/>
      <c r="S318" s="1130"/>
      <c r="T318" s="1130"/>
      <c r="U318" s="1130"/>
      <c r="V318" s="1130"/>
      <c r="W318" s="1130"/>
      <c r="X318" s="1130"/>
      <c r="Y318" s="1130"/>
      <c r="Z318" s="1130"/>
    </row>
    <row r="319" spans="1:26" ht="15.75" customHeight="1">
      <c r="A319" s="1130"/>
      <c r="B319" s="1130"/>
      <c r="C319" s="1130"/>
      <c r="D319" s="1130"/>
      <c r="E319" s="1130"/>
      <c r="F319" s="1130"/>
      <c r="G319" s="1130"/>
      <c r="H319" s="1130"/>
      <c r="I319" s="1130"/>
      <c r="J319" s="1130"/>
      <c r="K319" s="1130"/>
      <c r="L319" s="1130"/>
      <c r="M319" s="1130"/>
      <c r="N319" s="1130"/>
      <c r="O319" s="1130"/>
      <c r="P319" s="1130"/>
      <c r="Q319" s="1130"/>
      <c r="R319" s="1130"/>
      <c r="S319" s="1130"/>
      <c r="T319" s="1130"/>
      <c r="U319" s="1130"/>
      <c r="V319" s="1130"/>
      <c r="W319" s="1130"/>
      <c r="X319" s="1130"/>
      <c r="Y319" s="1130"/>
      <c r="Z319" s="1130"/>
    </row>
    <row r="320" spans="1:26" ht="15.75" customHeight="1">
      <c r="A320" s="1130"/>
      <c r="B320" s="1130"/>
      <c r="C320" s="1130"/>
      <c r="D320" s="1130"/>
      <c r="E320" s="1130"/>
      <c r="F320" s="1130"/>
      <c r="G320" s="1130"/>
      <c r="H320" s="1130"/>
      <c r="I320" s="1130"/>
      <c r="J320" s="1130"/>
      <c r="K320" s="1130"/>
      <c r="L320" s="1130"/>
      <c r="M320" s="1130"/>
      <c r="N320" s="1130"/>
      <c r="O320" s="1130"/>
      <c r="P320" s="1130"/>
      <c r="Q320" s="1130"/>
      <c r="R320" s="1130"/>
      <c r="S320" s="1130"/>
      <c r="T320" s="1130"/>
      <c r="U320" s="1130"/>
      <c r="V320" s="1130"/>
      <c r="W320" s="1130"/>
      <c r="X320" s="1130"/>
      <c r="Y320" s="1130"/>
      <c r="Z320" s="1130"/>
    </row>
    <row r="321" spans="1:26" ht="15.75" customHeight="1">
      <c r="A321" s="1130"/>
      <c r="B321" s="1130"/>
      <c r="C321" s="1130"/>
      <c r="D321" s="1130"/>
      <c r="E321" s="1130"/>
      <c r="F321" s="1130"/>
      <c r="G321" s="1130"/>
      <c r="H321" s="1130"/>
      <c r="I321" s="1130"/>
      <c r="J321" s="1130"/>
      <c r="K321" s="1130"/>
      <c r="L321" s="1130"/>
      <c r="M321" s="1130"/>
      <c r="N321" s="1130"/>
      <c r="O321" s="1130"/>
      <c r="P321" s="1130"/>
      <c r="Q321" s="1130"/>
      <c r="R321" s="1130"/>
      <c r="S321" s="1130"/>
      <c r="T321" s="1130"/>
      <c r="U321" s="1130"/>
      <c r="V321" s="1130"/>
      <c r="W321" s="1130"/>
      <c r="X321" s="1130"/>
      <c r="Y321" s="1130"/>
      <c r="Z321" s="1130"/>
    </row>
    <row r="322" spans="1:26" ht="15.75" customHeight="1">
      <c r="A322" s="1130"/>
      <c r="B322" s="1130"/>
      <c r="C322" s="1130"/>
      <c r="D322" s="1130"/>
      <c r="E322" s="1130"/>
      <c r="F322" s="1130"/>
      <c r="G322" s="1130"/>
      <c r="H322" s="1130"/>
      <c r="I322" s="1130"/>
      <c r="J322" s="1130"/>
      <c r="K322" s="1130"/>
      <c r="L322" s="1130"/>
      <c r="M322" s="1130"/>
      <c r="N322" s="1130"/>
      <c r="O322" s="1130"/>
      <c r="P322" s="1130"/>
      <c r="Q322" s="1130"/>
      <c r="R322" s="1130"/>
      <c r="S322" s="1130"/>
      <c r="T322" s="1130"/>
      <c r="U322" s="1130"/>
      <c r="V322" s="1130"/>
      <c r="W322" s="1130"/>
      <c r="X322" s="1130"/>
      <c r="Y322" s="1130"/>
      <c r="Z322" s="1130"/>
    </row>
    <row r="323" spans="1:26" ht="15.75" customHeight="1">
      <c r="A323" s="1130"/>
      <c r="B323" s="1130"/>
      <c r="C323" s="1130"/>
      <c r="D323" s="1130"/>
      <c r="E323" s="1130"/>
      <c r="F323" s="1130"/>
      <c r="G323" s="1130"/>
      <c r="H323" s="1130"/>
      <c r="I323" s="1130"/>
      <c r="J323" s="1130"/>
      <c r="K323" s="1130"/>
      <c r="L323" s="1130"/>
      <c r="M323" s="1130"/>
      <c r="N323" s="1130"/>
      <c r="O323" s="1130"/>
      <c r="P323" s="1130"/>
      <c r="Q323" s="1130"/>
      <c r="R323" s="1130"/>
      <c r="S323" s="1130"/>
      <c r="T323" s="1130"/>
      <c r="U323" s="1130"/>
      <c r="V323" s="1130"/>
      <c r="W323" s="1130"/>
      <c r="X323" s="1130"/>
      <c r="Y323" s="1130"/>
      <c r="Z323" s="1130"/>
    </row>
    <row r="324" spans="1:26" ht="15.75" customHeight="1">
      <c r="A324" s="1130"/>
      <c r="B324" s="1130"/>
      <c r="C324" s="1130"/>
      <c r="D324" s="1130"/>
      <c r="E324" s="1130"/>
      <c r="F324" s="1130"/>
      <c r="G324" s="1130"/>
      <c r="H324" s="1130"/>
      <c r="I324" s="1130"/>
      <c r="J324" s="1130"/>
      <c r="K324" s="1130"/>
      <c r="L324" s="1130"/>
      <c r="M324" s="1130"/>
      <c r="N324" s="1130"/>
      <c r="O324" s="1130"/>
      <c r="P324" s="1130"/>
      <c r="Q324" s="1130"/>
      <c r="R324" s="1130"/>
      <c r="S324" s="1130"/>
      <c r="T324" s="1130"/>
      <c r="U324" s="1130"/>
      <c r="V324" s="1130"/>
      <c r="W324" s="1130"/>
      <c r="X324" s="1130"/>
      <c r="Y324" s="1130"/>
      <c r="Z324" s="1130"/>
    </row>
    <row r="325" spans="1:26" ht="15.75" customHeight="1">
      <c r="A325" s="1130"/>
      <c r="B325" s="1130"/>
      <c r="C325" s="1130"/>
      <c r="D325" s="1130"/>
      <c r="E325" s="1130"/>
      <c r="F325" s="1130"/>
      <c r="G325" s="1130"/>
      <c r="H325" s="1130"/>
      <c r="I325" s="1130"/>
      <c r="J325" s="1130"/>
      <c r="K325" s="1130"/>
      <c r="L325" s="1130"/>
      <c r="M325" s="1130"/>
      <c r="N325" s="1130"/>
      <c r="O325" s="1130"/>
      <c r="P325" s="1130"/>
      <c r="Q325" s="1130"/>
      <c r="R325" s="1130"/>
      <c r="S325" s="1130"/>
      <c r="T325" s="1130"/>
      <c r="U325" s="1130"/>
      <c r="V325" s="1130"/>
      <c r="W325" s="1130"/>
      <c r="X325" s="1130"/>
      <c r="Y325" s="1130"/>
      <c r="Z325" s="1130"/>
    </row>
    <row r="326" spans="1:26" ht="15.75" customHeight="1">
      <c r="A326" s="1130"/>
      <c r="B326" s="1130"/>
      <c r="C326" s="1130"/>
      <c r="D326" s="1130"/>
      <c r="E326" s="1130"/>
      <c r="F326" s="1130"/>
      <c r="G326" s="1130"/>
      <c r="H326" s="1130"/>
      <c r="I326" s="1130"/>
      <c r="J326" s="1130"/>
      <c r="K326" s="1130"/>
      <c r="L326" s="1130"/>
      <c r="M326" s="1130"/>
      <c r="N326" s="1130"/>
      <c r="O326" s="1130"/>
      <c r="P326" s="1130"/>
      <c r="Q326" s="1130"/>
      <c r="R326" s="1130"/>
      <c r="S326" s="1130"/>
      <c r="T326" s="1130"/>
      <c r="U326" s="1130"/>
      <c r="V326" s="1130"/>
      <c r="W326" s="1130"/>
      <c r="X326" s="1130"/>
      <c r="Y326" s="1130"/>
      <c r="Z326" s="1130"/>
    </row>
    <row r="327" spans="1:26" ht="15.75" customHeight="1">
      <c r="A327" s="1130"/>
      <c r="B327" s="1130"/>
      <c r="C327" s="1130"/>
      <c r="D327" s="1130"/>
      <c r="E327" s="1130"/>
      <c r="F327" s="1130"/>
      <c r="G327" s="1130"/>
      <c r="H327" s="1130"/>
      <c r="I327" s="1130"/>
      <c r="J327" s="1130"/>
      <c r="K327" s="1130"/>
      <c r="L327" s="1130"/>
      <c r="M327" s="1130"/>
      <c r="N327" s="1130"/>
      <c r="O327" s="1130"/>
      <c r="P327" s="1130"/>
      <c r="Q327" s="1130"/>
      <c r="R327" s="1130"/>
      <c r="S327" s="1130"/>
      <c r="T327" s="1130"/>
      <c r="U327" s="1130"/>
      <c r="V327" s="1130"/>
      <c r="W327" s="1130"/>
      <c r="X327" s="1130"/>
      <c r="Y327" s="1130"/>
      <c r="Z327" s="1130"/>
    </row>
    <row r="328" spans="1:26" ht="15.75" customHeight="1">
      <c r="A328" s="1130"/>
      <c r="B328" s="1130"/>
      <c r="C328" s="1130"/>
      <c r="D328" s="1130"/>
      <c r="E328" s="1130"/>
      <c r="F328" s="1130"/>
      <c r="G328" s="1130"/>
      <c r="H328" s="1130"/>
      <c r="I328" s="1130"/>
      <c r="J328" s="1130"/>
      <c r="K328" s="1130"/>
      <c r="L328" s="1130"/>
      <c r="M328" s="1130"/>
      <c r="N328" s="1130"/>
      <c r="O328" s="1130"/>
      <c r="P328" s="1130"/>
      <c r="Q328" s="1130"/>
      <c r="R328" s="1130"/>
      <c r="S328" s="1130"/>
      <c r="T328" s="1130"/>
      <c r="U328" s="1130"/>
      <c r="V328" s="1130"/>
      <c r="W328" s="1130"/>
      <c r="X328" s="1130"/>
      <c r="Y328" s="1130"/>
      <c r="Z328" s="1130"/>
    </row>
    <row r="329" spans="1:26" ht="15.75" customHeight="1">
      <c r="A329" s="1130"/>
      <c r="B329" s="1130"/>
      <c r="C329" s="1130"/>
      <c r="D329" s="1130"/>
      <c r="E329" s="1130"/>
      <c r="F329" s="1130"/>
      <c r="G329" s="1130"/>
      <c r="H329" s="1130"/>
      <c r="I329" s="1130"/>
      <c r="J329" s="1130"/>
      <c r="K329" s="1130"/>
      <c r="L329" s="1130"/>
      <c r="M329" s="1130"/>
      <c r="N329" s="1130"/>
      <c r="O329" s="1130"/>
      <c r="P329" s="1130"/>
      <c r="Q329" s="1130"/>
      <c r="R329" s="1130"/>
      <c r="S329" s="1130"/>
      <c r="T329" s="1130"/>
      <c r="U329" s="1130"/>
      <c r="V329" s="1130"/>
      <c r="W329" s="1130"/>
      <c r="X329" s="1130"/>
      <c r="Y329" s="1130"/>
      <c r="Z329" s="1130"/>
    </row>
    <row r="330" spans="1:26" ht="15.75" customHeight="1">
      <c r="A330" s="1130"/>
      <c r="B330" s="1130"/>
      <c r="C330" s="1130"/>
      <c r="D330" s="1130"/>
      <c r="E330" s="1130"/>
      <c r="F330" s="1130"/>
      <c r="G330" s="1130"/>
      <c r="H330" s="1130"/>
      <c r="I330" s="1130"/>
      <c r="J330" s="1130"/>
      <c r="K330" s="1130"/>
      <c r="L330" s="1130"/>
      <c r="M330" s="1130"/>
      <c r="N330" s="1130"/>
      <c r="O330" s="1130"/>
      <c r="P330" s="1130"/>
      <c r="Q330" s="1130"/>
      <c r="R330" s="1130"/>
      <c r="S330" s="1130"/>
      <c r="T330" s="1130"/>
      <c r="U330" s="1130"/>
      <c r="V330" s="1130"/>
      <c r="W330" s="1130"/>
      <c r="X330" s="1130"/>
      <c r="Y330" s="1130"/>
      <c r="Z330" s="1130"/>
    </row>
    <row r="331" spans="1:26" ht="15.75" customHeight="1">
      <c r="A331" s="1130"/>
      <c r="B331" s="1130"/>
      <c r="C331" s="1130"/>
      <c r="D331" s="1130"/>
      <c r="E331" s="1130"/>
      <c r="F331" s="1130"/>
      <c r="G331" s="1130"/>
      <c r="H331" s="1130"/>
      <c r="I331" s="1130"/>
      <c r="J331" s="1130"/>
      <c r="K331" s="1130"/>
      <c r="L331" s="1130"/>
      <c r="M331" s="1130"/>
      <c r="N331" s="1130"/>
      <c r="O331" s="1130"/>
      <c r="P331" s="1130"/>
      <c r="Q331" s="1130"/>
      <c r="R331" s="1130"/>
      <c r="S331" s="1130"/>
      <c r="T331" s="1130"/>
      <c r="U331" s="1130"/>
      <c r="V331" s="1130"/>
      <c r="W331" s="1130"/>
      <c r="X331" s="1130"/>
      <c r="Y331" s="1130"/>
      <c r="Z331" s="1130"/>
    </row>
    <row r="332" spans="1:26" ht="15.75" customHeight="1">
      <c r="A332" s="1130"/>
      <c r="B332" s="1130"/>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row>
    <row r="333" spans="1:26" ht="15.75" customHeight="1">
      <c r="A333" s="1130"/>
      <c r="B333" s="1130"/>
      <c r="C333" s="1130"/>
      <c r="D333" s="1130"/>
      <c r="E333" s="1130"/>
      <c r="F333" s="1130"/>
      <c r="G333" s="1130"/>
      <c r="H333" s="1130"/>
      <c r="I333" s="1130"/>
      <c r="J333" s="1130"/>
      <c r="K333" s="1130"/>
      <c r="L333" s="1130"/>
      <c r="M333" s="1130"/>
      <c r="N333" s="1130"/>
      <c r="O333" s="1130"/>
      <c r="P333" s="1130"/>
      <c r="Q333" s="1130"/>
      <c r="R333" s="1130"/>
      <c r="S333" s="1130"/>
      <c r="T333" s="1130"/>
      <c r="U333" s="1130"/>
      <c r="V333" s="1130"/>
      <c r="W333" s="1130"/>
      <c r="X333" s="1130"/>
      <c r="Y333" s="1130"/>
      <c r="Z333" s="1130"/>
    </row>
    <row r="334" spans="1:26" ht="15.75" customHeight="1">
      <c r="A334" s="1130"/>
      <c r="B334" s="1130"/>
      <c r="C334" s="1130"/>
      <c r="D334" s="1130"/>
      <c r="E334" s="1130"/>
      <c r="F334" s="1130"/>
      <c r="G334" s="1130"/>
      <c r="H334" s="1130"/>
      <c r="I334" s="1130"/>
      <c r="J334" s="1130"/>
      <c r="K334" s="1130"/>
      <c r="L334" s="1130"/>
      <c r="M334" s="1130"/>
      <c r="N334" s="1130"/>
      <c r="O334" s="1130"/>
      <c r="P334" s="1130"/>
      <c r="Q334" s="1130"/>
      <c r="R334" s="1130"/>
      <c r="S334" s="1130"/>
      <c r="T334" s="1130"/>
      <c r="U334" s="1130"/>
      <c r="V334" s="1130"/>
      <c r="W334" s="1130"/>
      <c r="X334" s="1130"/>
      <c r="Y334" s="1130"/>
      <c r="Z334" s="1130"/>
    </row>
    <row r="335" spans="1:26" ht="15.75" customHeight="1">
      <c r="A335" s="1130"/>
      <c r="B335" s="1130"/>
      <c r="C335" s="1130"/>
      <c r="D335" s="1130"/>
      <c r="E335" s="1130"/>
      <c r="F335" s="1130"/>
      <c r="G335" s="1130"/>
      <c r="H335" s="1130"/>
      <c r="I335" s="1130"/>
      <c r="J335" s="1130"/>
      <c r="K335" s="1130"/>
      <c r="L335" s="1130"/>
      <c r="M335" s="1130"/>
      <c r="N335" s="1130"/>
      <c r="O335" s="1130"/>
      <c r="P335" s="1130"/>
      <c r="Q335" s="1130"/>
      <c r="R335" s="1130"/>
      <c r="S335" s="1130"/>
      <c r="T335" s="1130"/>
      <c r="U335" s="1130"/>
      <c r="V335" s="1130"/>
      <c r="W335" s="1130"/>
      <c r="X335" s="1130"/>
      <c r="Y335" s="1130"/>
      <c r="Z335" s="1130"/>
    </row>
    <row r="336" spans="1:26" ht="15.75" customHeight="1">
      <c r="A336" s="1130"/>
      <c r="B336" s="1130"/>
      <c r="C336" s="1130"/>
      <c r="D336" s="1130"/>
      <c r="E336" s="1130"/>
      <c r="F336" s="1130"/>
      <c r="G336" s="1130"/>
      <c r="H336" s="1130"/>
      <c r="I336" s="1130"/>
      <c r="J336" s="1130"/>
      <c r="K336" s="1130"/>
      <c r="L336" s="1130"/>
      <c r="M336" s="1130"/>
      <c r="N336" s="1130"/>
      <c r="O336" s="1130"/>
      <c r="P336" s="1130"/>
      <c r="Q336" s="1130"/>
      <c r="R336" s="1130"/>
      <c r="S336" s="1130"/>
      <c r="T336" s="1130"/>
      <c r="U336" s="1130"/>
      <c r="V336" s="1130"/>
      <c r="W336" s="1130"/>
      <c r="X336" s="1130"/>
      <c r="Y336" s="1130"/>
      <c r="Z336" s="1130"/>
    </row>
    <row r="337" spans="1:26" ht="15.75" customHeight="1">
      <c r="A337" s="1130"/>
      <c r="B337" s="1130"/>
      <c r="C337" s="1130"/>
      <c r="D337" s="1130"/>
      <c r="E337" s="1130"/>
      <c r="F337" s="1130"/>
      <c r="G337" s="1130"/>
      <c r="H337" s="1130"/>
      <c r="I337" s="1130"/>
      <c r="J337" s="1130"/>
      <c r="K337" s="1130"/>
      <c r="L337" s="1130"/>
      <c r="M337" s="1130"/>
      <c r="N337" s="1130"/>
      <c r="O337" s="1130"/>
      <c r="P337" s="1130"/>
      <c r="Q337" s="1130"/>
      <c r="R337" s="1130"/>
      <c r="S337" s="1130"/>
      <c r="T337" s="1130"/>
      <c r="U337" s="1130"/>
      <c r="V337" s="1130"/>
      <c r="W337" s="1130"/>
      <c r="X337" s="1130"/>
      <c r="Y337" s="1130"/>
      <c r="Z337" s="1130"/>
    </row>
    <row r="338" spans="1:26" ht="15.75" customHeight="1">
      <c r="A338" s="1130"/>
      <c r="B338" s="1130"/>
      <c r="C338" s="1130"/>
      <c r="D338" s="1130"/>
      <c r="E338" s="1130"/>
      <c r="F338" s="1130"/>
      <c r="G338" s="1130"/>
      <c r="H338" s="1130"/>
      <c r="I338" s="1130"/>
      <c r="J338" s="1130"/>
      <c r="K338" s="1130"/>
      <c r="L338" s="1130"/>
      <c r="M338" s="1130"/>
      <c r="N338" s="1130"/>
      <c r="O338" s="1130"/>
      <c r="P338" s="1130"/>
      <c r="Q338" s="1130"/>
      <c r="R338" s="1130"/>
      <c r="S338" s="1130"/>
      <c r="T338" s="1130"/>
      <c r="U338" s="1130"/>
      <c r="V338" s="1130"/>
      <c r="W338" s="1130"/>
      <c r="X338" s="1130"/>
      <c r="Y338" s="1130"/>
      <c r="Z338" s="1130"/>
    </row>
    <row r="339" spans="1:26" ht="15.75" customHeight="1">
      <c r="A339" s="1130"/>
      <c r="B339" s="1130"/>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row>
    <row r="340" spans="1:26" ht="15.75" customHeight="1">
      <c r="A340" s="1130"/>
      <c r="B340" s="1130"/>
      <c r="C340" s="1130"/>
      <c r="D340" s="1130"/>
      <c r="E340" s="1130"/>
      <c r="F340" s="1130"/>
      <c r="G340" s="1130"/>
      <c r="H340" s="1130"/>
      <c r="I340" s="1130"/>
      <c r="J340" s="1130"/>
      <c r="K340" s="1130"/>
      <c r="L340" s="1130"/>
      <c r="M340" s="1130"/>
      <c r="N340" s="1130"/>
      <c r="O340" s="1130"/>
      <c r="P340" s="1130"/>
      <c r="Q340" s="1130"/>
      <c r="R340" s="1130"/>
      <c r="S340" s="1130"/>
      <c r="T340" s="1130"/>
      <c r="U340" s="1130"/>
      <c r="V340" s="1130"/>
      <c r="W340" s="1130"/>
      <c r="X340" s="1130"/>
      <c r="Y340" s="1130"/>
      <c r="Z340" s="1130"/>
    </row>
    <row r="341" spans="1:26" ht="15.75" customHeight="1">
      <c r="A341" s="1130"/>
      <c r="B341" s="1130"/>
      <c r="C341" s="1130"/>
      <c r="D341" s="1130"/>
      <c r="E341" s="1130"/>
      <c r="F341" s="1130"/>
      <c r="G341" s="1130"/>
      <c r="H341" s="1130"/>
      <c r="I341" s="1130"/>
      <c r="J341" s="1130"/>
      <c r="K341" s="1130"/>
      <c r="L341" s="1130"/>
      <c r="M341" s="1130"/>
      <c r="N341" s="1130"/>
      <c r="O341" s="1130"/>
      <c r="P341" s="1130"/>
      <c r="Q341" s="1130"/>
      <c r="R341" s="1130"/>
      <c r="S341" s="1130"/>
      <c r="T341" s="1130"/>
      <c r="U341" s="1130"/>
      <c r="V341" s="1130"/>
      <c r="W341" s="1130"/>
      <c r="X341" s="1130"/>
      <c r="Y341" s="1130"/>
      <c r="Z341" s="1130"/>
    </row>
    <row r="342" spans="1:26" ht="15.75" customHeight="1">
      <c r="A342" s="1130"/>
      <c r="B342" s="1130"/>
      <c r="C342" s="1130"/>
      <c r="D342" s="1130"/>
      <c r="E342" s="1130"/>
      <c r="F342" s="1130"/>
      <c r="G342" s="1130"/>
      <c r="H342" s="1130"/>
      <c r="I342" s="1130"/>
      <c r="J342" s="1130"/>
      <c r="K342" s="1130"/>
      <c r="L342" s="1130"/>
      <c r="M342" s="1130"/>
      <c r="N342" s="1130"/>
      <c r="O342" s="1130"/>
      <c r="P342" s="1130"/>
      <c r="Q342" s="1130"/>
      <c r="R342" s="1130"/>
      <c r="S342" s="1130"/>
      <c r="T342" s="1130"/>
      <c r="U342" s="1130"/>
      <c r="V342" s="1130"/>
      <c r="W342" s="1130"/>
      <c r="X342" s="1130"/>
      <c r="Y342" s="1130"/>
      <c r="Z342" s="1130"/>
    </row>
    <row r="343" spans="1:26" ht="15.75" customHeight="1">
      <c r="A343" s="1130"/>
      <c r="B343" s="1130"/>
      <c r="C343" s="1130"/>
      <c r="D343" s="1130"/>
      <c r="E343" s="1130"/>
      <c r="F343" s="1130"/>
      <c r="G343" s="1130"/>
      <c r="H343" s="1130"/>
      <c r="I343" s="1130"/>
      <c r="J343" s="1130"/>
      <c r="K343" s="1130"/>
      <c r="L343" s="1130"/>
      <c r="M343" s="1130"/>
      <c r="N343" s="1130"/>
      <c r="O343" s="1130"/>
      <c r="P343" s="1130"/>
      <c r="Q343" s="1130"/>
      <c r="R343" s="1130"/>
      <c r="S343" s="1130"/>
      <c r="T343" s="1130"/>
      <c r="U343" s="1130"/>
      <c r="V343" s="1130"/>
      <c r="W343" s="1130"/>
      <c r="X343" s="1130"/>
      <c r="Y343" s="1130"/>
      <c r="Z343" s="1130"/>
    </row>
    <row r="344" spans="1:26" ht="15.75" customHeight="1">
      <c r="A344" s="1130"/>
      <c r="B344" s="1130"/>
      <c r="C344" s="1130"/>
      <c r="D344" s="1130"/>
      <c r="E344" s="1130"/>
      <c r="F344" s="1130"/>
      <c r="G344" s="1130"/>
      <c r="H344" s="1130"/>
      <c r="I344" s="1130"/>
      <c r="J344" s="1130"/>
      <c r="K344" s="1130"/>
      <c r="L344" s="1130"/>
      <c r="M344" s="1130"/>
      <c r="N344" s="1130"/>
      <c r="O344" s="1130"/>
      <c r="P344" s="1130"/>
      <c r="Q344" s="1130"/>
      <c r="R344" s="1130"/>
      <c r="S344" s="1130"/>
      <c r="T344" s="1130"/>
      <c r="U344" s="1130"/>
      <c r="V344" s="1130"/>
      <c r="W344" s="1130"/>
      <c r="X344" s="1130"/>
      <c r="Y344" s="1130"/>
      <c r="Z344" s="1130"/>
    </row>
    <row r="345" spans="1:26" ht="15.75" customHeight="1">
      <c r="A345" s="1130"/>
      <c r="B345" s="1130"/>
      <c r="C345" s="1130"/>
      <c r="D345" s="1130"/>
      <c r="E345" s="1130"/>
      <c r="F345" s="1130"/>
      <c r="G345" s="1130"/>
      <c r="H345" s="1130"/>
      <c r="I345" s="1130"/>
      <c r="J345" s="1130"/>
      <c r="K345" s="1130"/>
      <c r="L345" s="1130"/>
      <c r="M345" s="1130"/>
      <c r="N345" s="1130"/>
      <c r="O345" s="1130"/>
      <c r="P345" s="1130"/>
      <c r="Q345" s="1130"/>
      <c r="R345" s="1130"/>
      <c r="S345" s="1130"/>
      <c r="T345" s="1130"/>
      <c r="U345" s="1130"/>
      <c r="V345" s="1130"/>
      <c r="W345" s="1130"/>
      <c r="X345" s="1130"/>
      <c r="Y345" s="1130"/>
      <c r="Z345" s="1130"/>
    </row>
    <row r="346" spans="1:26" ht="15.75" customHeight="1">
      <c r="A346" s="1130"/>
      <c r="B346" s="1130"/>
      <c r="C346" s="1130"/>
      <c r="D346" s="1130"/>
      <c r="E346" s="1130"/>
      <c r="F346" s="1130"/>
      <c r="G346" s="1130"/>
      <c r="H346" s="1130"/>
      <c r="I346" s="1130"/>
      <c r="J346" s="1130"/>
      <c r="K346" s="1130"/>
      <c r="L346" s="1130"/>
      <c r="M346" s="1130"/>
      <c r="N346" s="1130"/>
      <c r="O346" s="1130"/>
      <c r="P346" s="1130"/>
      <c r="Q346" s="1130"/>
      <c r="R346" s="1130"/>
      <c r="S346" s="1130"/>
      <c r="T346" s="1130"/>
      <c r="U346" s="1130"/>
      <c r="V346" s="1130"/>
      <c r="W346" s="1130"/>
      <c r="X346" s="1130"/>
      <c r="Y346" s="1130"/>
      <c r="Z346" s="1130"/>
    </row>
    <row r="347" spans="1:26" ht="15.75" customHeight="1">
      <c r="A347" s="1130"/>
      <c r="B347" s="1130"/>
      <c r="C347" s="1130"/>
      <c r="D347" s="1130"/>
      <c r="E347" s="1130"/>
      <c r="F347" s="1130"/>
      <c r="G347" s="1130"/>
      <c r="H347" s="1130"/>
      <c r="I347" s="1130"/>
      <c r="J347" s="1130"/>
      <c r="K347" s="1130"/>
      <c r="L347" s="1130"/>
      <c r="M347" s="1130"/>
      <c r="N347" s="1130"/>
      <c r="O347" s="1130"/>
      <c r="P347" s="1130"/>
      <c r="Q347" s="1130"/>
      <c r="R347" s="1130"/>
      <c r="S347" s="1130"/>
      <c r="T347" s="1130"/>
      <c r="U347" s="1130"/>
      <c r="V347" s="1130"/>
      <c r="W347" s="1130"/>
      <c r="X347" s="1130"/>
      <c r="Y347" s="1130"/>
      <c r="Z347" s="1130"/>
    </row>
    <row r="348" spans="1:26" ht="15.75" customHeight="1">
      <c r="A348" s="1130"/>
      <c r="B348" s="1130"/>
      <c r="C348" s="1130"/>
      <c r="D348" s="1130"/>
      <c r="E348" s="1130"/>
      <c r="F348" s="1130"/>
      <c r="G348" s="1130"/>
      <c r="H348" s="1130"/>
      <c r="I348" s="1130"/>
      <c r="J348" s="1130"/>
      <c r="K348" s="1130"/>
      <c r="L348" s="1130"/>
      <c r="M348" s="1130"/>
      <c r="N348" s="1130"/>
      <c r="O348" s="1130"/>
      <c r="P348" s="1130"/>
      <c r="Q348" s="1130"/>
      <c r="R348" s="1130"/>
      <c r="S348" s="1130"/>
      <c r="T348" s="1130"/>
      <c r="U348" s="1130"/>
      <c r="V348" s="1130"/>
      <c r="W348" s="1130"/>
      <c r="X348" s="1130"/>
      <c r="Y348" s="1130"/>
      <c r="Z348" s="1130"/>
    </row>
    <row r="349" spans="1:26" ht="15.75" customHeight="1">
      <c r="A349" s="1130"/>
      <c r="B349" s="1130"/>
      <c r="C349" s="1130"/>
      <c r="D349" s="1130"/>
      <c r="E349" s="1130"/>
      <c r="F349" s="1130"/>
      <c r="G349" s="1130"/>
      <c r="H349" s="1130"/>
      <c r="I349" s="1130"/>
      <c r="J349" s="1130"/>
      <c r="K349" s="1130"/>
      <c r="L349" s="1130"/>
      <c r="M349" s="1130"/>
      <c r="N349" s="1130"/>
      <c r="O349" s="1130"/>
      <c r="P349" s="1130"/>
      <c r="Q349" s="1130"/>
      <c r="R349" s="1130"/>
      <c r="S349" s="1130"/>
      <c r="T349" s="1130"/>
      <c r="U349" s="1130"/>
      <c r="V349" s="1130"/>
      <c r="W349" s="1130"/>
      <c r="X349" s="1130"/>
      <c r="Y349" s="1130"/>
      <c r="Z349" s="1130"/>
    </row>
    <row r="350" spans="1:26" ht="15.75" customHeight="1">
      <c r="A350" s="1130"/>
      <c r="B350" s="1130"/>
      <c r="C350" s="1130"/>
      <c r="D350" s="1130"/>
      <c r="E350" s="1130"/>
      <c r="F350" s="1130"/>
      <c r="G350" s="1130"/>
      <c r="H350" s="1130"/>
      <c r="I350" s="1130"/>
      <c r="J350" s="1130"/>
      <c r="K350" s="1130"/>
      <c r="L350" s="1130"/>
      <c r="M350" s="1130"/>
      <c r="N350" s="1130"/>
      <c r="O350" s="1130"/>
      <c r="P350" s="1130"/>
      <c r="Q350" s="1130"/>
      <c r="R350" s="1130"/>
      <c r="S350" s="1130"/>
      <c r="T350" s="1130"/>
      <c r="U350" s="1130"/>
      <c r="V350" s="1130"/>
      <c r="W350" s="1130"/>
      <c r="X350" s="1130"/>
      <c r="Y350" s="1130"/>
      <c r="Z350" s="1130"/>
    </row>
    <row r="351" spans="1:26" ht="15.75" customHeight="1">
      <c r="A351" s="1130"/>
      <c r="B351" s="1130"/>
      <c r="C351" s="1130"/>
      <c r="D351" s="1130"/>
      <c r="E351" s="1130"/>
      <c r="F351" s="1130"/>
      <c r="G351" s="1130"/>
      <c r="H351" s="1130"/>
      <c r="I351" s="1130"/>
      <c r="J351" s="1130"/>
      <c r="K351" s="1130"/>
      <c r="L351" s="1130"/>
      <c r="M351" s="1130"/>
      <c r="N351" s="1130"/>
      <c r="O351" s="1130"/>
      <c r="P351" s="1130"/>
      <c r="Q351" s="1130"/>
      <c r="R351" s="1130"/>
      <c r="S351" s="1130"/>
      <c r="T351" s="1130"/>
      <c r="U351" s="1130"/>
      <c r="V351" s="1130"/>
      <c r="W351" s="1130"/>
      <c r="X351" s="1130"/>
      <c r="Y351" s="1130"/>
      <c r="Z351" s="1130"/>
    </row>
    <row r="352" spans="1:26" ht="15.75" customHeight="1">
      <c r="A352" s="1130"/>
      <c r="B352" s="1130"/>
      <c r="C352" s="1130"/>
      <c r="D352" s="1130"/>
      <c r="E352" s="1130"/>
      <c r="F352" s="1130"/>
      <c r="G352" s="1130"/>
      <c r="H352" s="1130"/>
      <c r="I352" s="1130"/>
      <c r="J352" s="1130"/>
      <c r="K352" s="1130"/>
      <c r="L352" s="1130"/>
      <c r="M352" s="1130"/>
      <c r="N352" s="1130"/>
      <c r="O352" s="1130"/>
      <c r="P352" s="1130"/>
      <c r="Q352" s="1130"/>
      <c r="R352" s="1130"/>
      <c r="S352" s="1130"/>
      <c r="T352" s="1130"/>
      <c r="U352" s="1130"/>
      <c r="V352" s="1130"/>
      <c r="W352" s="1130"/>
      <c r="X352" s="1130"/>
      <c r="Y352" s="1130"/>
      <c r="Z352" s="1130"/>
    </row>
    <row r="353" spans="1:26" ht="15.75" customHeight="1">
      <c r="A353" s="1130"/>
      <c r="B353" s="1130"/>
      <c r="C353" s="1130"/>
      <c r="D353" s="1130"/>
      <c r="E353" s="1130"/>
      <c r="F353" s="1130"/>
      <c r="G353" s="1130"/>
      <c r="H353" s="1130"/>
      <c r="I353" s="1130"/>
      <c r="J353" s="1130"/>
      <c r="K353" s="1130"/>
      <c r="L353" s="1130"/>
      <c r="M353" s="1130"/>
      <c r="N353" s="1130"/>
      <c r="O353" s="1130"/>
      <c r="P353" s="1130"/>
      <c r="Q353" s="1130"/>
      <c r="R353" s="1130"/>
      <c r="S353" s="1130"/>
      <c r="T353" s="1130"/>
      <c r="U353" s="1130"/>
      <c r="V353" s="1130"/>
      <c r="W353" s="1130"/>
      <c r="X353" s="1130"/>
      <c r="Y353" s="1130"/>
      <c r="Z353" s="1130"/>
    </row>
    <row r="354" spans="1:26" ht="15.75" customHeight="1">
      <c r="A354" s="1130"/>
      <c r="B354" s="1130"/>
      <c r="C354" s="1130"/>
      <c r="D354" s="1130"/>
      <c r="E354" s="1130"/>
      <c r="F354" s="1130"/>
      <c r="G354" s="1130"/>
      <c r="H354" s="1130"/>
      <c r="I354" s="1130"/>
      <c r="J354" s="1130"/>
      <c r="K354" s="1130"/>
      <c r="L354" s="1130"/>
      <c r="M354" s="1130"/>
      <c r="N354" s="1130"/>
      <c r="O354" s="1130"/>
      <c r="P354" s="1130"/>
      <c r="Q354" s="1130"/>
      <c r="R354" s="1130"/>
      <c r="S354" s="1130"/>
      <c r="T354" s="1130"/>
      <c r="U354" s="1130"/>
      <c r="V354" s="1130"/>
      <c r="W354" s="1130"/>
      <c r="X354" s="1130"/>
      <c r="Y354" s="1130"/>
      <c r="Z354" s="1130"/>
    </row>
    <row r="355" spans="1:26" ht="15.75" customHeight="1">
      <c r="A355" s="1130"/>
      <c r="B355" s="1130"/>
      <c r="C355" s="1130"/>
      <c r="D355" s="1130"/>
      <c r="E355" s="1130"/>
      <c r="F355" s="1130"/>
      <c r="G355" s="1130"/>
      <c r="H355" s="1130"/>
      <c r="I355" s="1130"/>
      <c r="J355" s="1130"/>
      <c r="K355" s="1130"/>
      <c r="L355" s="1130"/>
      <c r="M355" s="1130"/>
      <c r="N355" s="1130"/>
      <c r="O355" s="1130"/>
      <c r="P355" s="1130"/>
      <c r="Q355" s="1130"/>
      <c r="R355" s="1130"/>
      <c r="S355" s="1130"/>
      <c r="T355" s="1130"/>
      <c r="U355" s="1130"/>
      <c r="V355" s="1130"/>
      <c r="W355" s="1130"/>
      <c r="X355" s="1130"/>
      <c r="Y355" s="1130"/>
      <c r="Z355" s="1130"/>
    </row>
    <row r="356" spans="1:26" ht="15.75" customHeight="1">
      <c r="A356" s="1130"/>
      <c r="B356" s="1130"/>
      <c r="C356" s="1130"/>
      <c r="D356" s="1130"/>
      <c r="E356" s="1130"/>
      <c r="F356" s="1130"/>
      <c r="G356" s="1130"/>
      <c r="H356" s="1130"/>
      <c r="I356" s="1130"/>
      <c r="J356" s="1130"/>
      <c r="K356" s="1130"/>
      <c r="L356" s="1130"/>
      <c r="M356" s="1130"/>
      <c r="N356" s="1130"/>
      <c r="O356" s="1130"/>
      <c r="P356" s="1130"/>
      <c r="Q356" s="1130"/>
      <c r="R356" s="1130"/>
      <c r="S356" s="1130"/>
      <c r="T356" s="1130"/>
      <c r="U356" s="1130"/>
      <c r="V356" s="1130"/>
      <c r="W356" s="1130"/>
      <c r="X356" s="1130"/>
      <c r="Y356" s="1130"/>
      <c r="Z356" s="1130"/>
    </row>
    <row r="357" spans="1:26" ht="15.75" customHeight="1">
      <c r="A357" s="1130"/>
      <c r="B357" s="1130"/>
      <c r="C357" s="1130"/>
      <c r="D357" s="1130"/>
      <c r="E357" s="1130"/>
      <c r="F357" s="1130"/>
      <c r="G357" s="1130"/>
      <c r="H357" s="1130"/>
      <c r="I357" s="1130"/>
      <c r="J357" s="1130"/>
      <c r="K357" s="1130"/>
      <c r="L357" s="1130"/>
      <c r="M357" s="1130"/>
      <c r="N357" s="1130"/>
      <c r="O357" s="1130"/>
      <c r="P357" s="1130"/>
      <c r="Q357" s="1130"/>
      <c r="R357" s="1130"/>
      <c r="S357" s="1130"/>
      <c r="T357" s="1130"/>
      <c r="U357" s="1130"/>
      <c r="V357" s="1130"/>
      <c r="W357" s="1130"/>
      <c r="X357" s="1130"/>
      <c r="Y357" s="1130"/>
      <c r="Z357" s="1130"/>
    </row>
    <row r="358" spans="1:26" ht="15.75" customHeight="1">
      <c r="A358" s="1130"/>
      <c r="B358" s="1130"/>
      <c r="C358" s="1130"/>
      <c r="D358" s="1130"/>
      <c r="E358" s="1130"/>
      <c r="F358" s="1130"/>
      <c r="G358" s="1130"/>
      <c r="H358" s="1130"/>
      <c r="I358" s="1130"/>
      <c r="J358" s="1130"/>
      <c r="K358" s="1130"/>
      <c r="L358" s="1130"/>
      <c r="M358" s="1130"/>
      <c r="N358" s="1130"/>
      <c r="O358" s="1130"/>
      <c r="P358" s="1130"/>
      <c r="Q358" s="1130"/>
      <c r="R358" s="1130"/>
      <c r="S358" s="1130"/>
      <c r="T358" s="1130"/>
      <c r="U358" s="1130"/>
      <c r="V358" s="1130"/>
      <c r="W358" s="1130"/>
      <c r="X358" s="1130"/>
      <c r="Y358" s="1130"/>
      <c r="Z358" s="1130"/>
    </row>
    <row r="359" spans="1:26" ht="15.75" customHeight="1">
      <c r="A359" s="1130"/>
      <c r="B359" s="1130"/>
      <c r="C359" s="1130"/>
      <c r="D359" s="1130"/>
      <c r="E359" s="1130"/>
      <c r="F359" s="1130"/>
      <c r="G359" s="1130"/>
      <c r="H359" s="1130"/>
      <c r="I359" s="1130"/>
      <c r="J359" s="1130"/>
      <c r="K359" s="1130"/>
      <c r="L359" s="1130"/>
      <c r="M359" s="1130"/>
      <c r="N359" s="1130"/>
      <c r="O359" s="1130"/>
      <c r="P359" s="1130"/>
      <c r="Q359" s="1130"/>
      <c r="R359" s="1130"/>
      <c r="S359" s="1130"/>
      <c r="T359" s="1130"/>
      <c r="U359" s="1130"/>
      <c r="V359" s="1130"/>
      <c r="W359" s="1130"/>
      <c r="X359" s="1130"/>
      <c r="Y359" s="1130"/>
      <c r="Z359" s="1130"/>
    </row>
    <row r="360" spans="1:26" ht="15.75" customHeight="1">
      <c r="A360" s="1130"/>
      <c r="B360" s="1130"/>
      <c r="C360" s="1130"/>
      <c r="D360" s="1130"/>
      <c r="E360" s="1130"/>
      <c r="F360" s="1130"/>
      <c r="G360" s="1130"/>
      <c r="H360" s="1130"/>
      <c r="I360" s="1130"/>
      <c r="J360" s="1130"/>
      <c r="K360" s="1130"/>
      <c r="L360" s="1130"/>
      <c r="M360" s="1130"/>
      <c r="N360" s="1130"/>
      <c r="O360" s="1130"/>
      <c r="P360" s="1130"/>
      <c r="Q360" s="1130"/>
      <c r="R360" s="1130"/>
      <c r="S360" s="1130"/>
      <c r="T360" s="1130"/>
      <c r="U360" s="1130"/>
      <c r="V360" s="1130"/>
      <c r="W360" s="1130"/>
      <c r="X360" s="1130"/>
      <c r="Y360" s="1130"/>
      <c r="Z360" s="1130"/>
    </row>
    <row r="361" spans="1:26" ht="15.75" customHeight="1">
      <c r="A361" s="1130"/>
      <c r="B361" s="1130"/>
      <c r="C361" s="1130"/>
      <c r="D361" s="1130"/>
      <c r="E361" s="1130"/>
      <c r="F361" s="1130"/>
      <c r="G361" s="1130"/>
      <c r="H361" s="1130"/>
      <c r="I361" s="1130"/>
      <c r="J361" s="1130"/>
      <c r="K361" s="1130"/>
      <c r="L361" s="1130"/>
      <c r="M361" s="1130"/>
      <c r="N361" s="1130"/>
      <c r="O361" s="1130"/>
      <c r="P361" s="1130"/>
      <c r="Q361" s="1130"/>
      <c r="R361" s="1130"/>
      <c r="S361" s="1130"/>
      <c r="T361" s="1130"/>
      <c r="U361" s="1130"/>
      <c r="V361" s="1130"/>
      <c r="W361" s="1130"/>
      <c r="X361" s="1130"/>
      <c r="Y361" s="1130"/>
      <c r="Z361" s="1130"/>
    </row>
    <row r="362" spans="1:26" ht="15.75" customHeight="1">
      <c r="A362" s="1130"/>
      <c r="B362" s="1130"/>
      <c r="C362" s="1130"/>
      <c r="D362" s="1130"/>
      <c r="E362" s="1130"/>
      <c r="F362" s="1130"/>
      <c r="G362" s="1130"/>
      <c r="H362" s="1130"/>
      <c r="I362" s="1130"/>
      <c r="J362" s="1130"/>
      <c r="K362" s="1130"/>
      <c r="L362" s="1130"/>
      <c r="M362" s="1130"/>
      <c r="N362" s="1130"/>
      <c r="O362" s="1130"/>
      <c r="P362" s="1130"/>
      <c r="Q362" s="1130"/>
      <c r="R362" s="1130"/>
      <c r="S362" s="1130"/>
      <c r="T362" s="1130"/>
      <c r="U362" s="1130"/>
      <c r="V362" s="1130"/>
      <c r="W362" s="1130"/>
      <c r="X362" s="1130"/>
      <c r="Y362" s="1130"/>
      <c r="Z362" s="1130"/>
    </row>
    <row r="363" spans="1:26" ht="15.75" customHeight="1">
      <c r="A363" s="1130"/>
      <c r="B363" s="1130"/>
      <c r="C363" s="1130"/>
      <c r="D363" s="1130"/>
      <c r="E363" s="1130"/>
      <c r="F363" s="1130"/>
      <c r="G363" s="1130"/>
      <c r="H363" s="1130"/>
      <c r="I363" s="1130"/>
      <c r="J363" s="1130"/>
      <c r="K363" s="1130"/>
      <c r="L363" s="1130"/>
      <c r="M363" s="1130"/>
      <c r="N363" s="1130"/>
      <c r="O363" s="1130"/>
      <c r="P363" s="1130"/>
      <c r="Q363" s="1130"/>
      <c r="R363" s="1130"/>
      <c r="S363" s="1130"/>
      <c r="T363" s="1130"/>
      <c r="U363" s="1130"/>
      <c r="V363" s="1130"/>
      <c r="W363" s="1130"/>
      <c r="X363" s="1130"/>
      <c r="Y363" s="1130"/>
      <c r="Z363" s="1130"/>
    </row>
    <row r="364" spans="1:26" ht="15.75" customHeight="1">
      <c r="A364" s="1130"/>
      <c r="B364" s="1130"/>
      <c r="C364" s="1130"/>
      <c r="D364" s="1130"/>
      <c r="E364" s="1130"/>
      <c r="F364" s="1130"/>
      <c r="G364" s="1130"/>
      <c r="H364" s="1130"/>
      <c r="I364" s="1130"/>
      <c r="J364" s="1130"/>
      <c r="K364" s="1130"/>
      <c r="L364" s="1130"/>
      <c r="M364" s="1130"/>
      <c r="N364" s="1130"/>
      <c r="O364" s="1130"/>
      <c r="P364" s="1130"/>
      <c r="Q364" s="1130"/>
      <c r="R364" s="1130"/>
      <c r="S364" s="1130"/>
      <c r="T364" s="1130"/>
      <c r="U364" s="1130"/>
      <c r="V364" s="1130"/>
      <c r="W364" s="1130"/>
      <c r="X364" s="1130"/>
      <c r="Y364" s="1130"/>
      <c r="Z364" s="1130"/>
    </row>
    <row r="365" spans="1:26" ht="15.75" customHeight="1">
      <c r="A365" s="1130"/>
      <c r="B365" s="1130"/>
      <c r="C365" s="1130"/>
      <c r="D365" s="1130"/>
      <c r="E365" s="1130"/>
      <c r="F365" s="1130"/>
      <c r="G365" s="1130"/>
      <c r="H365" s="1130"/>
      <c r="I365" s="1130"/>
      <c r="J365" s="1130"/>
      <c r="K365" s="1130"/>
      <c r="L365" s="1130"/>
      <c r="M365" s="1130"/>
      <c r="N365" s="1130"/>
      <c r="O365" s="1130"/>
      <c r="P365" s="1130"/>
      <c r="Q365" s="1130"/>
      <c r="R365" s="1130"/>
      <c r="S365" s="1130"/>
      <c r="T365" s="1130"/>
      <c r="U365" s="1130"/>
      <c r="V365" s="1130"/>
      <c r="W365" s="1130"/>
      <c r="X365" s="1130"/>
      <c r="Y365" s="1130"/>
      <c r="Z365" s="1130"/>
    </row>
    <row r="366" spans="1:26" ht="15.75" customHeight="1">
      <c r="A366" s="1130"/>
      <c r="B366" s="1130"/>
      <c r="C366" s="1130"/>
      <c r="D366" s="1130"/>
      <c r="E366" s="1130"/>
      <c r="F366" s="1130"/>
      <c r="G366" s="1130"/>
      <c r="H366" s="1130"/>
      <c r="I366" s="1130"/>
      <c r="J366" s="1130"/>
      <c r="K366" s="1130"/>
      <c r="L366" s="1130"/>
      <c r="M366" s="1130"/>
      <c r="N366" s="1130"/>
      <c r="O366" s="1130"/>
      <c r="P366" s="1130"/>
      <c r="Q366" s="1130"/>
      <c r="R366" s="1130"/>
      <c r="S366" s="1130"/>
      <c r="T366" s="1130"/>
      <c r="U366" s="1130"/>
      <c r="V366" s="1130"/>
      <c r="W366" s="1130"/>
      <c r="X366" s="1130"/>
      <c r="Y366" s="1130"/>
      <c r="Z366" s="1130"/>
    </row>
    <row r="367" spans="1:26" ht="15.75" customHeight="1">
      <c r="A367" s="1130"/>
      <c r="B367" s="1130"/>
      <c r="C367" s="1130"/>
      <c r="D367" s="1130"/>
      <c r="E367" s="1130"/>
      <c r="F367" s="1130"/>
      <c r="G367" s="1130"/>
      <c r="H367" s="1130"/>
      <c r="I367" s="1130"/>
      <c r="J367" s="1130"/>
      <c r="K367" s="1130"/>
      <c r="L367" s="1130"/>
      <c r="M367" s="1130"/>
      <c r="N367" s="1130"/>
      <c r="O367" s="1130"/>
      <c r="P367" s="1130"/>
      <c r="Q367" s="1130"/>
      <c r="R367" s="1130"/>
      <c r="S367" s="1130"/>
      <c r="T367" s="1130"/>
      <c r="U367" s="1130"/>
      <c r="V367" s="1130"/>
      <c r="W367" s="1130"/>
      <c r="X367" s="1130"/>
      <c r="Y367" s="1130"/>
      <c r="Z367" s="1130"/>
    </row>
    <row r="368" spans="1:26" ht="15.75" customHeight="1">
      <c r="A368" s="1130"/>
      <c r="B368" s="1130"/>
      <c r="C368" s="1130"/>
      <c r="D368" s="1130"/>
      <c r="E368" s="1130"/>
      <c r="F368" s="1130"/>
      <c r="G368" s="1130"/>
      <c r="H368" s="1130"/>
      <c r="I368" s="1130"/>
      <c r="J368" s="1130"/>
      <c r="K368" s="1130"/>
      <c r="L368" s="1130"/>
      <c r="M368" s="1130"/>
      <c r="N368" s="1130"/>
      <c r="O368" s="1130"/>
      <c r="P368" s="1130"/>
      <c r="Q368" s="1130"/>
      <c r="R368" s="1130"/>
      <c r="S368" s="1130"/>
      <c r="T368" s="1130"/>
      <c r="U368" s="1130"/>
      <c r="V368" s="1130"/>
      <c r="W368" s="1130"/>
      <c r="X368" s="1130"/>
      <c r="Y368" s="1130"/>
      <c r="Z368" s="1130"/>
    </row>
    <row r="369" spans="1:26" ht="15.75" customHeight="1">
      <c r="A369" s="1130"/>
      <c r="B369" s="1130"/>
      <c r="C369" s="1130"/>
      <c r="D369" s="1130"/>
      <c r="E369" s="1130"/>
      <c r="F369" s="1130"/>
      <c r="G369" s="1130"/>
      <c r="H369" s="1130"/>
      <c r="I369" s="1130"/>
      <c r="J369" s="1130"/>
      <c r="K369" s="1130"/>
      <c r="L369" s="1130"/>
      <c r="M369" s="1130"/>
      <c r="N369" s="1130"/>
      <c r="O369" s="1130"/>
      <c r="P369" s="1130"/>
      <c r="Q369" s="1130"/>
      <c r="R369" s="1130"/>
      <c r="S369" s="1130"/>
      <c r="T369" s="1130"/>
      <c r="U369" s="1130"/>
      <c r="V369" s="1130"/>
      <c r="W369" s="1130"/>
      <c r="X369" s="1130"/>
      <c r="Y369" s="1130"/>
      <c r="Z369" s="1130"/>
    </row>
    <row r="370" spans="1:26" ht="15.75" customHeight="1">
      <c r="A370" s="1130"/>
      <c r="B370" s="1130"/>
      <c r="C370" s="1130"/>
      <c r="D370" s="1130"/>
      <c r="E370" s="1130"/>
      <c r="F370" s="1130"/>
      <c r="G370" s="1130"/>
      <c r="H370" s="1130"/>
      <c r="I370" s="1130"/>
      <c r="J370" s="1130"/>
      <c r="K370" s="1130"/>
      <c r="L370" s="1130"/>
      <c r="M370" s="1130"/>
      <c r="N370" s="1130"/>
      <c r="O370" s="1130"/>
      <c r="P370" s="1130"/>
      <c r="Q370" s="1130"/>
      <c r="R370" s="1130"/>
      <c r="S370" s="1130"/>
      <c r="T370" s="1130"/>
      <c r="U370" s="1130"/>
      <c r="V370" s="1130"/>
      <c r="W370" s="1130"/>
      <c r="X370" s="1130"/>
      <c r="Y370" s="1130"/>
      <c r="Z370" s="1130"/>
    </row>
    <row r="371" spans="1:26" ht="15.75" customHeight="1">
      <c r="A371" s="1130"/>
      <c r="B371" s="1130"/>
      <c r="C371" s="1130"/>
      <c r="D371" s="1130"/>
      <c r="E371" s="1130"/>
      <c r="F371" s="1130"/>
      <c r="G371" s="1130"/>
      <c r="H371" s="1130"/>
      <c r="I371" s="1130"/>
      <c r="J371" s="1130"/>
      <c r="K371" s="1130"/>
      <c r="L371" s="1130"/>
      <c r="M371" s="1130"/>
      <c r="N371" s="1130"/>
      <c r="O371" s="1130"/>
      <c r="P371" s="1130"/>
      <c r="Q371" s="1130"/>
      <c r="R371" s="1130"/>
      <c r="S371" s="1130"/>
      <c r="T371" s="1130"/>
      <c r="U371" s="1130"/>
      <c r="V371" s="1130"/>
      <c r="W371" s="1130"/>
      <c r="X371" s="1130"/>
      <c r="Y371" s="1130"/>
      <c r="Z371" s="1130"/>
    </row>
    <row r="372" spans="1:26" ht="15.75" customHeight="1">
      <c r="A372" s="1130"/>
      <c r="B372" s="1130"/>
      <c r="C372" s="1130"/>
      <c r="D372" s="1130"/>
      <c r="E372" s="1130"/>
      <c r="F372" s="1130"/>
      <c r="G372" s="1130"/>
      <c r="H372" s="1130"/>
      <c r="I372" s="1130"/>
      <c r="J372" s="1130"/>
      <c r="K372" s="1130"/>
      <c r="L372" s="1130"/>
      <c r="M372" s="1130"/>
      <c r="N372" s="1130"/>
      <c r="O372" s="1130"/>
      <c r="P372" s="1130"/>
      <c r="Q372" s="1130"/>
      <c r="R372" s="1130"/>
      <c r="S372" s="1130"/>
      <c r="T372" s="1130"/>
      <c r="U372" s="1130"/>
      <c r="V372" s="1130"/>
      <c r="W372" s="1130"/>
      <c r="X372" s="1130"/>
      <c r="Y372" s="1130"/>
      <c r="Z372" s="1130"/>
    </row>
    <row r="373" spans="1:26" ht="15.75" customHeight="1">
      <c r="A373" s="1130"/>
      <c r="B373" s="1130"/>
      <c r="C373" s="1130"/>
      <c r="D373" s="1130"/>
      <c r="E373" s="1130"/>
      <c r="F373" s="1130"/>
      <c r="G373" s="1130"/>
      <c r="H373" s="1130"/>
      <c r="I373" s="1130"/>
      <c r="J373" s="1130"/>
      <c r="K373" s="1130"/>
      <c r="L373" s="1130"/>
      <c r="M373" s="1130"/>
      <c r="N373" s="1130"/>
      <c r="O373" s="1130"/>
      <c r="P373" s="1130"/>
      <c r="Q373" s="1130"/>
      <c r="R373" s="1130"/>
      <c r="S373" s="1130"/>
      <c r="T373" s="1130"/>
      <c r="U373" s="1130"/>
      <c r="V373" s="1130"/>
      <c r="W373" s="1130"/>
      <c r="X373" s="1130"/>
      <c r="Y373" s="1130"/>
      <c r="Z373" s="1130"/>
    </row>
    <row r="374" spans="1:26" ht="15.75" customHeight="1">
      <c r="A374" s="1130"/>
      <c r="B374" s="1130"/>
      <c r="C374" s="1130"/>
      <c r="D374" s="1130"/>
      <c r="E374" s="1130"/>
      <c r="F374" s="1130"/>
      <c r="G374" s="1130"/>
      <c r="H374" s="1130"/>
      <c r="I374" s="1130"/>
      <c r="J374" s="1130"/>
      <c r="K374" s="1130"/>
      <c r="L374" s="1130"/>
      <c r="M374" s="1130"/>
      <c r="N374" s="1130"/>
      <c r="O374" s="1130"/>
      <c r="P374" s="1130"/>
      <c r="Q374" s="1130"/>
      <c r="R374" s="1130"/>
      <c r="S374" s="1130"/>
      <c r="T374" s="1130"/>
      <c r="U374" s="1130"/>
      <c r="V374" s="1130"/>
      <c r="W374" s="1130"/>
      <c r="X374" s="1130"/>
      <c r="Y374" s="1130"/>
      <c r="Z374" s="1130"/>
    </row>
    <row r="375" spans="1:26" ht="15.75" customHeight="1">
      <c r="A375" s="1130"/>
      <c r="B375" s="1130"/>
      <c r="C375" s="1130"/>
      <c r="D375" s="1130"/>
      <c r="E375" s="1130"/>
      <c r="F375" s="1130"/>
      <c r="G375" s="1130"/>
      <c r="H375" s="1130"/>
      <c r="I375" s="1130"/>
      <c r="J375" s="1130"/>
      <c r="K375" s="1130"/>
      <c r="L375" s="1130"/>
      <c r="M375" s="1130"/>
      <c r="N375" s="1130"/>
      <c r="O375" s="1130"/>
      <c r="P375" s="1130"/>
      <c r="Q375" s="1130"/>
      <c r="R375" s="1130"/>
      <c r="S375" s="1130"/>
      <c r="T375" s="1130"/>
      <c r="U375" s="1130"/>
      <c r="V375" s="1130"/>
      <c r="W375" s="1130"/>
      <c r="X375" s="1130"/>
      <c r="Y375" s="1130"/>
      <c r="Z375" s="1130"/>
    </row>
    <row r="376" spans="1:26" ht="15.75" customHeight="1">
      <c r="A376" s="1130"/>
      <c r="B376" s="1130"/>
      <c r="C376" s="1130"/>
      <c r="D376" s="1130"/>
      <c r="E376" s="1130"/>
      <c r="F376" s="1130"/>
      <c r="G376" s="1130"/>
      <c r="H376" s="1130"/>
      <c r="I376" s="1130"/>
      <c r="J376" s="1130"/>
      <c r="K376" s="1130"/>
      <c r="L376" s="1130"/>
      <c r="M376" s="1130"/>
      <c r="N376" s="1130"/>
      <c r="O376" s="1130"/>
      <c r="P376" s="1130"/>
      <c r="Q376" s="1130"/>
      <c r="R376" s="1130"/>
      <c r="S376" s="1130"/>
      <c r="T376" s="1130"/>
      <c r="U376" s="1130"/>
      <c r="V376" s="1130"/>
      <c r="W376" s="1130"/>
      <c r="X376" s="1130"/>
      <c r="Y376" s="1130"/>
      <c r="Z376" s="1130"/>
    </row>
    <row r="377" spans="1:26" ht="15.75" customHeight="1">
      <c r="A377" s="1130"/>
      <c r="B377" s="1130"/>
      <c r="C377" s="1130"/>
      <c r="D377" s="1130"/>
      <c r="E377" s="1130"/>
      <c r="F377" s="1130"/>
      <c r="G377" s="1130"/>
      <c r="H377" s="1130"/>
      <c r="I377" s="1130"/>
      <c r="J377" s="1130"/>
      <c r="K377" s="1130"/>
      <c r="L377" s="1130"/>
      <c r="M377" s="1130"/>
      <c r="N377" s="1130"/>
      <c r="O377" s="1130"/>
      <c r="P377" s="1130"/>
      <c r="Q377" s="1130"/>
      <c r="R377" s="1130"/>
      <c r="S377" s="1130"/>
      <c r="T377" s="1130"/>
      <c r="U377" s="1130"/>
      <c r="V377" s="1130"/>
      <c r="W377" s="1130"/>
      <c r="X377" s="1130"/>
      <c r="Y377" s="1130"/>
      <c r="Z377" s="1130"/>
    </row>
    <row r="378" spans="1:26" ht="15.75" customHeight="1">
      <c r="A378" s="1130"/>
      <c r="B378" s="1130"/>
      <c r="C378" s="1130"/>
      <c r="D378" s="1130"/>
      <c r="E378" s="1130"/>
      <c r="F378" s="1130"/>
      <c r="G378" s="1130"/>
      <c r="H378" s="1130"/>
      <c r="I378" s="1130"/>
      <c r="J378" s="1130"/>
      <c r="K378" s="1130"/>
      <c r="L378" s="1130"/>
      <c r="M378" s="1130"/>
      <c r="N378" s="1130"/>
      <c r="O378" s="1130"/>
      <c r="P378" s="1130"/>
      <c r="Q378" s="1130"/>
      <c r="R378" s="1130"/>
      <c r="S378" s="1130"/>
      <c r="T378" s="1130"/>
      <c r="U378" s="1130"/>
      <c r="V378" s="1130"/>
      <c r="W378" s="1130"/>
      <c r="X378" s="1130"/>
      <c r="Y378" s="1130"/>
      <c r="Z378" s="1130"/>
    </row>
    <row r="379" spans="1:26" ht="15.75" customHeight="1">
      <c r="A379" s="1130"/>
      <c r="B379" s="1130"/>
      <c r="C379" s="1130"/>
      <c r="D379" s="1130"/>
      <c r="E379" s="1130"/>
      <c r="F379" s="1130"/>
      <c r="G379" s="1130"/>
      <c r="H379" s="1130"/>
      <c r="I379" s="1130"/>
      <c r="J379" s="1130"/>
      <c r="K379" s="1130"/>
      <c r="L379" s="1130"/>
      <c r="M379" s="1130"/>
      <c r="N379" s="1130"/>
      <c r="O379" s="1130"/>
      <c r="P379" s="1130"/>
      <c r="Q379" s="1130"/>
      <c r="R379" s="1130"/>
      <c r="S379" s="1130"/>
      <c r="T379" s="1130"/>
      <c r="U379" s="1130"/>
      <c r="V379" s="1130"/>
      <c r="W379" s="1130"/>
      <c r="X379" s="1130"/>
      <c r="Y379" s="1130"/>
      <c r="Z379" s="1130"/>
    </row>
    <row r="380" spans="1:26" ht="15.75" customHeight="1">
      <c r="A380" s="1130"/>
      <c r="B380" s="1130"/>
      <c r="C380" s="1130"/>
      <c r="D380" s="1130"/>
      <c r="E380" s="1130"/>
      <c r="F380" s="1130"/>
      <c r="G380" s="1130"/>
      <c r="H380" s="1130"/>
      <c r="I380" s="1130"/>
      <c r="J380" s="1130"/>
      <c r="K380" s="1130"/>
      <c r="L380" s="1130"/>
      <c r="M380" s="1130"/>
      <c r="N380" s="1130"/>
      <c r="O380" s="1130"/>
      <c r="P380" s="1130"/>
      <c r="Q380" s="1130"/>
      <c r="R380" s="1130"/>
      <c r="S380" s="1130"/>
      <c r="T380" s="1130"/>
      <c r="U380" s="1130"/>
      <c r="V380" s="1130"/>
      <c r="W380" s="1130"/>
      <c r="X380" s="1130"/>
      <c r="Y380" s="1130"/>
      <c r="Z380" s="1130"/>
    </row>
    <row r="381" spans="1:26" ht="15.75" customHeight="1">
      <c r="A381" s="1130"/>
      <c r="B381" s="1130"/>
      <c r="C381" s="1130"/>
      <c r="D381" s="1130"/>
      <c r="E381" s="1130"/>
      <c r="F381" s="1130"/>
      <c r="G381" s="1130"/>
      <c r="H381" s="1130"/>
      <c r="I381" s="1130"/>
      <c r="J381" s="1130"/>
      <c r="K381" s="1130"/>
      <c r="L381" s="1130"/>
      <c r="M381" s="1130"/>
      <c r="N381" s="1130"/>
      <c r="O381" s="1130"/>
      <c r="P381" s="1130"/>
      <c r="Q381" s="1130"/>
      <c r="R381" s="1130"/>
      <c r="S381" s="1130"/>
      <c r="T381" s="1130"/>
      <c r="U381" s="1130"/>
      <c r="V381" s="1130"/>
      <c r="W381" s="1130"/>
      <c r="X381" s="1130"/>
      <c r="Y381" s="1130"/>
      <c r="Z381" s="1130"/>
    </row>
    <row r="382" spans="1:26" ht="15.75" customHeight="1">
      <c r="A382" s="1130"/>
      <c r="B382" s="1130"/>
      <c r="C382" s="1130"/>
      <c r="D382" s="1130"/>
      <c r="E382" s="1130"/>
      <c r="F382" s="1130"/>
      <c r="G382" s="1130"/>
      <c r="H382" s="1130"/>
      <c r="I382" s="1130"/>
      <c r="J382" s="1130"/>
      <c r="K382" s="1130"/>
      <c r="L382" s="1130"/>
      <c r="M382" s="1130"/>
      <c r="N382" s="1130"/>
      <c r="O382" s="1130"/>
      <c r="P382" s="1130"/>
      <c r="Q382" s="1130"/>
      <c r="R382" s="1130"/>
      <c r="S382" s="1130"/>
      <c r="T382" s="1130"/>
      <c r="U382" s="1130"/>
      <c r="V382" s="1130"/>
      <c r="W382" s="1130"/>
      <c r="X382" s="1130"/>
      <c r="Y382" s="1130"/>
      <c r="Z382" s="1130"/>
    </row>
    <row r="383" spans="1:26" ht="15.75" customHeight="1">
      <c r="A383" s="1130"/>
      <c r="B383" s="1130"/>
      <c r="C383" s="1130"/>
      <c r="D383" s="1130"/>
      <c r="E383" s="1130"/>
      <c r="F383" s="1130"/>
      <c r="G383" s="1130"/>
      <c r="H383" s="1130"/>
      <c r="I383" s="1130"/>
      <c r="J383" s="1130"/>
      <c r="K383" s="1130"/>
      <c r="L383" s="1130"/>
      <c r="M383" s="1130"/>
      <c r="N383" s="1130"/>
      <c r="O383" s="1130"/>
      <c r="P383" s="1130"/>
      <c r="Q383" s="1130"/>
      <c r="R383" s="1130"/>
      <c r="S383" s="1130"/>
      <c r="T383" s="1130"/>
      <c r="U383" s="1130"/>
      <c r="V383" s="1130"/>
      <c r="W383" s="1130"/>
      <c r="X383" s="1130"/>
      <c r="Y383" s="1130"/>
      <c r="Z383" s="1130"/>
    </row>
    <row r="384" spans="1:26" ht="15.75" customHeight="1">
      <c r="A384" s="1130"/>
      <c r="B384" s="1130"/>
      <c r="C384" s="1130"/>
      <c r="D384" s="1130"/>
      <c r="E384" s="1130"/>
      <c r="F384" s="1130"/>
      <c r="G384" s="1130"/>
      <c r="H384" s="1130"/>
      <c r="I384" s="1130"/>
      <c r="J384" s="1130"/>
      <c r="K384" s="1130"/>
      <c r="L384" s="1130"/>
      <c r="M384" s="1130"/>
      <c r="N384" s="1130"/>
      <c r="O384" s="1130"/>
      <c r="P384" s="1130"/>
      <c r="Q384" s="1130"/>
      <c r="R384" s="1130"/>
      <c r="S384" s="1130"/>
      <c r="T384" s="1130"/>
      <c r="U384" s="1130"/>
      <c r="V384" s="1130"/>
      <c r="W384" s="1130"/>
      <c r="X384" s="1130"/>
      <c r="Y384" s="1130"/>
      <c r="Z384" s="1130"/>
    </row>
    <row r="385" spans="1:26" ht="15.75" customHeight="1">
      <c r="A385" s="1130"/>
      <c r="B385" s="1130"/>
      <c r="C385" s="1130"/>
      <c r="D385" s="1130"/>
      <c r="E385" s="1130"/>
      <c r="F385" s="1130"/>
      <c r="G385" s="1130"/>
      <c r="H385" s="1130"/>
      <c r="I385" s="1130"/>
      <c r="J385" s="1130"/>
      <c r="K385" s="1130"/>
      <c r="L385" s="1130"/>
      <c r="M385" s="1130"/>
      <c r="N385" s="1130"/>
      <c r="O385" s="1130"/>
      <c r="P385" s="1130"/>
      <c r="Q385" s="1130"/>
      <c r="R385" s="1130"/>
      <c r="S385" s="1130"/>
      <c r="T385" s="1130"/>
      <c r="U385" s="1130"/>
      <c r="V385" s="1130"/>
      <c r="W385" s="1130"/>
      <c r="X385" s="1130"/>
      <c r="Y385" s="1130"/>
      <c r="Z385" s="1130"/>
    </row>
    <row r="386" spans="1:26" ht="15.75" customHeight="1">
      <c r="A386" s="1130"/>
      <c r="B386" s="1130"/>
      <c r="C386" s="1130"/>
      <c r="D386" s="1130"/>
      <c r="E386" s="1130"/>
      <c r="F386" s="1130"/>
      <c r="G386" s="1130"/>
      <c r="H386" s="1130"/>
      <c r="I386" s="1130"/>
      <c r="J386" s="1130"/>
      <c r="K386" s="1130"/>
      <c r="L386" s="1130"/>
      <c r="M386" s="1130"/>
      <c r="N386" s="1130"/>
      <c r="O386" s="1130"/>
      <c r="P386" s="1130"/>
      <c r="Q386" s="1130"/>
      <c r="R386" s="1130"/>
      <c r="S386" s="1130"/>
      <c r="T386" s="1130"/>
      <c r="U386" s="1130"/>
      <c r="V386" s="1130"/>
      <c r="W386" s="1130"/>
      <c r="X386" s="1130"/>
      <c r="Y386" s="1130"/>
      <c r="Z386" s="1130"/>
    </row>
    <row r="387" spans="1:26" ht="15.75" customHeight="1">
      <c r="A387" s="1130"/>
      <c r="B387" s="1130"/>
      <c r="C387" s="1130"/>
      <c r="D387" s="1130"/>
      <c r="E387" s="1130"/>
      <c r="F387" s="1130"/>
      <c r="G387" s="1130"/>
      <c r="H387" s="1130"/>
      <c r="I387" s="1130"/>
      <c r="J387" s="1130"/>
      <c r="K387" s="1130"/>
      <c r="L387" s="1130"/>
      <c r="M387" s="1130"/>
      <c r="N387" s="1130"/>
      <c r="O387" s="1130"/>
      <c r="P387" s="1130"/>
      <c r="Q387" s="1130"/>
      <c r="R387" s="1130"/>
      <c r="S387" s="1130"/>
      <c r="T387" s="1130"/>
      <c r="U387" s="1130"/>
      <c r="V387" s="1130"/>
      <c r="W387" s="1130"/>
      <c r="X387" s="1130"/>
      <c r="Y387" s="1130"/>
      <c r="Z387" s="1130"/>
    </row>
    <row r="388" spans="1:26" ht="15.75" customHeight="1">
      <c r="A388" s="1130"/>
      <c r="B388" s="1130"/>
      <c r="C388" s="1130"/>
      <c r="D388" s="1130"/>
      <c r="E388" s="1130"/>
      <c r="F388" s="1130"/>
      <c r="G388" s="1130"/>
      <c r="H388" s="1130"/>
      <c r="I388" s="1130"/>
      <c r="J388" s="1130"/>
      <c r="K388" s="1130"/>
      <c r="L388" s="1130"/>
      <c r="M388" s="1130"/>
      <c r="N388" s="1130"/>
      <c r="O388" s="1130"/>
      <c r="P388" s="1130"/>
      <c r="Q388" s="1130"/>
      <c r="R388" s="1130"/>
      <c r="S388" s="1130"/>
      <c r="T388" s="1130"/>
      <c r="U388" s="1130"/>
      <c r="V388" s="1130"/>
      <c r="W388" s="1130"/>
      <c r="X388" s="1130"/>
      <c r="Y388" s="1130"/>
      <c r="Z388" s="1130"/>
    </row>
    <row r="389" spans="1:26" ht="15.75" customHeight="1">
      <c r="A389" s="1130"/>
      <c r="B389" s="1130"/>
      <c r="C389" s="1130"/>
      <c r="D389" s="1130"/>
      <c r="E389" s="1130"/>
      <c r="F389" s="1130"/>
      <c r="G389" s="1130"/>
      <c r="H389" s="1130"/>
      <c r="I389" s="1130"/>
      <c r="J389" s="1130"/>
      <c r="K389" s="1130"/>
      <c r="L389" s="1130"/>
      <c r="M389" s="1130"/>
      <c r="N389" s="1130"/>
      <c r="O389" s="1130"/>
      <c r="P389" s="1130"/>
      <c r="Q389" s="1130"/>
      <c r="R389" s="1130"/>
      <c r="S389" s="1130"/>
      <c r="T389" s="1130"/>
      <c r="U389" s="1130"/>
      <c r="V389" s="1130"/>
      <c r="W389" s="1130"/>
      <c r="X389" s="1130"/>
      <c r="Y389" s="1130"/>
      <c r="Z389" s="1130"/>
    </row>
    <row r="390" spans="1:26" ht="15.75" customHeight="1">
      <c r="A390" s="1130"/>
      <c r="B390" s="1130"/>
      <c r="C390" s="1130"/>
      <c r="D390" s="1130"/>
      <c r="E390" s="1130"/>
      <c r="F390" s="1130"/>
      <c r="G390" s="1130"/>
      <c r="H390" s="1130"/>
      <c r="I390" s="1130"/>
      <c r="J390" s="1130"/>
      <c r="K390" s="1130"/>
      <c r="L390" s="1130"/>
      <c r="M390" s="1130"/>
      <c r="N390" s="1130"/>
      <c r="O390" s="1130"/>
      <c r="P390" s="1130"/>
      <c r="Q390" s="1130"/>
      <c r="R390" s="1130"/>
      <c r="S390" s="1130"/>
      <c r="T390" s="1130"/>
      <c r="U390" s="1130"/>
      <c r="V390" s="1130"/>
      <c r="W390" s="1130"/>
      <c r="X390" s="1130"/>
      <c r="Y390" s="1130"/>
      <c r="Z390" s="1130"/>
    </row>
    <row r="391" spans="1:26" ht="15.75" customHeight="1">
      <c r="A391" s="1130"/>
      <c r="B391" s="1130"/>
      <c r="C391" s="1130"/>
      <c r="D391" s="1130"/>
      <c r="E391" s="1130"/>
      <c r="F391" s="1130"/>
      <c r="G391" s="1130"/>
      <c r="H391" s="1130"/>
      <c r="I391" s="1130"/>
      <c r="J391" s="1130"/>
      <c r="K391" s="1130"/>
      <c r="L391" s="1130"/>
      <c r="M391" s="1130"/>
      <c r="N391" s="1130"/>
      <c r="O391" s="1130"/>
      <c r="P391" s="1130"/>
      <c r="Q391" s="1130"/>
      <c r="R391" s="1130"/>
      <c r="S391" s="1130"/>
      <c r="T391" s="1130"/>
      <c r="U391" s="1130"/>
      <c r="V391" s="1130"/>
      <c r="W391" s="1130"/>
      <c r="X391" s="1130"/>
      <c r="Y391" s="1130"/>
      <c r="Z391" s="1130"/>
    </row>
    <row r="392" spans="1:26" ht="15.75" customHeight="1">
      <c r="A392" s="1130"/>
      <c r="B392" s="1130"/>
      <c r="C392" s="1130"/>
      <c r="D392" s="1130"/>
      <c r="E392" s="1130"/>
      <c r="F392" s="1130"/>
      <c r="G392" s="1130"/>
      <c r="H392" s="1130"/>
      <c r="I392" s="1130"/>
      <c r="J392" s="1130"/>
      <c r="K392" s="1130"/>
      <c r="L392" s="1130"/>
      <c r="M392" s="1130"/>
      <c r="N392" s="1130"/>
      <c r="O392" s="1130"/>
      <c r="P392" s="1130"/>
      <c r="Q392" s="1130"/>
      <c r="R392" s="1130"/>
      <c r="S392" s="1130"/>
      <c r="T392" s="1130"/>
      <c r="U392" s="1130"/>
      <c r="V392" s="1130"/>
      <c r="W392" s="1130"/>
      <c r="X392" s="1130"/>
      <c r="Y392" s="1130"/>
      <c r="Z392" s="1130"/>
    </row>
    <row r="393" spans="1:26" ht="15.75" customHeight="1">
      <c r="A393" s="1130"/>
      <c r="B393" s="1130"/>
      <c r="C393" s="1130"/>
      <c r="D393" s="1130"/>
      <c r="E393" s="1130"/>
      <c r="F393" s="1130"/>
      <c r="G393" s="1130"/>
      <c r="H393" s="1130"/>
      <c r="I393" s="1130"/>
      <c r="J393" s="1130"/>
      <c r="K393" s="1130"/>
      <c r="L393" s="1130"/>
      <c r="M393" s="1130"/>
      <c r="N393" s="1130"/>
      <c r="O393" s="1130"/>
      <c r="P393" s="1130"/>
      <c r="Q393" s="1130"/>
      <c r="R393" s="1130"/>
      <c r="S393" s="1130"/>
      <c r="T393" s="1130"/>
      <c r="U393" s="1130"/>
      <c r="V393" s="1130"/>
      <c r="W393" s="1130"/>
      <c r="X393" s="1130"/>
      <c r="Y393" s="1130"/>
      <c r="Z393" s="1130"/>
    </row>
    <row r="394" spans="1:26" ht="15.75" customHeight="1">
      <c r="A394" s="1130"/>
      <c r="B394" s="1130"/>
      <c r="C394" s="1130"/>
      <c r="D394" s="1130"/>
      <c r="E394" s="1130"/>
      <c r="F394" s="1130"/>
      <c r="G394" s="1130"/>
      <c r="H394" s="1130"/>
      <c r="I394" s="1130"/>
      <c r="J394" s="1130"/>
      <c r="K394" s="1130"/>
      <c r="L394" s="1130"/>
      <c r="M394" s="1130"/>
      <c r="N394" s="1130"/>
      <c r="O394" s="1130"/>
      <c r="P394" s="1130"/>
      <c r="Q394" s="1130"/>
      <c r="R394" s="1130"/>
      <c r="S394" s="1130"/>
      <c r="T394" s="1130"/>
      <c r="U394" s="1130"/>
      <c r="V394" s="1130"/>
      <c r="W394" s="1130"/>
      <c r="X394" s="1130"/>
      <c r="Y394" s="1130"/>
      <c r="Z394" s="1130"/>
    </row>
    <row r="395" spans="1:26" ht="15.75" customHeight="1">
      <c r="A395" s="1130"/>
      <c r="B395" s="1130"/>
      <c r="C395" s="1130"/>
      <c r="D395" s="1130"/>
      <c r="E395" s="1130"/>
      <c r="F395" s="1130"/>
      <c r="G395" s="1130"/>
      <c r="H395" s="1130"/>
      <c r="I395" s="1130"/>
      <c r="J395" s="1130"/>
      <c r="K395" s="1130"/>
      <c r="L395" s="1130"/>
      <c r="M395" s="1130"/>
      <c r="N395" s="1130"/>
      <c r="O395" s="1130"/>
      <c r="P395" s="1130"/>
      <c r="Q395" s="1130"/>
      <c r="R395" s="1130"/>
      <c r="S395" s="1130"/>
      <c r="T395" s="1130"/>
      <c r="U395" s="1130"/>
      <c r="V395" s="1130"/>
      <c r="W395" s="1130"/>
      <c r="X395" s="1130"/>
      <c r="Y395" s="1130"/>
      <c r="Z395" s="1130"/>
    </row>
    <row r="396" spans="1:26" ht="15.75" customHeight="1">
      <c r="A396" s="1130"/>
      <c r="B396" s="1130"/>
      <c r="C396" s="1130"/>
      <c r="D396" s="1130"/>
      <c r="E396" s="1130"/>
      <c r="F396" s="1130"/>
      <c r="G396" s="1130"/>
      <c r="H396" s="1130"/>
      <c r="I396" s="1130"/>
      <c r="J396" s="1130"/>
      <c r="K396" s="1130"/>
      <c r="L396" s="1130"/>
      <c r="M396" s="1130"/>
      <c r="N396" s="1130"/>
      <c r="O396" s="1130"/>
      <c r="P396" s="1130"/>
      <c r="Q396" s="1130"/>
      <c r="R396" s="1130"/>
      <c r="S396" s="1130"/>
      <c r="T396" s="1130"/>
      <c r="U396" s="1130"/>
      <c r="V396" s="1130"/>
      <c r="W396" s="1130"/>
      <c r="X396" s="1130"/>
      <c r="Y396" s="1130"/>
      <c r="Z396" s="1130"/>
    </row>
    <row r="397" spans="1:26" ht="15.75" customHeight="1">
      <c r="A397" s="1130"/>
      <c r="B397" s="1130"/>
      <c r="C397" s="1130"/>
      <c r="D397" s="1130"/>
      <c r="E397" s="1130"/>
      <c r="F397" s="1130"/>
      <c r="G397" s="1130"/>
      <c r="H397" s="1130"/>
      <c r="I397" s="1130"/>
      <c r="J397" s="1130"/>
      <c r="K397" s="1130"/>
      <c r="L397" s="1130"/>
      <c r="M397" s="1130"/>
      <c r="N397" s="1130"/>
      <c r="O397" s="1130"/>
      <c r="P397" s="1130"/>
      <c r="Q397" s="1130"/>
      <c r="R397" s="1130"/>
      <c r="S397" s="1130"/>
      <c r="T397" s="1130"/>
      <c r="U397" s="1130"/>
      <c r="V397" s="1130"/>
      <c r="W397" s="1130"/>
      <c r="X397" s="1130"/>
      <c r="Y397" s="1130"/>
      <c r="Z397" s="1130"/>
    </row>
    <row r="398" spans="1:26" ht="15.75" customHeight="1">
      <c r="A398" s="1130"/>
      <c r="B398" s="1130"/>
      <c r="C398" s="1130"/>
      <c r="D398" s="1130"/>
      <c r="E398" s="1130"/>
      <c r="F398" s="1130"/>
      <c r="G398" s="1130"/>
      <c r="H398" s="1130"/>
      <c r="I398" s="1130"/>
      <c r="J398" s="1130"/>
      <c r="K398" s="1130"/>
      <c r="L398" s="1130"/>
      <c r="M398" s="1130"/>
      <c r="N398" s="1130"/>
      <c r="O398" s="1130"/>
      <c r="P398" s="1130"/>
      <c r="Q398" s="1130"/>
      <c r="R398" s="1130"/>
      <c r="S398" s="1130"/>
      <c r="T398" s="1130"/>
      <c r="U398" s="1130"/>
      <c r="V398" s="1130"/>
      <c r="W398" s="1130"/>
      <c r="X398" s="1130"/>
      <c r="Y398" s="1130"/>
      <c r="Z398" s="1130"/>
    </row>
    <row r="399" spans="1:26" ht="15.75" customHeight="1">
      <c r="A399" s="1130"/>
      <c r="B399" s="1130"/>
      <c r="C399" s="1130"/>
      <c r="D399" s="1130"/>
      <c r="E399" s="1130"/>
      <c r="F399" s="1130"/>
      <c r="G399" s="1130"/>
      <c r="H399" s="1130"/>
      <c r="I399" s="1130"/>
      <c r="J399" s="1130"/>
      <c r="K399" s="1130"/>
      <c r="L399" s="1130"/>
      <c r="M399" s="1130"/>
      <c r="N399" s="1130"/>
      <c r="O399" s="1130"/>
      <c r="P399" s="1130"/>
      <c r="Q399" s="1130"/>
      <c r="R399" s="1130"/>
      <c r="S399" s="1130"/>
      <c r="T399" s="1130"/>
      <c r="U399" s="1130"/>
      <c r="V399" s="1130"/>
      <c r="W399" s="1130"/>
      <c r="X399" s="1130"/>
      <c r="Y399" s="1130"/>
      <c r="Z399" s="1130"/>
    </row>
    <row r="400" spans="1:26" ht="15.75" customHeight="1">
      <c r="A400" s="1130"/>
      <c r="B400" s="1130"/>
      <c r="C400" s="1130"/>
      <c r="D400" s="1130"/>
      <c r="E400" s="1130"/>
      <c r="F400" s="1130"/>
      <c r="G400" s="1130"/>
      <c r="H400" s="1130"/>
      <c r="I400" s="1130"/>
      <c r="J400" s="1130"/>
      <c r="K400" s="1130"/>
      <c r="L400" s="1130"/>
      <c r="M400" s="1130"/>
      <c r="N400" s="1130"/>
      <c r="O400" s="1130"/>
      <c r="P400" s="1130"/>
      <c r="Q400" s="1130"/>
      <c r="R400" s="1130"/>
      <c r="S400" s="1130"/>
      <c r="T400" s="1130"/>
      <c r="U400" s="1130"/>
      <c r="V400" s="1130"/>
      <c r="W400" s="1130"/>
      <c r="X400" s="1130"/>
      <c r="Y400" s="1130"/>
      <c r="Z400" s="1130"/>
    </row>
    <row r="401" spans="1:26" ht="15.75" customHeight="1">
      <c r="A401" s="1130"/>
      <c r="B401" s="1130"/>
      <c r="C401" s="1130"/>
      <c r="D401" s="1130"/>
      <c r="E401" s="1130"/>
      <c r="F401" s="1130"/>
      <c r="G401" s="1130"/>
      <c r="H401" s="1130"/>
      <c r="I401" s="1130"/>
      <c r="J401" s="1130"/>
      <c r="K401" s="1130"/>
      <c r="L401" s="1130"/>
      <c r="M401" s="1130"/>
      <c r="N401" s="1130"/>
      <c r="O401" s="1130"/>
      <c r="P401" s="1130"/>
      <c r="Q401" s="1130"/>
      <c r="R401" s="1130"/>
      <c r="S401" s="1130"/>
      <c r="T401" s="1130"/>
      <c r="U401" s="1130"/>
      <c r="V401" s="1130"/>
      <c r="W401" s="1130"/>
      <c r="X401" s="1130"/>
      <c r="Y401" s="1130"/>
      <c r="Z401" s="1130"/>
    </row>
    <row r="402" spans="1:26" ht="15.75" customHeight="1">
      <c r="A402" s="1130"/>
      <c r="B402" s="1130"/>
      <c r="C402" s="1130"/>
      <c r="D402" s="1130"/>
      <c r="E402" s="1130"/>
      <c r="F402" s="1130"/>
      <c r="G402" s="1130"/>
      <c r="H402" s="1130"/>
      <c r="I402" s="1130"/>
      <c r="J402" s="1130"/>
      <c r="K402" s="1130"/>
      <c r="L402" s="1130"/>
      <c r="M402" s="1130"/>
      <c r="N402" s="1130"/>
      <c r="O402" s="1130"/>
      <c r="P402" s="1130"/>
      <c r="Q402" s="1130"/>
      <c r="R402" s="1130"/>
      <c r="S402" s="1130"/>
      <c r="T402" s="1130"/>
      <c r="U402" s="1130"/>
      <c r="V402" s="1130"/>
      <c r="W402" s="1130"/>
      <c r="X402" s="1130"/>
      <c r="Y402" s="1130"/>
      <c r="Z402" s="1130"/>
    </row>
    <row r="403" spans="1:26" ht="15.75" customHeight="1">
      <c r="A403" s="1130"/>
      <c r="B403" s="1130"/>
      <c r="C403" s="1130"/>
      <c r="D403" s="1130"/>
      <c r="E403" s="1130"/>
      <c r="F403" s="1130"/>
      <c r="G403" s="1130"/>
      <c r="H403" s="1130"/>
      <c r="I403" s="1130"/>
      <c r="J403" s="1130"/>
      <c r="K403" s="1130"/>
      <c r="L403" s="1130"/>
      <c r="M403" s="1130"/>
      <c r="N403" s="1130"/>
      <c r="O403" s="1130"/>
      <c r="P403" s="1130"/>
      <c r="Q403" s="1130"/>
      <c r="R403" s="1130"/>
      <c r="S403" s="1130"/>
      <c r="T403" s="1130"/>
      <c r="U403" s="1130"/>
      <c r="V403" s="1130"/>
      <c r="W403" s="1130"/>
      <c r="X403" s="1130"/>
      <c r="Y403" s="1130"/>
      <c r="Z403" s="1130"/>
    </row>
    <row r="404" spans="1:26" ht="15.75" customHeight="1">
      <c r="A404" s="1130"/>
      <c r="B404" s="1130"/>
      <c r="C404" s="1130"/>
      <c r="D404" s="1130"/>
      <c r="E404" s="1130"/>
      <c r="F404" s="1130"/>
      <c r="G404" s="1130"/>
      <c r="H404" s="1130"/>
      <c r="I404" s="1130"/>
      <c r="J404" s="1130"/>
      <c r="K404" s="1130"/>
      <c r="L404" s="1130"/>
      <c r="M404" s="1130"/>
      <c r="N404" s="1130"/>
      <c r="O404" s="1130"/>
      <c r="P404" s="1130"/>
      <c r="Q404" s="1130"/>
      <c r="R404" s="1130"/>
      <c r="S404" s="1130"/>
      <c r="T404" s="1130"/>
      <c r="U404" s="1130"/>
      <c r="V404" s="1130"/>
      <c r="W404" s="1130"/>
      <c r="X404" s="1130"/>
      <c r="Y404" s="1130"/>
      <c r="Z404" s="1130"/>
    </row>
    <row r="405" spans="1:26" ht="15.75" customHeight="1">
      <c r="A405" s="1130"/>
      <c r="B405" s="1130"/>
      <c r="C405" s="1130"/>
      <c r="D405" s="1130"/>
      <c r="E405" s="1130"/>
      <c r="F405" s="1130"/>
      <c r="G405" s="1130"/>
      <c r="H405" s="1130"/>
      <c r="I405" s="1130"/>
      <c r="J405" s="1130"/>
      <c r="K405" s="1130"/>
      <c r="L405" s="1130"/>
      <c r="M405" s="1130"/>
      <c r="N405" s="1130"/>
      <c r="O405" s="1130"/>
      <c r="P405" s="1130"/>
      <c r="Q405" s="1130"/>
      <c r="R405" s="1130"/>
      <c r="S405" s="1130"/>
      <c r="T405" s="1130"/>
      <c r="U405" s="1130"/>
      <c r="V405" s="1130"/>
      <c r="W405" s="1130"/>
      <c r="X405" s="1130"/>
      <c r="Y405" s="1130"/>
      <c r="Z405" s="1130"/>
    </row>
    <row r="406" spans="1:26" ht="15.75" customHeight="1">
      <c r="A406" s="1130"/>
      <c r="B406" s="1130"/>
      <c r="C406" s="1130"/>
      <c r="D406" s="1130"/>
      <c r="E406" s="1130"/>
      <c r="F406" s="1130"/>
      <c r="G406" s="1130"/>
      <c r="H406" s="1130"/>
      <c r="I406" s="1130"/>
      <c r="J406" s="1130"/>
      <c r="K406" s="1130"/>
      <c r="L406" s="1130"/>
      <c r="M406" s="1130"/>
      <c r="N406" s="1130"/>
      <c r="O406" s="1130"/>
      <c r="P406" s="1130"/>
      <c r="Q406" s="1130"/>
      <c r="R406" s="1130"/>
      <c r="S406" s="1130"/>
      <c r="T406" s="1130"/>
      <c r="U406" s="1130"/>
      <c r="V406" s="1130"/>
      <c r="W406" s="1130"/>
      <c r="X406" s="1130"/>
      <c r="Y406" s="1130"/>
      <c r="Z406" s="1130"/>
    </row>
    <row r="407" spans="1:26" ht="15.75" customHeight="1">
      <c r="A407" s="1130"/>
      <c r="B407" s="1130"/>
      <c r="C407" s="1130"/>
      <c r="D407" s="1130"/>
      <c r="E407" s="1130"/>
      <c r="F407" s="1130"/>
      <c r="G407" s="1130"/>
      <c r="H407" s="1130"/>
      <c r="I407" s="1130"/>
      <c r="J407" s="1130"/>
      <c r="K407" s="1130"/>
      <c r="L407" s="1130"/>
      <c r="M407" s="1130"/>
      <c r="N407" s="1130"/>
      <c r="O407" s="1130"/>
      <c r="P407" s="1130"/>
      <c r="Q407" s="1130"/>
      <c r="R407" s="1130"/>
      <c r="S407" s="1130"/>
      <c r="T407" s="1130"/>
      <c r="U407" s="1130"/>
      <c r="V407" s="1130"/>
      <c r="W407" s="1130"/>
      <c r="X407" s="1130"/>
      <c r="Y407" s="1130"/>
      <c r="Z407" s="1130"/>
    </row>
    <row r="408" spans="1:26" ht="15.75" customHeight="1">
      <c r="A408" s="1130"/>
      <c r="B408" s="1130"/>
      <c r="C408" s="1130"/>
      <c r="D408" s="1130"/>
      <c r="E408" s="1130"/>
      <c r="F408" s="1130"/>
      <c r="G408" s="1130"/>
      <c r="H408" s="1130"/>
      <c r="I408" s="1130"/>
      <c r="J408" s="1130"/>
      <c r="K408" s="1130"/>
      <c r="L408" s="1130"/>
      <c r="M408" s="1130"/>
      <c r="N408" s="1130"/>
      <c r="O408" s="1130"/>
      <c r="P408" s="1130"/>
      <c r="Q408" s="1130"/>
      <c r="R408" s="1130"/>
      <c r="S408" s="1130"/>
      <c r="T408" s="1130"/>
      <c r="U408" s="1130"/>
      <c r="V408" s="1130"/>
      <c r="W408" s="1130"/>
      <c r="X408" s="1130"/>
      <c r="Y408" s="1130"/>
      <c r="Z408" s="1130"/>
    </row>
    <row r="409" spans="1:26" ht="15.75" customHeight="1">
      <c r="A409" s="1130"/>
      <c r="B409" s="1130"/>
      <c r="C409" s="1130"/>
      <c r="D409" s="1130"/>
      <c r="E409" s="1130"/>
      <c r="F409" s="1130"/>
      <c r="G409" s="1130"/>
      <c r="H409" s="1130"/>
      <c r="I409" s="1130"/>
      <c r="J409" s="1130"/>
      <c r="K409" s="1130"/>
      <c r="L409" s="1130"/>
      <c r="M409" s="1130"/>
      <c r="N409" s="1130"/>
      <c r="O409" s="1130"/>
      <c r="P409" s="1130"/>
      <c r="Q409" s="1130"/>
      <c r="R409" s="1130"/>
      <c r="S409" s="1130"/>
      <c r="T409" s="1130"/>
      <c r="U409" s="1130"/>
      <c r="V409" s="1130"/>
      <c r="W409" s="1130"/>
      <c r="X409" s="1130"/>
      <c r="Y409" s="1130"/>
      <c r="Z409" s="1130"/>
    </row>
    <row r="410" spans="1:26" ht="15.75" customHeight="1">
      <c r="A410" s="1130"/>
      <c r="B410" s="1130"/>
      <c r="C410" s="1130"/>
      <c r="D410" s="1130"/>
      <c r="E410" s="1130"/>
      <c r="F410" s="1130"/>
      <c r="G410" s="1130"/>
      <c r="H410" s="1130"/>
      <c r="I410" s="1130"/>
      <c r="J410" s="1130"/>
      <c r="K410" s="1130"/>
      <c r="L410" s="1130"/>
      <c r="M410" s="1130"/>
      <c r="N410" s="1130"/>
      <c r="O410" s="1130"/>
      <c r="P410" s="1130"/>
      <c r="Q410" s="1130"/>
      <c r="R410" s="1130"/>
      <c r="S410" s="1130"/>
      <c r="T410" s="1130"/>
      <c r="U410" s="1130"/>
      <c r="V410" s="1130"/>
      <c r="W410" s="1130"/>
      <c r="X410" s="1130"/>
      <c r="Y410" s="1130"/>
      <c r="Z410" s="1130"/>
    </row>
    <row r="411" spans="1:26" ht="15.75" customHeight="1">
      <c r="A411" s="1130"/>
      <c r="B411" s="1130"/>
      <c r="C411" s="1130"/>
      <c r="D411" s="1130"/>
      <c r="E411" s="1130"/>
      <c r="F411" s="1130"/>
      <c r="G411" s="1130"/>
      <c r="H411" s="1130"/>
      <c r="I411" s="1130"/>
      <c r="J411" s="1130"/>
      <c r="K411" s="1130"/>
      <c r="L411" s="1130"/>
      <c r="M411" s="1130"/>
      <c r="N411" s="1130"/>
      <c r="O411" s="1130"/>
      <c r="P411" s="1130"/>
      <c r="Q411" s="1130"/>
      <c r="R411" s="1130"/>
      <c r="S411" s="1130"/>
      <c r="T411" s="1130"/>
      <c r="U411" s="1130"/>
      <c r="V411" s="1130"/>
      <c r="W411" s="1130"/>
      <c r="X411" s="1130"/>
      <c r="Y411" s="1130"/>
      <c r="Z411" s="1130"/>
    </row>
    <row r="412" spans="1:26" ht="15.75" customHeight="1">
      <c r="A412" s="1130"/>
      <c r="B412" s="1130"/>
      <c r="C412" s="1130"/>
      <c r="D412" s="1130"/>
      <c r="E412" s="1130"/>
      <c r="F412" s="1130"/>
      <c r="G412" s="1130"/>
      <c r="H412" s="1130"/>
      <c r="I412" s="1130"/>
      <c r="J412" s="1130"/>
      <c r="K412" s="1130"/>
      <c r="L412" s="1130"/>
      <c r="M412" s="1130"/>
      <c r="N412" s="1130"/>
      <c r="O412" s="1130"/>
      <c r="P412" s="1130"/>
      <c r="Q412" s="1130"/>
      <c r="R412" s="1130"/>
      <c r="S412" s="1130"/>
      <c r="T412" s="1130"/>
      <c r="U412" s="1130"/>
      <c r="V412" s="1130"/>
      <c r="W412" s="1130"/>
      <c r="X412" s="1130"/>
      <c r="Y412" s="1130"/>
      <c r="Z412" s="1130"/>
    </row>
    <row r="413" spans="1:26" ht="15.75" customHeight="1">
      <c r="A413" s="1130"/>
      <c r="B413" s="1130"/>
      <c r="C413" s="1130"/>
      <c r="D413" s="1130"/>
      <c r="E413" s="1130"/>
      <c r="F413" s="1130"/>
      <c r="G413" s="1130"/>
      <c r="H413" s="1130"/>
      <c r="I413" s="1130"/>
      <c r="J413" s="1130"/>
      <c r="K413" s="1130"/>
      <c r="L413" s="1130"/>
      <c r="M413" s="1130"/>
      <c r="N413" s="1130"/>
      <c r="O413" s="1130"/>
      <c r="P413" s="1130"/>
      <c r="Q413" s="1130"/>
      <c r="R413" s="1130"/>
      <c r="S413" s="1130"/>
      <c r="T413" s="1130"/>
      <c r="U413" s="1130"/>
      <c r="V413" s="1130"/>
      <c r="W413" s="1130"/>
      <c r="X413" s="1130"/>
      <c r="Y413" s="1130"/>
      <c r="Z413" s="1130"/>
    </row>
    <row r="414" spans="1:26" ht="15.75" customHeight="1">
      <c r="A414" s="1130"/>
      <c r="B414" s="1130"/>
      <c r="C414" s="1130"/>
      <c r="D414" s="1130"/>
      <c r="E414" s="1130"/>
      <c r="F414" s="1130"/>
      <c r="G414" s="1130"/>
      <c r="H414" s="1130"/>
      <c r="I414" s="1130"/>
      <c r="J414" s="1130"/>
      <c r="K414" s="1130"/>
      <c r="L414" s="1130"/>
      <c r="M414" s="1130"/>
      <c r="N414" s="1130"/>
      <c r="O414" s="1130"/>
      <c r="P414" s="1130"/>
      <c r="Q414" s="1130"/>
      <c r="R414" s="1130"/>
      <c r="S414" s="1130"/>
      <c r="T414" s="1130"/>
      <c r="U414" s="1130"/>
      <c r="V414" s="1130"/>
      <c r="W414" s="1130"/>
      <c r="X414" s="1130"/>
      <c r="Y414" s="1130"/>
      <c r="Z414" s="1130"/>
    </row>
    <row r="415" spans="1:26" ht="15.75" customHeight="1">
      <c r="A415" s="1130"/>
      <c r="B415" s="1130"/>
      <c r="C415" s="1130"/>
      <c r="D415" s="1130"/>
      <c r="E415" s="1130"/>
      <c r="F415" s="1130"/>
      <c r="G415" s="1130"/>
      <c r="H415" s="1130"/>
      <c r="I415" s="1130"/>
      <c r="J415" s="1130"/>
      <c r="K415" s="1130"/>
      <c r="L415" s="1130"/>
      <c r="M415" s="1130"/>
      <c r="N415" s="1130"/>
      <c r="O415" s="1130"/>
      <c r="P415" s="1130"/>
      <c r="Q415" s="1130"/>
      <c r="R415" s="1130"/>
      <c r="S415" s="1130"/>
      <c r="T415" s="1130"/>
      <c r="U415" s="1130"/>
      <c r="V415" s="1130"/>
      <c r="W415" s="1130"/>
      <c r="X415" s="1130"/>
      <c r="Y415" s="1130"/>
      <c r="Z415" s="1130"/>
    </row>
    <row r="416" spans="1:26" ht="15.75" customHeight="1">
      <c r="A416" s="1130"/>
      <c r="B416" s="1130"/>
      <c r="C416" s="1130"/>
      <c r="D416" s="1130"/>
      <c r="E416" s="1130"/>
      <c r="F416" s="1130"/>
      <c r="G416" s="1130"/>
      <c r="H416" s="1130"/>
      <c r="I416" s="1130"/>
      <c r="J416" s="1130"/>
      <c r="K416" s="1130"/>
      <c r="L416" s="1130"/>
      <c r="M416" s="1130"/>
      <c r="N416" s="1130"/>
      <c r="O416" s="1130"/>
      <c r="P416" s="1130"/>
      <c r="Q416" s="1130"/>
      <c r="R416" s="1130"/>
      <c r="S416" s="1130"/>
      <c r="T416" s="1130"/>
      <c r="U416" s="1130"/>
      <c r="V416" s="1130"/>
      <c r="W416" s="1130"/>
      <c r="X416" s="1130"/>
      <c r="Y416" s="1130"/>
      <c r="Z416" s="1130"/>
    </row>
    <row r="417" spans="1:26" ht="15.75" customHeight="1">
      <c r="A417" s="1130"/>
      <c r="B417" s="1130"/>
      <c r="C417" s="1130"/>
      <c r="D417" s="1130"/>
      <c r="E417" s="1130"/>
      <c r="F417" s="1130"/>
      <c r="G417" s="1130"/>
      <c r="H417" s="1130"/>
      <c r="I417" s="1130"/>
      <c r="J417" s="1130"/>
      <c r="K417" s="1130"/>
      <c r="L417" s="1130"/>
      <c r="M417" s="1130"/>
      <c r="N417" s="1130"/>
      <c r="O417" s="1130"/>
      <c r="P417" s="1130"/>
      <c r="Q417" s="1130"/>
      <c r="R417" s="1130"/>
      <c r="S417" s="1130"/>
      <c r="T417" s="1130"/>
      <c r="U417" s="1130"/>
      <c r="V417" s="1130"/>
      <c r="W417" s="1130"/>
      <c r="X417" s="1130"/>
      <c r="Y417" s="1130"/>
      <c r="Z417" s="1130"/>
    </row>
    <row r="418" spans="1:26" ht="15.75" customHeight="1">
      <c r="A418" s="1130"/>
      <c r="B418" s="1130"/>
      <c r="C418" s="1130"/>
      <c r="D418" s="1130"/>
      <c r="E418" s="1130"/>
      <c r="F418" s="1130"/>
      <c r="G418" s="1130"/>
      <c r="H418" s="1130"/>
      <c r="I418" s="1130"/>
      <c r="J418" s="1130"/>
      <c r="K418" s="1130"/>
      <c r="L418" s="1130"/>
      <c r="M418" s="1130"/>
      <c r="N418" s="1130"/>
      <c r="O418" s="1130"/>
      <c r="P418" s="1130"/>
      <c r="Q418" s="1130"/>
      <c r="R418" s="1130"/>
      <c r="S418" s="1130"/>
      <c r="T418" s="1130"/>
      <c r="U418" s="1130"/>
      <c r="V418" s="1130"/>
      <c r="W418" s="1130"/>
      <c r="X418" s="1130"/>
      <c r="Y418" s="1130"/>
      <c r="Z418" s="1130"/>
    </row>
    <row r="419" spans="1:26" ht="15.75" customHeight="1">
      <c r="A419" s="1130"/>
      <c r="B419" s="1130"/>
      <c r="C419" s="1130"/>
      <c r="D419" s="1130"/>
      <c r="E419" s="1130"/>
      <c r="F419" s="1130"/>
      <c r="G419" s="1130"/>
      <c r="H419" s="1130"/>
      <c r="I419" s="1130"/>
      <c r="J419" s="1130"/>
      <c r="K419" s="1130"/>
      <c r="L419" s="1130"/>
      <c r="M419" s="1130"/>
      <c r="N419" s="1130"/>
      <c r="O419" s="1130"/>
      <c r="P419" s="1130"/>
      <c r="Q419" s="1130"/>
      <c r="R419" s="1130"/>
      <c r="S419" s="1130"/>
      <c r="T419" s="1130"/>
      <c r="U419" s="1130"/>
      <c r="V419" s="1130"/>
      <c r="W419" s="1130"/>
      <c r="X419" s="1130"/>
      <c r="Y419" s="1130"/>
      <c r="Z419" s="1130"/>
    </row>
    <row r="420" spans="1:26" ht="15.75" customHeight="1">
      <c r="A420" s="1130"/>
      <c r="B420" s="1130"/>
      <c r="C420" s="1130"/>
      <c r="D420" s="1130"/>
      <c r="E420" s="1130"/>
      <c r="F420" s="1130"/>
      <c r="G420" s="1130"/>
      <c r="H420" s="1130"/>
      <c r="I420" s="1130"/>
      <c r="J420" s="1130"/>
      <c r="K420" s="1130"/>
      <c r="L420" s="1130"/>
      <c r="M420" s="1130"/>
      <c r="N420" s="1130"/>
      <c r="O420" s="1130"/>
      <c r="P420" s="1130"/>
      <c r="Q420" s="1130"/>
      <c r="R420" s="1130"/>
      <c r="S420" s="1130"/>
      <c r="T420" s="1130"/>
      <c r="U420" s="1130"/>
      <c r="V420" s="1130"/>
      <c r="W420" s="1130"/>
      <c r="X420" s="1130"/>
      <c r="Y420" s="1130"/>
      <c r="Z420" s="1130"/>
    </row>
    <row r="421" spans="1:26" ht="15.75" customHeight="1">
      <c r="A421" s="1130"/>
      <c r="B421" s="1130"/>
      <c r="C421" s="1130"/>
      <c r="D421" s="1130"/>
      <c r="E421" s="1130"/>
      <c r="F421" s="1130"/>
      <c r="G421" s="1130"/>
      <c r="H421" s="1130"/>
      <c r="I421" s="1130"/>
      <c r="J421" s="1130"/>
      <c r="K421" s="1130"/>
      <c r="L421" s="1130"/>
      <c r="M421" s="1130"/>
      <c r="N421" s="1130"/>
      <c r="O421" s="1130"/>
      <c r="P421" s="1130"/>
      <c r="Q421" s="1130"/>
      <c r="R421" s="1130"/>
      <c r="S421" s="1130"/>
      <c r="T421" s="1130"/>
      <c r="U421" s="1130"/>
      <c r="V421" s="1130"/>
      <c r="W421" s="1130"/>
      <c r="X421" s="1130"/>
      <c r="Y421" s="1130"/>
      <c r="Z421" s="1130"/>
    </row>
    <row r="422" spans="1:26" ht="15.75" customHeight="1">
      <c r="A422" s="1130"/>
      <c r="B422" s="1130"/>
      <c r="C422" s="1130"/>
      <c r="D422" s="1130"/>
      <c r="E422" s="1130"/>
      <c r="F422" s="1130"/>
      <c r="G422" s="1130"/>
      <c r="H422" s="1130"/>
      <c r="I422" s="1130"/>
      <c r="J422" s="1130"/>
      <c r="K422" s="1130"/>
      <c r="L422" s="1130"/>
      <c r="M422" s="1130"/>
      <c r="N422" s="1130"/>
      <c r="O422" s="1130"/>
      <c r="P422" s="1130"/>
      <c r="Q422" s="1130"/>
      <c r="R422" s="1130"/>
      <c r="S422" s="1130"/>
      <c r="T422" s="1130"/>
      <c r="U422" s="1130"/>
      <c r="V422" s="1130"/>
      <c r="W422" s="1130"/>
      <c r="X422" s="1130"/>
      <c r="Y422" s="1130"/>
      <c r="Z422" s="1130"/>
    </row>
    <row r="423" spans="1:26" ht="15.75" customHeight="1">
      <c r="A423" s="1130"/>
      <c r="B423" s="1130"/>
      <c r="C423" s="1130"/>
      <c r="D423" s="1130"/>
      <c r="E423" s="1130"/>
      <c r="F423" s="1130"/>
      <c r="G423" s="1130"/>
      <c r="H423" s="1130"/>
      <c r="I423" s="1130"/>
      <c r="J423" s="1130"/>
      <c r="K423" s="1130"/>
      <c r="L423" s="1130"/>
      <c r="M423" s="1130"/>
      <c r="N423" s="1130"/>
      <c r="O423" s="1130"/>
      <c r="P423" s="1130"/>
      <c r="Q423" s="1130"/>
      <c r="R423" s="1130"/>
      <c r="S423" s="1130"/>
      <c r="T423" s="1130"/>
      <c r="U423" s="1130"/>
      <c r="V423" s="1130"/>
      <c r="W423" s="1130"/>
      <c r="X423" s="1130"/>
      <c r="Y423" s="1130"/>
      <c r="Z423" s="1130"/>
    </row>
    <row r="424" spans="1:26" ht="15.75" customHeight="1">
      <c r="A424" s="1130"/>
      <c r="B424" s="1130"/>
      <c r="C424" s="1130"/>
      <c r="D424" s="1130"/>
      <c r="E424" s="1130"/>
      <c r="F424" s="1130"/>
      <c r="G424" s="1130"/>
      <c r="H424" s="1130"/>
      <c r="I424" s="1130"/>
      <c r="J424" s="1130"/>
      <c r="K424" s="1130"/>
      <c r="L424" s="1130"/>
      <c r="M424" s="1130"/>
      <c r="N424" s="1130"/>
      <c r="O424" s="1130"/>
      <c r="P424" s="1130"/>
      <c r="Q424" s="1130"/>
      <c r="R424" s="1130"/>
      <c r="S424" s="1130"/>
      <c r="T424" s="1130"/>
      <c r="U424" s="1130"/>
      <c r="V424" s="1130"/>
      <c r="W424" s="1130"/>
      <c r="X424" s="1130"/>
      <c r="Y424" s="1130"/>
      <c r="Z424" s="1130"/>
    </row>
    <row r="425" spans="1:26" ht="15.75" customHeight="1">
      <c r="A425" s="1130"/>
      <c r="B425" s="1130"/>
      <c r="C425" s="1130"/>
      <c r="D425" s="1130"/>
      <c r="E425" s="1130"/>
      <c r="F425" s="1130"/>
      <c r="G425" s="1130"/>
      <c r="H425" s="1130"/>
      <c r="I425" s="1130"/>
      <c r="J425" s="1130"/>
      <c r="K425" s="1130"/>
      <c r="L425" s="1130"/>
      <c r="M425" s="1130"/>
      <c r="N425" s="1130"/>
      <c r="O425" s="1130"/>
      <c r="P425" s="1130"/>
      <c r="Q425" s="1130"/>
      <c r="R425" s="1130"/>
      <c r="S425" s="1130"/>
      <c r="T425" s="1130"/>
      <c r="U425" s="1130"/>
      <c r="V425" s="1130"/>
      <c r="W425" s="1130"/>
      <c r="X425" s="1130"/>
      <c r="Y425" s="1130"/>
      <c r="Z425" s="1130"/>
    </row>
    <row r="426" spans="1:26" ht="15.75" customHeight="1">
      <c r="A426" s="1130"/>
      <c r="B426" s="1130"/>
      <c r="C426" s="1130"/>
      <c r="D426" s="1130"/>
      <c r="E426" s="1130"/>
      <c r="F426" s="1130"/>
      <c r="G426" s="1130"/>
      <c r="H426" s="1130"/>
      <c r="I426" s="1130"/>
      <c r="J426" s="1130"/>
      <c r="K426" s="1130"/>
      <c r="L426" s="1130"/>
      <c r="M426" s="1130"/>
      <c r="N426" s="1130"/>
      <c r="O426" s="1130"/>
      <c r="P426" s="1130"/>
      <c r="Q426" s="1130"/>
      <c r="R426" s="1130"/>
      <c r="S426" s="1130"/>
      <c r="T426" s="1130"/>
      <c r="U426" s="1130"/>
      <c r="V426" s="1130"/>
      <c r="W426" s="1130"/>
      <c r="X426" s="1130"/>
      <c r="Y426" s="1130"/>
      <c r="Z426" s="1130"/>
    </row>
    <row r="427" spans="1:26" ht="15.75" customHeight="1">
      <c r="A427" s="1130"/>
      <c r="B427" s="1130"/>
      <c r="C427" s="1130"/>
      <c r="D427" s="1130"/>
      <c r="E427" s="1130"/>
      <c r="F427" s="1130"/>
      <c r="G427" s="1130"/>
      <c r="H427" s="1130"/>
      <c r="I427" s="1130"/>
      <c r="J427" s="1130"/>
      <c r="K427" s="1130"/>
      <c r="L427" s="1130"/>
      <c r="M427" s="1130"/>
      <c r="N427" s="1130"/>
      <c r="O427" s="1130"/>
      <c r="P427" s="1130"/>
      <c r="Q427" s="1130"/>
      <c r="R427" s="1130"/>
      <c r="S427" s="1130"/>
      <c r="T427" s="1130"/>
      <c r="U427" s="1130"/>
      <c r="V427" s="1130"/>
      <c r="W427" s="1130"/>
      <c r="X427" s="1130"/>
      <c r="Y427" s="1130"/>
      <c r="Z427" s="1130"/>
    </row>
    <row r="428" spans="1:26" ht="15.75" customHeight="1">
      <c r="A428" s="1130"/>
      <c r="B428" s="1130"/>
      <c r="C428" s="1130"/>
      <c r="D428" s="1130"/>
      <c r="E428" s="1130"/>
      <c r="F428" s="1130"/>
      <c r="G428" s="1130"/>
      <c r="H428" s="1130"/>
      <c r="I428" s="1130"/>
      <c r="J428" s="1130"/>
      <c r="K428" s="1130"/>
      <c r="L428" s="1130"/>
      <c r="M428" s="1130"/>
      <c r="N428" s="1130"/>
      <c r="O428" s="1130"/>
      <c r="P428" s="1130"/>
      <c r="Q428" s="1130"/>
      <c r="R428" s="1130"/>
      <c r="S428" s="1130"/>
      <c r="T428" s="1130"/>
      <c r="U428" s="1130"/>
      <c r="V428" s="1130"/>
      <c r="W428" s="1130"/>
      <c r="X428" s="1130"/>
      <c r="Y428" s="1130"/>
      <c r="Z428" s="1130"/>
    </row>
    <row r="429" spans="1:26" ht="15.75" customHeight="1">
      <c r="A429" s="1130"/>
      <c r="B429" s="1130"/>
      <c r="C429" s="1130"/>
      <c r="D429" s="1130"/>
      <c r="E429" s="1130"/>
      <c r="F429" s="1130"/>
      <c r="G429" s="1130"/>
      <c r="H429" s="1130"/>
      <c r="I429" s="1130"/>
      <c r="J429" s="1130"/>
      <c r="K429" s="1130"/>
      <c r="L429" s="1130"/>
      <c r="M429" s="1130"/>
      <c r="N429" s="1130"/>
      <c r="O429" s="1130"/>
      <c r="P429" s="1130"/>
      <c r="Q429" s="1130"/>
      <c r="R429" s="1130"/>
      <c r="S429" s="1130"/>
      <c r="T429" s="1130"/>
      <c r="U429" s="1130"/>
      <c r="V429" s="1130"/>
      <c r="W429" s="1130"/>
      <c r="X429" s="1130"/>
      <c r="Y429" s="1130"/>
      <c r="Z429" s="1130"/>
    </row>
    <row r="430" spans="1:26" ht="15.75" customHeight="1">
      <c r="A430" s="1130"/>
      <c r="B430" s="1130"/>
      <c r="C430" s="1130"/>
      <c r="D430" s="1130"/>
      <c r="E430" s="1130"/>
      <c r="F430" s="1130"/>
      <c r="G430" s="1130"/>
      <c r="H430" s="1130"/>
      <c r="I430" s="1130"/>
      <c r="J430" s="1130"/>
      <c r="K430" s="1130"/>
      <c r="L430" s="1130"/>
      <c r="M430" s="1130"/>
      <c r="N430" s="1130"/>
      <c r="O430" s="1130"/>
      <c r="P430" s="1130"/>
      <c r="Q430" s="1130"/>
      <c r="R430" s="1130"/>
      <c r="S430" s="1130"/>
      <c r="T430" s="1130"/>
      <c r="U430" s="1130"/>
      <c r="V430" s="1130"/>
      <c r="W430" s="1130"/>
      <c r="X430" s="1130"/>
      <c r="Y430" s="1130"/>
      <c r="Z430" s="1130"/>
    </row>
    <row r="431" spans="1:26" ht="15.75" customHeight="1">
      <c r="A431" s="1130"/>
      <c r="B431" s="1130"/>
      <c r="C431" s="1130"/>
      <c r="D431" s="1130"/>
      <c r="E431" s="1130"/>
      <c r="F431" s="1130"/>
      <c r="G431" s="1130"/>
      <c r="H431" s="1130"/>
      <c r="I431" s="1130"/>
      <c r="J431" s="1130"/>
      <c r="K431" s="1130"/>
      <c r="L431" s="1130"/>
      <c r="M431" s="1130"/>
      <c r="N431" s="1130"/>
      <c r="O431" s="1130"/>
      <c r="P431" s="1130"/>
      <c r="Q431" s="1130"/>
      <c r="R431" s="1130"/>
      <c r="S431" s="1130"/>
      <c r="T431" s="1130"/>
      <c r="U431" s="1130"/>
      <c r="V431" s="1130"/>
      <c r="W431" s="1130"/>
      <c r="X431" s="1130"/>
      <c r="Y431" s="1130"/>
      <c r="Z431" s="1130"/>
    </row>
    <row r="432" spans="1:26" ht="15.75" customHeight="1">
      <c r="A432" s="1130"/>
      <c r="B432" s="1130"/>
      <c r="C432" s="1130"/>
      <c r="D432" s="1130"/>
      <c r="E432" s="1130"/>
      <c r="F432" s="1130"/>
      <c r="G432" s="1130"/>
      <c r="H432" s="1130"/>
      <c r="I432" s="1130"/>
      <c r="J432" s="1130"/>
      <c r="K432" s="1130"/>
      <c r="L432" s="1130"/>
      <c r="M432" s="1130"/>
      <c r="N432" s="1130"/>
      <c r="O432" s="1130"/>
      <c r="P432" s="1130"/>
      <c r="Q432" s="1130"/>
      <c r="R432" s="1130"/>
      <c r="S432" s="1130"/>
      <c r="T432" s="1130"/>
      <c r="U432" s="1130"/>
      <c r="V432" s="1130"/>
      <c r="W432" s="1130"/>
      <c r="X432" s="1130"/>
      <c r="Y432" s="1130"/>
      <c r="Z432" s="1130"/>
    </row>
    <row r="433" spans="1:26" ht="15.75" customHeight="1">
      <c r="A433" s="1130"/>
      <c r="B433" s="1130"/>
      <c r="C433" s="1130"/>
      <c r="D433" s="1130"/>
      <c r="E433" s="1130"/>
      <c r="F433" s="1130"/>
      <c r="G433" s="1130"/>
      <c r="H433" s="1130"/>
      <c r="I433" s="1130"/>
      <c r="J433" s="1130"/>
      <c r="K433" s="1130"/>
      <c r="L433" s="1130"/>
      <c r="M433" s="1130"/>
      <c r="N433" s="1130"/>
      <c r="O433" s="1130"/>
      <c r="P433" s="1130"/>
      <c r="Q433" s="1130"/>
      <c r="R433" s="1130"/>
      <c r="S433" s="1130"/>
      <c r="T433" s="1130"/>
      <c r="U433" s="1130"/>
      <c r="V433" s="1130"/>
      <c r="W433" s="1130"/>
      <c r="X433" s="1130"/>
      <c r="Y433" s="1130"/>
      <c r="Z433" s="1130"/>
    </row>
    <row r="434" spans="1:26" ht="15.75" customHeight="1">
      <c r="A434" s="1130"/>
      <c r="B434" s="1130"/>
      <c r="C434" s="1130"/>
      <c r="D434" s="1130"/>
      <c r="E434" s="1130"/>
      <c r="F434" s="1130"/>
      <c r="G434" s="1130"/>
      <c r="H434" s="1130"/>
      <c r="I434" s="1130"/>
      <c r="J434" s="1130"/>
      <c r="K434" s="1130"/>
      <c r="L434" s="1130"/>
      <c r="M434" s="1130"/>
      <c r="N434" s="1130"/>
      <c r="O434" s="1130"/>
      <c r="P434" s="1130"/>
      <c r="Q434" s="1130"/>
      <c r="R434" s="1130"/>
      <c r="S434" s="1130"/>
      <c r="T434" s="1130"/>
      <c r="U434" s="1130"/>
      <c r="V434" s="1130"/>
      <c r="W434" s="1130"/>
      <c r="X434" s="1130"/>
      <c r="Y434" s="1130"/>
      <c r="Z434" s="1130"/>
    </row>
    <row r="435" spans="1:26" ht="15.75" customHeight="1">
      <c r="A435" s="1130"/>
      <c r="B435" s="1130"/>
      <c r="C435" s="1130"/>
      <c r="D435" s="1130"/>
      <c r="E435" s="1130"/>
      <c r="F435" s="1130"/>
      <c r="G435" s="1130"/>
      <c r="H435" s="1130"/>
      <c r="I435" s="1130"/>
      <c r="J435" s="1130"/>
      <c r="K435" s="1130"/>
      <c r="L435" s="1130"/>
      <c r="M435" s="1130"/>
      <c r="N435" s="1130"/>
      <c r="O435" s="1130"/>
      <c r="P435" s="1130"/>
      <c r="Q435" s="1130"/>
      <c r="R435" s="1130"/>
      <c r="S435" s="1130"/>
      <c r="T435" s="1130"/>
      <c r="U435" s="1130"/>
      <c r="V435" s="1130"/>
      <c r="W435" s="1130"/>
      <c r="X435" s="1130"/>
      <c r="Y435" s="1130"/>
      <c r="Z435" s="1130"/>
    </row>
    <row r="436" spans="1:26" ht="15.75" customHeight="1">
      <c r="A436" s="1130"/>
      <c r="B436" s="1130"/>
      <c r="C436" s="1130"/>
      <c r="D436" s="1130"/>
      <c r="E436" s="1130"/>
      <c r="F436" s="1130"/>
      <c r="G436" s="1130"/>
      <c r="H436" s="1130"/>
      <c r="I436" s="1130"/>
      <c r="J436" s="1130"/>
      <c r="K436" s="1130"/>
      <c r="L436" s="1130"/>
      <c r="M436" s="1130"/>
      <c r="N436" s="1130"/>
      <c r="O436" s="1130"/>
      <c r="P436" s="1130"/>
      <c r="Q436" s="1130"/>
      <c r="R436" s="1130"/>
      <c r="S436" s="1130"/>
      <c r="T436" s="1130"/>
      <c r="U436" s="1130"/>
      <c r="V436" s="1130"/>
      <c r="W436" s="1130"/>
      <c r="X436" s="1130"/>
      <c r="Y436" s="1130"/>
      <c r="Z436" s="1130"/>
    </row>
    <row r="437" spans="1:26" ht="15.75" customHeight="1">
      <c r="A437" s="1130"/>
      <c r="B437" s="1130"/>
      <c r="C437" s="1130"/>
      <c r="D437" s="1130"/>
      <c r="E437" s="1130"/>
      <c r="F437" s="1130"/>
      <c r="G437" s="1130"/>
      <c r="H437" s="1130"/>
      <c r="I437" s="1130"/>
      <c r="J437" s="1130"/>
      <c r="K437" s="1130"/>
      <c r="L437" s="1130"/>
      <c r="M437" s="1130"/>
      <c r="N437" s="1130"/>
      <c r="O437" s="1130"/>
      <c r="P437" s="1130"/>
      <c r="Q437" s="1130"/>
      <c r="R437" s="1130"/>
      <c r="S437" s="1130"/>
      <c r="T437" s="1130"/>
      <c r="U437" s="1130"/>
      <c r="V437" s="1130"/>
      <c r="W437" s="1130"/>
      <c r="X437" s="1130"/>
      <c r="Y437" s="1130"/>
      <c r="Z437" s="1130"/>
    </row>
    <row r="438" spans="1:26" ht="15.75" customHeight="1">
      <c r="A438" s="1130"/>
      <c r="B438" s="1130"/>
      <c r="C438" s="1130"/>
      <c r="D438" s="1130"/>
      <c r="E438" s="1130"/>
      <c r="F438" s="1130"/>
      <c r="G438" s="1130"/>
      <c r="H438" s="1130"/>
      <c r="I438" s="1130"/>
      <c r="J438" s="1130"/>
      <c r="K438" s="1130"/>
      <c r="L438" s="1130"/>
      <c r="M438" s="1130"/>
      <c r="N438" s="1130"/>
      <c r="O438" s="1130"/>
      <c r="P438" s="1130"/>
      <c r="Q438" s="1130"/>
      <c r="R438" s="1130"/>
      <c r="S438" s="1130"/>
      <c r="T438" s="1130"/>
      <c r="U438" s="1130"/>
      <c r="V438" s="1130"/>
      <c r="W438" s="1130"/>
      <c r="X438" s="1130"/>
      <c r="Y438" s="1130"/>
      <c r="Z438" s="1130"/>
    </row>
    <row r="439" spans="1:26" ht="15.75" customHeight="1">
      <c r="A439" s="1130"/>
      <c r="B439" s="1130"/>
      <c r="C439" s="1130"/>
      <c r="D439" s="1130"/>
      <c r="E439" s="1130"/>
      <c r="F439" s="1130"/>
      <c r="G439" s="1130"/>
      <c r="H439" s="1130"/>
      <c r="I439" s="1130"/>
      <c r="J439" s="1130"/>
      <c r="K439" s="1130"/>
      <c r="L439" s="1130"/>
      <c r="M439" s="1130"/>
      <c r="N439" s="1130"/>
      <c r="O439" s="1130"/>
      <c r="P439" s="1130"/>
      <c r="Q439" s="1130"/>
      <c r="R439" s="1130"/>
      <c r="S439" s="1130"/>
      <c r="T439" s="1130"/>
      <c r="U439" s="1130"/>
      <c r="V439" s="1130"/>
      <c r="W439" s="1130"/>
      <c r="X439" s="1130"/>
      <c r="Y439" s="1130"/>
      <c r="Z439" s="1130"/>
    </row>
    <row r="440" spans="1:26" ht="15.75" customHeight="1">
      <c r="A440" s="1130"/>
      <c r="B440" s="1130"/>
      <c r="C440" s="1130"/>
      <c r="D440" s="1130"/>
      <c r="E440" s="1130"/>
      <c r="F440" s="1130"/>
      <c r="G440" s="1130"/>
      <c r="H440" s="1130"/>
      <c r="I440" s="1130"/>
      <c r="J440" s="1130"/>
      <c r="K440" s="1130"/>
      <c r="L440" s="1130"/>
      <c r="M440" s="1130"/>
      <c r="N440" s="1130"/>
      <c r="O440" s="1130"/>
      <c r="P440" s="1130"/>
      <c r="Q440" s="1130"/>
      <c r="R440" s="1130"/>
      <c r="S440" s="1130"/>
      <c r="T440" s="1130"/>
      <c r="U440" s="1130"/>
      <c r="V440" s="1130"/>
      <c r="W440" s="1130"/>
      <c r="X440" s="1130"/>
      <c r="Y440" s="1130"/>
      <c r="Z440" s="1130"/>
    </row>
    <row r="441" spans="1:26" ht="15.75" customHeight="1">
      <c r="A441" s="1130"/>
      <c r="B441" s="1130"/>
      <c r="C441" s="1130"/>
      <c r="D441" s="1130"/>
      <c r="E441" s="1130"/>
      <c r="F441" s="1130"/>
      <c r="G441" s="1130"/>
      <c r="H441" s="1130"/>
      <c r="I441" s="1130"/>
      <c r="J441" s="1130"/>
      <c r="K441" s="1130"/>
      <c r="L441" s="1130"/>
      <c r="M441" s="1130"/>
      <c r="N441" s="1130"/>
      <c r="O441" s="1130"/>
      <c r="P441" s="1130"/>
      <c r="Q441" s="1130"/>
      <c r="R441" s="1130"/>
      <c r="S441" s="1130"/>
      <c r="T441" s="1130"/>
      <c r="U441" s="1130"/>
      <c r="V441" s="1130"/>
      <c r="W441" s="1130"/>
      <c r="X441" s="1130"/>
      <c r="Y441" s="1130"/>
      <c r="Z441" s="1130"/>
    </row>
    <row r="442" spans="1:26" ht="15.75" customHeight="1">
      <c r="A442" s="1130"/>
      <c r="B442" s="1130"/>
      <c r="C442" s="1130"/>
      <c r="D442" s="1130"/>
      <c r="E442" s="1130"/>
      <c r="F442" s="1130"/>
      <c r="G442" s="1130"/>
      <c r="H442" s="1130"/>
      <c r="I442" s="1130"/>
      <c r="J442" s="1130"/>
      <c r="K442" s="1130"/>
      <c r="L442" s="1130"/>
      <c r="M442" s="1130"/>
      <c r="N442" s="1130"/>
      <c r="O442" s="1130"/>
      <c r="P442" s="1130"/>
      <c r="Q442" s="1130"/>
      <c r="R442" s="1130"/>
      <c r="S442" s="1130"/>
      <c r="T442" s="1130"/>
      <c r="U442" s="1130"/>
      <c r="V442" s="1130"/>
      <c r="W442" s="1130"/>
      <c r="X442" s="1130"/>
      <c r="Y442" s="1130"/>
      <c r="Z442" s="1130"/>
    </row>
    <row r="443" spans="1:26" ht="15.75" customHeight="1">
      <c r="A443" s="1130"/>
      <c r="B443" s="1130"/>
      <c r="C443" s="1130"/>
      <c r="D443" s="1130"/>
      <c r="E443" s="1130"/>
      <c r="F443" s="1130"/>
      <c r="G443" s="1130"/>
      <c r="H443" s="1130"/>
      <c r="I443" s="1130"/>
      <c r="J443" s="1130"/>
      <c r="K443" s="1130"/>
      <c r="L443" s="1130"/>
      <c r="M443" s="1130"/>
      <c r="N443" s="1130"/>
      <c r="O443" s="1130"/>
      <c r="P443" s="1130"/>
      <c r="Q443" s="1130"/>
      <c r="R443" s="1130"/>
      <c r="S443" s="1130"/>
      <c r="T443" s="1130"/>
      <c r="U443" s="1130"/>
      <c r="V443" s="1130"/>
      <c r="W443" s="1130"/>
      <c r="X443" s="1130"/>
      <c r="Y443" s="1130"/>
      <c r="Z443" s="1130"/>
    </row>
    <row r="444" spans="1:26" ht="15.75" customHeight="1">
      <c r="A444" s="1130"/>
      <c r="B444" s="1130"/>
      <c r="C444" s="1130"/>
      <c r="D444" s="1130"/>
      <c r="E444" s="1130"/>
      <c r="F444" s="1130"/>
      <c r="G444" s="1130"/>
      <c r="H444" s="1130"/>
      <c r="I444" s="1130"/>
      <c r="J444" s="1130"/>
      <c r="K444" s="1130"/>
      <c r="L444" s="1130"/>
      <c r="M444" s="1130"/>
      <c r="N444" s="1130"/>
      <c r="O444" s="1130"/>
      <c r="P444" s="1130"/>
      <c r="Q444" s="1130"/>
      <c r="R444" s="1130"/>
      <c r="S444" s="1130"/>
      <c r="T444" s="1130"/>
      <c r="U444" s="1130"/>
      <c r="V444" s="1130"/>
      <c r="W444" s="1130"/>
      <c r="X444" s="1130"/>
      <c r="Y444" s="1130"/>
      <c r="Z444" s="1130"/>
    </row>
    <row r="445" spans="1:26" ht="15.75" customHeight="1">
      <c r="A445" s="1130"/>
      <c r="B445" s="1130"/>
      <c r="C445" s="1130"/>
      <c r="D445" s="1130"/>
      <c r="E445" s="1130"/>
      <c r="F445" s="1130"/>
      <c r="G445" s="1130"/>
      <c r="H445" s="1130"/>
      <c r="I445" s="1130"/>
      <c r="J445" s="1130"/>
      <c r="K445" s="1130"/>
      <c r="L445" s="1130"/>
      <c r="M445" s="1130"/>
      <c r="N445" s="1130"/>
      <c r="O445" s="1130"/>
      <c r="P445" s="1130"/>
      <c r="Q445" s="1130"/>
      <c r="R445" s="1130"/>
      <c r="S445" s="1130"/>
      <c r="T445" s="1130"/>
      <c r="U445" s="1130"/>
      <c r="V445" s="1130"/>
      <c r="W445" s="1130"/>
      <c r="X445" s="1130"/>
      <c r="Y445" s="1130"/>
      <c r="Z445" s="1130"/>
    </row>
    <row r="446" spans="1:26" ht="15.75" customHeight="1">
      <c r="A446" s="1130"/>
      <c r="B446" s="1130"/>
      <c r="C446" s="1130"/>
      <c r="D446" s="1130"/>
      <c r="E446" s="1130"/>
      <c r="F446" s="1130"/>
      <c r="G446" s="1130"/>
      <c r="H446" s="1130"/>
      <c r="I446" s="1130"/>
      <c r="J446" s="1130"/>
      <c r="K446" s="1130"/>
      <c r="L446" s="1130"/>
      <c r="M446" s="1130"/>
      <c r="N446" s="1130"/>
      <c r="O446" s="1130"/>
      <c r="P446" s="1130"/>
      <c r="Q446" s="1130"/>
      <c r="R446" s="1130"/>
      <c r="S446" s="1130"/>
      <c r="T446" s="1130"/>
      <c r="U446" s="1130"/>
      <c r="V446" s="1130"/>
      <c r="W446" s="1130"/>
      <c r="X446" s="1130"/>
      <c r="Y446" s="1130"/>
      <c r="Z446" s="1130"/>
    </row>
    <row r="447" spans="1:26" ht="15.75" customHeight="1">
      <c r="A447" s="1130"/>
      <c r="B447" s="1130"/>
      <c r="C447" s="1130"/>
      <c r="D447" s="1130"/>
      <c r="E447" s="1130"/>
      <c r="F447" s="1130"/>
      <c r="G447" s="1130"/>
      <c r="H447" s="1130"/>
      <c r="I447" s="1130"/>
      <c r="J447" s="1130"/>
      <c r="K447" s="1130"/>
      <c r="L447" s="1130"/>
      <c r="M447" s="1130"/>
      <c r="N447" s="1130"/>
      <c r="O447" s="1130"/>
      <c r="P447" s="1130"/>
      <c r="Q447" s="1130"/>
      <c r="R447" s="1130"/>
      <c r="S447" s="1130"/>
      <c r="T447" s="1130"/>
      <c r="U447" s="1130"/>
      <c r="V447" s="1130"/>
      <c r="W447" s="1130"/>
      <c r="X447" s="1130"/>
      <c r="Y447" s="1130"/>
      <c r="Z447" s="1130"/>
    </row>
    <row r="448" spans="1:26" ht="15.75" customHeight="1">
      <c r="A448" s="1130"/>
      <c r="B448" s="1130"/>
      <c r="C448" s="1130"/>
      <c r="D448" s="1130"/>
      <c r="E448" s="1130"/>
      <c r="F448" s="1130"/>
      <c r="G448" s="1130"/>
      <c r="H448" s="1130"/>
      <c r="I448" s="1130"/>
      <c r="J448" s="1130"/>
      <c r="K448" s="1130"/>
      <c r="L448" s="1130"/>
      <c r="M448" s="1130"/>
      <c r="N448" s="1130"/>
      <c r="O448" s="1130"/>
      <c r="P448" s="1130"/>
      <c r="Q448" s="1130"/>
      <c r="R448" s="1130"/>
      <c r="S448" s="1130"/>
      <c r="T448" s="1130"/>
      <c r="U448" s="1130"/>
      <c r="V448" s="1130"/>
      <c r="W448" s="1130"/>
      <c r="X448" s="1130"/>
      <c r="Y448" s="1130"/>
      <c r="Z448" s="1130"/>
    </row>
    <row r="449" spans="1:26" ht="15.75" customHeight="1">
      <c r="A449" s="1130"/>
      <c r="B449" s="1130"/>
      <c r="C449" s="1130"/>
      <c r="D449" s="1130"/>
      <c r="E449" s="1130"/>
      <c r="F449" s="1130"/>
      <c r="G449" s="1130"/>
      <c r="H449" s="1130"/>
      <c r="I449" s="1130"/>
      <c r="J449" s="1130"/>
      <c r="K449" s="1130"/>
      <c r="L449" s="1130"/>
      <c r="M449" s="1130"/>
      <c r="N449" s="1130"/>
      <c r="O449" s="1130"/>
      <c r="P449" s="1130"/>
      <c r="Q449" s="1130"/>
      <c r="R449" s="1130"/>
      <c r="S449" s="1130"/>
      <c r="T449" s="1130"/>
      <c r="U449" s="1130"/>
      <c r="V449" s="1130"/>
      <c r="W449" s="1130"/>
      <c r="X449" s="1130"/>
      <c r="Y449" s="1130"/>
      <c r="Z449" s="1130"/>
    </row>
    <row r="450" spans="1:26" ht="15.75" customHeight="1">
      <c r="A450" s="1130"/>
      <c r="B450" s="1130"/>
      <c r="C450" s="1130"/>
      <c r="D450" s="1130"/>
      <c r="E450" s="1130"/>
      <c r="F450" s="1130"/>
      <c r="G450" s="1130"/>
      <c r="H450" s="1130"/>
      <c r="I450" s="1130"/>
      <c r="J450" s="1130"/>
      <c r="K450" s="1130"/>
      <c r="L450" s="1130"/>
      <c r="M450" s="1130"/>
      <c r="N450" s="1130"/>
      <c r="O450" s="1130"/>
      <c r="P450" s="1130"/>
      <c r="Q450" s="1130"/>
      <c r="R450" s="1130"/>
      <c r="S450" s="1130"/>
      <c r="T450" s="1130"/>
      <c r="U450" s="1130"/>
      <c r="V450" s="1130"/>
      <c r="W450" s="1130"/>
      <c r="X450" s="1130"/>
      <c r="Y450" s="1130"/>
      <c r="Z450" s="1130"/>
    </row>
    <row r="451" spans="1:26" ht="15.75" customHeight="1">
      <c r="A451" s="1130"/>
      <c r="B451" s="1130"/>
      <c r="C451" s="1130"/>
      <c r="D451" s="1130"/>
      <c r="E451" s="1130"/>
      <c r="F451" s="1130"/>
      <c r="G451" s="1130"/>
      <c r="H451" s="1130"/>
      <c r="I451" s="1130"/>
      <c r="J451" s="1130"/>
      <c r="K451" s="1130"/>
      <c r="L451" s="1130"/>
      <c r="M451" s="1130"/>
      <c r="N451" s="1130"/>
      <c r="O451" s="1130"/>
      <c r="P451" s="1130"/>
      <c r="Q451" s="1130"/>
      <c r="R451" s="1130"/>
      <c r="S451" s="1130"/>
      <c r="T451" s="1130"/>
      <c r="U451" s="1130"/>
      <c r="V451" s="1130"/>
      <c r="W451" s="1130"/>
      <c r="X451" s="1130"/>
      <c r="Y451" s="1130"/>
      <c r="Z451" s="1130"/>
    </row>
    <row r="452" spans="1:26" ht="15.75" customHeight="1">
      <c r="A452" s="1130"/>
      <c r="B452" s="1130"/>
      <c r="C452" s="1130"/>
      <c r="D452" s="1130"/>
      <c r="E452" s="1130"/>
      <c r="F452" s="1130"/>
      <c r="G452" s="1130"/>
      <c r="H452" s="1130"/>
      <c r="I452" s="1130"/>
      <c r="J452" s="1130"/>
      <c r="K452" s="1130"/>
      <c r="L452" s="1130"/>
      <c r="M452" s="1130"/>
      <c r="N452" s="1130"/>
      <c r="O452" s="1130"/>
      <c r="P452" s="1130"/>
      <c r="Q452" s="1130"/>
      <c r="R452" s="1130"/>
      <c r="S452" s="1130"/>
      <c r="T452" s="1130"/>
      <c r="U452" s="1130"/>
      <c r="V452" s="1130"/>
      <c r="W452" s="1130"/>
      <c r="X452" s="1130"/>
      <c r="Y452" s="1130"/>
      <c r="Z452" s="1130"/>
    </row>
    <row r="453" spans="1:26" ht="15.75" customHeight="1">
      <c r="A453" s="1130"/>
      <c r="B453" s="1130"/>
      <c r="C453" s="1130"/>
      <c r="D453" s="1130"/>
      <c r="E453" s="1130"/>
      <c r="F453" s="1130"/>
      <c r="G453" s="1130"/>
      <c r="H453" s="1130"/>
      <c r="I453" s="1130"/>
      <c r="J453" s="1130"/>
      <c r="K453" s="1130"/>
      <c r="L453" s="1130"/>
      <c r="M453" s="1130"/>
      <c r="N453" s="1130"/>
      <c r="O453" s="1130"/>
      <c r="P453" s="1130"/>
      <c r="Q453" s="1130"/>
      <c r="R453" s="1130"/>
      <c r="S453" s="1130"/>
      <c r="T453" s="1130"/>
      <c r="U453" s="1130"/>
      <c r="V453" s="1130"/>
      <c r="W453" s="1130"/>
      <c r="X453" s="1130"/>
      <c r="Y453" s="1130"/>
      <c r="Z453" s="1130"/>
    </row>
    <row r="454" spans="1:26" ht="15.75" customHeight="1">
      <c r="A454" s="1130"/>
      <c r="B454" s="1130"/>
      <c r="C454" s="1130"/>
      <c r="D454" s="1130"/>
      <c r="E454" s="1130"/>
      <c r="F454" s="1130"/>
      <c r="G454" s="1130"/>
      <c r="H454" s="1130"/>
      <c r="I454" s="1130"/>
      <c r="J454" s="1130"/>
      <c r="K454" s="1130"/>
      <c r="L454" s="1130"/>
      <c r="M454" s="1130"/>
      <c r="N454" s="1130"/>
      <c r="O454" s="1130"/>
      <c r="P454" s="1130"/>
      <c r="Q454" s="1130"/>
      <c r="R454" s="1130"/>
      <c r="S454" s="1130"/>
      <c r="T454" s="1130"/>
      <c r="U454" s="1130"/>
      <c r="V454" s="1130"/>
      <c r="W454" s="1130"/>
      <c r="X454" s="1130"/>
      <c r="Y454" s="1130"/>
      <c r="Z454" s="1130"/>
    </row>
    <row r="455" spans="1:26" ht="15.75" customHeight="1">
      <c r="A455" s="1130"/>
      <c r="B455" s="1130"/>
      <c r="C455" s="1130"/>
      <c r="D455" s="1130"/>
      <c r="E455" s="1130"/>
      <c r="F455" s="1130"/>
      <c r="G455" s="1130"/>
      <c r="H455" s="1130"/>
      <c r="I455" s="1130"/>
      <c r="J455" s="1130"/>
      <c r="K455" s="1130"/>
      <c r="L455" s="1130"/>
      <c r="M455" s="1130"/>
      <c r="N455" s="1130"/>
      <c r="O455" s="1130"/>
      <c r="P455" s="1130"/>
      <c r="Q455" s="1130"/>
      <c r="R455" s="1130"/>
      <c r="S455" s="1130"/>
      <c r="T455" s="1130"/>
      <c r="U455" s="1130"/>
      <c r="V455" s="1130"/>
      <c r="W455" s="1130"/>
      <c r="X455" s="1130"/>
      <c r="Y455" s="1130"/>
      <c r="Z455" s="1130"/>
    </row>
    <row r="456" spans="1:26" ht="15.75" customHeight="1">
      <c r="A456" s="1130"/>
      <c r="B456" s="1130"/>
      <c r="C456" s="1130"/>
      <c r="D456" s="1130"/>
      <c r="E456" s="1130"/>
      <c r="F456" s="1130"/>
      <c r="G456" s="1130"/>
      <c r="H456" s="1130"/>
      <c r="I456" s="1130"/>
      <c r="J456" s="1130"/>
      <c r="K456" s="1130"/>
      <c r="L456" s="1130"/>
      <c r="M456" s="1130"/>
      <c r="N456" s="1130"/>
      <c r="O456" s="1130"/>
      <c r="P456" s="1130"/>
      <c r="Q456" s="1130"/>
      <c r="R456" s="1130"/>
      <c r="S456" s="1130"/>
      <c r="T456" s="1130"/>
      <c r="U456" s="1130"/>
      <c r="V456" s="1130"/>
      <c r="W456" s="1130"/>
      <c r="X456" s="1130"/>
      <c r="Y456" s="1130"/>
      <c r="Z456" s="1130"/>
    </row>
    <row r="457" spans="1:26" ht="15.75" customHeight="1">
      <c r="A457" s="1130"/>
      <c r="B457" s="1130"/>
      <c r="C457" s="1130"/>
      <c r="D457" s="1130"/>
      <c r="E457" s="1130"/>
      <c r="F457" s="1130"/>
      <c r="G457" s="1130"/>
      <c r="H457" s="1130"/>
      <c r="I457" s="1130"/>
      <c r="J457" s="1130"/>
      <c r="K457" s="1130"/>
      <c r="L457" s="1130"/>
      <c r="M457" s="1130"/>
      <c r="N457" s="1130"/>
      <c r="O457" s="1130"/>
      <c r="P457" s="1130"/>
      <c r="Q457" s="1130"/>
      <c r="R457" s="1130"/>
      <c r="S457" s="1130"/>
      <c r="T457" s="1130"/>
      <c r="U457" s="1130"/>
      <c r="V457" s="1130"/>
      <c r="W457" s="1130"/>
      <c r="X457" s="1130"/>
      <c r="Y457" s="1130"/>
      <c r="Z457" s="1130"/>
    </row>
    <row r="458" spans="1:26" ht="15.75" customHeight="1">
      <c r="A458" s="1130"/>
      <c r="B458" s="1130"/>
      <c r="C458" s="1130"/>
      <c r="D458" s="1130"/>
      <c r="E458" s="1130"/>
      <c r="F458" s="1130"/>
      <c r="G458" s="1130"/>
      <c r="H458" s="1130"/>
      <c r="I458" s="1130"/>
      <c r="J458" s="1130"/>
      <c r="K458" s="1130"/>
      <c r="L458" s="1130"/>
      <c r="M458" s="1130"/>
      <c r="N458" s="1130"/>
      <c r="O458" s="1130"/>
      <c r="P458" s="1130"/>
      <c r="Q458" s="1130"/>
      <c r="R458" s="1130"/>
      <c r="S458" s="1130"/>
      <c r="T458" s="1130"/>
      <c r="U458" s="1130"/>
      <c r="V458" s="1130"/>
      <c r="W458" s="1130"/>
      <c r="X458" s="1130"/>
      <c r="Y458" s="1130"/>
      <c r="Z458" s="1130"/>
    </row>
    <row r="459" spans="1:26" ht="15.75" customHeight="1">
      <c r="A459" s="1130"/>
      <c r="B459" s="1130"/>
      <c r="C459" s="1130"/>
      <c r="D459" s="1130"/>
      <c r="E459" s="1130"/>
      <c r="F459" s="1130"/>
      <c r="G459" s="1130"/>
      <c r="H459" s="1130"/>
      <c r="I459" s="1130"/>
      <c r="J459" s="1130"/>
      <c r="K459" s="1130"/>
      <c r="L459" s="1130"/>
      <c r="M459" s="1130"/>
      <c r="N459" s="1130"/>
      <c r="O459" s="1130"/>
      <c r="P459" s="1130"/>
      <c r="Q459" s="1130"/>
      <c r="R459" s="1130"/>
      <c r="S459" s="1130"/>
      <c r="T459" s="1130"/>
      <c r="U459" s="1130"/>
      <c r="V459" s="1130"/>
      <c r="W459" s="1130"/>
      <c r="X459" s="1130"/>
      <c r="Y459" s="1130"/>
      <c r="Z459" s="1130"/>
    </row>
    <row r="460" spans="1:26" ht="15.75" customHeight="1">
      <c r="A460" s="1130"/>
      <c r="B460" s="1130"/>
      <c r="C460" s="1130"/>
      <c r="D460" s="1130"/>
      <c r="E460" s="1130"/>
      <c r="F460" s="1130"/>
      <c r="G460" s="1130"/>
      <c r="H460" s="1130"/>
      <c r="I460" s="1130"/>
      <c r="J460" s="1130"/>
      <c r="K460" s="1130"/>
      <c r="L460" s="1130"/>
      <c r="M460" s="1130"/>
      <c r="N460" s="1130"/>
      <c r="O460" s="1130"/>
      <c r="P460" s="1130"/>
      <c r="Q460" s="1130"/>
      <c r="R460" s="1130"/>
      <c r="S460" s="1130"/>
      <c r="T460" s="1130"/>
      <c r="U460" s="1130"/>
      <c r="V460" s="1130"/>
      <c r="W460" s="1130"/>
      <c r="X460" s="1130"/>
      <c r="Y460" s="1130"/>
      <c r="Z460" s="1130"/>
    </row>
    <row r="461" spans="1:26" ht="15.75" customHeight="1">
      <c r="A461" s="1130"/>
      <c r="B461" s="1130"/>
      <c r="C461" s="1130"/>
      <c r="D461" s="1130"/>
      <c r="E461" s="1130"/>
      <c r="F461" s="1130"/>
      <c r="G461" s="1130"/>
      <c r="H461" s="1130"/>
      <c r="I461" s="1130"/>
      <c r="J461" s="1130"/>
      <c r="K461" s="1130"/>
      <c r="L461" s="1130"/>
      <c r="M461" s="1130"/>
      <c r="N461" s="1130"/>
      <c r="O461" s="1130"/>
      <c r="P461" s="1130"/>
      <c r="Q461" s="1130"/>
      <c r="R461" s="1130"/>
      <c r="S461" s="1130"/>
      <c r="T461" s="1130"/>
      <c r="U461" s="1130"/>
      <c r="V461" s="1130"/>
      <c r="W461" s="1130"/>
      <c r="X461" s="1130"/>
      <c r="Y461" s="1130"/>
      <c r="Z461" s="1130"/>
    </row>
    <row r="462" spans="1:26" ht="15.75" customHeight="1">
      <c r="A462" s="1130"/>
      <c r="B462" s="1130"/>
      <c r="C462" s="1130"/>
      <c r="D462" s="1130"/>
      <c r="E462" s="1130"/>
      <c r="F462" s="1130"/>
      <c r="G462" s="1130"/>
      <c r="H462" s="1130"/>
      <c r="I462" s="1130"/>
      <c r="J462" s="1130"/>
      <c r="K462" s="1130"/>
      <c r="L462" s="1130"/>
      <c r="M462" s="1130"/>
      <c r="N462" s="1130"/>
      <c r="O462" s="1130"/>
      <c r="P462" s="1130"/>
      <c r="Q462" s="1130"/>
      <c r="R462" s="1130"/>
      <c r="S462" s="1130"/>
      <c r="T462" s="1130"/>
      <c r="U462" s="1130"/>
      <c r="V462" s="1130"/>
      <c r="W462" s="1130"/>
      <c r="X462" s="1130"/>
      <c r="Y462" s="1130"/>
      <c r="Z462" s="1130"/>
    </row>
    <row r="463" spans="1:26" ht="15.75" customHeight="1">
      <c r="A463" s="1130"/>
      <c r="B463" s="1130"/>
      <c r="C463" s="1130"/>
      <c r="D463" s="1130"/>
      <c r="E463" s="1130"/>
      <c r="F463" s="1130"/>
      <c r="G463" s="1130"/>
      <c r="H463" s="1130"/>
      <c r="I463" s="1130"/>
      <c r="J463" s="1130"/>
      <c r="K463" s="1130"/>
      <c r="L463" s="1130"/>
      <c r="M463" s="1130"/>
      <c r="N463" s="1130"/>
      <c r="O463" s="1130"/>
      <c r="P463" s="1130"/>
      <c r="Q463" s="1130"/>
      <c r="R463" s="1130"/>
      <c r="S463" s="1130"/>
      <c r="T463" s="1130"/>
      <c r="U463" s="1130"/>
      <c r="V463" s="1130"/>
      <c r="W463" s="1130"/>
      <c r="X463" s="1130"/>
      <c r="Y463" s="1130"/>
      <c r="Z463" s="1130"/>
    </row>
    <row r="464" spans="1:26" ht="15.75" customHeight="1">
      <c r="A464" s="1130"/>
      <c r="B464" s="1130"/>
      <c r="C464" s="1130"/>
      <c r="D464" s="1130"/>
      <c r="E464" s="1130"/>
      <c r="F464" s="1130"/>
      <c r="G464" s="1130"/>
      <c r="H464" s="1130"/>
      <c r="I464" s="1130"/>
      <c r="J464" s="1130"/>
      <c r="K464" s="1130"/>
      <c r="L464" s="1130"/>
      <c r="M464" s="1130"/>
      <c r="N464" s="1130"/>
      <c r="O464" s="1130"/>
      <c r="P464" s="1130"/>
      <c r="Q464" s="1130"/>
      <c r="R464" s="1130"/>
      <c r="S464" s="1130"/>
      <c r="T464" s="1130"/>
      <c r="U464" s="1130"/>
      <c r="V464" s="1130"/>
      <c r="W464" s="1130"/>
      <c r="X464" s="1130"/>
      <c r="Y464" s="1130"/>
      <c r="Z464" s="1130"/>
    </row>
    <row r="465" spans="1:26" ht="15.75" customHeight="1">
      <c r="A465" s="1130"/>
      <c r="B465" s="1130"/>
      <c r="C465" s="1130"/>
      <c r="D465" s="1130"/>
      <c r="E465" s="1130"/>
      <c r="F465" s="1130"/>
      <c r="G465" s="1130"/>
      <c r="H465" s="1130"/>
      <c r="I465" s="1130"/>
      <c r="J465" s="1130"/>
      <c r="K465" s="1130"/>
      <c r="L465" s="1130"/>
      <c r="M465" s="1130"/>
      <c r="N465" s="1130"/>
      <c r="O465" s="1130"/>
      <c r="P465" s="1130"/>
      <c r="Q465" s="1130"/>
      <c r="R465" s="1130"/>
      <c r="S465" s="1130"/>
      <c r="T465" s="1130"/>
      <c r="U465" s="1130"/>
      <c r="V465" s="1130"/>
      <c r="W465" s="1130"/>
      <c r="X465" s="1130"/>
      <c r="Y465" s="1130"/>
      <c r="Z465" s="1130"/>
    </row>
    <row r="466" spans="1:26" ht="15.75" customHeight="1">
      <c r="A466" s="1130"/>
      <c r="B466" s="1130"/>
      <c r="C466" s="1130"/>
      <c r="D466" s="1130"/>
      <c r="E466" s="1130"/>
      <c r="F466" s="1130"/>
      <c r="G466" s="1130"/>
      <c r="H466" s="1130"/>
      <c r="I466" s="1130"/>
      <c r="J466" s="1130"/>
      <c r="K466" s="1130"/>
      <c r="L466" s="1130"/>
      <c r="M466" s="1130"/>
      <c r="N466" s="1130"/>
      <c r="O466" s="1130"/>
      <c r="P466" s="1130"/>
      <c r="Q466" s="1130"/>
      <c r="R466" s="1130"/>
      <c r="S466" s="1130"/>
      <c r="T466" s="1130"/>
      <c r="U466" s="1130"/>
      <c r="V466" s="1130"/>
      <c r="W466" s="1130"/>
      <c r="X466" s="1130"/>
      <c r="Y466" s="1130"/>
      <c r="Z466" s="1130"/>
    </row>
    <row r="467" spans="1:26" ht="15.75" customHeight="1">
      <c r="A467" s="1130"/>
      <c r="B467" s="1130"/>
      <c r="C467" s="1130"/>
      <c r="D467" s="1130"/>
      <c r="E467" s="1130"/>
      <c r="F467" s="1130"/>
      <c r="G467" s="1130"/>
      <c r="H467" s="1130"/>
      <c r="I467" s="1130"/>
      <c r="J467" s="1130"/>
      <c r="K467" s="1130"/>
      <c r="L467" s="1130"/>
      <c r="M467" s="1130"/>
      <c r="N467" s="1130"/>
      <c r="O467" s="1130"/>
      <c r="P467" s="1130"/>
      <c r="Q467" s="1130"/>
      <c r="R467" s="1130"/>
      <c r="S467" s="1130"/>
      <c r="T467" s="1130"/>
      <c r="U467" s="1130"/>
      <c r="V467" s="1130"/>
      <c r="W467" s="1130"/>
      <c r="X467" s="1130"/>
      <c r="Y467" s="1130"/>
      <c r="Z467" s="1130"/>
    </row>
    <row r="468" spans="1:26" ht="15.75" customHeight="1">
      <c r="A468" s="1130"/>
      <c r="B468" s="1130"/>
      <c r="C468" s="1130"/>
      <c r="D468" s="1130"/>
      <c r="E468" s="1130"/>
      <c r="F468" s="1130"/>
      <c r="G468" s="1130"/>
      <c r="H468" s="1130"/>
      <c r="I468" s="1130"/>
      <c r="J468" s="1130"/>
      <c r="K468" s="1130"/>
      <c r="L468" s="1130"/>
      <c r="M468" s="1130"/>
      <c r="N468" s="1130"/>
      <c r="O468" s="1130"/>
      <c r="P468" s="1130"/>
      <c r="Q468" s="1130"/>
      <c r="R468" s="1130"/>
      <c r="S468" s="1130"/>
      <c r="T468" s="1130"/>
      <c r="U468" s="1130"/>
      <c r="V468" s="1130"/>
      <c r="W468" s="1130"/>
      <c r="X468" s="1130"/>
      <c r="Y468" s="1130"/>
      <c r="Z468" s="1130"/>
    </row>
    <row r="469" spans="1:26" ht="15.75" customHeight="1">
      <c r="A469" s="1130"/>
      <c r="B469" s="1130"/>
      <c r="C469" s="1130"/>
      <c r="D469" s="1130"/>
      <c r="E469" s="1130"/>
      <c r="F469" s="1130"/>
      <c r="G469" s="1130"/>
      <c r="H469" s="1130"/>
      <c r="I469" s="1130"/>
      <c r="J469" s="1130"/>
      <c r="K469" s="1130"/>
      <c r="L469" s="1130"/>
      <c r="M469" s="1130"/>
      <c r="N469" s="1130"/>
      <c r="O469" s="1130"/>
      <c r="P469" s="1130"/>
      <c r="Q469" s="1130"/>
      <c r="R469" s="1130"/>
      <c r="S469" s="1130"/>
      <c r="T469" s="1130"/>
      <c r="U469" s="1130"/>
      <c r="V469" s="1130"/>
      <c r="W469" s="1130"/>
      <c r="X469" s="1130"/>
      <c r="Y469" s="1130"/>
      <c r="Z469" s="1130"/>
    </row>
    <row r="470" spans="1:26" ht="15.75" customHeight="1">
      <c r="A470" s="1130"/>
      <c r="B470" s="1130"/>
      <c r="C470" s="1130"/>
      <c r="D470" s="1130"/>
      <c r="E470" s="1130"/>
      <c r="F470" s="1130"/>
      <c r="G470" s="1130"/>
      <c r="H470" s="1130"/>
      <c r="I470" s="1130"/>
      <c r="J470" s="1130"/>
      <c r="K470" s="1130"/>
      <c r="L470" s="1130"/>
      <c r="M470" s="1130"/>
      <c r="N470" s="1130"/>
      <c r="O470" s="1130"/>
      <c r="P470" s="1130"/>
      <c r="Q470" s="1130"/>
      <c r="R470" s="1130"/>
      <c r="S470" s="1130"/>
      <c r="T470" s="1130"/>
      <c r="U470" s="1130"/>
      <c r="V470" s="1130"/>
      <c r="W470" s="1130"/>
      <c r="X470" s="1130"/>
      <c r="Y470" s="1130"/>
      <c r="Z470" s="1130"/>
    </row>
    <row r="471" spans="1:26" ht="15.75" customHeight="1">
      <c r="A471" s="1130"/>
      <c r="B471" s="1130"/>
      <c r="C471" s="1130"/>
      <c r="D471" s="1130"/>
      <c r="E471" s="1130"/>
      <c r="F471" s="1130"/>
      <c r="G471" s="1130"/>
      <c r="H471" s="1130"/>
      <c r="I471" s="1130"/>
      <c r="J471" s="1130"/>
      <c r="K471" s="1130"/>
      <c r="L471" s="1130"/>
      <c r="M471" s="1130"/>
      <c r="N471" s="1130"/>
      <c r="O471" s="1130"/>
      <c r="P471" s="1130"/>
      <c r="Q471" s="1130"/>
      <c r="R471" s="1130"/>
      <c r="S471" s="1130"/>
      <c r="T471" s="1130"/>
      <c r="U471" s="1130"/>
      <c r="V471" s="1130"/>
      <c r="W471" s="1130"/>
      <c r="X471" s="1130"/>
      <c r="Y471" s="1130"/>
      <c r="Z471" s="1130"/>
    </row>
    <row r="472" spans="1:26" ht="15.75" customHeight="1">
      <c r="A472" s="1130"/>
      <c r="B472" s="1130"/>
      <c r="C472" s="1130"/>
      <c r="D472" s="1130"/>
      <c r="E472" s="1130"/>
      <c r="F472" s="1130"/>
      <c r="G472" s="1130"/>
      <c r="H472" s="1130"/>
      <c r="I472" s="1130"/>
      <c r="J472" s="1130"/>
      <c r="K472" s="1130"/>
      <c r="L472" s="1130"/>
      <c r="M472" s="1130"/>
      <c r="N472" s="1130"/>
      <c r="O472" s="1130"/>
      <c r="P472" s="1130"/>
      <c r="Q472" s="1130"/>
      <c r="R472" s="1130"/>
      <c r="S472" s="1130"/>
      <c r="T472" s="1130"/>
      <c r="U472" s="1130"/>
      <c r="V472" s="1130"/>
      <c r="W472" s="1130"/>
      <c r="X472" s="1130"/>
      <c r="Y472" s="1130"/>
      <c r="Z472" s="1130"/>
    </row>
    <row r="473" spans="1:26" ht="15.75" customHeight="1">
      <c r="A473" s="1130"/>
      <c r="B473" s="1130"/>
      <c r="C473" s="1130"/>
      <c r="D473" s="1130"/>
      <c r="E473" s="1130"/>
      <c r="F473" s="1130"/>
      <c r="G473" s="1130"/>
      <c r="H473" s="1130"/>
      <c r="I473" s="1130"/>
      <c r="J473" s="1130"/>
      <c r="K473" s="1130"/>
      <c r="L473" s="1130"/>
      <c r="M473" s="1130"/>
      <c r="N473" s="1130"/>
      <c r="O473" s="1130"/>
      <c r="P473" s="1130"/>
      <c r="Q473" s="1130"/>
      <c r="R473" s="1130"/>
      <c r="S473" s="1130"/>
      <c r="T473" s="1130"/>
      <c r="U473" s="1130"/>
      <c r="V473" s="1130"/>
      <c r="W473" s="1130"/>
      <c r="X473" s="1130"/>
      <c r="Y473" s="1130"/>
      <c r="Z473" s="1130"/>
    </row>
    <row r="474" spans="1:26" ht="15.75" customHeight="1">
      <c r="A474" s="1130"/>
      <c r="B474" s="1130"/>
      <c r="C474" s="1130"/>
      <c r="D474" s="1130"/>
      <c r="E474" s="1130"/>
      <c r="F474" s="1130"/>
      <c r="G474" s="1130"/>
      <c r="H474" s="1130"/>
      <c r="I474" s="1130"/>
      <c r="J474" s="1130"/>
      <c r="K474" s="1130"/>
      <c r="L474" s="1130"/>
      <c r="M474" s="1130"/>
      <c r="N474" s="1130"/>
      <c r="O474" s="1130"/>
      <c r="P474" s="1130"/>
      <c r="Q474" s="1130"/>
      <c r="R474" s="1130"/>
      <c r="S474" s="1130"/>
      <c r="T474" s="1130"/>
      <c r="U474" s="1130"/>
      <c r="V474" s="1130"/>
      <c r="W474" s="1130"/>
      <c r="X474" s="1130"/>
      <c r="Y474" s="1130"/>
      <c r="Z474" s="1130"/>
    </row>
    <row r="475" spans="1:26" ht="15.75" customHeight="1">
      <c r="A475" s="1130"/>
      <c r="B475" s="1130"/>
      <c r="C475" s="1130"/>
      <c r="D475" s="1130"/>
      <c r="E475" s="1130"/>
      <c r="F475" s="1130"/>
      <c r="G475" s="1130"/>
      <c r="H475" s="1130"/>
      <c r="I475" s="1130"/>
      <c r="J475" s="1130"/>
      <c r="K475" s="1130"/>
      <c r="L475" s="1130"/>
      <c r="M475" s="1130"/>
      <c r="N475" s="1130"/>
      <c r="O475" s="1130"/>
      <c r="P475" s="1130"/>
      <c r="Q475" s="1130"/>
      <c r="R475" s="1130"/>
      <c r="S475" s="1130"/>
      <c r="T475" s="1130"/>
      <c r="U475" s="1130"/>
      <c r="V475" s="1130"/>
      <c r="W475" s="1130"/>
      <c r="X475" s="1130"/>
      <c r="Y475" s="1130"/>
      <c r="Z475" s="1130"/>
    </row>
    <row r="476" spans="1:26" ht="15.75" customHeight="1">
      <c r="A476" s="1130"/>
      <c r="B476" s="1130"/>
      <c r="C476" s="1130"/>
      <c r="D476" s="1130"/>
      <c r="E476" s="1130"/>
      <c r="F476" s="1130"/>
      <c r="G476" s="1130"/>
      <c r="H476" s="1130"/>
      <c r="I476" s="1130"/>
      <c r="J476" s="1130"/>
      <c r="K476" s="1130"/>
      <c r="L476" s="1130"/>
      <c r="M476" s="1130"/>
      <c r="N476" s="1130"/>
      <c r="O476" s="1130"/>
      <c r="P476" s="1130"/>
      <c r="Q476" s="1130"/>
      <c r="R476" s="1130"/>
      <c r="S476" s="1130"/>
      <c r="T476" s="1130"/>
      <c r="U476" s="1130"/>
      <c r="V476" s="1130"/>
      <c r="W476" s="1130"/>
      <c r="X476" s="1130"/>
      <c r="Y476" s="1130"/>
      <c r="Z476" s="1130"/>
    </row>
    <row r="477" spans="1:26" ht="15.75" customHeight="1">
      <c r="A477" s="1130"/>
      <c r="B477" s="1130"/>
      <c r="C477" s="1130"/>
      <c r="D477" s="1130"/>
      <c r="E477" s="1130"/>
      <c r="F477" s="1130"/>
      <c r="G477" s="1130"/>
      <c r="H477" s="1130"/>
      <c r="I477" s="1130"/>
      <c r="J477" s="1130"/>
      <c r="K477" s="1130"/>
      <c r="L477" s="1130"/>
      <c r="M477" s="1130"/>
      <c r="N477" s="1130"/>
      <c r="O477" s="1130"/>
      <c r="P477" s="1130"/>
      <c r="Q477" s="1130"/>
      <c r="R477" s="1130"/>
      <c r="S477" s="1130"/>
      <c r="T477" s="1130"/>
      <c r="U477" s="1130"/>
      <c r="V477" s="1130"/>
      <c r="W477" s="1130"/>
      <c r="X477" s="1130"/>
      <c r="Y477" s="1130"/>
      <c r="Z477" s="1130"/>
    </row>
    <row r="478" spans="1:26" ht="15.75" customHeight="1">
      <c r="A478" s="1130"/>
      <c r="B478" s="1130"/>
      <c r="C478" s="1130"/>
      <c r="D478" s="1130"/>
      <c r="E478" s="1130"/>
      <c r="F478" s="1130"/>
      <c r="G478" s="1130"/>
      <c r="H478" s="1130"/>
      <c r="I478" s="1130"/>
      <c r="J478" s="1130"/>
      <c r="K478" s="1130"/>
      <c r="L478" s="1130"/>
      <c r="M478" s="1130"/>
      <c r="N478" s="1130"/>
      <c r="O478" s="1130"/>
      <c r="P478" s="1130"/>
      <c r="Q478" s="1130"/>
      <c r="R478" s="1130"/>
      <c r="S478" s="1130"/>
      <c r="T478" s="1130"/>
      <c r="U478" s="1130"/>
      <c r="V478" s="1130"/>
      <c r="W478" s="1130"/>
      <c r="X478" s="1130"/>
      <c r="Y478" s="1130"/>
      <c r="Z478" s="1130"/>
    </row>
    <row r="479" spans="1:26" ht="15.75" customHeight="1">
      <c r="A479" s="1130"/>
      <c r="B479" s="1130"/>
      <c r="C479" s="1130"/>
      <c r="D479" s="1130"/>
      <c r="E479" s="1130"/>
      <c r="F479" s="1130"/>
      <c r="G479" s="1130"/>
      <c r="H479" s="1130"/>
      <c r="I479" s="1130"/>
      <c r="J479" s="1130"/>
      <c r="K479" s="1130"/>
      <c r="L479" s="1130"/>
      <c r="M479" s="1130"/>
      <c r="N479" s="1130"/>
      <c r="O479" s="1130"/>
      <c r="P479" s="1130"/>
      <c r="Q479" s="1130"/>
      <c r="R479" s="1130"/>
      <c r="S479" s="1130"/>
      <c r="T479" s="1130"/>
      <c r="U479" s="1130"/>
      <c r="V479" s="1130"/>
      <c r="W479" s="1130"/>
      <c r="X479" s="1130"/>
      <c r="Y479" s="1130"/>
      <c r="Z479" s="1130"/>
    </row>
    <row r="480" spans="1:26" ht="15.75" customHeight="1">
      <c r="A480" s="1130"/>
      <c r="B480" s="1130"/>
      <c r="C480" s="1130"/>
      <c r="D480" s="1130"/>
      <c r="E480" s="1130"/>
      <c r="F480" s="1130"/>
      <c r="G480" s="1130"/>
      <c r="H480" s="1130"/>
      <c r="I480" s="1130"/>
      <c r="J480" s="1130"/>
      <c r="K480" s="1130"/>
      <c r="L480" s="1130"/>
      <c r="M480" s="1130"/>
      <c r="N480" s="1130"/>
      <c r="O480" s="1130"/>
      <c r="P480" s="1130"/>
      <c r="Q480" s="1130"/>
      <c r="R480" s="1130"/>
      <c r="S480" s="1130"/>
      <c r="T480" s="1130"/>
      <c r="U480" s="1130"/>
      <c r="V480" s="1130"/>
      <c r="W480" s="1130"/>
      <c r="X480" s="1130"/>
      <c r="Y480" s="1130"/>
      <c r="Z480" s="1130"/>
    </row>
    <row r="481" spans="1:26" ht="15.75" customHeight="1">
      <c r="A481" s="1130"/>
      <c r="B481" s="1130"/>
      <c r="C481" s="1130"/>
      <c r="D481" s="1130"/>
      <c r="E481" s="1130"/>
      <c r="F481" s="1130"/>
      <c r="G481" s="1130"/>
      <c r="H481" s="1130"/>
      <c r="I481" s="1130"/>
      <c r="J481" s="1130"/>
      <c r="K481" s="1130"/>
      <c r="L481" s="1130"/>
      <c r="M481" s="1130"/>
      <c r="N481" s="1130"/>
      <c r="O481" s="1130"/>
      <c r="P481" s="1130"/>
      <c r="Q481" s="1130"/>
      <c r="R481" s="1130"/>
      <c r="S481" s="1130"/>
      <c r="T481" s="1130"/>
      <c r="U481" s="1130"/>
      <c r="V481" s="1130"/>
      <c r="W481" s="1130"/>
      <c r="X481" s="1130"/>
      <c r="Y481" s="1130"/>
      <c r="Z481" s="1130"/>
    </row>
    <row r="482" spans="1:26" ht="15.75" customHeight="1">
      <c r="A482" s="1130"/>
      <c r="B482" s="1130"/>
      <c r="C482" s="1130"/>
      <c r="D482" s="1130"/>
      <c r="E482" s="1130"/>
      <c r="F482" s="1130"/>
      <c r="G482" s="1130"/>
      <c r="H482" s="1130"/>
      <c r="I482" s="1130"/>
      <c r="J482" s="1130"/>
      <c r="K482" s="1130"/>
      <c r="L482" s="1130"/>
      <c r="M482" s="1130"/>
      <c r="N482" s="1130"/>
      <c r="O482" s="1130"/>
      <c r="P482" s="1130"/>
      <c r="Q482" s="1130"/>
      <c r="R482" s="1130"/>
      <c r="S482" s="1130"/>
      <c r="T482" s="1130"/>
      <c r="U482" s="1130"/>
      <c r="V482" s="1130"/>
      <c r="W482" s="1130"/>
      <c r="X482" s="1130"/>
      <c r="Y482" s="1130"/>
      <c r="Z482" s="1130"/>
    </row>
    <row r="483" spans="1:26" ht="15.75" customHeight="1">
      <c r="A483" s="1130"/>
      <c r="B483" s="1130"/>
      <c r="C483" s="1130"/>
      <c r="D483" s="1130"/>
      <c r="E483" s="1130"/>
      <c r="F483" s="1130"/>
      <c r="G483" s="1130"/>
      <c r="H483" s="1130"/>
      <c r="I483" s="1130"/>
      <c r="J483" s="1130"/>
      <c r="K483" s="1130"/>
      <c r="L483" s="1130"/>
      <c r="M483" s="1130"/>
      <c r="N483" s="1130"/>
      <c r="O483" s="1130"/>
      <c r="P483" s="1130"/>
      <c r="Q483" s="1130"/>
      <c r="R483" s="1130"/>
      <c r="S483" s="1130"/>
      <c r="T483" s="1130"/>
      <c r="U483" s="1130"/>
      <c r="V483" s="1130"/>
      <c r="W483" s="1130"/>
      <c r="X483" s="1130"/>
      <c r="Y483" s="1130"/>
      <c r="Z483" s="1130"/>
    </row>
    <row r="484" spans="1:26" ht="15.75" customHeight="1">
      <c r="A484" s="1130"/>
      <c r="B484" s="1130"/>
      <c r="C484" s="1130"/>
      <c r="D484" s="1130"/>
      <c r="E484" s="1130"/>
      <c r="F484" s="1130"/>
      <c r="G484" s="1130"/>
      <c r="H484" s="1130"/>
      <c r="I484" s="1130"/>
      <c r="J484" s="1130"/>
      <c r="K484" s="1130"/>
      <c r="L484" s="1130"/>
      <c r="M484" s="1130"/>
      <c r="N484" s="1130"/>
      <c r="O484" s="1130"/>
      <c r="P484" s="1130"/>
      <c r="Q484" s="1130"/>
      <c r="R484" s="1130"/>
      <c r="S484" s="1130"/>
      <c r="T484" s="1130"/>
      <c r="U484" s="1130"/>
      <c r="V484" s="1130"/>
      <c r="W484" s="1130"/>
      <c r="X484" s="1130"/>
      <c r="Y484" s="1130"/>
      <c r="Z484" s="1130"/>
    </row>
    <row r="485" spans="1:26" ht="15.75" customHeight="1">
      <c r="A485" s="1130"/>
      <c r="B485" s="1130"/>
      <c r="C485" s="1130"/>
      <c r="D485" s="1130"/>
      <c r="E485" s="1130"/>
      <c r="F485" s="1130"/>
      <c r="G485" s="1130"/>
      <c r="H485" s="1130"/>
      <c r="I485" s="1130"/>
      <c r="J485" s="1130"/>
      <c r="K485" s="1130"/>
      <c r="L485" s="1130"/>
      <c r="M485" s="1130"/>
      <c r="N485" s="1130"/>
      <c r="O485" s="1130"/>
      <c r="P485" s="1130"/>
      <c r="Q485" s="1130"/>
      <c r="R485" s="1130"/>
      <c r="S485" s="1130"/>
      <c r="T485" s="1130"/>
      <c r="U485" s="1130"/>
      <c r="V485" s="1130"/>
      <c r="W485" s="1130"/>
      <c r="X485" s="1130"/>
      <c r="Y485" s="1130"/>
      <c r="Z485" s="1130"/>
    </row>
    <row r="486" spans="1:26" ht="15.75" customHeight="1">
      <c r="A486" s="1130"/>
      <c r="B486" s="1130"/>
      <c r="C486" s="1130"/>
      <c r="D486" s="1130"/>
      <c r="E486" s="1130"/>
      <c r="F486" s="1130"/>
      <c r="G486" s="1130"/>
      <c r="H486" s="1130"/>
      <c r="I486" s="1130"/>
      <c r="J486" s="1130"/>
      <c r="K486" s="1130"/>
      <c r="L486" s="1130"/>
      <c r="M486" s="1130"/>
      <c r="N486" s="1130"/>
      <c r="O486" s="1130"/>
      <c r="P486" s="1130"/>
      <c r="Q486" s="1130"/>
      <c r="R486" s="1130"/>
      <c r="S486" s="1130"/>
      <c r="T486" s="1130"/>
      <c r="U486" s="1130"/>
      <c r="V486" s="1130"/>
      <c r="W486" s="1130"/>
      <c r="X486" s="1130"/>
      <c r="Y486" s="1130"/>
      <c r="Z486" s="1130"/>
    </row>
    <row r="487" spans="1:26" ht="15.75" customHeight="1">
      <c r="A487" s="1130"/>
      <c r="B487" s="1130"/>
      <c r="C487" s="1130"/>
      <c r="D487" s="1130"/>
      <c r="E487" s="1130"/>
      <c r="F487" s="1130"/>
      <c r="G487" s="1130"/>
      <c r="H487" s="1130"/>
      <c r="I487" s="1130"/>
      <c r="J487" s="1130"/>
      <c r="K487" s="1130"/>
      <c r="L487" s="1130"/>
      <c r="M487" s="1130"/>
      <c r="N487" s="1130"/>
      <c r="O487" s="1130"/>
      <c r="P487" s="1130"/>
      <c r="Q487" s="1130"/>
      <c r="R487" s="1130"/>
      <c r="S487" s="1130"/>
      <c r="T487" s="1130"/>
      <c r="U487" s="1130"/>
      <c r="V487" s="1130"/>
      <c r="W487" s="1130"/>
      <c r="X487" s="1130"/>
      <c r="Y487" s="1130"/>
      <c r="Z487" s="1130"/>
    </row>
    <row r="488" spans="1:26" ht="15.75" customHeight="1">
      <c r="A488" s="1130"/>
      <c r="B488" s="1130"/>
      <c r="C488" s="1130"/>
      <c r="D488" s="1130"/>
      <c r="E488" s="1130"/>
      <c r="F488" s="1130"/>
      <c r="G488" s="1130"/>
      <c r="H488" s="1130"/>
      <c r="I488" s="1130"/>
      <c r="J488" s="1130"/>
      <c r="K488" s="1130"/>
      <c r="L488" s="1130"/>
      <c r="M488" s="1130"/>
      <c r="N488" s="1130"/>
      <c r="O488" s="1130"/>
      <c r="P488" s="1130"/>
      <c r="Q488" s="1130"/>
      <c r="R488" s="1130"/>
      <c r="S488" s="1130"/>
      <c r="T488" s="1130"/>
      <c r="U488" s="1130"/>
      <c r="V488" s="1130"/>
      <c r="W488" s="1130"/>
      <c r="X488" s="1130"/>
      <c r="Y488" s="1130"/>
      <c r="Z488" s="1130"/>
    </row>
    <row r="489" spans="1:26" ht="15.75" customHeight="1">
      <c r="A489" s="1130"/>
      <c r="B489" s="1130"/>
      <c r="C489" s="1130"/>
      <c r="D489" s="1130"/>
      <c r="E489" s="1130"/>
      <c r="F489" s="1130"/>
      <c r="G489" s="1130"/>
      <c r="H489" s="1130"/>
      <c r="I489" s="1130"/>
      <c r="J489" s="1130"/>
      <c r="K489" s="1130"/>
      <c r="L489" s="1130"/>
      <c r="M489" s="1130"/>
      <c r="N489" s="1130"/>
      <c r="O489" s="1130"/>
      <c r="P489" s="1130"/>
      <c r="Q489" s="1130"/>
      <c r="R489" s="1130"/>
      <c r="S489" s="1130"/>
      <c r="T489" s="1130"/>
      <c r="U489" s="1130"/>
      <c r="V489" s="1130"/>
      <c r="W489" s="1130"/>
      <c r="X489" s="1130"/>
      <c r="Y489" s="1130"/>
      <c r="Z489" s="1130"/>
    </row>
    <row r="490" spans="1:26" ht="15.75" customHeight="1">
      <c r="A490" s="1130"/>
      <c r="B490" s="1130"/>
      <c r="C490" s="1130"/>
      <c r="D490" s="1130"/>
      <c r="E490" s="1130"/>
      <c r="F490" s="1130"/>
      <c r="G490" s="1130"/>
      <c r="H490" s="1130"/>
      <c r="I490" s="1130"/>
      <c r="J490" s="1130"/>
      <c r="K490" s="1130"/>
      <c r="L490" s="1130"/>
      <c r="M490" s="1130"/>
      <c r="N490" s="1130"/>
      <c r="O490" s="1130"/>
      <c r="P490" s="1130"/>
      <c r="Q490" s="1130"/>
      <c r="R490" s="1130"/>
      <c r="S490" s="1130"/>
      <c r="T490" s="1130"/>
      <c r="U490" s="1130"/>
      <c r="V490" s="1130"/>
      <c r="W490" s="1130"/>
      <c r="X490" s="1130"/>
      <c r="Y490" s="1130"/>
      <c r="Z490" s="1130"/>
    </row>
    <row r="491" spans="1:26" ht="15.75" customHeight="1">
      <c r="A491" s="1130"/>
      <c r="B491" s="1130"/>
      <c r="C491" s="1130"/>
      <c r="D491" s="1130"/>
      <c r="E491" s="1130"/>
      <c r="F491" s="1130"/>
      <c r="G491" s="1130"/>
      <c r="H491" s="1130"/>
      <c r="I491" s="1130"/>
      <c r="J491" s="1130"/>
      <c r="K491" s="1130"/>
      <c r="L491" s="1130"/>
      <c r="M491" s="1130"/>
      <c r="N491" s="1130"/>
      <c r="O491" s="1130"/>
      <c r="P491" s="1130"/>
      <c r="Q491" s="1130"/>
      <c r="R491" s="1130"/>
      <c r="S491" s="1130"/>
      <c r="T491" s="1130"/>
      <c r="U491" s="1130"/>
      <c r="V491" s="1130"/>
      <c r="W491" s="1130"/>
      <c r="X491" s="1130"/>
      <c r="Y491" s="1130"/>
      <c r="Z491" s="1130"/>
    </row>
    <row r="492" spans="1:26" ht="15.75" customHeight="1">
      <c r="A492" s="1130"/>
      <c r="B492" s="1130"/>
      <c r="C492" s="1130"/>
      <c r="D492" s="1130"/>
      <c r="E492" s="1130"/>
      <c r="F492" s="1130"/>
      <c r="G492" s="1130"/>
      <c r="H492" s="1130"/>
      <c r="I492" s="1130"/>
      <c r="J492" s="1130"/>
      <c r="K492" s="1130"/>
      <c r="L492" s="1130"/>
      <c r="M492" s="1130"/>
      <c r="N492" s="1130"/>
      <c r="O492" s="1130"/>
      <c r="P492" s="1130"/>
      <c r="Q492" s="1130"/>
      <c r="R492" s="1130"/>
      <c r="S492" s="1130"/>
      <c r="T492" s="1130"/>
      <c r="U492" s="1130"/>
      <c r="V492" s="1130"/>
      <c r="W492" s="1130"/>
      <c r="X492" s="1130"/>
      <c r="Y492" s="1130"/>
      <c r="Z492" s="1130"/>
    </row>
    <row r="493" spans="1:26" ht="15.75" customHeight="1">
      <c r="A493" s="1130"/>
      <c r="B493" s="1130"/>
      <c r="C493" s="1130"/>
      <c r="D493" s="1130"/>
      <c r="E493" s="1130"/>
      <c r="F493" s="1130"/>
      <c r="G493" s="1130"/>
      <c r="H493" s="1130"/>
      <c r="I493" s="1130"/>
      <c r="J493" s="1130"/>
      <c r="K493" s="1130"/>
      <c r="L493" s="1130"/>
      <c r="M493" s="1130"/>
      <c r="N493" s="1130"/>
      <c r="O493" s="1130"/>
      <c r="P493" s="1130"/>
      <c r="Q493" s="1130"/>
      <c r="R493" s="1130"/>
      <c r="S493" s="1130"/>
      <c r="T493" s="1130"/>
      <c r="U493" s="1130"/>
      <c r="V493" s="1130"/>
      <c r="W493" s="1130"/>
      <c r="X493" s="1130"/>
      <c r="Y493" s="1130"/>
      <c r="Z493" s="1130"/>
    </row>
    <row r="494" spans="1:26" ht="15.75" customHeight="1">
      <c r="A494" s="1130"/>
      <c r="B494" s="1130"/>
      <c r="C494" s="1130"/>
      <c r="D494" s="1130"/>
      <c r="E494" s="1130"/>
      <c r="F494" s="1130"/>
      <c r="G494" s="1130"/>
      <c r="H494" s="1130"/>
      <c r="I494" s="1130"/>
      <c r="J494" s="1130"/>
      <c r="K494" s="1130"/>
      <c r="L494" s="1130"/>
      <c r="M494" s="1130"/>
      <c r="N494" s="1130"/>
      <c r="O494" s="1130"/>
      <c r="P494" s="1130"/>
      <c r="Q494" s="1130"/>
      <c r="R494" s="1130"/>
      <c r="S494" s="1130"/>
      <c r="T494" s="1130"/>
      <c r="U494" s="1130"/>
      <c r="V494" s="1130"/>
      <c r="W494" s="1130"/>
      <c r="X494" s="1130"/>
      <c r="Y494" s="1130"/>
      <c r="Z494" s="1130"/>
    </row>
    <row r="495" spans="1:26" ht="15.75" customHeight="1">
      <c r="A495" s="1130"/>
      <c r="B495" s="1130"/>
      <c r="C495" s="1130"/>
      <c r="D495" s="1130"/>
      <c r="E495" s="1130"/>
      <c r="F495" s="1130"/>
      <c r="G495" s="1130"/>
      <c r="H495" s="1130"/>
      <c r="I495" s="1130"/>
      <c r="J495" s="1130"/>
      <c r="K495" s="1130"/>
      <c r="L495" s="1130"/>
      <c r="M495" s="1130"/>
      <c r="N495" s="1130"/>
      <c r="O495" s="1130"/>
      <c r="P495" s="1130"/>
      <c r="Q495" s="1130"/>
      <c r="R495" s="1130"/>
      <c r="S495" s="1130"/>
      <c r="T495" s="1130"/>
      <c r="U495" s="1130"/>
      <c r="V495" s="1130"/>
      <c r="W495" s="1130"/>
      <c r="X495" s="1130"/>
      <c r="Y495" s="1130"/>
      <c r="Z495" s="1130"/>
    </row>
    <row r="496" spans="1:26" ht="15.75" customHeight="1">
      <c r="A496" s="1130"/>
      <c r="B496" s="1130"/>
      <c r="C496" s="1130"/>
      <c r="D496" s="1130"/>
      <c r="E496" s="1130"/>
      <c r="F496" s="1130"/>
      <c r="G496" s="1130"/>
      <c r="H496" s="1130"/>
      <c r="I496" s="1130"/>
      <c r="J496" s="1130"/>
      <c r="K496" s="1130"/>
      <c r="L496" s="1130"/>
      <c r="M496" s="1130"/>
      <c r="N496" s="1130"/>
      <c r="O496" s="1130"/>
      <c r="P496" s="1130"/>
      <c r="Q496" s="1130"/>
      <c r="R496" s="1130"/>
      <c r="S496" s="1130"/>
      <c r="T496" s="1130"/>
      <c r="U496" s="1130"/>
      <c r="V496" s="1130"/>
      <c r="W496" s="1130"/>
      <c r="X496" s="1130"/>
      <c r="Y496" s="1130"/>
      <c r="Z496" s="1130"/>
    </row>
    <row r="497" spans="1:26" ht="15.75" customHeight="1">
      <c r="A497" s="1130"/>
      <c r="B497" s="1130"/>
      <c r="C497" s="1130"/>
      <c r="D497" s="1130"/>
      <c r="E497" s="1130"/>
      <c r="F497" s="1130"/>
      <c r="G497" s="1130"/>
      <c r="H497" s="1130"/>
      <c r="I497" s="1130"/>
      <c r="J497" s="1130"/>
      <c r="K497" s="1130"/>
      <c r="L497" s="1130"/>
      <c r="M497" s="1130"/>
      <c r="N497" s="1130"/>
      <c r="O497" s="1130"/>
      <c r="P497" s="1130"/>
      <c r="Q497" s="1130"/>
      <c r="R497" s="1130"/>
      <c r="S497" s="1130"/>
      <c r="T497" s="1130"/>
      <c r="U497" s="1130"/>
      <c r="V497" s="1130"/>
      <c r="W497" s="1130"/>
      <c r="X497" s="1130"/>
      <c r="Y497" s="1130"/>
      <c r="Z497" s="1130"/>
    </row>
    <row r="498" spans="1:26" ht="15.75" customHeight="1">
      <c r="A498" s="1130"/>
      <c r="B498" s="1130"/>
      <c r="C498" s="1130"/>
      <c r="D498" s="1130"/>
      <c r="E498" s="1130"/>
      <c r="F498" s="1130"/>
      <c r="G498" s="1130"/>
      <c r="H498" s="1130"/>
      <c r="I498" s="1130"/>
      <c r="J498" s="1130"/>
      <c r="K498" s="1130"/>
      <c r="L498" s="1130"/>
      <c r="M498" s="1130"/>
      <c r="N498" s="1130"/>
      <c r="O498" s="1130"/>
      <c r="P498" s="1130"/>
      <c r="Q498" s="1130"/>
      <c r="R498" s="1130"/>
      <c r="S498" s="1130"/>
      <c r="T498" s="1130"/>
      <c r="U498" s="1130"/>
      <c r="V498" s="1130"/>
      <c r="W498" s="1130"/>
      <c r="X498" s="1130"/>
      <c r="Y498" s="1130"/>
      <c r="Z498" s="1130"/>
    </row>
    <row r="499" spans="1:26" ht="15.75" customHeight="1">
      <c r="A499" s="1130"/>
      <c r="B499" s="1130"/>
      <c r="C499" s="1130"/>
      <c r="D499" s="1130"/>
      <c r="E499" s="1130"/>
      <c r="F499" s="1130"/>
      <c r="G499" s="1130"/>
      <c r="H499" s="1130"/>
      <c r="I499" s="1130"/>
      <c r="J499" s="1130"/>
      <c r="K499" s="1130"/>
      <c r="L499" s="1130"/>
      <c r="M499" s="1130"/>
      <c r="N499" s="1130"/>
      <c r="O499" s="1130"/>
      <c r="P499" s="1130"/>
      <c r="Q499" s="1130"/>
      <c r="R499" s="1130"/>
      <c r="S499" s="1130"/>
      <c r="T499" s="1130"/>
      <c r="U499" s="1130"/>
      <c r="V499" s="1130"/>
      <c r="W499" s="1130"/>
      <c r="X499" s="1130"/>
      <c r="Y499" s="1130"/>
      <c r="Z499" s="1130"/>
    </row>
    <row r="500" spans="1:26" ht="15.75" customHeight="1">
      <c r="A500" s="1130"/>
      <c r="B500" s="1130"/>
      <c r="C500" s="1130"/>
      <c r="D500" s="1130"/>
      <c r="E500" s="1130"/>
      <c r="F500" s="1130"/>
      <c r="G500" s="1130"/>
      <c r="H500" s="1130"/>
      <c r="I500" s="1130"/>
      <c r="J500" s="1130"/>
      <c r="K500" s="1130"/>
      <c r="L500" s="1130"/>
      <c r="M500" s="1130"/>
      <c r="N500" s="1130"/>
      <c r="O500" s="1130"/>
      <c r="P500" s="1130"/>
      <c r="Q500" s="1130"/>
      <c r="R500" s="1130"/>
      <c r="S500" s="1130"/>
      <c r="T500" s="1130"/>
      <c r="U500" s="1130"/>
      <c r="V500" s="1130"/>
      <c r="W500" s="1130"/>
      <c r="X500" s="1130"/>
      <c r="Y500" s="1130"/>
      <c r="Z500" s="1130"/>
    </row>
    <row r="501" spans="1:26" ht="15.75" customHeight="1">
      <c r="A501" s="1130"/>
      <c r="B501" s="1130"/>
      <c r="C501" s="1130"/>
      <c r="D501" s="1130"/>
      <c r="E501" s="1130"/>
      <c r="F501" s="1130"/>
      <c r="G501" s="1130"/>
      <c r="H501" s="1130"/>
      <c r="I501" s="1130"/>
      <c r="J501" s="1130"/>
      <c r="K501" s="1130"/>
      <c r="L501" s="1130"/>
      <c r="M501" s="1130"/>
      <c r="N501" s="1130"/>
      <c r="O501" s="1130"/>
      <c r="P501" s="1130"/>
      <c r="Q501" s="1130"/>
      <c r="R501" s="1130"/>
      <c r="S501" s="1130"/>
      <c r="T501" s="1130"/>
      <c r="U501" s="1130"/>
      <c r="V501" s="1130"/>
      <c r="W501" s="1130"/>
      <c r="X501" s="1130"/>
      <c r="Y501" s="1130"/>
      <c r="Z501" s="1130"/>
    </row>
    <row r="502" spans="1:26" ht="15.75" customHeight="1">
      <c r="A502" s="1130"/>
      <c r="B502" s="1130"/>
      <c r="C502" s="1130"/>
      <c r="D502" s="1130"/>
      <c r="E502" s="1130"/>
      <c r="F502" s="1130"/>
      <c r="G502" s="1130"/>
      <c r="H502" s="1130"/>
      <c r="I502" s="1130"/>
      <c r="J502" s="1130"/>
      <c r="K502" s="1130"/>
      <c r="L502" s="1130"/>
      <c r="M502" s="1130"/>
      <c r="N502" s="1130"/>
      <c r="O502" s="1130"/>
      <c r="P502" s="1130"/>
      <c r="Q502" s="1130"/>
      <c r="R502" s="1130"/>
      <c r="S502" s="1130"/>
      <c r="T502" s="1130"/>
      <c r="U502" s="1130"/>
      <c r="V502" s="1130"/>
      <c r="W502" s="1130"/>
      <c r="X502" s="1130"/>
      <c r="Y502" s="1130"/>
      <c r="Z502" s="1130"/>
    </row>
    <row r="503" spans="1:26" ht="15.75" customHeight="1">
      <c r="A503" s="1130"/>
      <c r="B503" s="1130"/>
      <c r="C503" s="1130"/>
      <c r="D503" s="1130"/>
      <c r="E503" s="1130"/>
      <c r="F503" s="1130"/>
      <c r="G503" s="1130"/>
      <c r="H503" s="1130"/>
      <c r="I503" s="1130"/>
      <c r="J503" s="1130"/>
      <c r="K503" s="1130"/>
      <c r="L503" s="1130"/>
      <c r="M503" s="1130"/>
      <c r="N503" s="1130"/>
      <c r="O503" s="1130"/>
      <c r="P503" s="1130"/>
      <c r="Q503" s="1130"/>
      <c r="R503" s="1130"/>
      <c r="S503" s="1130"/>
      <c r="T503" s="1130"/>
      <c r="U503" s="1130"/>
      <c r="V503" s="1130"/>
      <c r="W503" s="1130"/>
      <c r="X503" s="1130"/>
      <c r="Y503" s="1130"/>
      <c r="Z503" s="1130"/>
    </row>
    <row r="504" spans="1:26" ht="15.75" customHeight="1">
      <c r="A504" s="1130"/>
      <c r="B504" s="1130"/>
      <c r="C504" s="1130"/>
      <c r="D504" s="1130"/>
      <c r="E504" s="1130"/>
      <c r="F504" s="1130"/>
      <c r="G504" s="1130"/>
      <c r="H504" s="1130"/>
      <c r="I504" s="1130"/>
      <c r="J504" s="1130"/>
      <c r="K504" s="1130"/>
      <c r="L504" s="1130"/>
      <c r="M504" s="1130"/>
      <c r="N504" s="1130"/>
      <c r="O504" s="1130"/>
      <c r="P504" s="1130"/>
      <c r="Q504" s="1130"/>
      <c r="R504" s="1130"/>
      <c r="S504" s="1130"/>
      <c r="T504" s="1130"/>
      <c r="U504" s="1130"/>
      <c r="V504" s="1130"/>
      <c r="W504" s="1130"/>
      <c r="X504" s="1130"/>
      <c r="Y504" s="1130"/>
      <c r="Z504" s="1130"/>
    </row>
    <row r="505" spans="1:26" ht="15.75" customHeight="1">
      <c r="A505" s="1130"/>
      <c r="B505" s="1130"/>
      <c r="C505" s="1130"/>
      <c r="D505" s="1130"/>
      <c r="E505" s="1130"/>
      <c r="F505" s="1130"/>
      <c r="G505" s="1130"/>
      <c r="H505" s="1130"/>
      <c r="I505" s="1130"/>
      <c r="J505" s="1130"/>
      <c r="K505" s="1130"/>
      <c r="L505" s="1130"/>
      <c r="M505" s="1130"/>
      <c r="N505" s="1130"/>
      <c r="O505" s="1130"/>
      <c r="P505" s="1130"/>
      <c r="Q505" s="1130"/>
      <c r="R505" s="1130"/>
      <c r="S505" s="1130"/>
      <c r="T505" s="1130"/>
      <c r="U505" s="1130"/>
      <c r="V505" s="1130"/>
      <c r="W505" s="1130"/>
      <c r="X505" s="1130"/>
      <c r="Y505" s="1130"/>
      <c r="Z505" s="1130"/>
    </row>
    <row r="506" spans="1:26" ht="15.75" customHeight="1">
      <c r="A506" s="1130"/>
      <c r="B506" s="1130"/>
      <c r="C506" s="1130"/>
      <c r="D506" s="1130"/>
      <c r="E506" s="1130"/>
      <c r="F506" s="1130"/>
      <c r="G506" s="1130"/>
      <c r="H506" s="1130"/>
      <c r="I506" s="1130"/>
      <c r="J506" s="1130"/>
      <c r="K506" s="1130"/>
      <c r="L506" s="1130"/>
      <c r="M506" s="1130"/>
      <c r="N506" s="1130"/>
      <c r="O506" s="1130"/>
      <c r="P506" s="1130"/>
      <c r="Q506" s="1130"/>
      <c r="R506" s="1130"/>
      <c r="S506" s="1130"/>
      <c r="T506" s="1130"/>
      <c r="U506" s="1130"/>
      <c r="V506" s="1130"/>
      <c r="W506" s="1130"/>
      <c r="X506" s="1130"/>
      <c r="Y506" s="1130"/>
      <c r="Z506" s="1130"/>
    </row>
    <row r="507" spans="1:26" ht="15.75" customHeight="1">
      <c r="A507" s="1130"/>
      <c r="B507" s="1130"/>
      <c r="C507" s="1130"/>
      <c r="D507" s="1130"/>
      <c r="E507" s="1130"/>
      <c r="F507" s="1130"/>
      <c r="G507" s="1130"/>
      <c r="H507" s="1130"/>
      <c r="I507" s="1130"/>
      <c r="J507" s="1130"/>
      <c r="K507" s="1130"/>
      <c r="L507" s="1130"/>
      <c r="M507" s="1130"/>
      <c r="N507" s="1130"/>
      <c r="O507" s="1130"/>
      <c r="P507" s="1130"/>
      <c r="Q507" s="1130"/>
      <c r="R507" s="1130"/>
      <c r="S507" s="1130"/>
      <c r="T507" s="1130"/>
      <c r="U507" s="1130"/>
      <c r="V507" s="1130"/>
      <c r="W507" s="1130"/>
      <c r="X507" s="1130"/>
      <c r="Y507" s="1130"/>
      <c r="Z507" s="1130"/>
    </row>
    <row r="508" spans="1:26" ht="15.75" customHeight="1">
      <c r="A508" s="1130"/>
      <c r="B508" s="1130"/>
      <c r="C508" s="1130"/>
      <c r="D508" s="1130"/>
      <c r="E508" s="1130"/>
      <c r="F508" s="1130"/>
      <c r="G508" s="1130"/>
      <c r="H508" s="1130"/>
      <c r="I508" s="1130"/>
      <c r="J508" s="1130"/>
      <c r="K508" s="1130"/>
      <c r="L508" s="1130"/>
      <c r="M508" s="1130"/>
      <c r="N508" s="1130"/>
      <c r="O508" s="1130"/>
      <c r="P508" s="1130"/>
      <c r="Q508" s="1130"/>
      <c r="R508" s="1130"/>
      <c r="S508" s="1130"/>
      <c r="T508" s="1130"/>
      <c r="U508" s="1130"/>
      <c r="V508" s="1130"/>
      <c r="W508" s="1130"/>
      <c r="X508" s="1130"/>
      <c r="Y508" s="1130"/>
      <c r="Z508" s="1130"/>
    </row>
    <row r="509" spans="1:26" ht="15.75" customHeight="1">
      <c r="A509" s="1130"/>
      <c r="B509" s="1130"/>
      <c r="C509" s="1130"/>
      <c r="D509" s="1130"/>
      <c r="E509" s="1130"/>
      <c r="F509" s="1130"/>
      <c r="G509" s="1130"/>
      <c r="H509" s="1130"/>
      <c r="I509" s="1130"/>
      <c r="J509" s="1130"/>
      <c r="K509" s="1130"/>
      <c r="L509" s="1130"/>
      <c r="M509" s="1130"/>
      <c r="N509" s="1130"/>
      <c r="O509" s="1130"/>
      <c r="P509" s="1130"/>
      <c r="Q509" s="1130"/>
      <c r="R509" s="1130"/>
      <c r="S509" s="1130"/>
      <c r="T509" s="1130"/>
      <c r="U509" s="1130"/>
      <c r="V509" s="1130"/>
      <c r="W509" s="1130"/>
      <c r="X509" s="1130"/>
      <c r="Y509" s="1130"/>
      <c r="Z509" s="1130"/>
    </row>
    <row r="510" spans="1:26" ht="15.75" customHeight="1">
      <c r="A510" s="1130"/>
      <c r="B510" s="1130"/>
      <c r="C510" s="1130"/>
      <c r="D510" s="1130"/>
      <c r="E510" s="1130"/>
      <c r="F510" s="1130"/>
      <c r="G510" s="1130"/>
      <c r="H510" s="1130"/>
      <c r="I510" s="1130"/>
      <c r="J510" s="1130"/>
      <c r="K510" s="1130"/>
      <c r="L510" s="1130"/>
      <c r="M510" s="1130"/>
      <c r="N510" s="1130"/>
      <c r="O510" s="1130"/>
      <c r="P510" s="1130"/>
      <c r="Q510" s="1130"/>
      <c r="R510" s="1130"/>
      <c r="S510" s="1130"/>
      <c r="T510" s="1130"/>
      <c r="U510" s="1130"/>
      <c r="V510" s="1130"/>
      <c r="W510" s="1130"/>
      <c r="X510" s="1130"/>
      <c r="Y510" s="1130"/>
      <c r="Z510" s="1130"/>
    </row>
    <row r="511" spans="1:26" ht="15.75" customHeight="1">
      <c r="A511" s="1130"/>
      <c r="B511" s="1130"/>
      <c r="C511" s="1130"/>
      <c r="D511" s="1130"/>
      <c r="E511" s="1130"/>
      <c r="F511" s="1130"/>
      <c r="G511" s="1130"/>
      <c r="H511" s="1130"/>
      <c r="I511" s="1130"/>
      <c r="J511" s="1130"/>
      <c r="K511" s="1130"/>
      <c r="L511" s="1130"/>
      <c r="M511" s="1130"/>
      <c r="N511" s="1130"/>
      <c r="O511" s="1130"/>
      <c r="P511" s="1130"/>
      <c r="Q511" s="1130"/>
      <c r="R511" s="1130"/>
      <c r="S511" s="1130"/>
      <c r="T511" s="1130"/>
      <c r="U511" s="1130"/>
      <c r="V511" s="1130"/>
      <c r="W511" s="1130"/>
      <c r="X511" s="1130"/>
      <c r="Y511" s="1130"/>
      <c r="Z511" s="1130"/>
    </row>
    <row r="512" spans="1:26" ht="15.75" customHeight="1">
      <c r="A512" s="1130"/>
      <c r="B512" s="1130"/>
      <c r="C512" s="1130"/>
      <c r="D512" s="1130"/>
      <c r="E512" s="1130"/>
      <c r="F512" s="1130"/>
      <c r="G512" s="1130"/>
      <c r="H512" s="1130"/>
      <c r="I512" s="1130"/>
      <c r="J512" s="1130"/>
      <c r="K512" s="1130"/>
      <c r="L512" s="1130"/>
      <c r="M512" s="1130"/>
      <c r="N512" s="1130"/>
      <c r="O512" s="1130"/>
      <c r="P512" s="1130"/>
      <c r="Q512" s="1130"/>
      <c r="R512" s="1130"/>
      <c r="S512" s="1130"/>
      <c r="T512" s="1130"/>
      <c r="U512" s="1130"/>
      <c r="V512" s="1130"/>
      <c r="W512" s="1130"/>
      <c r="X512" s="1130"/>
      <c r="Y512" s="1130"/>
      <c r="Z512" s="1130"/>
    </row>
    <row r="513" spans="1:26" ht="15.75" customHeight="1">
      <c r="A513" s="1130"/>
      <c r="B513" s="1130"/>
      <c r="C513" s="1130"/>
      <c r="D513" s="1130"/>
      <c r="E513" s="1130"/>
      <c r="F513" s="1130"/>
      <c r="G513" s="1130"/>
      <c r="H513" s="1130"/>
      <c r="I513" s="1130"/>
      <c r="J513" s="1130"/>
      <c r="K513" s="1130"/>
      <c r="L513" s="1130"/>
      <c r="M513" s="1130"/>
      <c r="N513" s="1130"/>
      <c r="O513" s="1130"/>
      <c r="P513" s="1130"/>
      <c r="Q513" s="1130"/>
      <c r="R513" s="1130"/>
      <c r="S513" s="1130"/>
      <c r="T513" s="1130"/>
      <c r="U513" s="1130"/>
      <c r="V513" s="1130"/>
      <c r="W513" s="1130"/>
      <c r="X513" s="1130"/>
      <c r="Y513" s="1130"/>
      <c r="Z513" s="1130"/>
    </row>
    <row r="514" spans="1:26" ht="15.75" customHeight="1">
      <c r="A514" s="1130"/>
      <c r="B514" s="1130"/>
      <c r="C514" s="1130"/>
      <c r="D514" s="1130"/>
      <c r="E514" s="1130"/>
      <c r="F514" s="1130"/>
      <c r="G514" s="1130"/>
      <c r="H514" s="1130"/>
      <c r="I514" s="1130"/>
      <c r="J514" s="1130"/>
      <c r="K514" s="1130"/>
      <c r="L514" s="1130"/>
      <c r="M514" s="1130"/>
      <c r="N514" s="1130"/>
      <c r="O514" s="1130"/>
      <c r="P514" s="1130"/>
      <c r="Q514" s="1130"/>
      <c r="R514" s="1130"/>
      <c r="S514" s="1130"/>
      <c r="T514" s="1130"/>
      <c r="U514" s="1130"/>
      <c r="V514" s="1130"/>
      <c r="W514" s="1130"/>
      <c r="X514" s="1130"/>
      <c r="Y514" s="1130"/>
      <c r="Z514" s="1130"/>
    </row>
    <row r="515" spans="1:26" ht="15.75" customHeight="1">
      <c r="A515" s="1130"/>
      <c r="B515" s="1130"/>
      <c r="C515" s="1130"/>
      <c r="D515" s="1130"/>
      <c r="E515" s="1130"/>
      <c r="F515" s="1130"/>
      <c r="G515" s="1130"/>
      <c r="H515" s="1130"/>
      <c r="I515" s="1130"/>
      <c r="J515" s="1130"/>
      <c r="K515" s="1130"/>
      <c r="L515" s="1130"/>
      <c r="M515" s="1130"/>
      <c r="N515" s="1130"/>
      <c r="O515" s="1130"/>
      <c r="P515" s="1130"/>
      <c r="Q515" s="1130"/>
      <c r="R515" s="1130"/>
      <c r="S515" s="1130"/>
      <c r="T515" s="1130"/>
      <c r="U515" s="1130"/>
      <c r="V515" s="1130"/>
      <c r="W515" s="1130"/>
      <c r="X515" s="1130"/>
      <c r="Y515" s="1130"/>
      <c r="Z515" s="1130"/>
    </row>
    <row r="516" spans="1:26" ht="15.75" customHeight="1">
      <c r="A516" s="1130"/>
      <c r="B516" s="1130"/>
      <c r="C516" s="1130"/>
      <c r="D516" s="1130"/>
      <c r="E516" s="1130"/>
      <c r="F516" s="1130"/>
      <c r="G516" s="1130"/>
      <c r="H516" s="1130"/>
      <c r="I516" s="1130"/>
      <c r="J516" s="1130"/>
      <c r="K516" s="1130"/>
      <c r="L516" s="1130"/>
      <c r="M516" s="1130"/>
      <c r="N516" s="1130"/>
      <c r="O516" s="1130"/>
      <c r="P516" s="1130"/>
      <c r="Q516" s="1130"/>
      <c r="R516" s="1130"/>
      <c r="S516" s="1130"/>
      <c r="T516" s="1130"/>
      <c r="U516" s="1130"/>
      <c r="V516" s="1130"/>
      <c r="W516" s="1130"/>
      <c r="X516" s="1130"/>
      <c r="Y516" s="1130"/>
      <c r="Z516" s="1130"/>
    </row>
    <row r="517" spans="1:26" ht="15.75" customHeight="1">
      <c r="A517" s="1130"/>
      <c r="B517" s="1130"/>
      <c r="C517" s="1130"/>
      <c r="D517" s="1130"/>
      <c r="E517" s="1130"/>
      <c r="F517" s="1130"/>
      <c r="G517" s="1130"/>
      <c r="H517" s="1130"/>
      <c r="I517" s="1130"/>
      <c r="J517" s="1130"/>
      <c r="K517" s="1130"/>
      <c r="L517" s="1130"/>
      <c r="M517" s="1130"/>
      <c r="N517" s="1130"/>
      <c r="O517" s="1130"/>
      <c r="P517" s="1130"/>
      <c r="Q517" s="1130"/>
      <c r="R517" s="1130"/>
      <c r="S517" s="1130"/>
      <c r="T517" s="1130"/>
      <c r="U517" s="1130"/>
      <c r="V517" s="1130"/>
      <c r="W517" s="1130"/>
      <c r="X517" s="1130"/>
      <c r="Y517" s="1130"/>
      <c r="Z517" s="1130"/>
    </row>
    <row r="518" spans="1:26" ht="15.75" customHeight="1">
      <c r="A518" s="1130"/>
      <c r="B518" s="1130"/>
      <c r="C518" s="1130"/>
      <c r="D518" s="1130"/>
      <c r="E518" s="1130"/>
      <c r="F518" s="1130"/>
      <c r="G518" s="1130"/>
      <c r="H518" s="1130"/>
      <c r="I518" s="1130"/>
      <c r="J518" s="1130"/>
      <c r="K518" s="1130"/>
      <c r="L518" s="1130"/>
      <c r="M518" s="1130"/>
      <c r="N518" s="1130"/>
      <c r="O518" s="1130"/>
      <c r="P518" s="1130"/>
      <c r="Q518" s="1130"/>
      <c r="R518" s="1130"/>
      <c r="S518" s="1130"/>
      <c r="T518" s="1130"/>
      <c r="U518" s="1130"/>
      <c r="V518" s="1130"/>
      <c r="W518" s="1130"/>
      <c r="X518" s="1130"/>
      <c r="Y518" s="1130"/>
      <c r="Z518" s="1130"/>
    </row>
    <row r="519" spans="1:26" ht="15.75" customHeight="1">
      <c r="A519" s="1130"/>
      <c r="B519" s="1130"/>
      <c r="C519" s="1130"/>
      <c r="D519" s="1130"/>
      <c r="E519" s="1130"/>
      <c r="F519" s="1130"/>
      <c r="G519" s="1130"/>
      <c r="H519" s="1130"/>
      <c r="I519" s="1130"/>
      <c r="J519" s="1130"/>
      <c r="K519" s="1130"/>
      <c r="L519" s="1130"/>
      <c r="M519" s="1130"/>
      <c r="N519" s="1130"/>
      <c r="O519" s="1130"/>
      <c r="P519" s="1130"/>
      <c r="Q519" s="1130"/>
      <c r="R519" s="1130"/>
      <c r="S519" s="1130"/>
      <c r="T519" s="1130"/>
      <c r="U519" s="1130"/>
      <c r="V519" s="1130"/>
      <c r="W519" s="1130"/>
      <c r="X519" s="1130"/>
      <c r="Y519" s="1130"/>
      <c r="Z519" s="1130"/>
    </row>
    <row r="520" spans="1:26" ht="15.75" customHeight="1">
      <c r="A520" s="1130"/>
      <c r="B520" s="1130"/>
      <c r="C520" s="1130"/>
      <c r="D520" s="1130"/>
      <c r="E520" s="1130"/>
      <c r="F520" s="1130"/>
      <c r="G520" s="1130"/>
      <c r="H520" s="1130"/>
      <c r="I520" s="1130"/>
      <c r="J520" s="1130"/>
      <c r="K520" s="1130"/>
      <c r="L520" s="1130"/>
      <c r="M520" s="1130"/>
      <c r="N520" s="1130"/>
      <c r="O520" s="1130"/>
      <c r="P520" s="1130"/>
      <c r="Q520" s="1130"/>
      <c r="R520" s="1130"/>
      <c r="S520" s="1130"/>
      <c r="T520" s="1130"/>
      <c r="U520" s="1130"/>
      <c r="V520" s="1130"/>
      <c r="W520" s="1130"/>
      <c r="X520" s="1130"/>
      <c r="Y520" s="1130"/>
      <c r="Z520" s="1130"/>
    </row>
    <row r="521" spans="1:26" ht="15.75" customHeight="1">
      <c r="A521" s="1130"/>
      <c r="B521" s="1130"/>
      <c r="C521" s="1130"/>
      <c r="D521" s="1130"/>
      <c r="E521" s="1130"/>
      <c r="F521" s="1130"/>
      <c r="G521" s="1130"/>
      <c r="H521" s="1130"/>
      <c r="I521" s="1130"/>
      <c r="J521" s="1130"/>
      <c r="K521" s="1130"/>
      <c r="L521" s="1130"/>
      <c r="M521" s="1130"/>
      <c r="N521" s="1130"/>
      <c r="O521" s="1130"/>
      <c r="P521" s="1130"/>
      <c r="Q521" s="1130"/>
      <c r="R521" s="1130"/>
      <c r="S521" s="1130"/>
      <c r="T521" s="1130"/>
      <c r="U521" s="1130"/>
      <c r="V521" s="1130"/>
      <c r="W521" s="1130"/>
      <c r="X521" s="1130"/>
      <c r="Y521" s="1130"/>
      <c r="Z521" s="1130"/>
    </row>
    <row r="522" spans="1:26" ht="15.75" customHeight="1">
      <c r="A522" s="1130"/>
      <c r="B522" s="1130"/>
      <c r="C522" s="1130"/>
      <c r="D522" s="1130"/>
      <c r="E522" s="1130"/>
      <c r="F522" s="1130"/>
      <c r="G522" s="1130"/>
      <c r="H522" s="1130"/>
      <c r="I522" s="1130"/>
      <c r="J522" s="1130"/>
      <c r="K522" s="1130"/>
      <c r="L522" s="1130"/>
      <c r="M522" s="1130"/>
      <c r="N522" s="1130"/>
      <c r="O522" s="1130"/>
      <c r="P522" s="1130"/>
      <c r="Q522" s="1130"/>
      <c r="R522" s="1130"/>
      <c r="S522" s="1130"/>
      <c r="T522" s="1130"/>
      <c r="U522" s="1130"/>
      <c r="V522" s="1130"/>
      <c r="W522" s="1130"/>
      <c r="X522" s="1130"/>
      <c r="Y522" s="1130"/>
      <c r="Z522" s="1130"/>
    </row>
    <row r="523" spans="1:26" ht="15.75" customHeight="1">
      <c r="A523" s="1130"/>
      <c r="B523" s="1130"/>
      <c r="C523" s="1130"/>
      <c r="D523" s="1130"/>
      <c r="E523" s="1130"/>
      <c r="F523" s="1130"/>
      <c r="G523" s="1130"/>
      <c r="H523" s="1130"/>
      <c r="I523" s="1130"/>
      <c r="J523" s="1130"/>
      <c r="K523" s="1130"/>
      <c r="L523" s="1130"/>
      <c r="M523" s="1130"/>
      <c r="N523" s="1130"/>
      <c r="O523" s="1130"/>
      <c r="P523" s="1130"/>
      <c r="Q523" s="1130"/>
      <c r="R523" s="1130"/>
      <c r="S523" s="1130"/>
      <c r="T523" s="1130"/>
      <c r="U523" s="1130"/>
      <c r="V523" s="1130"/>
      <c r="W523" s="1130"/>
      <c r="X523" s="1130"/>
      <c r="Y523" s="1130"/>
      <c r="Z523" s="1130"/>
    </row>
    <row r="524" spans="1:26" ht="15.75" customHeight="1">
      <c r="A524" s="1130"/>
      <c r="B524" s="1130"/>
      <c r="C524" s="1130"/>
      <c r="D524" s="1130"/>
      <c r="E524" s="1130"/>
      <c r="F524" s="1130"/>
      <c r="G524" s="1130"/>
      <c r="H524" s="1130"/>
      <c r="I524" s="1130"/>
      <c r="J524" s="1130"/>
      <c r="K524" s="1130"/>
      <c r="L524" s="1130"/>
      <c r="M524" s="1130"/>
      <c r="N524" s="1130"/>
      <c r="O524" s="1130"/>
      <c r="P524" s="1130"/>
      <c r="Q524" s="1130"/>
      <c r="R524" s="1130"/>
      <c r="S524" s="1130"/>
      <c r="T524" s="1130"/>
      <c r="U524" s="1130"/>
      <c r="V524" s="1130"/>
      <c r="W524" s="1130"/>
      <c r="X524" s="1130"/>
      <c r="Y524" s="1130"/>
      <c r="Z524" s="1130"/>
    </row>
    <row r="525" spans="1:26" ht="15.75" customHeight="1">
      <c r="A525" s="1130"/>
      <c r="B525" s="1130"/>
      <c r="C525" s="1130"/>
      <c r="D525" s="1130"/>
      <c r="E525" s="1130"/>
      <c r="F525" s="1130"/>
      <c r="G525" s="1130"/>
      <c r="H525" s="1130"/>
      <c r="I525" s="1130"/>
      <c r="J525" s="1130"/>
      <c r="K525" s="1130"/>
      <c r="L525" s="1130"/>
      <c r="M525" s="1130"/>
      <c r="N525" s="1130"/>
      <c r="O525" s="1130"/>
      <c r="P525" s="1130"/>
      <c r="Q525" s="1130"/>
      <c r="R525" s="1130"/>
      <c r="S525" s="1130"/>
      <c r="T525" s="1130"/>
      <c r="U525" s="1130"/>
      <c r="V525" s="1130"/>
      <c r="W525" s="1130"/>
      <c r="X525" s="1130"/>
      <c r="Y525" s="1130"/>
      <c r="Z525" s="1130"/>
    </row>
    <row r="526" spans="1:26" ht="15.75" customHeight="1">
      <c r="A526" s="1130"/>
      <c r="B526" s="1130"/>
      <c r="C526" s="1130"/>
      <c r="D526" s="1130"/>
      <c r="E526" s="1130"/>
      <c r="F526" s="1130"/>
      <c r="G526" s="1130"/>
      <c r="H526" s="1130"/>
      <c r="I526" s="1130"/>
      <c r="J526" s="1130"/>
      <c r="K526" s="1130"/>
      <c r="L526" s="1130"/>
      <c r="M526" s="1130"/>
      <c r="N526" s="1130"/>
      <c r="O526" s="1130"/>
      <c r="P526" s="1130"/>
      <c r="Q526" s="1130"/>
      <c r="R526" s="1130"/>
      <c r="S526" s="1130"/>
      <c r="T526" s="1130"/>
      <c r="U526" s="1130"/>
      <c r="V526" s="1130"/>
      <c r="W526" s="1130"/>
      <c r="X526" s="1130"/>
      <c r="Y526" s="1130"/>
      <c r="Z526" s="1130"/>
    </row>
    <row r="527" spans="1:26" ht="15.75" customHeight="1">
      <c r="A527" s="1130"/>
      <c r="B527" s="1130"/>
      <c r="C527" s="1130"/>
      <c r="D527" s="1130"/>
      <c r="E527" s="1130"/>
      <c r="F527" s="1130"/>
      <c r="G527" s="1130"/>
      <c r="H527" s="1130"/>
      <c r="I527" s="1130"/>
      <c r="J527" s="1130"/>
      <c r="K527" s="1130"/>
      <c r="L527" s="1130"/>
      <c r="M527" s="1130"/>
      <c r="N527" s="1130"/>
      <c r="O527" s="1130"/>
      <c r="P527" s="1130"/>
      <c r="Q527" s="1130"/>
      <c r="R527" s="1130"/>
      <c r="S527" s="1130"/>
      <c r="T527" s="1130"/>
      <c r="U527" s="1130"/>
      <c r="V527" s="1130"/>
      <c r="W527" s="1130"/>
      <c r="X527" s="1130"/>
      <c r="Y527" s="1130"/>
      <c r="Z527" s="1130"/>
    </row>
    <row r="528" spans="1:26" ht="15.75" customHeight="1">
      <c r="A528" s="1130"/>
      <c r="B528" s="1130"/>
      <c r="C528" s="1130"/>
      <c r="D528" s="1130"/>
      <c r="E528" s="1130"/>
      <c r="F528" s="1130"/>
      <c r="G528" s="1130"/>
      <c r="H528" s="1130"/>
      <c r="I528" s="1130"/>
      <c r="J528" s="1130"/>
      <c r="K528" s="1130"/>
      <c r="L528" s="1130"/>
      <c r="M528" s="1130"/>
      <c r="N528" s="1130"/>
      <c r="O528" s="1130"/>
      <c r="P528" s="1130"/>
      <c r="Q528" s="1130"/>
      <c r="R528" s="1130"/>
      <c r="S528" s="1130"/>
      <c r="T528" s="1130"/>
      <c r="U528" s="1130"/>
      <c r="V528" s="1130"/>
      <c r="W528" s="1130"/>
      <c r="X528" s="1130"/>
      <c r="Y528" s="1130"/>
      <c r="Z528" s="1130"/>
    </row>
    <row r="529" spans="1:26" ht="15.75" customHeight="1">
      <c r="A529" s="1130"/>
      <c r="B529" s="1130"/>
      <c r="C529" s="1130"/>
      <c r="D529" s="1130"/>
      <c r="E529" s="1130"/>
      <c r="F529" s="1130"/>
      <c r="G529" s="1130"/>
      <c r="H529" s="1130"/>
      <c r="I529" s="1130"/>
      <c r="J529" s="1130"/>
      <c r="K529" s="1130"/>
      <c r="L529" s="1130"/>
      <c r="M529" s="1130"/>
      <c r="N529" s="1130"/>
      <c r="O529" s="1130"/>
      <c r="P529" s="1130"/>
      <c r="Q529" s="1130"/>
      <c r="R529" s="1130"/>
      <c r="S529" s="1130"/>
      <c r="T529" s="1130"/>
      <c r="U529" s="1130"/>
      <c r="V529" s="1130"/>
      <c r="W529" s="1130"/>
      <c r="X529" s="1130"/>
      <c r="Y529" s="1130"/>
      <c r="Z529" s="1130"/>
    </row>
    <row r="530" spans="1:26" ht="15.75" customHeight="1">
      <c r="A530" s="1130"/>
      <c r="B530" s="1130"/>
      <c r="C530" s="1130"/>
      <c r="D530" s="1130"/>
      <c r="E530" s="1130"/>
      <c r="F530" s="1130"/>
      <c r="G530" s="1130"/>
      <c r="H530" s="1130"/>
      <c r="I530" s="1130"/>
      <c r="J530" s="1130"/>
      <c r="K530" s="1130"/>
      <c r="L530" s="1130"/>
      <c r="M530" s="1130"/>
      <c r="N530" s="1130"/>
      <c r="O530" s="1130"/>
      <c r="P530" s="1130"/>
      <c r="Q530" s="1130"/>
      <c r="R530" s="1130"/>
      <c r="S530" s="1130"/>
      <c r="T530" s="1130"/>
      <c r="U530" s="1130"/>
      <c r="V530" s="1130"/>
      <c r="W530" s="1130"/>
      <c r="X530" s="1130"/>
      <c r="Y530" s="1130"/>
      <c r="Z530" s="1130"/>
    </row>
    <row r="531" spans="1:26" ht="15.75" customHeight="1">
      <c r="A531" s="1130"/>
      <c r="B531" s="1130"/>
      <c r="C531" s="1130"/>
      <c r="D531" s="1130"/>
      <c r="E531" s="1130"/>
      <c r="F531" s="1130"/>
      <c r="G531" s="1130"/>
      <c r="H531" s="1130"/>
      <c r="I531" s="1130"/>
      <c r="J531" s="1130"/>
      <c r="K531" s="1130"/>
      <c r="L531" s="1130"/>
      <c r="M531" s="1130"/>
      <c r="N531" s="1130"/>
      <c r="O531" s="1130"/>
      <c r="P531" s="1130"/>
      <c r="Q531" s="1130"/>
      <c r="R531" s="1130"/>
      <c r="S531" s="1130"/>
      <c r="T531" s="1130"/>
      <c r="U531" s="1130"/>
      <c r="V531" s="1130"/>
      <c r="W531" s="1130"/>
      <c r="X531" s="1130"/>
      <c r="Y531" s="1130"/>
      <c r="Z531" s="1130"/>
    </row>
    <row r="532" spans="1:26" ht="15.75" customHeight="1">
      <c r="A532" s="1130"/>
      <c r="B532" s="1130"/>
      <c r="C532" s="1130"/>
      <c r="D532" s="1130"/>
      <c r="E532" s="1130"/>
      <c r="F532" s="1130"/>
      <c r="G532" s="1130"/>
      <c r="H532" s="1130"/>
      <c r="I532" s="1130"/>
      <c r="J532" s="1130"/>
      <c r="K532" s="1130"/>
      <c r="L532" s="1130"/>
      <c r="M532" s="1130"/>
      <c r="N532" s="1130"/>
      <c r="O532" s="1130"/>
      <c r="P532" s="1130"/>
      <c r="Q532" s="1130"/>
      <c r="R532" s="1130"/>
      <c r="S532" s="1130"/>
      <c r="T532" s="1130"/>
      <c r="U532" s="1130"/>
      <c r="V532" s="1130"/>
      <c r="W532" s="1130"/>
      <c r="X532" s="1130"/>
      <c r="Y532" s="1130"/>
      <c r="Z532" s="1130"/>
    </row>
    <row r="533" spans="1:26" ht="15.75" customHeight="1">
      <c r="A533" s="1130"/>
      <c r="B533" s="1130"/>
      <c r="C533" s="1130"/>
      <c r="D533" s="1130"/>
      <c r="E533" s="1130"/>
      <c r="F533" s="1130"/>
      <c r="G533" s="1130"/>
      <c r="H533" s="1130"/>
      <c r="I533" s="1130"/>
      <c r="J533" s="1130"/>
      <c r="K533" s="1130"/>
      <c r="L533" s="1130"/>
      <c r="M533" s="1130"/>
      <c r="N533" s="1130"/>
      <c r="O533" s="1130"/>
      <c r="P533" s="1130"/>
      <c r="Q533" s="1130"/>
      <c r="R533" s="1130"/>
      <c r="S533" s="1130"/>
      <c r="T533" s="1130"/>
      <c r="U533" s="1130"/>
      <c r="V533" s="1130"/>
      <c r="W533" s="1130"/>
      <c r="X533" s="1130"/>
      <c r="Y533" s="1130"/>
      <c r="Z533" s="1130"/>
    </row>
    <row r="534" spans="1:26" ht="15.75" customHeight="1">
      <c r="A534" s="1130"/>
      <c r="B534" s="1130"/>
      <c r="C534" s="1130"/>
      <c r="D534" s="1130"/>
      <c r="E534" s="1130"/>
      <c r="F534" s="1130"/>
      <c r="G534" s="1130"/>
      <c r="H534" s="1130"/>
      <c r="I534" s="1130"/>
      <c r="J534" s="1130"/>
      <c r="K534" s="1130"/>
      <c r="L534" s="1130"/>
      <c r="M534" s="1130"/>
      <c r="N534" s="1130"/>
      <c r="O534" s="1130"/>
      <c r="P534" s="1130"/>
      <c r="Q534" s="1130"/>
      <c r="R534" s="1130"/>
      <c r="S534" s="1130"/>
      <c r="T534" s="1130"/>
      <c r="U534" s="1130"/>
      <c r="V534" s="1130"/>
      <c r="W534" s="1130"/>
      <c r="X534" s="1130"/>
      <c r="Y534" s="1130"/>
      <c r="Z534" s="1130"/>
    </row>
    <row r="535" spans="1:26" ht="15.75" customHeight="1">
      <c r="A535" s="1130"/>
      <c r="B535" s="1130"/>
      <c r="C535" s="1130"/>
      <c r="D535" s="1130"/>
      <c r="E535" s="1130"/>
      <c r="F535" s="1130"/>
      <c r="G535" s="1130"/>
      <c r="H535" s="1130"/>
      <c r="I535" s="1130"/>
      <c r="J535" s="1130"/>
      <c r="K535" s="1130"/>
      <c r="L535" s="1130"/>
      <c r="M535" s="1130"/>
      <c r="N535" s="1130"/>
      <c r="O535" s="1130"/>
      <c r="P535" s="1130"/>
      <c r="Q535" s="1130"/>
      <c r="R535" s="1130"/>
      <c r="S535" s="1130"/>
      <c r="T535" s="1130"/>
      <c r="U535" s="1130"/>
      <c r="V535" s="1130"/>
      <c r="W535" s="1130"/>
      <c r="X535" s="1130"/>
      <c r="Y535" s="1130"/>
      <c r="Z535" s="1130"/>
    </row>
    <row r="536" spans="1:26" ht="15.75" customHeight="1">
      <c r="A536" s="1130"/>
      <c r="B536" s="1130"/>
      <c r="C536" s="1130"/>
      <c r="D536" s="1130"/>
      <c r="E536" s="1130"/>
      <c r="F536" s="1130"/>
      <c r="G536" s="1130"/>
      <c r="H536" s="1130"/>
      <c r="I536" s="1130"/>
      <c r="J536" s="1130"/>
      <c r="K536" s="1130"/>
      <c r="L536" s="1130"/>
      <c r="M536" s="1130"/>
      <c r="N536" s="1130"/>
      <c r="O536" s="1130"/>
      <c r="P536" s="1130"/>
      <c r="Q536" s="1130"/>
      <c r="R536" s="1130"/>
      <c r="S536" s="1130"/>
      <c r="T536" s="1130"/>
      <c r="U536" s="1130"/>
      <c r="V536" s="1130"/>
      <c r="W536" s="1130"/>
      <c r="X536" s="1130"/>
      <c r="Y536" s="1130"/>
      <c r="Z536" s="1130"/>
    </row>
    <row r="537" spans="1:26" ht="15.75" customHeight="1">
      <c r="A537" s="1130"/>
      <c r="B537" s="1130"/>
      <c r="C537" s="1130"/>
      <c r="D537" s="1130"/>
      <c r="E537" s="1130"/>
      <c r="F537" s="1130"/>
      <c r="G537" s="1130"/>
      <c r="H537" s="1130"/>
      <c r="I537" s="1130"/>
      <c r="J537" s="1130"/>
      <c r="K537" s="1130"/>
      <c r="L537" s="1130"/>
      <c r="M537" s="1130"/>
      <c r="N537" s="1130"/>
      <c r="O537" s="1130"/>
      <c r="P537" s="1130"/>
      <c r="Q537" s="1130"/>
      <c r="R537" s="1130"/>
      <c r="S537" s="1130"/>
      <c r="T537" s="1130"/>
      <c r="U537" s="1130"/>
      <c r="V537" s="1130"/>
      <c r="W537" s="1130"/>
      <c r="X537" s="1130"/>
      <c r="Y537" s="1130"/>
      <c r="Z537" s="1130"/>
    </row>
    <row r="538" spans="1:26" ht="15.75" customHeight="1">
      <c r="A538" s="1130"/>
      <c r="B538" s="1130"/>
      <c r="C538" s="1130"/>
      <c r="D538" s="1130"/>
      <c r="E538" s="1130"/>
      <c r="F538" s="1130"/>
      <c r="G538" s="1130"/>
      <c r="H538" s="1130"/>
      <c r="I538" s="1130"/>
      <c r="J538" s="1130"/>
      <c r="K538" s="1130"/>
      <c r="L538" s="1130"/>
      <c r="M538" s="1130"/>
      <c r="N538" s="1130"/>
      <c r="O538" s="1130"/>
      <c r="P538" s="1130"/>
      <c r="Q538" s="1130"/>
      <c r="R538" s="1130"/>
      <c r="S538" s="1130"/>
      <c r="T538" s="1130"/>
      <c r="U538" s="1130"/>
      <c r="V538" s="1130"/>
      <c r="W538" s="1130"/>
      <c r="X538" s="1130"/>
      <c r="Y538" s="1130"/>
      <c r="Z538" s="1130"/>
    </row>
    <row r="539" spans="1:26" ht="15.75" customHeight="1">
      <c r="A539" s="1130"/>
      <c r="B539" s="1130"/>
      <c r="C539" s="1130"/>
      <c r="D539" s="1130"/>
      <c r="E539" s="1130"/>
      <c r="F539" s="1130"/>
      <c r="G539" s="1130"/>
      <c r="H539" s="1130"/>
      <c r="I539" s="1130"/>
      <c r="J539" s="1130"/>
      <c r="K539" s="1130"/>
      <c r="L539" s="1130"/>
      <c r="M539" s="1130"/>
      <c r="N539" s="1130"/>
      <c r="O539" s="1130"/>
      <c r="P539" s="1130"/>
      <c r="Q539" s="1130"/>
      <c r="R539" s="1130"/>
      <c r="S539" s="1130"/>
      <c r="T539" s="1130"/>
      <c r="U539" s="1130"/>
      <c r="V539" s="1130"/>
      <c r="W539" s="1130"/>
      <c r="X539" s="1130"/>
      <c r="Y539" s="1130"/>
      <c r="Z539" s="1130"/>
    </row>
    <row r="540" spans="1:26" ht="15.75" customHeight="1">
      <c r="A540" s="1130"/>
      <c r="B540" s="1130"/>
      <c r="C540" s="1130"/>
      <c r="D540" s="1130"/>
      <c r="E540" s="1130"/>
      <c r="F540" s="1130"/>
      <c r="G540" s="1130"/>
      <c r="H540" s="1130"/>
      <c r="I540" s="1130"/>
      <c r="J540" s="1130"/>
      <c r="K540" s="1130"/>
      <c r="L540" s="1130"/>
      <c r="M540" s="1130"/>
      <c r="N540" s="1130"/>
      <c r="O540" s="1130"/>
      <c r="P540" s="1130"/>
      <c r="Q540" s="1130"/>
      <c r="R540" s="1130"/>
      <c r="S540" s="1130"/>
      <c r="T540" s="1130"/>
      <c r="U540" s="1130"/>
      <c r="V540" s="1130"/>
      <c r="W540" s="1130"/>
      <c r="X540" s="1130"/>
      <c r="Y540" s="1130"/>
      <c r="Z540" s="1130"/>
    </row>
    <row r="541" spans="1:26" ht="15.75" customHeight="1">
      <c r="A541" s="1130"/>
      <c r="B541" s="1130"/>
      <c r="C541" s="1130"/>
      <c r="D541" s="1130"/>
      <c r="E541" s="1130"/>
      <c r="F541" s="1130"/>
      <c r="G541" s="1130"/>
      <c r="H541" s="1130"/>
      <c r="I541" s="1130"/>
      <c r="J541" s="1130"/>
      <c r="K541" s="1130"/>
      <c r="L541" s="1130"/>
      <c r="M541" s="1130"/>
      <c r="N541" s="1130"/>
      <c r="O541" s="1130"/>
      <c r="P541" s="1130"/>
      <c r="Q541" s="1130"/>
      <c r="R541" s="1130"/>
      <c r="S541" s="1130"/>
      <c r="T541" s="1130"/>
      <c r="U541" s="1130"/>
      <c r="V541" s="1130"/>
      <c r="W541" s="1130"/>
      <c r="X541" s="1130"/>
      <c r="Y541" s="1130"/>
      <c r="Z541" s="1130"/>
    </row>
    <row r="542" spans="1:26" ht="15.75" customHeight="1">
      <c r="A542" s="1130"/>
      <c r="B542" s="1130"/>
      <c r="C542" s="1130"/>
      <c r="D542" s="1130"/>
      <c r="E542" s="1130"/>
      <c r="F542" s="1130"/>
      <c r="G542" s="1130"/>
      <c r="H542" s="1130"/>
      <c r="I542" s="1130"/>
      <c r="J542" s="1130"/>
      <c r="K542" s="1130"/>
      <c r="L542" s="1130"/>
      <c r="M542" s="1130"/>
      <c r="N542" s="1130"/>
      <c r="O542" s="1130"/>
      <c r="P542" s="1130"/>
      <c r="Q542" s="1130"/>
      <c r="R542" s="1130"/>
      <c r="S542" s="1130"/>
      <c r="T542" s="1130"/>
      <c r="U542" s="1130"/>
      <c r="V542" s="1130"/>
      <c r="W542" s="1130"/>
      <c r="X542" s="1130"/>
      <c r="Y542" s="1130"/>
      <c r="Z542" s="1130"/>
    </row>
    <row r="543" spans="1:26" ht="15.75" customHeight="1">
      <c r="A543" s="1130"/>
      <c r="B543" s="1130"/>
      <c r="C543" s="1130"/>
      <c r="D543" s="1130"/>
      <c r="E543" s="1130"/>
      <c r="F543" s="1130"/>
      <c r="G543" s="1130"/>
      <c r="H543" s="1130"/>
      <c r="I543" s="1130"/>
      <c r="J543" s="1130"/>
      <c r="K543" s="1130"/>
      <c r="L543" s="1130"/>
      <c r="M543" s="1130"/>
      <c r="N543" s="1130"/>
      <c r="O543" s="1130"/>
      <c r="P543" s="1130"/>
      <c r="Q543" s="1130"/>
      <c r="R543" s="1130"/>
      <c r="S543" s="1130"/>
      <c r="T543" s="1130"/>
      <c r="U543" s="1130"/>
      <c r="V543" s="1130"/>
      <c r="W543" s="1130"/>
      <c r="X543" s="1130"/>
      <c r="Y543" s="1130"/>
      <c r="Z543" s="1130"/>
    </row>
    <row r="544" spans="1:26" ht="15.75" customHeight="1">
      <c r="A544" s="1130"/>
      <c r="B544" s="1130"/>
      <c r="C544" s="1130"/>
      <c r="D544" s="1130"/>
      <c r="E544" s="1130"/>
      <c r="F544" s="1130"/>
      <c r="G544" s="1130"/>
      <c r="H544" s="1130"/>
      <c r="I544" s="1130"/>
      <c r="J544" s="1130"/>
      <c r="K544" s="1130"/>
      <c r="L544" s="1130"/>
      <c r="M544" s="1130"/>
      <c r="N544" s="1130"/>
      <c r="O544" s="1130"/>
      <c r="P544" s="1130"/>
      <c r="Q544" s="1130"/>
      <c r="R544" s="1130"/>
      <c r="S544" s="1130"/>
      <c r="T544" s="1130"/>
      <c r="U544" s="1130"/>
      <c r="V544" s="1130"/>
      <c r="W544" s="1130"/>
      <c r="X544" s="1130"/>
      <c r="Y544" s="1130"/>
      <c r="Z544" s="1130"/>
    </row>
    <row r="545" spans="1:26" ht="15.75" customHeight="1">
      <c r="A545" s="1130"/>
      <c r="B545" s="1130"/>
      <c r="C545" s="1130"/>
      <c r="D545" s="1130"/>
      <c r="E545" s="1130"/>
      <c r="F545" s="1130"/>
      <c r="G545" s="1130"/>
      <c r="H545" s="1130"/>
      <c r="I545" s="1130"/>
      <c r="J545" s="1130"/>
      <c r="K545" s="1130"/>
      <c r="L545" s="1130"/>
      <c r="M545" s="1130"/>
      <c r="N545" s="1130"/>
      <c r="O545" s="1130"/>
      <c r="P545" s="1130"/>
      <c r="Q545" s="1130"/>
      <c r="R545" s="1130"/>
      <c r="S545" s="1130"/>
      <c r="T545" s="1130"/>
      <c r="U545" s="1130"/>
      <c r="V545" s="1130"/>
      <c r="W545" s="1130"/>
      <c r="X545" s="1130"/>
      <c r="Y545" s="1130"/>
      <c r="Z545" s="1130"/>
    </row>
    <row r="546" spans="1:26" ht="15.75" customHeight="1">
      <c r="A546" s="1130"/>
      <c r="B546" s="1130"/>
      <c r="C546" s="1130"/>
      <c r="D546" s="1130"/>
      <c r="E546" s="1130"/>
      <c r="F546" s="1130"/>
      <c r="G546" s="1130"/>
      <c r="H546" s="1130"/>
      <c r="I546" s="1130"/>
      <c r="J546" s="1130"/>
      <c r="K546" s="1130"/>
      <c r="L546" s="1130"/>
      <c r="M546" s="1130"/>
      <c r="N546" s="1130"/>
      <c r="O546" s="1130"/>
      <c r="P546" s="1130"/>
      <c r="Q546" s="1130"/>
      <c r="R546" s="1130"/>
      <c r="S546" s="1130"/>
      <c r="T546" s="1130"/>
      <c r="U546" s="1130"/>
      <c r="V546" s="1130"/>
      <c r="W546" s="1130"/>
      <c r="X546" s="1130"/>
      <c r="Y546" s="1130"/>
      <c r="Z546" s="1130"/>
    </row>
    <row r="547" spans="1:26" ht="15.75" customHeight="1">
      <c r="A547" s="1130"/>
      <c r="B547" s="1130"/>
      <c r="C547" s="1130"/>
      <c r="D547" s="1130"/>
      <c r="E547" s="1130"/>
      <c r="F547" s="1130"/>
      <c r="G547" s="1130"/>
      <c r="H547" s="1130"/>
      <c r="I547" s="1130"/>
      <c r="J547" s="1130"/>
      <c r="K547" s="1130"/>
      <c r="L547" s="1130"/>
      <c r="M547" s="1130"/>
      <c r="N547" s="1130"/>
      <c r="O547" s="1130"/>
      <c r="P547" s="1130"/>
      <c r="Q547" s="1130"/>
      <c r="R547" s="1130"/>
      <c r="S547" s="1130"/>
      <c r="T547" s="1130"/>
      <c r="U547" s="1130"/>
      <c r="V547" s="1130"/>
      <c r="W547" s="1130"/>
      <c r="X547" s="1130"/>
      <c r="Y547" s="1130"/>
      <c r="Z547" s="1130"/>
    </row>
    <row r="548" spans="1:26" ht="15.75" customHeight="1">
      <c r="A548" s="1130"/>
      <c r="B548" s="1130"/>
      <c r="C548" s="1130"/>
      <c r="D548" s="1130"/>
      <c r="E548" s="1130"/>
      <c r="F548" s="1130"/>
      <c r="G548" s="1130"/>
      <c r="H548" s="1130"/>
      <c r="I548" s="1130"/>
      <c r="J548" s="1130"/>
      <c r="K548" s="1130"/>
      <c r="L548" s="1130"/>
      <c r="M548" s="1130"/>
      <c r="N548" s="1130"/>
      <c r="O548" s="1130"/>
      <c r="P548" s="1130"/>
      <c r="Q548" s="1130"/>
      <c r="R548" s="1130"/>
      <c r="S548" s="1130"/>
      <c r="T548" s="1130"/>
      <c r="U548" s="1130"/>
      <c r="V548" s="1130"/>
      <c r="W548" s="1130"/>
      <c r="X548" s="1130"/>
      <c r="Y548" s="1130"/>
      <c r="Z548" s="1130"/>
    </row>
    <row r="549" spans="1:26" ht="15.75" customHeight="1">
      <c r="A549" s="1130"/>
      <c r="B549" s="1130"/>
      <c r="C549" s="1130"/>
      <c r="D549" s="1130"/>
      <c r="E549" s="1130"/>
      <c r="F549" s="1130"/>
      <c r="G549" s="1130"/>
      <c r="H549" s="1130"/>
      <c r="I549" s="1130"/>
      <c r="J549" s="1130"/>
      <c r="K549" s="1130"/>
      <c r="L549" s="1130"/>
      <c r="M549" s="1130"/>
      <c r="N549" s="1130"/>
      <c r="O549" s="1130"/>
      <c r="P549" s="1130"/>
      <c r="Q549" s="1130"/>
      <c r="R549" s="1130"/>
      <c r="S549" s="1130"/>
      <c r="T549" s="1130"/>
      <c r="U549" s="1130"/>
      <c r="V549" s="1130"/>
      <c r="W549" s="1130"/>
      <c r="X549" s="1130"/>
      <c r="Y549" s="1130"/>
      <c r="Z549" s="1130"/>
    </row>
    <row r="550" spans="1:26" ht="15.75" customHeight="1">
      <c r="A550" s="1130"/>
      <c r="B550" s="1130"/>
      <c r="C550" s="1130"/>
      <c r="D550" s="1130"/>
      <c r="E550" s="1130"/>
      <c r="F550" s="1130"/>
      <c r="G550" s="1130"/>
      <c r="H550" s="1130"/>
      <c r="I550" s="1130"/>
      <c r="J550" s="1130"/>
      <c r="K550" s="1130"/>
      <c r="L550" s="1130"/>
      <c r="M550" s="1130"/>
      <c r="N550" s="1130"/>
      <c r="O550" s="1130"/>
      <c r="P550" s="1130"/>
      <c r="Q550" s="1130"/>
      <c r="R550" s="1130"/>
      <c r="S550" s="1130"/>
      <c r="T550" s="1130"/>
      <c r="U550" s="1130"/>
      <c r="V550" s="1130"/>
      <c r="W550" s="1130"/>
      <c r="X550" s="1130"/>
      <c r="Y550" s="1130"/>
      <c r="Z550" s="1130"/>
    </row>
    <row r="551" spans="1:26" ht="15.75" customHeight="1">
      <c r="A551" s="1130"/>
      <c r="B551" s="1130"/>
      <c r="C551" s="1130"/>
      <c r="D551" s="1130"/>
      <c r="E551" s="1130"/>
      <c r="F551" s="1130"/>
      <c r="G551" s="1130"/>
      <c r="H551" s="1130"/>
      <c r="I551" s="1130"/>
      <c r="J551" s="1130"/>
      <c r="K551" s="1130"/>
      <c r="L551" s="1130"/>
      <c r="M551" s="1130"/>
      <c r="N551" s="1130"/>
      <c r="O551" s="1130"/>
      <c r="P551" s="1130"/>
      <c r="Q551" s="1130"/>
      <c r="R551" s="1130"/>
      <c r="S551" s="1130"/>
      <c r="T551" s="1130"/>
      <c r="U551" s="1130"/>
      <c r="V551" s="1130"/>
      <c r="W551" s="1130"/>
      <c r="X551" s="1130"/>
      <c r="Y551" s="1130"/>
      <c r="Z551" s="1130"/>
    </row>
    <row r="552" spans="1:26" ht="15.75" customHeight="1">
      <c r="A552" s="1130"/>
      <c r="B552" s="1130"/>
      <c r="C552" s="1130"/>
      <c r="D552" s="1130"/>
      <c r="E552" s="1130"/>
      <c r="F552" s="1130"/>
      <c r="G552" s="1130"/>
      <c r="H552" s="1130"/>
      <c r="I552" s="1130"/>
      <c r="J552" s="1130"/>
      <c r="K552" s="1130"/>
      <c r="L552" s="1130"/>
      <c r="M552" s="1130"/>
      <c r="N552" s="1130"/>
      <c r="O552" s="1130"/>
      <c r="P552" s="1130"/>
      <c r="Q552" s="1130"/>
      <c r="R552" s="1130"/>
      <c r="S552" s="1130"/>
      <c r="T552" s="1130"/>
      <c r="U552" s="1130"/>
      <c r="V552" s="1130"/>
      <c r="W552" s="1130"/>
      <c r="X552" s="1130"/>
      <c r="Y552" s="1130"/>
      <c r="Z552" s="1130"/>
    </row>
    <row r="553" spans="1:26" ht="15.75" customHeight="1">
      <c r="A553" s="1130"/>
      <c r="B553" s="1130"/>
      <c r="C553" s="1130"/>
      <c r="D553" s="1130"/>
      <c r="E553" s="1130"/>
      <c r="F553" s="1130"/>
      <c r="G553" s="1130"/>
      <c r="H553" s="1130"/>
      <c r="I553" s="1130"/>
      <c r="J553" s="1130"/>
      <c r="K553" s="1130"/>
      <c r="L553" s="1130"/>
      <c r="M553" s="1130"/>
      <c r="N553" s="1130"/>
      <c r="O553" s="1130"/>
      <c r="P553" s="1130"/>
      <c r="Q553" s="1130"/>
      <c r="R553" s="1130"/>
      <c r="S553" s="1130"/>
      <c r="T553" s="1130"/>
      <c r="U553" s="1130"/>
      <c r="V553" s="1130"/>
      <c r="W553" s="1130"/>
      <c r="X553" s="1130"/>
      <c r="Y553" s="1130"/>
      <c r="Z553" s="1130"/>
    </row>
    <row r="554" spans="1:26" ht="15.75" customHeight="1">
      <c r="A554" s="1130"/>
      <c r="B554" s="1130"/>
      <c r="C554" s="1130"/>
      <c r="D554" s="1130"/>
      <c r="E554" s="1130"/>
      <c r="F554" s="1130"/>
      <c r="G554" s="1130"/>
      <c r="H554" s="1130"/>
      <c r="I554" s="1130"/>
      <c r="J554" s="1130"/>
      <c r="K554" s="1130"/>
      <c r="L554" s="1130"/>
      <c r="M554" s="1130"/>
      <c r="N554" s="1130"/>
      <c r="O554" s="1130"/>
      <c r="P554" s="1130"/>
      <c r="Q554" s="1130"/>
      <c r="R554" s="1130"/>
      <c r="S554" s="1130"/>
      <c r="T554" s="1130"/>
      <c r="U554" s="1130"/>
      <c r="V554" s="1130"/>
      <c r="W554" s="1130"/>
      <c r="X554" s="1130"/>
      <c r="Y554" s="1130"/>
      <c r="Z554" s="1130"/>
    </row>
    <row r="555" spans="1:26" ht="15.75" customHeight="1">
      <c r="A555" s="1130"/>
      <c r="B555" s="1130"/>
      <c r="C555" s="1130"/>
      <c r="D555" s="1130"/>
      <c r="E555" s="1130"/>
      <c r="F555" s="1130"/>
      <c r="G555" s="1130"/>
      <c r="H555" s="1130"/>
      <c r="I555" s="1130"/>
      <c r="J555" s="1130"/>
      <c r="K555" s="1130"/>
      <c r="L555" s="1130"/>
      <c r="M555" s="1130"/>
      <c r="N555" s="1130"/>
      <c r="O555" s="1130"/>
      <c r="P555" s="1130"/>
      <c r="Q555" s="1130"/>
      <c r="R555" s="1130"/>
      <c r="S555" s="1130"/>
      <c r="T555" s="1130"/>
      <c r="U555" s="1130"/>
      <c r="V555" s="1130"/>
      <c r="W555" s="1130"/>
      <c r="X555" s="1130"/>
      <c r="Y555" s="1130"/>
      <c r="Z555" s="1130"/>
    </row>
    <row r="556" spans="1:26" ht="15.75" customHeight="1">
      <c r="A556" s="1130"/>
      <c r="B556" s="1130"/>
      <c r="C556" s="1130"/>
      <c r="D556" s="1130"/>
      <c r="E556" s="1130"/>
      <c r="F556" s="1130"/>
      <c r="G556" s="1130"/>
      <c r="H556" s="1130"/>
      <c r="I556" s="1130"/>
      <c r="J556" s="1130"/>
      <c r="K556" s="1130"/>
      <c r="L556" s="1130"/>
      <c r="M556" s="1130"/>
      <c r="N556" s="1130"/>
      <c r="O556" s="1130"/>
      <c r="P556" s="1130"/>
      <c r="Q556" s="1130"/>
      <c r="R556" s="1130"/>
      <c r="S556" s="1130"/>
      <c r="T556" s="1130"/>
      <c r="U556" s="1130"/>
      <c r="V556" s="1130"/>
      <c r="W556" s="1130"/>
      <c r="X556" s="1130"/>
      <c r="Y556" s="1130"/>
      <c r="Z556" s="1130"/>
    </row>
    <row r="557" spans="1:26" ht="15.75" customHeight="1">
      <c r="A557" s="1130"/>
      <c r="B557" s="1130"/>
      <c r="C557" s="1130"/>
      <c r="D557" s="1130"/>
      <c r="E557" s="1130"/>
      <c r="F557" s="1130"/>
      <c r="G557" s="1130"/>
      <c r="H557" s="1130"/>
      <c r="I557" s="1130"/>
      <c r="J557" s="1130"/>
      <c r="K557" s="1130"/>
      <c r="L557" s="1130"/>
      <c r="M557" s="1130"/>
      <c r="N557" s="1130"/>
      <c r="O557" s="1130"/>
      <c r="P557" s="1130"/>
      <c r="Q557" s="1130"/>
      <c r="R557" s="1130"/>
      <c r="S557" s="1130"/>
      <c r="T557" s="1130"/>
      <c r="U557" s="1130"/>
      <c r="V557" s="1130"/>
      <c r="W557" s="1130"/>
      <c r="X557" s="1130"/>
      <c r="Y557" s="1130"/>
      <c r="Z557" s="1130"/>
    </row>
    <row r="558" spans="1:26" ht="15.75" customHeight="1">
      <c r="A558" s="1130"/>
      <c r="B558" s="1130"/>
      <c r="C558" s="1130"/>
      <c r="D558" s="1130"/>
      <c r="E558" s="1130"/>
      <c r="F558" s="1130"/>
      <c r="G558" s="1130"/>
      <c r="H558" s="1130"/>
      <c r="I558" s="1130"/>
      <c r="J558" s="1130"/>
      <c r="K558" s="1130"/>
      <c r="L558" s="1130"/>
      <c r="M558" s="1130"/>
      <c r="N558" s="1130"/>
      <c r="O558" s="1130"/>
      <c r="P558" s="1130"/>
      <c r="Q558" s="1130"/>
      <c r="R558" s="1130"/>
      <c r="S558" s="1130"/>
      <c r="T558" s="1130"/>
      <c r="U558" s="1130"/>
      <c r="V558" s="1130"/>
      <c r="W558" s="1130"/>
      <c r="X558" s="1130"/>
      <c r="Y558" s="1130"/>
      <c r="Z558" s="1130"/>
    </row>
    <row r="559" spans="1:26" ht="15.75" customHeight="1">
      <c r="A559" s="1130"/>
      <c r="B559" s="1130"/>
      <c r="C559" s="1130"/>
      <c r="D559" s="1130"/>
      <c r="E559" s="1130"/>
      <c r="F559" s="1130"/>
      <c r="G559" s="1130"/>
      <c r="H559" s="1130"/>
      <c r="I559" s="1130"/>
      <c r="J559" s="1130"/>
      <c r="K559" s="1130"/>
      <c r="L559" s="1130"/>
      <c r="M559" s="1130"/>
      <c r="N559" s="1130"/>
      <c r="O559" s="1130"/>
      <c r="P559" s="1130"/>
      <c r="Q559" s="1130"/>
      <c r="R559" s="1130"/>
      <c r="S559" s="1130"/>
      <c r="T559" s="1130"/>
      <c r="U559" s="1130"/>
      <c r="V559" s="1130"/>
      <c r="W559" s="1130"/>
      <c r="X559" s="1130"/>
      <c r="Y559" s="1130"/>
      <c r="Z559" s="1130"/>
    </row>
    <row r="560" spans="1:26" ht="15.75" customHeight="1">
      <c r="A560" s="1130"/>
      <c r="B560" s="1130"/>
      <c r="C560" s="1130"/>
      <c r="D560" s="1130"/>
      <c r="E560" s="1130"/>
      <c r="F560" s="1130"/>
      <c r="G560" s="1130"/>
      <c r="H560" s="1130"/>
      <c r="I560" s="1130"/>
      <c r="J560" s="1130"/>
      <c r="K560" s="1130"/>
      <c r="L560" s="1130"/>
      <c r="M560" s="1130"/>
      <c r="N560" s="1130"/>
      <c r="O560" s="1130"/>
      <c r="P560" s="1130"/>
      <c r="Q560" s="1130"/>
      <c r="R560" s="1130"/>
      <c r="S560" s="1130"/>
      <c r="T560" s="1130"/>
      <c r="U560" s="1130"/>
      <c r="V560" s="1130"/>
      <c r="W560" s="1130"/>
      <c r="X560" s="1130"/>
      <c r="Y560" s="1130"/>
      <c r="Z560" s="1130"/>
    </row>
    <row r="561" spans="1:26" ht="15.75" customHeight="1">
      <c r="A561" s="1130"/>
      <c r="B561" s="1130"/>
      <c r="C561" s="1130"/>
      <c r="D561" s="1130"/>
      <c r="E561" s="1130"/>
      <c r="F561" s="1130"/>
      <c r="G561" s="1130"/>
      <c r="H561" s="1130"/>
      <c r="I561" s="1130"/>
      <c r="J561" s="1130"/>
      <c r="K561" s="1130"/>
      <c r="L561" s="1130"/>
      <c r="M561" s="1130"/>
      <c r="N561" s="1130"/>
      <c r="O561" s="1130"/>
      <c r="P561" s="1130"/>
      <c r="Q561" s="1130"/>
      <c r="R561" s="1130"/>
      <c r="S561" s="1130"/>
      <c r="T561" s="1130"/>
      <c r="U561" s="1130"/>
      <c r="V561" s="1130"/>
      <c r="W561" s="1130"/>
      <c r="X561" s="1130"/>
      <c r="Y561" s="1130"/>
      <c r="Z561" s="1130"/>
    </row>
    <row r="562" spans="1:26" ht="15.75" customHeight="1">
      <c r="A562" s="1130"/>
      <c r="B562" s="1130"/>
      <c r="C562" s="1130"/>
      <c r="D562" s="1130"/>
      <c r="E562" s="1130"/>
      <c r="F562" s="1130"/>
      <c r="G562" s="1130"/>
      <c r="H562" s="1130"/>
      <c r="I562" s="1130"/>
      <c r="J562" s="1130"/>
      <c r="K562" s="1130"/>
      <c r="L562" s="1130"/>
      <c r="M562" s="1130"/>
      <c r="N562" s="1130"/>
      <c r="O562" s="1130"/>
      <c r="P562" s="1130"/>
      <c r="Q562" s="1130"/>
      <c r="R562" s="1130"/>
      <c r="S562" s="1130"/>
      <c r="T562" s="1130"/>
      <c r="U562" s="1130"/>
      <c r="V562" s="1130"/>
      <c r="W562" s="1130"/>
      <c r="X562" s="1130"/>
      <c r="Y562" s="1130"/>
      <c r="Z562" s="1130"/>
    </row>
    <row r="563" spans="1:26" ht="15.75" customHeight="1">
      <c r="A563" s="1130"/>
      <c r="B563" s="1130"/>
      <c r="C563" s="1130"/>
      <c r="D563" s="1130"/>
      <c r="E563" s="1130"/>
      <c r="F563" s="1130"/>
      <c r="G563" s="1130"/>
      <c r="H563" s="1130"/>
      <c r="I563" s="1130"/>
      <c r="J563" s="1130"/>
      <c r="K563" s="1130"/>
      <c r="L563" s="1130"/>
      <c r="M563" s="1130"/>
      <c r="N563" s="1130"/>
      <c r="O563" s="1130"/>
      <c r="P563" s="1130"/>
      <c r="Q563" s="1130"/>
      <c r="R563" s="1130"/>
      <c r="S563" s="1130"/>
      <c r="T563" s="1130"/>
      <c r="U563" s="1130"/>
      <c r="V563" s="1130"/>
      <c r="W563" s="1130"/>
      <c r="X563" s="1130"/>
      <c r="Y563" s="1130"/>
      <c r="Z563" s="1130"/>
    </row>
    <row r="564" spans="1:26" ht="15.75" customHeight="1">
      <c r="A564" s="1130"/>
      <c r="B564" s="1130"/>
      <c r="C564" s="1130"/>
      <c r="D564" s="1130"/>
      <c r="E564" s="1130"/>
      <c r="F564" s="1130"/>
      <c r="G564" s="1130"/>
      <c r="H564" s="1130"/>
      <c r="I564" s="1130"/>
      <c r="J564" s="1130"/>
      <c r="K564" s="1130"/>
      <c r="L564" s="1130"/>
      <c r="M564" s="1130"/>
      <c r="N564" s="1130"/>
      <c r="O564" s="1130"/>
      <c r="P564" s="1130"/>
      <c r="Q564" s="1130"/>
      <c r="R564" s="1130"/>
      <c r="S564" s="1130"/>
      <c r="T564" s="1130"/>
      <c r="U564" s="1130"/>
      <c r="V564" s="1130"/>
      <c r="W564" s="1130"/>
      <c r="X564" s="1130"/>
      <c r="Y564" s="1130"/>
      <c r="Z564" s="1130"/>
    </row>
    <row r="565" spans="1:26" ht="15.75" customHeight="1">
      <c r="A565" s="1130"/>
      <c r="B565" s="1130"/>
      <c r="C565" s="1130"/>
      <c r="D565" s="1130"/>
      <c r="E565" s="1130"/>
      <c r="F565" s="1130"/>
      <c r="G565" s="1130"/>
      <c r="H565" s="1130"/>
      <c r="I565" s="1130"/>
      <c r="J565" s="1130"/>
      <c r="K565" s="1130"/>
      <c r="L565" s="1130"/>
      <c r="M565" s="1130"/>
      <c r="N565" s="1130"/>
      <c r="O565" s="1130"/>
      <c r="P565" s="1130"/>
      <c r="Q565" s="1130"/>
      <c r="R565" s="1130"/>
      <c r="S565" s="1130"/>
      <c r="T565" s="1130"/>
      <c r="U565" s="1130"/>
      <c r="V565" s="1130"/>
      <c r="W565" s="1130"/>
      <c r="X565" s="1130"/>
      <c r="Y565" s="1130"/>
      <c r="Z565" s="1130"/>
    </row>
    <row r="566" spans="1:26" ht="15.75" customHeight="1">
      <c r="A566" s="1130"/>
      <c r="B566" s="1130"/>
      <c r="C566" s="1130"/>
      <c r="D566" s="1130"/>
      <c r="E566" s="1130"/>
      <c r="F566" s="1130"/>
      <c r="G566" s="1130"/>
      <c r="H566" s="1130"/>
      <c r="I566" s="1130"/>
      <c r="J566" s="1130"/>
      <c r="K566" s="1130"/>
      <c r="L566" s="1130"/>
      <c r="M566" s="1130"/>
      <c r="N566" s="1130"/>
      <c r="O566" s="1130"/>
      <c r="P566" s="1130"/>
      <c r="Q566" s="1130"/>
      <c r="R566" s="1130"/>
      <c r="S566" s="1130"/>
      <c r="T566" s="1130"/>
      <c r="U566" s="1130"/>
      <c r="V566" s="1130"/>
      <c r="W566" s="1130"/>
      <c r="X566" s="1130"/>
      <c r="Y566" s="1130"/>
      <c r="Z566" s="1130"/>
    </row>
    <row r="567" spans="1:26" ht="15.75" customHeight="1">
      <c r="A567" s="1130"/>
      <c r="B567" s="1130"/>
      <c r="C567" s="1130"/>
      <c r="D567" s="1130"/>
      <c r="E567" s="1130"/>
      <c r="F567" s="1130"/>
      <c r="G567" s="1130"/>
      <c r="H567" s="1130"/>
      <c r="I567" s="1130"/>
      <c r="J567" s="1130"/>
      <c r="K567" s="1130"/>
      <c r="L567" s="1130"/>
      <c r="M567" s="1130"/>
      <c r="N567" s="1130"/>
      <c r="O567" s="1130"/>
      <c r="P567" s="1130"/>
      <c r="Q567" s="1130"/>
      <c r="R567" s="1130"/>
      <c r="S567" s="1130"/>
      <c r="T567" s="1130"/>
      <c r="U567" s="1130"/>
      <c r="V567" s="1130"/>
      <c r="W567" s="1130"/>
      <c r="X567" s="1130"/>
      <c r="Y567" s="1130"/>
      <c r="Z567" s="1130"/>
    </row>
    <row r="568" spans="1:26" ht="15.75" customHeight="1">
      <c r="A568" s="1130"/>
      <c r="B568" s="1130"/>
      <c r="C568" s="1130"/>
      <c r="D568" s="1130"/>
      <c r="E568" s="1130"/>
      <c r="F568" s="1130"/>
      <c r="G568" s="1130"/>
      <c r="H568" s="1130"/>
      <c r="I568" s="1130"/>
      <c r="J568" s="1130"/>
      <c r="K568" s="1130"/>
      <c r="L568" s="1130"/>
      <c r="M568" s="1130"/>
      <c r="N568" s="1130"/>
      <c r="O568" s="1130"/>
      <c r="P568" s="1130"/>
      <c r="Q568" s="1130"/>
      <c r="R568" s="1130"/>
      <c r="S568" s="1130"/>
      <c r="T568" s="1130"/>
      <c r="U568" s="1130"/>
      <c r="V568" s="1130"/>
      <c r="W568" s="1130"/>
      <c r="X568" s="1130"/>
      <c r="Y568" s="1130"/>
      <c r="Z568" s="1130"/>
    </row>
    <row r="569" spans="1:26" ht="15.75" customHeight="1">
      <c r="A569" s="1130"/>
      <c r="B569" s="1130"/>
      <c r="C569" s="1130"/>
      <c r="D569" s="1130"/>
      <c r="E569" s="1130"/>
      <c r="F569" s="1130"/>
      <c r="G569" s="1130"/>
      <c r="H569" s="1130"/>
      <c r="I569" s="1130"/>
      <c r="J569" s="1130"/>
      <c r="K569" s="1130"/>
      <c r="L569" s="1130"/>
      <c r="M569" s="1130"/>
      <c r="N569" s="1130"/>
      <c r="O569" s="1130"/>
      <c r="P569" s="1130"/>
      <c r="Q569" s="1130"/>
      <c r="R569" s="1130"/>
      <c r="S569" s="1130"/>
      <c r="T569" s="1130"/>
      <c r="U569" s="1130"/>
      <c r="V569" s="1130"/>
      <c r="W569" s="1130"/>
      <c r="X569" s="1130"/>
      <c r="Y569" s="1130"/>
      <c r="Z569" s="1130"/>
    </row>
    <row r="570" spans="1:26" ht="15.75" customHeight="1">
      <c r="A570" s="1130"/>
      <c r="B570" s="1130"/>
      <c r="C570" s="1130"/>
      <c r="D570" s="1130"/>
      <c r="E570" s="1130"/>
      <c r="F570" s="1130"/>
      <c r="G570" s="1130"/>
      <c r="H570" s="1130"/>
      <c r="I570" s="1130"/>
      <c r="J570" s="1130"/>
      <c r="K570" s="1130"/>
      <c r="L570" s="1130"/>
      <c r="M570" s="1130"/>
      <c r="N570" s="1130"/>
      <c r="O570" s="1130"/>
      <c r="P570" s="1130"/>
      <c r="Q570" s="1130"/>
      <c r="R570" s="1130"/>
      <c r="S570" s="1130"/>
      <c r="T570" s="1130"/>
      <c r="U570" s="1130"/>
      <c r="V570" s="1130"/>
      <c r="W570" s="1130"/>
      <c r="X570" s="1130"/>
      <c r="Y570" s="1130"/>
      <c r="Z570" s="1130"/>
    </row>
    <row r="571" spans="1:26" ht="15.75" customHeight="1">
      <c r="A571" s="1130"/>
      <c r="B571" s="1130"/>
      <c r="C571" s="1130"/>
      <c r="D571" s="1130"/>
      <c r="E571" s="1130"/>
      <c r="F571" s="1130"/>
      <c r="G571" s="1130"/>
      <c r="H571" s="1130"/>
      <c r="I571" s="1130"/>
      <c r="J571" s="1130"/>
      <c r="K571" s="1130"/>
      <c r="L571" s="1130"/>
      <c r="M571" s="1130"/>
      <c r="N571" s="1130"/>
      <c r="O571" s="1130"/>
      <c r="P571" s="1130"/>
      <c r="Q571" s="1130"/>
      <c r="R571" s="1130"/>
      <c r="S571" s="1130"/>
      <c r="T571" s="1130"/>
      <c r="U571" s="1130"/>
      <c r="V571" s="1130"/>
      <c r="W571" s="1130"/>
      <c r="X571" s="1130"/>
      <c r="Y571" s="1130"/>
      <c r="Z571" s="1130"/>
    </row>
    <row r="572" spans="1:26" ht="15.75" customHeight="1">
      <c r="A572" s="1130"/>
      <c r="B572" s="1130"/>
      <c r="C572" s="1130"/>
      <c r="D572" s="1130"/>
      <c r="E572" s="1130"/>
      <c r="F572" s="1130"/>
      <c r="G572" s="1130"/>
      <c r="H572" s="1130"/>
      <c r="I572" s="1130"/>
      <c r="J572" s="1130"/>
      <c r="K572" s="1130"/>
      <c r="L572" s="1130"/>
      <c r="M572" s="1130"/>
      <c r="N572" s="1130"/>
      <c r="O572" s="1130"/>
      <c r="P572" s="1130"/>
      <c r="Q572" s="1130"/>
      <c r="R572" s="1130"/>
      <c r="S572" s="1130"/>
      <c r="T572" s="1130"/>
      <c r="U572" s="1130"/>
      <c r="V572" s="1130"/>
      <c r="W572" s="1130"/>
      <c r="X572" s="1130"/>
      <c r="Y572" s="1130"/>
      <c r="Z572" s="1130"/>
    </row>
    <row r="573" spans="1:26" ht="15.75" customHeight="1">
      <c r="A573" s="1130"/>
      <c r="B573" s="1130"/>
      <c r="C573" s="1130"/>
      <c r="D573" s="1130"/>
      <c r="E573" s="1130"/>
      <c r="F573" s="1130"/>
      <c r="G573" s="1130"/>
      <c r="H573" s="1130"/>
      <c r="I573" s="1130"/>
      <c r="J573" s="1130"/>
      <c r="K573" s="1130"/>
      <c r="L573" s="1130"/>
      <c r="M573" s="1130"/>
      <c r="N573" s="1130"/>
      <c r="O573" s="1130"/>
      <c r="P573" s="1130"/>
      <c r="Q573" s="1130"/>
      <c r="R573" s="1130"/>
      <c r="S573" s="1130"/>
      <c r="T573" s="1130"/>
      <c r="U573" s="1130"/>
      <c r="V573" s="1130"/>
      <c r="W573" s="1130"/>
      <c r="X573" s="1130"/>
      <c r="Y573" s="1130"/>
      <c r="Z573" s="1130"/>
    </row>
    <row r="574" spans="1:26" ht="15.75" customHeight="1">
      <c r="A574" s="1130"/>
      <c r="B574" s="1130"/>
      <c r="C574" s="1130"/>
      <c r="D574" s="1130"/>
      <c r="E574" s="1130"/>
      <c r="F574" s="1130"/>
      <c r="G574" s="1130"/>
      <c r="H574" s="1130"/>
      <c r="I574" s="1130"/>
      <c r="J574" s="1130"/>
      <c r="K574" s="1130"/>
      <c r="L574" s="1130"/>
      <c r="M574" s="1130"/>
      <c r="N574" s="1130"/>
      <c r="O574" s="1130"/>
      <c r="P574" s="1130"/>
      <c r="Q574" s="1130"/>
      <c r="R574" s="1130"/>
      <c r="S574" s="1130"/>
      <c r="T574" s="1130"/>
      <c r="U574" s="1130"/>
      <c r="V574" s="1130"/>
      <c r="W574" s="1130"/>
      <c r="X574" s="1130"/>
      <c r="Y574" s="1130"/>
      <c r="Z574" s="1130"/>
    </row>
    <row r="575" spans="1:26" ht="15.75" customHeight="1">
      <c r="A575" s="1130"/>
      <c r="B575" s="1130"/>
      <c r="C575" s="1130"/>
      <c r="D575" s="1130"/>
      <c r="E575" s="1130"/>
      <c r="F575" s="1130"/>
      <c r="G575" s="1130"/>
      <c r="H575" s="1130"/>
      <c r="I575" s="1130"/>
      <c r="J575" s="1130"/>
      <c r="K575" s="1130"/>
      <c r="L575" s="1130"/>
      <c r="M575" s="1130"/>
      <c r="N575" s="1130"/>
      <c r="O575" s="1130"/>
      <c r="P575" s="1130"/>
      <c r="Q575" s="1130"/>
      <c r="R575" s="1130"/>
      <c r="S575" s="1130"/>
      <c r="T575" s="1130"/>
      <c r="U575" s="1130"/>
      <c r="V575" s="1130"/>
      <c r="W575" s="1130"/>
      <c r="X575" s="1130"/>
      <c r="Y575" s="1130"/>
      <c r="Z575" s="1130"/>
    </row>
    <row r="576" spans="1:26" ht="15.75" customHeight="1">
      <c r="A576" s="1130"/>
      <c r="B576" s="1130"/>
      <c r="C576" s="1130"/>
      <c r="D576" s="1130"/>
      <c r="E576" s="1130"/>
      <c r="F576" s="1130"/>
      <c r="G576" s="1130"/>
      <c r="H576" s="1130"/>
      <c r="I576" s="1130"/>
      <c r="J576" s="1130"/>
      <c r="K576" s="1130"/>
      <c r="L576" s="1130"/>
      <c r="M576" s="1130"/>
      <c r="N576" s="1130"/>
      <c r="O576" s="1130"/>
      <c r="P576" s="1130"/>
      <c r="Q576" s="1130"/>
      <c r="R576" s="1130"/>
      <c r="S576" s="1130"/>
      <c r="T576" s="1130"/>
      <c r="U576" s="1130"/>
      <c r="V576" s="1130"/>
      <c r="W576" s="1130"/>
      <c r="X576" s="1130"/>
      <c r="Y576" s="1130"/>
      <c r="Z576" s="1130"/>
    </row>
    <row r="577" spans="1:26" ht="15.75" customHeight="1">
      <c r="A577" s="1130"/>
      <c r="B577" s="1130"/>
      <c r="C577" s="1130"/>
      <c r="D577" s="1130"/>
      <c r="E577" s="1130"/>
      <c r="F577" s="1130"/>
      <c r="G577" s="1130"/>
      <c r="H577" s="1130"/>
      <c r="I577" s="1130"/>
      <c r="J577" s="1130"/>
      <c r="K577" s="1130"/>
      <c r="L577" s="1130"/>
      <c r="M577" s="1130"/>
      <c r="N577" s="1130"/>
      <c r="O577" s="1130"/>
      <c r="P577" s="1130"/>
      <c r="Q577" s="1130"/>
      <c r="R577" s="1130"/>
      <c r="S577" s="1130"/>
      <c r="T577" s="1130"/>
      <c r="U577" s="1130"/>
      <c r="V577" s="1130"/>
      <c r="W577" s="1130"/>
      <c r="X577" s="1130"/>
      <c r="Y577" s="1130"/>
      <c r="Z577" s="1130"/>
    </row>
    <row r="578" spans="1:26" ht="15.75" customHeight="1">
      <c r="A578" s="1130"/>
      <c r="B578" s="1130"/>
      <c r="C578" s="1130"/>
      <c r="D578" s="1130"/>
      <c r="E578" s="1130"/>
      <c r="F578" s="1130"/>
      <c r="G578" s="1130"/>
      <c r="H578" s="1130"/>
      <c r="I578" s="1130"/>
      <c r="J578" s="1130"/>
      <c r="K578" s="1130"/>
      <c r="L578" s="1130"/>
      <c r="M578" s="1130"/>
      <c r="N578" s="1130"/>
      <c r="O578" s="1130"/>
      <c r="P578" s="1130"/>
      <c r="Q578" s="1130"/>
      <c r="R578" s="1130"/>
      <c r="S578" s="1130"/>
      <c r="T578" s="1130"/>
      <c r="U578" s="1130"/>
      <c r="V578" s="1130"/>
      <c r="W578" s="1130"/>
      <c r="X578" s="1130"/>
      <c r="Y578" s="1130"/>
      <c r="Z578" s="1130"/>
    </row>
    <row r="579" spans="1:26" ht="15.75" customHeight="1">
      <c r="A579" s="1130"/>
      <c r="B579" s="1130"/>
      <c r="C579" s="1130"/>
      <c r="D579" s="1130"/>
      <c r="E579" s="1130"/>
      <c r="F579" s="1130"/>
      <c r="G579" s="1130"/>
      <c r="H579" s="1130"/>
      <c r="I579" s="1130"/>
      <c r="J579" s="1130"/>
      <c r="K579" s="1130"/>
      <c r="L579" s="1130"/>
      <c r="M579" s="1130"/>
      <c r="N579" s="1130"/>
      <c r="O579" s="1130"/>
      <c r="P579" s="1130"/>
      <c r="Q579" s="1130"/>
      <c r="R579" s="1130"/>
      <c r="S579" s="1130"/>
      <c r="T579" s="1130"/>
      <c r="U579" s="1130"/>
      <c r="V579" s="1130"/>
      <c r="W579" s="1130"/>
      <c r="X579" s="1130"/>
      <c r="Y579" s="1130"/>
      <c r="Z579" s="1130"/>
    </row>
    <row r="580" spans="1:26" ht="15.75" customHeight="1">
      <c r="A580" s="1130"/>
      <c r="B580" s="1130"/>
      <c r="C580" s="1130"/>
      <c r="D580" s="1130"/>
      <c r="E580" s="1130"/>
      <c r="F580" s="1130"/>
      <c r="G580" s="1130"/>
      <c r="H580" s="1130"/>
      <c r="I580" s="1130"/>
      <c r="J580" s="1130"/>
      <c r="K580" s="1130"/>
      <c r="L580" s="1130"/>
      <c r="M580" s="1130"/>
      <c r="N580" s="1130"/>
      <c r="O580" s="1130"/>
      <c r="P580" s="1130"/>
      <c r="Q580" s="1130"/>
      <c r="R580" s="1130"/>
      <c r="S580" s="1130"/>
      <c r="T580" s="1130"/>
      <c r="U580" s="1130"/>
      <c r="V580" s="1130"/>
      <c r="W580" s="1130"/>
      <c r="X580" s="1130"/>
      <c r="Y580" s="1130"/>
      <c r="Z580" s="1130"/>
    </row>
    <row r="581" spans="1:26" ht="15.75" customHeight="1">
      <c r="A581" s="1130"/>
      <c r="B581" s="1130"/>
      <c r="C581" s="1130"/>
      <c r="D581" s="1130"/>
      <c r="E581" s="1130"/>
      <c r="F581" s="1130"/>
      <c r="G581" s="1130"/>
      <c r="H581" s="1130"/>
      <c r="I581" s="1130"/>
      <c r="J581" s="1130"/>
      <c r="K581" s="1130"/>
      <c r="L581" s="1130"/>
      <c r="M581" s="1130"/>
      <c r="N581" s="1130"/>
      <c r="O581" s="1130"/>
      <c r="P581" s="1130"/>
      <c r="Q581" s="1130"/>
      <c r="R581" s="1130"/>
      <c r="S581" s="1130"/>
      <c r="T581" s="1130"/>
      <c r="U581" s="1130"/>
      <c r="V581" s="1130"/>
      <c r="W581" s="1130"/>
      <c r="X581" s="1130"/>
      <c r="Y581" s="1130"/>
      <c r="Z581" s="1130"/>
    </row>
    <row r="582" spans="1:26" ht="15.75" customHeight="1">
      <c r="A582" s="1130"/>
      <c r="B582" s="1130"/>
      <c r="C582" s="1130"/>
      <c r="D582" s="1130"/>
      <c r="E582" s="1130"/>
      <c r="F582" s="1130"/>
      <c r="G582" s="1130"/>
      <c r="H582" s="1130"/>
      <c r="I582" s="1130"/>
      <c r="J582" s="1130"/>
      <c r="K582" s="1130"/>
      <c r="L582" s="1130"/>
      <c r="M582" s="1130"/>
      <c r="N582" s="1130"/>
      <c r="O582" s="1130"/>
      <c r="P582" s="1130"/>
      <c r="Q582" s="1130"/>
      <c r="R582" s="1130"/>
      <c r="S582" s="1130"/>
      <c r="T582" s="1130"/>
      <c r="U582" s="1130"/>
      <c r="V582" s="1130"/>
      <c r="W582" s="1130"/>
      <c r="X582" s="1130"/>
      <c r="Y582" s="1130"/>
      <c r="Z582" s="1130"/>
    </row>
    <row r="583" spans="1:26" ht="15.75" customHeight="1">
      <c r="A583" s="1130"/>
      <c r="B583" s="1130"/>
      <c r="C583" s="1130"/>
      <c r="D583" s="1130"/>
      <c r="E583" s="1130"/>
      <c r="F583" s="1130"/>
      <c r="G583" s="1130"/>
      <c r="H583" s="1130"/>
      <c r="I583" s="1130"/>
      <c r="J583" s="1130"/>
      <c r="K583" s="1130"/>
      <c r="L583" s="1130"/>
      <c r="M583" s="1130"/>
      <c r="N583" s="1130"/>
      <c r="O583" s="1130"/>
      <c r="P583" s="1130"/>
      <c r="Q583" s="1130"/>
      <c r="R583" s="1130"/>
      <c r="S583" s="1130"/>
      <c r="T583" s="1130"/>
      <c r="U583" s="1130"/>
      <c r="V583" s="1130"/>
      <c r="W583" s="1130"/>
      <c r="X583" s="1130"/>
      <c r="Y583" s="1130"/>
      <c r="Z583" s="1130"/>
    </row>
    <row r="584" spans="1:26" ht="15.75" customHeight="1">
      <c r="A584" s="1130"/>
      <c r="B584" s="1130"/>
      <c r="C584" s="1130"/>
      <c r="D584" s="1130"/>
      <c r="E584" s="1130"/>
      <c r="F584" s="1130"/>
      <c r="G584" s="1130"/>
      <c r="H584" s="1130"/>
      <c r="I584" s="1130"/>
      <c r="J584" s="1130"/>
      <c r="K584" s="1130"/>
      <c r="L584" s="1130"/>
      <c r="M584" s="1130"/>
      <c r="N584" s="1130"/>
      <c r="O584" s="1130"/>
      <c r="P584" s="1130"/>
      <c r="Q584" s="1130"/>
      <c r="R584" s="1130"/>
      <c r="S584" s="1130"/>
      <c r="T584" s="1130"/>
      <c r="U584" s="1130"/>
      <c r="V584" s="1130"/>
      <c r="W584" s="1130"/>
      <c r="X584" s="1130"/>
      <c r="Y584" s="1130"/>
      <c r="Z584" s="1130"/>
    </row>
    <row r="585" spans="1:26" ht="15.75" customHeight="1">
      <c r="A585" s="1130"/>
      <c r="B585" s="1130"/>
      <c r="C585" s="1130"/>
      <c r="D585" s="1130"/>
      <c r="E585" s="1130"/>
      <c r="F585" s="1130"/>
      <c r="G585" s="1130"/>
      <c r="H585" s="1130"/>
      <c r="I585" s="1130"/>
      <c r="J585" s="1130"/>
      <c r="K585" s="1130"/>
      <c r="L585" s="1130"/>
      <c r="M585" s="1130"/>
      <c r="N585" s="1130"/>
      <c r="O585" s="1130"/>
      <c r="P585" s="1130"/>
      <c r="Q585" s="1130"/>
      <c r="R585" s="1130"/>
      <c r="S585" s="1130"/>
      <c r="T585" s="1130"/>
      <c r="U585" s="1130"/>
      <c r="V585" s="1130"/>
      <c r="W585" s="1130"/>
      <c r="X585" s="1130"/>
      <c r="Y585" s="1130"/>
      <c r="Z585" s="1130"/>
    </row>
    <row r="586" spans="1:26" ht="15.75" customHeight="1">
      <c r="A586" s="1130"/>
      <c r="B586" s="1130"/>
      <c r="C586" s="1130"/>
      <c r="D586" s="1130"/>
      <c r="E586" s="1130"/>
      <c r="F586" s="1130"/>
      <c r="G586" s="1130"/>
      <c r="H586" s="1130"/>
      <c r="I586" s="1130"/>
      <c r="J586" s="1130"/>
      <c r="K586" s="1130"/>
      <c r="L586" s="1130"/>
      <c r="M586" s="1130"/>
      <c r="N586" s="1130"/>
      <c r="O586" s="1130"/>
      <c r="P586" s="1130"/>
      <c r="Q586" s="1130"/>
      <c r="R586" s="1130"/>
      <c r="S586" s="1130"/>
      <c r="T586" s="1130"/>
      <c r="U586" s="1130"/>
      <c r="V586" s="1130"/>
      <c r="W586" s="1130"/>
      <c r="X586" s="1130"/>
      <c r="Y586" s="1130"/>
      <c r="Z586" s="1130"/>
    </row>
    <row r="587" spans="1:26" ht="15.75" customHeight="1">
      <c r="A587" s="1130"/>
      <c r="B587" s="1130"/>
      <c r="C587" s="1130"/>
      <c r="D587" s="1130"/>
      <c r="E587" s="1130"/>
      <c r="F587" s="1130"/>
      <c r="G587" s="1130"/>
      <c r="H587" s="1130"/>
      <c r="I587" s="1130"/>
      <c r="J587" s="1130"/>
      <c r="K587" s="1130"/>
      <c r="L587" s="1130"/>
      <c r="M587" s="1130"/>
      <c r="N587" s="1130"/>
      <c r="O587" s="1130"/>
      <c r="P587" s="1130"/>
      <c r="Q587" s="1130"/>
      <c r="R587" s="1130"/>
      <c r="S587" s="1130"/>
      <c r="T587" s="1130"/>
      <c r="U587" s="1130"/>
      <c r="V587" s="1130"/>
      <c r="W587" s="1130"/>
      <c r="X587" s="1130"/>
      <c r="Y587" s="1130"/>
      <c r="Z587" s="1130"/>
    </row>
    <row r="588" spans="1:26" ht="15.75" customHeight="1">
      <c r="A588" s="1130"/>
      <c r="B588" s="1130"/>
      <c r="C588" s="1130"/>
      <c r="D588" s="1130"/>
      <c r="E588" s="1130"/>
      <c r="F588" s="1130"/>
      <c r="G588" s="1130"/>
      <c r="H588" s="1130"/>
      <c r="I588" s="1130"/>
      <c r="J588" s="1130"/>
      <c r="K588" s="1130"/>
      <c r="L588" s="1130"/>
      <c r="M588" s="1130"/>
      <c r="N588" s="1130"/>
      <c r="O588" s="1130"/>
      <c r="P588" s="1130"/>
      <c r="Q588" s="1130"/>
      <c r="R588" s="1130"/>
      <c r="S588" s="1130"/>
      <c r="T588" s="1130"/>
      <c r="U588" s="1130"/>
      <c r="V588" s="1130"/>
      <c r="W588" s="1130"/>
      <c r="X588" s="1130"/>
      <c r="Y588" s="1130"/>
      <c r="Z588" s="1130"/>
    </row>
    <row r="589" spans="1:26" ht="15.75" customHeight="1">
      <c r="A589" s="1130"/>
      <c r="B589" s="1130"/>
      <c r="C589" s="1130"/>
      <c r="D589" s="1130"/>
      <c r="E589" s="1130"/>
      <c r="F589" s="1130"/>
      <c r="G589" s="1130"/>
      <c r="H589" s="1130"/>
      <c r="I589" s="1130"/>
      <c r="J589" s="1130"/>
      <c r="K589" s="1130"/>
      <c r="L589" s="1130"/>
      <c r="M589" s="1130"/>
      <c r="N589" s="1130"/>
      <c r="O589" s="1130"/>
      <c r="P589" s="1130"/>
      <c r="Q589" s="1130"/>
      <c r="R589" s="1130"/>
      <c r="S589" s="1130"/>
      <c r="T589" s="1130"/>
      <c r="U589" s="1130"/>
      <c r="V589" s="1130"/>
      <c r="W589" s="1130"/>
      <c r="X589" s="1130"/>
      <c r="Y589" s="1130"/>
      <c r="Z589" s="1130"/>
    </row>
    <row r="590" spans="1:26" ht="15.75" customHeight="1">
      <c r="A590" s="1130"/>
      <c r="B590" s="1130"/>
      <c r="C590" s="1130"/>
      <c r="D590" s="1130"/>
      <c r="E590" s="1130"/>
      <c r="F590" s="1130"/>
      <c r="G590" s="1130"/>
      <c r="H590" s="1130"/>
      <c r="I590" s="1130"/>
      <c r="J590" s="1130"/>
      <c r="K590" s="1130"/>
      <c r="L590" s="1130"/>
      <c r="M590" s="1130"/>
      <c r="N590" s="1130"/>
      <c r="O590" s="1130"/>
      <c r="P590" s="1130"/>
      <c r="Q590" s="1130"/>
      <c r="R590" s="1130"/>
      <c r="S590" s="1130"/>
      <c r="T590" s="1130"/>
      <c r="U590" s="1130"/>
      <c r="V590" s="1130"/>
      <c r="W590" s="1130"/>
      <c r="X590" s="1130"/>
      <c r="Y590" s="1130"/>
      <c r="Z590" s="1130"/>
    </row>
    <row r="591" spans="1:26" ht="15.75" customHeight="1">
      <c r="A591" s="1130"/>
      <c r="B591" s="1130"/>
      <c r="C591" s="1130"/>
      <c r="D591" s="1130"/>
      <c r="E591" s="1130"/>
      <c r="F591" s="1130"/>
      <c r="G591" s="1130"/>
      <c r="H591" s="1130"/>
      <c r="I591" s="1130"/>
      <c r="J591" s="1130"/>
      <c r="K591" s="1130"/>
      <c r="L591" s="1130"/>
      <c r="M591" s="1130"/>
      <c r="N591" s="1130"/>
      <c r="O591" s="1130"/>
      <c r="P591" s="1130"/>
      <c r="Q591" s="1130"/>
      <c r="R591" s="1130"/>
      <c r="S591" s="1130"/>
      <c r="T591" s="1130"/>
      <c r="U591" s="1130"/>
      <c r="V591" s="1130"/>
      <c r="W591" s="1130"/>
      <c r="X591" s="1130"/>
      <c r="Y591" s="1130"/>
      <c r="Z591" s="1130"/>
    </row>
    <row r="592" spans="1:26" ht="15.75" customHeight="1">
      <c r="A592" s="1130"/>
      <c r="B592" s="1130"/>
      <c r="C592" s="1130"/>
      <c r="D592" s="1130"/>
      <c r="E592" s="1130"/>
      <c r="F592" s="1130"/>
      <c r="G592" s="1130"/>
      <c r="H592" s="1130"/>
      <c r="I592" s="1130"/>
      <c r="J592" s="1130"/>
      <c r="K592" s="1130"/>
      <c r="L592" s="1130"/>
      <c r="M592" s="1130"/>
      <c r="N592" s="1130"/>
      <c r="O592" s="1130"/>
      <c r="P592" s="1130"/>
      <c r="Q592" s="1130"/>
      <c r="R592" s="1130"/>
      <c r="S592" s="1130"/>
      <c r="T592" s="1130"/>
      <c r="U592" s="1130"/>
      <c r="V592" s="1130"/>
      <c r="W592" s="1130"/>
      <c r="X592" s="1130"/>
      <c r="Y592" s="1130"/>
      <c r="Z592" s="1130"/>
    </row>
    <row r="593" spans="1:26" ht="15.75" customHeight="1">
      <c r="A593" s="1130"/>
      <c r="B593" s="1130"/>
      <c r="C593" s="1130"/>
      <c r="D593" s="1130"/>
      <c r="E593" s="1130"/>
      <c r="F593" s="1130"/>
      <c r="G593" s="1130"/>
      <c r="H593" s="1130"/>
      <c r="I593" s="1130"/>
      <c r="J593" s="1130"/>
      <c r="K593" s="1130"/>
      <c r="L593" s="1130"/>
      <c r="M593" s="1130"/>
      <c r="N593" s="1130"/>
      <c r="O593" s="1130"/>
      <c r="P593" s="1130"/>
      <c r="Q593" s="1130"/>
      <c r="R593" s="1130"/>
      <c r="S593" s="1130"/>
      <c r="T593" s="1130"/>
      <c r="U593" s="1130"/>
      <c r="V593" s="1130"/>
      <c r="W593" s="1130"/>
      <c r="X593" s="1130"/>
      <c r="Y593" s="1130"/>
      <c r="Z593" s="1130"/>
    </row>
    <row r="594" spans="1:26" ht="15.75" customHeight="1">
      <c r="A594" s="1130"/>
      <c r="B594" s="1130"/>
      <c r="C594" s="1130"/>
      <c r="D594" s="1130"/>
      <c r="E594" s="1130"/>
      <c r="F594" s="1130"/>
      <c r="G594" s="1130"/>
      <c r="H594" s="1130"/>
      <c r="I594" s="1130"/>
      <c r="J594" s="1130"/>
      <c r="K594" s="1130"/>
      <c r="L594" s="1130"/>
      <c r="M594" s="1130"/>
      <c r="N594" s="1130"/>
      <c r="O594" s="1130"/>
      <c r="P594" s="1130"/>
      <c r="Q594" s="1130"/>
      <c r="R594" s="1130"/>
      <c r="S594" s="1130"/>
      <c r="T594" s="1130"/>
      <c r="U594" s="1130"/>
      <c r="V594" s="1130"/>
      <c r="W594" s="1130"/>
      <c r="X594" s="1130"/>
      <c r="Y594" s="1130"/>
      <c r="Z594" s="1130"/>
    </row>
    <row r="595" spans="1:26" ht="15.75" customHeight="1">
      <c r="A595" s="1130"/>
      <c r="B595" s="1130"/>
      <c r="C595" s="1130"/>
      <c r="D595" s="1130"/>
      <c r="E595" s="1130"/>
      <c r="F595" s="1130"/>
      <c r="G595" s="1130"/>
      <c r="H595" s="1130"/>
      <c r="I595" s="1130"/>
      <c r="J595" s="1130"/>
      <c r="K595" s="1130"/>
      <c r="L595" s="1130"/>
      <c r="M595" s="1130"/>
      <c r="N595" s="1130"/>
      <c r="O595" s="1130"/>
      <c r="P595" s="1130"/>
      <c r="Q595" s="1130"/>
      <c r="R595" s="1130"/>
      <c r="S595" s="1130"/>
      <c r="T595" s="1130"/>
      <c r="U595" s="1130"/>
      <c r="V595" s="1130"/>
      <c r="W595" s="1130"/>
      <c r="X595" s="1130"/>
      <c r="Y595" s="1130"/>
      <c r="Z595" s="1130"/>
    </row>
    <row r="596" spans="1:26" ht="15.75" customHeight="1">
      <c r="A596" s="1130"/>
      <c r="B596" s="1130"/>
      <c r="C596" s="1130"/>
      <c r="D596" s="1130"/>
      <c r="E596" s="1130"/>
      <c r="F596" s="1130"/>
      <c r="G596" s="1130"/>
      <c r="H596" s="1130"/>
      <c r="I596" s="1130"/>
      <c r="J596" s="1130"/>
      <c r="K596" s="1130"/>
      <c r="L596" s="1130"/>
      <c r="M596" s="1130"/>
      <c r="N596" s="1130"/>
      <c r="O596" s="1130"/>
      <c r="P596" s="1130"/>
      <c r="Q596" s="1130"/>
      <c r="R596" s="1130"/>
      <c r="S596" s="1130"/>
      <c r="T596" s="1130"/>
      <c r="U596" s="1130"/>
      <c r="V596" s="1130"/>
      <c r="W596" s="1130"/>
      <c r="X596" s="1130"/>
      <c r="Y596" s="1130"/>
      <c r="Z596" s="1130"/>
    </row>
    <row r="597" spans="1:26" ht="15.75" customHeight="1">
      <c r="A597" s="1130"/>
      <c r="B597" s="1130"/>
      <c r="C597" s="1130"/>
      <c r="D597" s="1130"/>
      <c r="E597" s="1130"/>
      <c r="F597" s="1130"/>
      <c r="G597" s="1130"/>
      <c r="H597" s="1130"/>
      <c r="I597" s="1130"/>
      <c r="J597" s="1130"/>
      <c r="K597" s="1130"/>
      <c r="L597" s="1130"/>
      <c r="M597" s="1130"/>
      <c r="N597" s="1130"/>
      <c r="O597" s="1130"/>
      <c r="P597" s="1130"/>
      <c r="Q597" s="1130"/>
      <c r="R597" s="1130"/>
      <c r="S597" s="1130"/>
      <c r="T597" s="1130"/>
      <c r="U597" s="1130"/>
      <c r="V597" s="1130"/>
      <c r="W597" s="1130"/>
      <c r="X597" s="1130"/>
      <c r="Y597" s="1130"/>
      <c r="Z597" s="1130"/>
    </row>
    <row r="598" spans="1:26" ht="15.75" customHeight="1">
      <c r="A598" s="1130"/>
      <c r="B598" s="1130"/>
      <c r="C598" s="1130"/>
      <c r="D598" s="1130"/>
      <c r="E598" s="1130"/>
      <c r="F598" s="1130"/>
      <c r="G598" s="1130"/>
      <c r="H598" s="1130"/>
      <c r="I598" s="1130"/>
      <c r="J598" s="1130"/>
      <c r="K598" s="1130"/>
      <c r="L598" s="1130"/>
      <c r="M598" s="1130"/>
      <c r="N598" s="1130"/>
      <c r="O598" s="1130"/>
      <c r="P598" s="1130"/>
      <c r="Q598" s="1130"/>
      <c r="R598" s="1130"/>
      <c r="S598" s="1130"/>
      <c r="T598" s="1130"/>
      <c r="U598" s="1130"/>
      <c r="V598" s="1130"/>
      <c r="W598" s="1130"/>
      <c r="X598" s="1130"/>
      <c r="Y598" s="1130"/>
      <c r="Z598" s="1130"/>
    </row>
    <row r="599" spans="1:26" ht="15.75" customHeight="1">
      <c r="A599" s="1130"/>
      <c r="B599" s="1130"/>
      <c r="C599" s="1130"/>
      <c r="D599" s="1130"/>
      <c r="E599" s="1130"/>
      <c r="F599" s="1130"/>
      <c r="G599" s="1130"/>
      <c r="H599" s="1130"/>
      <c r="I599" s="1130"/>
      <c r="J599" s="1130"/>
      <c r="K599" s="1130"/>
      <c r="L599" s="1130"/>
      <c r="M599" s="1130"/>
      <c r="N599" s="1130"/>
      <c r="O599" s="1130"/>
      <c r="P599" s="1130"/>
      <c r="Q599" s="1130"/>
      <c r="R599" s="1130"/>
      <c r="S599" s="1130"/>
      <c r="T599" s="1130"/>
      <c r="U599" s="1130"/>
      <c r="V599" s="1130"/>
      <c r="W599" s="1130"/>
      <c r="X599" s="1130"/>
      <c r="Y599" s="1130"/>
      <c r="Z599" s="1130"/>
    </row>
    <row r="600" spans="1:26" ht="15.75" customHeight="1">
      <c r="A600" s="1130"/>
      <c r="B600" s="1130"/>
      <c r="C600" s="1130"/>
      <c r="D600" s="1130"/>
      <c r="E600" s="1130"/>
      <c r="F600" s="1130"/>
      <c r="G600" s="1130"/>
      <c r="H600" s="1130"/>
      <c r="I600" s="1130"/>
      <c r="J600" s="1130"/>
      <c r="K600" s="1130"/>
      <c r="L600" s="1130"/>
      <c r="M600" s="1130"/>
      <c r="N600" s="1130"/>
      <c r="O600" s="1130"/>
      <c r="P600" s="1130"/>
      <c r="Q600" s="1130"/>
      <c r="R600" s="1130"/>
      <c r="S600" s="1130"/>
      <c r="T600" s="1130"/>
      <c r="U600" s="1130"/>
      <c r="V600" s="1130"/>
      <c r="W600" s="1130"/>
      <c r="X600" s="1130"/>
      <c r="Y600" s="1130"/>
      <c r="Z600" s="1130"/>
    </row>
    <row r="601" spans="1:26" ht="15.75" customHeight="1">
      <c r="A601" s="1130"/>
      <c r="B601" s="1130"/>
      <c r="C601" s="1130"/>
      <c r="D601" s="1130"/>
      <c r="E601" s="1130"/>
      <c r="F601" s="1130"/>
      <c r="G601" s="1130"/>
      <c r="H601" s="1130"/>
      <c r="I601" s="1130"/>
      <c r="J601" s="1130"/>
      <c r="K601" s="1130"/>
      <c r="L601" s="1130"/>
      <c r="M601" s="1130"/>
      <c r="N601" s="1130"/>
      <c r="O601" s="1130"/>
      <c r="P601" s="1130"/>
      <c r="Q601" s="1130"/>
      <c r="R601" s="1130"/>
      <c r="S601" s="1130"/>
      <c r="T601" s="1130"/>
      <c r="U601" s="1130"/>
      <c r="V601" s="1130"/>
      <c r="W601" s="1130"/>
      <c r="X601" s="1130"/>
      <c r="Y601" s="1130"/>
      <c r="Z601" s="1130"/>
    </row>
    <row r="602" spans="1:26" ht="15.75" customHeight="1">
      <c r="A602" s="1130"/>
      <c r="B602" s="1130"/>
      <c r="C602" s="1130"/>
      <c r="D602" s="1130"/>
      <c r="E602" s="1130"/>
      <c r="F602" s="1130"/>
      <c r="G602" s="1130"/>
      <c r="H602" s="1130"/>
      <c r="I602" s="1130"/>
      <c r="J602" s="1130"/>
      <c r="K602" s="1130"/>
      <c r="L602" s="1130"/>
      <c r="M602" s="1130"/>
      <c r="N602" s="1130"/>
      <c r="O602" s="1130"/>
      <c r="P602" s="1130"/>
      <c r="Q602" s="1130"/>
      <c r="R602" s="1130"/>
      <c r="S602" s="1130"/>
      <c r="T602" s="1130"/>
      <c r="U602" s="1130"/>
      <c r="V602" s="1130"/>
      <c r="W602" s="1130"/>
      <c r="X602" s="1130"/>
      <c r="Y602" s="1130"/>
      <c r="Z602" s="1130"/>
    </row>
    <row r="603" spans="1:26" ht="15.75" customHeight="1">
      <c r="A603" s="1130"/>
      <c r="B603" s="1130"/>
      <c r="C603" s="1130"/>
      <c r="D603" s="1130"/>
      <c r="E603" s="1130"/>
      <c r="F603" s="1130"/>
      <c r="G603" s="1130"/>
      <c r="H603" s="1130"/>
      <c r="I603" s="1130"/>
      <c r="J603" s="1130"/>
      <c r="K603" s="1130"/>
      <c r="L603" s="1130"/>
      <c r="M603" s="1130"/>
      <c r="N603" s="1130"/>
      <c r="O603" s="1130"/>
      <c r="P603" s="1130"/>
      <c r="Q603" s="1130"/>
      <c r="R603" s="1130"/>
      <c r="S603" s="1130"/>
      <c r="T603" s="1130"/>
      <c r="U603" s="1130"/>
      <c r="V603" s="1130"/>
      <c r="W603" s="1130"/>
      <c r="X603" s="1130"/>
      <c r="Y603" s="1130"/>
      <c r="Z603" s="1130"/>
    </row>
    <row r="604" spans="1:26" ht="15.75" customHeight="1">
      <c r="A604" s="1130"/>
      <c r="B604" s="1130"/>
      <c r="C604" s="1130"/>
      <c r="D604" s="1130"/>
      <c r="E604" s="1130"/>
      <c r="F604" s="1130"/>
      <c r="G604" s="1130"/>
      <c r="H604" s="1130"/>
      <c r="I604" s="1130"/>
      <c r="J604" s="1130"/>
      <c r="K604" s="1130"/>
      <c r="L604" s="1130"/>
      <c r="M604" s="1130"/>
      <c r="N604" s="1130"/>
      <c r="O604" s="1130"/>
      <c r="P604" s="1130"/>
      <c r="Q604" s="1130"/>
      <c r="R604" s="1130"/>
      <c r="S604" s="1130"/>
      <c r="T604" s="1130"/>
      <c r="U604" s="1130"/>
      <c r="V604" s="1130"/>
      <c r="W604" s="1130"/>
      <c r="X604" s="1130"/>
      <c r="Y604" s="1130"/>
      <c r="Z604" s="1130"/>
    </row>
    <row r="605" spans="1:26" ht="15.75" customHeight="1">
      <c r="A605" s="1130"/>
      <c r="B605" s="1130"/>
      <c r="C605" s="1130"/>
      <c r="D605" s="1130"/>
      <c r="E605" s="1130"/>
      <c r="F605" s="1130"/>
      <c r="G605" s="1130"/>
      <c r="H605" s="1130"/>
      <c r="I605" s="1130"/>
      <c r="J605" s="1130"/>
      <c r="K605" s="1130"/>
      <c r="L605" s="1130"/>
      <c r="M605" s="1130"/>
      <c r="N605" s="1130"/>
      <c r="O605" s="1130"/>
      <c r="P605" s="1130"/>
      <c r="Q605" s="1130"/>
      <c r="R605" s="1130"/>
      <c r="S605" s="1130"/>
      <c r="T605" s="1130"/>
      <c r="U605" s="1130"/>
      <c r="V605" s="1130"/>
      <c r="W605" s="1130"/>
      <c r="X605" s="1130"/>
      <c r="Y605" s="1130"/>
      <c r="Z605" s="1130"/>
    </row>
    <row r="606" spans="1:26" ht="15.75" customHeight="1">
      <c r="A606" s="1130"/>
      <c r="B606" s="1130"/>
      <c r="C606" s="1130"/>
      <c r="D606" s="1130"/>
      <c r="E606" s="1130"/>
      <c r="F606" s="1130"/>
      <c r="G606" s="1130"/>
      <c r="H606" s="1130"/>
      <c r="I606" s="1130"/>
      <c r="J606" s="1130"/>
      <c r="K606" s="1130"/>
      <c r="L606" s="1130"/>
      <c r="M606" s="1130"/>
      <c r="N606" s="1130"/>
      <c r="O606" s="1130"/>
      <c r="P606" s="1130"/>
      <c r="Q606" s="1130"/>
      <c r="R606" s="1130"/>
      <c r="S606" s="1130"/>
      <c r="T606" s="1130"/>
      <c r="U606" s="1130"/>
      <c r="V606" s="1130"/>
      <c r="W606" s="1130"/>
      <c r="X606" s="1130"/>
      <c r="Y606" s="1130"/>
      <c r="Z606" s="1130"/>
    </row>
    <row r="607" spans="1:26" ht="15.75" customHeight="1">
      <c r="A607" s="1130"/>
      <c r="B607" s="1130"/>
      <c r="C607" s="1130"/>
      <c r="D607" s="1130"/>
      <c r="E607" s="1130"/>
      <c r="F607" s="1130"/>
      <c r="G607" s="1130"/>
      <c r="H607" s="1130"/>
      <c r="I607" s="1130"/>
      <c r="J607" s="1130"/>
      <c r="K607" s="1130"/>
      <c r="L607" s="1130"/>
      <c r="M607" s="1130"/>
      <c r="N607" s="1130"/>
      <c r="O607" s="1130"/>
      <c r="P607" s="1130"/>
      <c r="Q607" s="1130"/>
      <c r="R607" s="1130"/>
      <c r="S607" s="1130"/>
      <c r="T607" s="1130"/>
      <c r="U607" s="1130"/>
      <c r="V607" s="1130"/>
      <c r="W607" s="1130"/>
      <c r="X607" s="1130"/>
      <c r="Y607" s="1130"/>
      <c r="Z607" s="1130"/>
    </row>
    <row r="608" spans="1:26" ht="15.75" customHeight="1">
      <c r="A608" s="1130"/>
      <c r="B608" s="1130"/>
      <c r="C608" s="1130"/>
      <c r="D608" s="1130"/>
      <c r="E608" s="1130"/>
      <c r="F608" s="1130"/>
      <c r="G608" s="1130"/>
      <c r="H608" s="1130"/>
      <c r="I608" s="1130"/>
      <c r="J608" s="1130"/>
      <c r="K608" s="1130"/>
      <c r="L608" s="1130"/>
      <c r="M608" s="1130"/>
      <c r="N608" s="1130"/>
      <c r="O608" s="1130"/>
      <c r="P608" s="1130"/>
      <c r="Q608" s="1130"/>
      <c r="R608" s="1130"/>
      <c r="S608" s="1130"/>
      <c r="T608" s="1130"/>
      <c r="U608" s="1130"/>
      <c r="V608" s="1130"/>
      <c r="W608" s="1130"/>
      <c r="X608" s="1130"/>
      <c r="Y608" s="1130"/>
      <c r="Z608" s="1130"/>
    </row>
    <row r="609" spans="1:26" ht="15.75" customHeight="1">
      <c r="A609" s="1130"/>
      <c r="B609" s="1130"/>
      <c r="C609" s="1130"/>
      <c r="D609" s="1130"/>
      <c r="E609" s="1130"/>
      <c r="F609" s="1130"/>
      <c r="G609" s="1130"/>
      <c r="H609" s="1130"/>
      <c r="I609" s="1130"/>
      <c r="J609" s="1130"/>
      <c r="K609" s="1130"/>
      <c r="L609" s="1130"/>
      <c r="M609" s="1130"/>
      <c r="N609" s="1130"/>
      <c r="O609" s="1130"/>
      <c r="P609" s="1130"/>
      <c r="Q609" s="1130"/>
      <c r="R609" s="1130"/>
      <c r="S609" s="1130"/>
      <c r="T609" s="1130"/>
      <c r="U609" s="1130"/>
      <c r="V609" s="1130"/>
      <c r="W609" s="1130"/>
      <c r="X609" s="1130"/>
      <c r="Y609" s="1130"/>
      <c r="Z609" s="1130"/>
    </row>
    <row r="610" spans="1:26" ht="15.75" customHeight="1">
      <c r="A610" s="1130"/>
      <c r="B610" s="1130"/>
      <c r="C610" s="1130"/>
      <c r="D610" s="1130"/>
      <c r="E610" s="1130"/>
      <c r="F610" s="1130"/>
      <c r="G610" s="1130"/>
      <c r="H610" s="1130"/>
      <c r="I610" s="1130"/>
      <c r="J610" s="1130"/>
      <c r="K610" s="1130"/>
      <c r="L610" s="1130"/>
      <c r="M610" s="1130"/>
      <c r="N610" s="1130"/>
      <c r="O610" s="1130"/>
      <c r="P610" s="1130"/>
      <c r="Q610" s="1130"/>
      <c r="R610" s="1130"/>
      <c r="S610" s="1130"/>
      <c r="T610" s="1130"/>
      <c r="U610" s="1130"/>
      <c r="V610" s="1130"/>
      <c r="W610" s="1130"/>
      <c r="X610" s="1130"/>
      <c r="Y610" s="1130"/>
      <c r="Z610" s="1130"/>
    </row>
    <row r="611" spans="1:26" ht="15.75" customHeight="1">
      <c r="A611" s="1130"/>
      <c r="B611" s="1130"/>
      <c r="C611" s="1130"/>
      <c r="D611" s="1130"/>
      <c r="E611" s="1130"/>
      <c r="F611" s="1130"/>
      <c r="G611" s="1130"/>
      <c r="H611" s="1130"/>
      <c r="I611" s="1130"/>
      <c r="J611" s="1130"/>
      <c r="K611" s="1130"/>
      <c r="L611" s="1130"/>
      <c r="M611" s="1130"/>
      <c r="N611" s="1130"/>
      <c r="O611" s="1130"/>
      <c r="P611" s="1130"/>
      <c r="Q611" s="1130"/>
      <c r="R611" s="1130"/>
      <c r="S611" s="1130"/>
      <c r="T611" s="1130"/>
      <c r="U611" s="1130"/>
      <c r="V611" s="1130"/>
      <c r="W611" s="1130"/>
      <c r="X611" s="1130"/>
      <c r="Y611" s="1130"/>
      <c r="Z611" s="1130"/>
    </row>
    <row r="612" spans="1:26" ht="15.75" customHeight="1">
      <c r="A612" s="1130"/>
      <c r="B612" s="1130"/>
      <c r="C612" s="1130"/>
      <c r="D612" s="1130"/>
      <c r="E612" s="1130"/>
      <c r="F612" s="1130"/>
      <c r="G612" s="1130"/>
      <c r="H612" s="1130"/>
      <c r="I612" s="1130"/>
      <c r="J612" s="1130"/>
      <c r="K612" s="1130"/>
      <c r="L612" s="1130"/>
      <c r="M612" s="1130"/>
      <c r="N612" s="1130"/>
      <c r="O612" s="1130"/>
      <c r="P612" s="1130"/>
      <c r="Q612" s="1130"/>
      <c r="R612" s="1130"/>
      <c r="S612" s="1130"/>
      <c r="T612" s="1130"/>
      <c r="U612" s="1130"/>
      <c r="V612" s="1130"/>
      <c r="W612" s="1130"/>
      <c r="X612" s="1130"/>
      <c r="Y612" s="1130"/>
      <c r="Z612" s="1130"/>
    </row>
    <row r="613" spans="1:26" ht="15.75" customHeight="1">
      <c r="A613" s="1130"/>
      <c r="B613" s="1130"/>
      <c r="C613" s="1130"/>
      <c r="D613" s="1130"/>
      <c r="E613" s="1130"/>
      <c r="F613" s="1130"/>
      <c r="G613" s="1130"/>
      <c r="H613" s="1130"/>
      <c r="I613" s="1130"/>
      <c r="J613" s="1130"/>
      <c r="K613" s="1130"/>
      <c r="L613" s="1130"/>
      <c r="M613" s="1130"/>
      <c r="N613" s="1130"/>
      <c r="O613" s="1130"/>
      <c r="P613" s="1130"/>
      <c r="Q613" s="1130"/>
      <c r="R613" s="1130"/>
      <c r="S613" s="1130"/>
      <c r="T613" s="1130"/>
      <c r="U613" s="1130"/>
      <c r="V613" s="1130"/>
      <c r="W613" s="1130"/>
      <c r="X613" s="1130"/>
      <c r="Y613" s="1130"/>
      <c r="Z613" s="1130"/>
    </row>
    <row r="614" spans="1:26" ht="15.75" customHeight="1">
      <c r="A614" s="1130"/>
      <c r="B614" s="1130"/>
      <c r="C614" s="1130"/>
      <c r="D614" s="1130"/>
      <c r="E614" s="1130"/>
      <c r="F614" s="1130"/>
      <c r="G614" s="1130"/>
      <c r="H614" s="1130"/>
      <c r="I614" s="1130"/>
      <c r="J614" s="1130"/>
      <c r="K614" s="1130"/>
      <c r="L614" s="1130"/>
      <c r="M614" s="1130"/>
      <c r="N614" s="1130"/>
      <c r="O614" s="1130"/>
      <c r="P614" s="1130"/>
      <c r="Q614" s="1130"/>
      <c r="R614" s="1130"/>
      <c r="S614" s="1130"/>
      <c r="T614" s="1130"/>
      <c r="U614" s="1130"/>
      <c r="V614" s="1130"/>
      <c r="W614" s="1130"/>
      <c r="X614" s="1130"/>
      <c r="Y614" s="1130"/>
      <c r="Z614" s="1130"/>
    </row>
    <row r="615" spans="1:26" ht="15.75" customHeight="1">
      <c r="A615" s="1130"/>
      <c r="B615" s="1130"/>
      <c r="C615" s="1130"/>
      <c r="D615" s="1130"/>
      <c r="E615" s="1130"/>
      <c r="F615" s="1130"/>
      <c r="G615" s="1130"/>
      <c r="H615" s="1130"/>
      <c r="I615" s="1130"/>
      <c r="J615" s="1130"/>
      <c r="K615" s="1130"/>
      <c r="L615" s="1130"/>
      <c r="M615" s="1130"/>
      <c r="N615" s="1130"/>
      <c r="O615" s="1130"/>
      <c r="P615" s="1130"/>
      <c r="Q615" s="1130"/>
      <c r="R615" s="1130"/>
      <c r="S615" s="1130"/>
      <c r="T615" s="1130"/>
      <c r="U615" s="1130"/>
      <c r="V615" s="1130"/>
      <c r="W615" s="1130"/>
      <c r="X615" s="1130"/>
      <c r="Y615" s="1130"/>
      <c r="Z615" s="1130"/>
    </row>
    <row r="616" spans="1:26" ht="15.75" customHeight="1">
      <c r="A616" s="1130"/>
      <c r="B616" s="1130"/>
      <c r="C616" s="1130"/>
      <c r="D616" s="1130"/>
      <c r="E616" s="1130"/>
      <c r="F616" s="1130"/>
      <c r="G616" s="1130"/>
      <c r="H616" s="1130"/>
      <c r="I616" s="1130"/>
      <c r="J616" s="1130"/>
      <c r="K616" s="1130"/>
      <c r="L616" s="1130"/>
      <c r="M616" s="1130"/>
      <c r="N616" s="1130"/>
      <c r="O616" s="1130"/>
      <c r="P616" s="1130"/>
      <c r="Q616" s="1130"/>
      <c r="R616" s="1130"/>
      <c r="S616" s="1130"/>
      <c r="T616" s="1130"/>
      <c r="U616" s="1130"/>
      <c r="V616" s="1130"/>
      <c r="W616" s="1130"/>
      <c r="X616" s="1130"/>
      <c r="Y616" s="1130"/>
      <c r="Z616" s="1130"/>
    </row>
    <row r="617" spans="1:26" ht="15.75" customHeight="1">
      <c r="A617" s="1130"/>
      <c r="B617" s="1130"/>
      <c r="C617" s="1130"/>
      <c r="D617" s="1130"/>
      <c r="E617" s="1130"/>
      <c r="F617" s="1130"/>
      <c r="G617" s="1130"/>
      <c r="H617" s="1130"/>
      <c r="I617" s="1130"/>
      <c r="J617" s="1130"/>
      <c r="K617" s="1130"/>
      <c r="L617" s="1130"/>
      <c r="M617" s="1130"/>
      <c r="N617" s="1130"/>
      <c r="O617" s="1130"/>
      <c r="P617" s="1130"/>
      <c r="Q617" s="1130"/>
      <c r="R617" s="1130"/>
      <c r="S617" s="1130"/>
      <c r="T617" s="1130"/>
      <c r="U617" s="1130"/>
      <c r="V617" s="1130"/>
      <c r="W617" s="1130"/>
      <c r="X617" s="1130"/>
      <c r="Y617" s="1130"/>
      <c r="Z617" s="1130"/>
    </row>
    <row r="618" spans="1:26" ht="15.75" customHeight="1">
      <c r="A618" s="1130"/>
      <c r="B618" s="1130"/>
      <c r="C618" s="1130"/>
      <c r="D618" s="1130"/>
      <c r="E618" s="1130"/>
      <c r="F618" s="1130"/>
      <c r="G618" s="1130"/>
      <c r="H618" s="1130"/>
      <c r="I618" s="1130"/>
      <c r="J618" s="1130"/>
      <c r="K618" s="1130"/>
      <c r="L618" s="1130"/>
      <c r="M618" s="1130"/>
      <c r="N618" s="1130"/>
      <c r="O618" s="1130"/>
      <c r="P618" s="1130"/>
      <c r="Q618" s="1130"/>
      <c r="R618" s="1130"/>
      <c r="S618" s="1130"/>
      <c r="T618" s="1130"/>
      <c r="U618" s="1130"/>
      <c r="V618" s="1130"/>
      <c r="W618" s="1130"/>
      <c r="X618" s="1130"/>
      <c r="Y618" s="1130"/>
      <c r="Z618" s="1130"/>
    </row>
    <row r="619" spans="1:26" ht="15.75" customHeight="1">
      <c r="A619" s="1130"/>
      <c r="B619" s="1130"/>
      <c r="C619" s="1130"/>
      <c r="D619" s="1130"/>
      <c r="E619" s="1130"/>
      <c r="F619" s="1130"/>
      <c r="G619" s="1130"/>
      <c r="H619" s="1130"/>
      <c r="I619" s="1130"/>
      <c r="J619" s="1130"/>
      <c r="K619" s="1130"/>
      <c r="L619" s="1130"/>
      <c r="M619" s="1130"/>
      <c r="N619" s="1130"/>
      <c r="O619" s="1130"/>
      <c r="P619" s="1130"/>
      <c r="Q619" s="1130"/>
      <c r="R619" s="1130"/>
      <c r="S619" s="1130"/>
      <c r="T619" s="1130"/>
      <c r="U619" s="1130"/>
      <c r="V619" s="1130"/>
      <c r="W619" s="1130"/>
      <c r="X619" s="1130"/>
      <c r="Y619" s="1130"/>
      <c r="Z619" s="1130"/>
    </row>
    <row r="620" spans="1:26" ht="15.75" customHeight="1">
      <c r="A620" s="1130"/>
      <c r="B620" s="1130"/>
      <c r="C620" s="1130"/>
      <c r="D620" s="1130"/>
      <c r="E620" s="1130"/>
      <c r="F620" s="1130"/>
      <c r="G620" s="1130"/>
      <c r="H620" s="1130"/>
      <c r="I620" s="1130"/>
      <c r="J620" s="1130"/>
      <c r="K620" s="1130"/>
      <c r="L620" s="1130"/>
      <c r="M620" s="1130"/>
      <c r="N620" s="1130"/>
      <c r="O620" s="1130"/>
      <c r="P620" s="1130"/>
      <c r="Q620" s="1130"/>
      <c r="R620" s="1130"/>
      <c r="S620" s="1130"/>
      <c r="T620" s="1130"/>
      <c r="U620" s="1130"/>
      <c r="V620" s="1130"/>
      <c r="W620" s="1130"/>
      <c r="X620" s="1130"/>
      <c r="Y620" s="1130"/>
      <c r="Z620" s="1130"/>
    </row>
    <row r="621" spans="1:26" ht="15.75" customHeight="1">
      <c r="A621" s="1130"/>
      <c r="B621" s="1130"/>
      <c r="C621" s="1130"/>
      <c r="D621" s="1130"/>
      <c r="E621" s="1130"/>
      <c r="F621" s="1130"/>
      <c r="G621" s="1130"/>
      <c r="H621" s="1130"/>
      <c r="I621" s="1130"/>
      <c r="J621" s="1130"/>
      <c r="K621" s="1130"/>
      <c r="L621" s="1130"/>
      <c r="M621" s="1130"/>
      <c r="N621" s="1130"/>
      <c r="O621" s="1130"/>
      <c r="P621" s="1130"/>
      <c r="Q621" s="1130"/>
      <c r="R621" s="1130"/>
      <c r="S621" s="1130"/>
      <c r="T621" s="1130"/>
      <c r="U621" s="1130"/>
      <c r="V621" s="1130"/>
      <c r="W621" s="1130"/>
      <c r="X621" s="1130"/>
      <c r="Y621" s="1130"/>
      <c r="Z621" s="1130"/>
    </row>
    <row r="622" spans="1:26" ht="15.75" customHeight="1">
      <c r="A622" s="1130"/>
      <c r="B622" s="1130"/>
      <c r="C622" s="1130"/>
      <c r="D622" s="1130"/>
      <c r="E622" s="1130"/>
      <c r="F622" s="1130"/>
      <c r="G622" s="1130"/>
      <c r="H622" s="1130"/>
      <c r="I622" s="1130"/>
      <c r="J622" s="1130"/>
      <c r="K622" s="1130"/>
      <c r="L622" s="1130"/>
      <c r="M622" s="1130"/>
      <c r="N622" s="1130"/>
      <c r="O622" s="1130"/>
      <c r="P622" s="1130"/>
      <c r="Q622" s="1130"/>
      <c r="R622" s="1130"/>
      <c r="S622" s="1130"/>
      <c r="T622" s="1130"/>
      <c r="U622" s="1130"/>
      <c r="V622" s="1130"/>
      <c r="W622" s="1130"/>
      <c r="X622" s="1130"/>
      <c r="Y622" s="1130"/>
      <c r="Z622" s="1130"/>
    </row>
    <row r="623" spans="1:26" ht="15.75" customHeight="1">
      <c r="A623" s="1130"/>
      <c r="B623" s="1130"/>
      <c r="C623" s="1130"/>
      <c r="D623" s="1130"/>
      <c r="E623" s="1130"/>
      <c r="F623" s="1130"/>
      <c r="G623" s="1130"/>
      <c r="H623" s="1130"/>
      <c r="I623" s="1130"/>
      <c r="J623" s="1130"/>
      <c r="K623" s="1130"/>
      <c r="L623" s="1130"/>
      <c r="M623" s="1130"/>
      <c r="N623" s="1130"/>
      <c r="O623" s="1130"/>
      <c r="P623" s="1130"/>
      <c r="Q623" s="1130"/>
      <c r="R623" s="1130"/>
      <c r="S623" s="1130"/>
      <c r="T623" s="1130"/>
      <c r="U623" s="1130"/>
      <c r="V623" s="1130"/>
      <c r="W623" s="1130"/>
      <c r="X623" s="1130"/>
      <c r="Y623" s="1130"/>
      <c r="Z623" s="1130"/>
    </row>
    <row r="624" spans="1:26" ht="15.75" customHeight="1">
      <c r="A624" s="1130"/>
      <c r="B624" s="1130"/>
      <c r="C624" s="1130"/>
      <c r="D624" s="1130"/>
      <c r="E624" s="1130"/>
      <c r="F624" s="1130"/>
      <c r="G624" s="1130"/>
      <c r="H624" s="1130"/>
      <c r="I624" s="1130"/>
      <c r="J624" s="1130"/>
      <c r="K624" s="1130"/>
      <c r="L624" s="1130"/>
      <c r="M624" s="1130"/>
      <c r="N624" s="1130"/>
      <c r="O624" s="1130"/>
      <c r="P624" s="1130"/>
      <c r="Q624" s="1130"/>
      <c r="R624" s="1130"/>
      <c r="S624" s="1130"/>
      <c r="T624" s="1130"/>
      <c r="U624" s="1130"/>
      <c r="V624" s="1130"/>
      <c r="W624" s="1130"/>
      <c r="X624" s="1130"/>
      <c r="Y624" s="1130"/>
      <c r="Z624" s="1130"/>
    </row>
    <row r="625" spans="1:26" ht="15.75" customHeight="1">
      <c r="A625" s="1130"/>
      <c r="B625" s="1130"/>
      <c r="C625" s="1130"/>
      <c r="D625" s="1130"/>
      <c r="E625" s="1130"/>
      <c r="F625" s="1130"/>
      <c r="G625" s="1130"/>
      <c r="H625" s="1130"/>
      <c r="I625" s="1130"/>
      <c r="J625" s="1130"/>
      <c r="K625" s="1130"/>
      <c r="L625" s="1130"/>
      <c r="M625" s="1130"/>
      <c r="N625" s="1130"/>
      <c r="O625" s="1130"/>
      <c r="P625" s="1130"/>
      <c r="Q625" s="1130"/>
      <c r="R625" s="1130"/>
      <c r="S625" s="1130"/>
      <c r="T625" s="1130"/>
      <c r="U625" s="1130"/>
      <c r="V625" s="1130"/>
      <c r="W625" s="1130"/>
      <c r="X625" s="1130"/>
      <c r="Y625" s="1130"/>
      <c r="Z625" s="1130"/>
    </row>
    <row r="626" spans="1:26" ht="15.75" customHeight="1">
      <c r="A626" s="1130"/>
      <c r="B626" s="1130"/>
      <c r="C626" s="1130"/>
      <c r="D626" s="1130"/>
      <c r="E626" s="1130"/>
      <c r="F626" s="1130"/>
      <c r="G626" s="1130"/>
      <c r="H626" s="1130"/>
      <c r="I626" s="1130"/>
      <c r="J626" s="1130"/>
      <c r="K626" s="1130"/>
      <c r="L626" s="1130"/>
      <c r="M626" s="1130"/>
      <c r="N626" s="1130"/>
      <c r="O626" s="1130"/>
      <c r="P626" s="1130"/>
      <c r="Q626" s="1130"/>
      <c r="R626" s="1130"/>
      <c r="S626" s="1130"/>
      <c r="T626" s="1130"/>
      <c r="U626" s="1130"/>
      <c r="V626" s="1130"/>
      <c r="W626" s="1130"/>
      <c r="X626" s="1130"/>
      <c r="Y626" s="1130"/>
      <c r="Z626" s="1130"/>
    </row>
    <row r="627" spans="1:26" ht="15.75" customHeight="1">
      <c r="A627" s="1130"/>
      <c r="B627" s="1130"/>
      <c r="C627" s="1130"/>
      <c r="D627" s="1130"/>
      <c r="E627" s="1130"/>
      <c r="F627" s="1130"/>
      <c r="G627" s="1130"/>
      <c r="H627" s="1130"/>
      <c r="I627" s="1130"/>
      <c r="J627" s="1130"/>
      <c r="K627" s="1130"/>
      <c r="L627" s="1130"/>
      <c r="M627" s="1130"/>
      <c r="N627" s="1130"/>
      <c r="O627" s="1130"/>
      <c r="P627" s="1130"/>
      <c r="Q627" s="1130"/>
      <c r="R627" s="1130"/>
      <c r="S627" s="1130"/>
      <c r="T627" s="1130"/>
      <c r="U627" s="1130"/>
      <c r="V627" s="1130"/>
      <c r="W627" s="1130"/>
      <c r="X627" s="1130"/>
      <c r="Y627" s="1130"/>
      <c r="Z627" s="1130"/>
    </row>
    <row r="628" spans="1:26" ht="15.75" customHeight="1">
      <c r="A628" s="1130"/>
      <c r="B628" s="1130"/>
      <c r="C628" s="1130"/>
      <c r="D628" s="1130"/>
      <c r="E628" s="1130"/>
      <c r="F628" s="1130"/>
      <c r="G628" s="1130"/>
      <c r="H628" s="1130"/>
      <c r="I628" s="1130"/>
      <c r="J628" s="1130"/>
      <c r="K628" s="1130"/>
      <c r="L628" s="1130"/>
      <c r="M628" s="1130"/>
      <c r="N628" s="1130"/>
      <c r="O628" s="1130"/>
      <c r="P628" s="1130"/>
      <c r="Q628" s="1130"/>
      <c r="R628" s="1130"/>
      <c r="S628" s="1130"/>
      <c r="T628" s="1130"/>
      <c r="U628" s="1130"/>
      <c r="V628" s="1130"/>
      <c r="W628" s="1130"/>
      <c r="X628" s="1130"/>
      <c r="Y628" s="1130"/>
      <c r="Z628" s="1130"/>
    </row>
    <row r="629" spans="1:26" ht="15.75" customHeight="1">
      <c r="A629" s="1130"/>
      <c r="B629" s="1130"/>
      <c r="C629" s="1130"/>
      <c r="D629" s="1130"/>
      <c r="E629" s="1130"/>
      <c r="F629" s="1130"/>
      <c r="G629" s="1130"/>
      <c r="H629" s="1130"/>
      <c r="I629" s="1130"/>
      <c r="J629" s="1130"/>
      <c r="K629" s="1130"/>
      <c r="L629" s="1130"/>
      <c r="M629" s="1130"/>
      <c r="N629" s="1130"/>
      <c r="O629" s="1130"/>
      <c r="P629" s="1130"/>
      <c r="Q629" s="1130"/>
      <c r="R629" s="1130"/>
      <c r="S629" s="1130"/>
      <c r="T629" s="1130"/>
      <c r="U629" s="1130"/>
      <c r="V629" s="1130"/>
      <c r="W629" s="1130"/>
      <c r="X629" s="1130"/>
      <c r="Y629" s="1130"/>
      <c r="Z629" s="1130"/>
    </row>
    <row r="630" spans="1:26" ht="15.75" customHeight="1">
      <c r="A630" s="1130"/>
      <c r="B630" s="1130"/>
      <c r="C630" s="1130"/>
      <c r="D630" s="1130"/>
      <c r="E630" s="1130"/>
      <c r="F630" s="1130"/>
      <c r="G630" s="1130"/>
      <c r="H630" s="1130"/>
      <c r="I630" s="1130"/>
      <c r="J630" s="1130"/>
      <c r="K630" s="1130"/>
      <c r="L630" s="1130"/>
      <c r="M630" s="1130"/>
      <c r="N630" s="1130"/>
      <c r="O630" s="1130"/>
      <c r="P630" s="1130"/>
      <c r="Q630" s="1130"/>
      <c r="R630" s="1130"/>
      <c r="S630" s="1130"/>
      <c r="T630" s="1130"/>
      <c r="U630" s="1130"/>
      <c r="V630" s="1130"/>
      <c r="W630" s="1130"/>
      <c r="X630" s="1130"/>
      <c r="Y630" s="1130"/>
      <c r="Z630" s="1130"/>
    </row>
    <row r="631" spans="1:26" ht="15.75" customHeight="1">
      <c r="A631" s="1130"/>
      <c r="B631" s="1130"/>
      <c r="C631" s="1130"/>
      <c r="D631" s="1130"/>
      <c r="E631" s="1130"/>
      <c r="F631" s="1130"/>
      <c r="G631" s="1130"/>
      <c r="H631" s="1130"/>
      <c r="I631" s="1130"/>
      <c r="J631" s="1130"/>
      <c r="K631" s="1130"/>
      <c r="L631" s="1130"/>
      <c r="M631" s="1130"/>
      <c r="N631" s="1130"/>
      <c r="O631" s="1130"/>
      <c r="P631" s="1130"/>
      <c r="Q631" s="1130"/>
      <c r="R631" s="1130"/>
      <c r="S631" s="1130"/>
      <c r="T631" s="1130"/>
      <c r="U631" s="1130"/>
      <c r="V631" s="1130"/>
      <c r="W631" s="1130"/>
      <c r="X631" s="1130"/>
      <c r="Y631" s="1130"/>
      <c r="Z631" s="1130"/>
    </row>
    <row r="632" spans="1:26" ht="15.75" customHeight="1">
      <c r="A632" s="1130"/>
      <c r="B632" s="1130"/>
      <c r="C632" s="1130"/>
      <c r="D632" s="1130"/>
      <c r="E632" s="1130"/>
      <c r="F632" s="1130"/>
      <c r="G632" s="1130"/>
      <c r="H632" s="1130"/>
      <c r="I632" s="1130"/>
      <c r="J632" s="1130"/>
      <c r="K632" s="1130"/>
      <c r="L632" s="1130"/>
      <c r="M632" s="1130"/>
      <c r="N632" s="1130"/>
      <c r="O632" s="1130"/>
      <c r="P632" s="1130"/>
      <c r="Q632" s="1130"/>
      <c r="R632" s="1130"/>
      <c r="S632" s="1130"/>
      <c r="T632" s="1130"/>
      <c r="U632" s="1130"/>
      <c r="V632" s="1130"/>
      <c r="W632" s="1130"/>
      <c r="X632" s="1130"/>
      <c r="Y632" s="1130"/>
      <c r="Z632" s="1130"/>
    </row>
    <row r="633" spans="1:26" ht="15.75" customHeight="1">
      <c r="A633" s="1130"/>
      <c r="B633" s="1130"/>
      <c r="C633" s="1130"/>
      <c r="D633" s="1130"/>
      <c r="E633" s="1130"/>
      <c r="F633" s="1130"/>
      <c r="G633" s="1130"/>
      <c r="H633" s="1130"/>
      <c r="I633" s="1130"/>
      <c r="J633" s="1130"/>
      <c r="K633" s="1130"/>
      <c r="L633" s="1130"/>
      <c r="M633" s="1130"/>
      <c r="N633" s="1130"/>
      <c r="O633" s="1130"/>
      <c r="P633" s="1130"/>
      <c r="Q633" s="1130"/>
      <c r="R633" s="1130"/>
      <c r="S633" s="1130"/>
      <c r="T633" s="1130"/>
      <c r="U633" s="1130"/>
      <c r="V633" s="1130"/>
      <c r="W633" s="1130"/>
      <c r="X633" s="1130"/>
      <c r="Y633" s="1130"/>
      <c r="Z633" s="1130"/>
    </row>
    <row r="634" spans="1:26" ht="15.75" customHeight="1">
      <c r="A634" s="1130"/>
      <c r="B634" s="1130"/>
      <c r="C634" s="1130"/>
      <c r="D634" s="1130"/>
      <c r="E634" s="1130"/>
      <c r="F634" s="1130"/>
      <c r="G634" s="1130"/>
      <c r="H634" s="1130"/>
      <c r="I634" s="1130"/>
      <c r="J634" s="1130"/>
      <c r="K634" s="1130"/>
      <c r="L634" s="1130"/>
      <c r="M634" s="1130"/>
      <c r="N634" s="1130"/>
      <c r="O634" s="1130"/>
      <c r="P634" s="1130"/>
      <c r="Q634" s="1130"/>
      <c r="R634" s="1130"/>
      <c r="S634" s="1130"/>
      <c r="T634" s="1130"/>
      <c r="U634" s="1130"/>
      <c r="V634" s="1130"/>
      <c r="W634" s="1130"/>
      <c r="X634" s="1130"/>
      <c r="Y634" s="1130"/>
      <c r="Z634" s="1130"/>
    </row>
    <row r="635" spans="1:26" ht="15.75" customHeight="1">
      <c r="A635" s="1130"/>
      <c r="B635" s="1130"/>
      <c r="C635" s="1130"/>
      <c r="D635" s="1130"/>
      <c r="E635" s="1130"/>
      <c r="F635" s="1130"/>
      <c r="G635" s="1130"/>
      <c r="H635" s="1130"/>
      <c r="I635" s="1130"/>
      <c r="J635" s="1130"/>
      <c r="K635" s="1130"/>
      <c r="L635" s="1130"/>
      <c r="M635" s="1130"/>
      <c r="N635" s="1130"/>
      <c r="O635" s="1130"/>
      <c r="P635" s="1130"/>
      <c r="Q635" s="1130"/>
      <c r="R635" s="1130"/>
      <c r="S635" s="1130"/>
      <c r="T635" s="1130"/>
      <c r="U635" s="1130"/>
      <c r="V635" s="1130"/>
      <c r="W635" s="1130"/>
      <c r="X635" s="1130"/>
      <c r="Y635" s="1130"/>
      <c r="Z635" s="1130"/>
    </row>
    <row r="636" spans="1:26" ht="15.75" customHeight="1">
      <c r="A636" s="1130"/>
      <c r="B636" s="1130"/>
      <c r="C636" s="1130"/>
      <c r="D636" s="1130"/>
      <c r="E636" s="1130"/>
      <c r="F636" s="1130"/>
      <c r="G636" s="1130"/>
      <c r="H636" s="1130"/>
      <c r="I636" s="1130"/>
      <c r="J636" s="1130"/>
      <c r="K636" s="1130"/>
      <c r="L636" s="1130"/>
      <c r="M636" s="1130"/>
      <c r="N636" s="1130"/>
      <c r="O636" s="1130"/>
      <c r="P636" s="1130"/>
      <c r="Q636" s="1130"/>
      <c r="R636" s="1130"/>
      <c r="S636" s="1130"/>
      <c r="T636" s="1130"/>
      <c r="U636" s="1130"/>
      <c r="V636" s="1130"/>
      <c r="W636" s="1130"/>
      <c r="X636" s="1130"/>
      <c r="Y636" s="1130"/>
      <c r="Z636" s="1130"/>
    </row>
    <row r="637" spans="1:26" ht="15.75" customHeight="1">
      <c r="A637" s="1130"/>
      <c r="B637" s="1130"/>
      <c r="C637" s="1130"/>
      <c r="D637" s="1130"/>
      <c r="E637" s="1130"/>
      <c r="F637" s="1130"/>
      <c r="G637" s="1130"/>
      <c r="H637" s="1130"/>
      <c r="I637" s="1130"/>
      <c r="J637" s="1130"/>
      <c r="K637" s="1130"/>
      <c r="L637" s="1130"/>
      <c r="M637" s="1130"/>
      <c r="N637" s="1130"/>
      <c r="O637" s="1130"/>
      <c r="P637" s="1130"/>
      <c r="Q637" s="1130"/>
      <c r="R637" s="1130"/>
      <c r="S637" s="1130"/>
      <c r="T637" s="1130"/>
      <c r="U637" s="1130"/>
      <c r="V637" s="1130"/>
      <c r="W637" s="1130"/>
      <c r="X637" s="1130"/>
      <c r="Y637" s="1130"/>
      <c r="Z637" s="1130"/>
    </row>
    <row r="638" spans="1:26" ht="15.75" customHeight="1">
      <c r="A638" s="1130"/>
      <c r="B638" s="1130"/>
      <c r="C638" s="1130"/>
      <c r="D638" s="1130"/>
      <c r="E638" s="1130"/>
      <c r="F638" s="1130"/>
      <c r="G638" s="1130"/>
      <c r="H638" s="1130"/>
      <c r="I638" s="1130"/>
      <c r="J638" s="1130"/>
      <c r="K638" s="1130"/>
      <c r="L638" s="1130"/>
      <c r="M638" s="1130"/>
      <c r="N638" s="1130"/>
      <c r="O638" s="1130"/>
      <c r="P638" s="1130"/>
      <c r="Q638" s="1130"/>
      <c r="R638" s="1130"/>
      <c r="S638" s="1130"/>
      <c r="T638" s="1130"/>
      <c r="U638" s="1130"/>
      <c r="V638" s="1130"/>
      <c r="W638" s="1130"/>
      <c r="X638" s="1130"/>
      <c r="Y638" s="1130"/>
      <c r="Z638" s="1130"/>
    </row>
    <row r="639" spans="1:26" ht="15.75" customHeight="1">
      <c r="A639" s="1130"/>
      <c r="B639" s="1130"/>
      <c r="C639" s="1130"/>
      <c r="D639" s="1130"/>
      <c r="E639" s="1130"/>
      <c r="F639" s="1130"/>
      <c r="G639" s="1130"/>
      <c r="H639" s="1130"/>
      <c r="I639" s="1130"/>
      <c r="J639" s="1130"/>
      <c r="K639" s="1130"/>
      <c r="L639" s="1130"/>
      <c r="M639" s="1130"/>
      <c r="N639" s="1130"/>
      <c r="O639" s="1130"/>
      <c r="P639" s="1130"/>
      <c r="Q639" s="1130"/>
      <c r="R639" s="1130"/>
      <c r="S639" s="1130"/>
      <c r="T639" s="1130"/>
      <c r="U639" s="1130"/>
      <c r="V639" s="1130"/>
      <c r="W639" s="1130"/>
      <c r="X639" s="1130"/>
      <c r="Y639" s="1130"/>
      <c r="Z639" s="1130"/>
    </row>
    <row r="640" spans="1:26" ht="15.75" customHeight="1">
      <c r="A640" s="1130"/>
      <c r="B640" s="1130"/>
      <c r="C640" s="1130"/>
      <c r="D640" s="1130"/>
      <c r="E640" s="1130"/>
      <c r="F640" s="1130"/>
      <c r="G640" s="1130"/>
      <c r="H640" s="1130"/>
      <c r="I640" s="1130"/>
      <c r="J640" s="1130"/>
      <c r="K640" s="1130"/>
      <c r="L640" s="1130"/>
      <c r="M640" s="1130"/>
      <c r="N640" s="1130"/>
      <c r="O640" s="1130"/>
      <c r="P640" s="1130"/>
      <c r="Q640" s="1130"/>
      <c r="R640" s="1130"/>
      <c r="S640" s="1130"/>
      <c r="T640" s="1130"/>
      <c r="U640" s="1130"/>
      <c r="V640" s="1130"/>
      <c r="W640" s="1130"/>
      <c r="X640" s="1130"/>
      <c r="Y640" s="1130"/>
      <c r="Z640" s="1130"/>
    </row>
    <row r="641" spans="1:26" ht="15.75" customHeight="1">
      <c r="A641" s="1130"/>
      <c r="B641" s="1130"/>
      <c r="C641" s="1130"/>
      <c r="D641" s="1130"/>
      <c r="E641" s="1130"/>
      <c r="F641" s="1130"/>
      <c r="G641" s="1130"/>
      <c r="H641" s="1130"/>
      <c r="I641" s="1130"/>
      <c r="J641" s="1130"/>
      <c r="K641" s="1130"/>
      <c r="L641" s="1130"/>
      <c r="M641" s="1130"/>
      <c r="N641" s="1130"/>
      <c r="O641" s="1130"/>
      <c r="P641" s="1130"/>
      <c r="Q641" s="1130"/>
      <c r="R641" s="1130"/>
      <c r="S641" s="1130"/>
      <c r="T641" s="1130"/>
      <c r="U641" s="1130"/>
      <c r="V641" s="1130"/>
      <c r="W641" s="1130"/>
      <c r="X641" s="1130"/>
      <c r="Y641" s="1130"/>
      <c r="Z641" s="1130"/>
    </row>
    <row r="642" spans="1:26" ht="15.75" customHeight="1">
      <c r="A642" s="1130"/>
      <c r="B642" s="1130"/>
      <c r="C642" s="1130"/>
      <c r="D642" s="1130"/>
      <c r="E642" s="1130"/>
      <c r="F642" s="1130"/>
      <c r="G642" s="1130"/>
      <c r="H642" s="1130"/>
      <c r="I642" s="1130"/>
      <c r="J642" s="1130"/>
      <c r="K642" s="1130"/>
      <c r="L642" s="1130"/>
      <c r="M642" s="1130"/>
      <c r="N642" s="1130"/>
      <c r="O642" s="1130"/>
      <c r="P642" s="1130"/>
      <c r="Q642" s="1130"/>
      <c r="R642" s="1130"/>
      <c r="S642" s="1130"/>
      <c r="T642" s="1130"/>
      <c r="U642" s="1130"/>
      <c r="V642" s="1130"/>
      <c r="W642" s="1130"/>
      <c r="X642" s="1130"/>
      <c r="Y642" s="1130"/>
      <c r="Z642" s="1130"/>
    </row>
    <row r="643" spans="1:26" ht="15.75" customHeight="1">
      <c r="A643" s="1130"/>
      <c r="B643" s="1130"/>
      <c r="C643" s="1130"/>
      <c r="D643" s="1130"/>
      <c r="E643" s="1130"/>
      <c r="F643" s="1130"/>
      <c r="G643" s="1130"/>
      <c r="H643" s="1130"/>
      <c r="I643" s="1130"/>
      <c r="J643" s="1130"/>
      <c r="K643" s="1130"/>
      <c r="L643" s="1130"/>
      <c r="M643" s="1130"/>
      <c r="N643" s="1130"/>
      <c r="O643" s="1130"/>
      <c r="P643" s="1130"/>
      <c r="Q643" s="1130"/>
      <c r="R643" s="1130"/>
      <c r="S643" s="1130"/>
      <c r="T643" s="1130"/>
      <c r="U643" s="1130"/>
      <c r="V643" s="1130"/>
      <c r="W643" s="1130"/>
      <c r="X643" s="1130"/>
      <c r="Y643" s="1130"/>
      <c r="Z643" s="1130"/>
    </row>
    <row r="644" spans="1:26" ht="15.75" customHeight="1">
      <c r="A644" s="1130"/>
      <c r="B644" s="1130"/>
      <c r="C644" s="1130"/>
      <c r="D644" s="1130"/>
      <c r="E644" s="1130"/>
      <c r="F644" s="1130"/>
      <c r="G644" s="1130"/>
      <c r="H644" s="1130"/>
      <c r="I644" s="1130"/>
      <c r="J644" s="1130"/>
      <c r="K644" s="1130"/>
      <c r="L644" s="1130"/>
      <c r="M644" s="1130"/>
      <c r="N644" s="1130"/>
      <c r="O644" s="1130"/>
      <c r="P644" s="1130"/>
      <c r="Q644" s="1130"/>
      <c r="R644" s="1130"/>
      <c r="S644" s="1130"/>
      <c r="T644" s="1130"/>
      <c r="U644" s="1130"/>
      <c r="V644" s="1130"/>
      <c r="W644" s="1130"/>
      <c r="X644" s="1130"/>
      <c r="Y644" s="1130"/>
      <c r="Z644" s="1130"/>
    </row>
    <row r="645" spans="1:26" ht="15.75" customHeight="1">
      <c r="A645" s="1130"/>
      <c r="B645" s="1130"/>
      <c r="C645" s="1130"/>
      <c r="D645" s="1130"/>
      <c r="E645" s="1130"/>
      <c r="F645" s="1130"/>
      <c r="G645" s="1130"/>
      <c r="H645" s="1130"/>
      <c r="I645" s="1130"/>
      <c r="J645" s="1130"/>
      <c r="K645" s="1130"/>
      <c r="L645" s="1130"/>
      <c r="M645" s="1130"/>
      <c r="N645" s="1130"/>
      <c r="O645" s="1130"/>
      <c r="P645" s="1130"/>
      <c r="Q645" s="1130"/>
      <c r="R645" s="1130"/>
      <c r="S645" s="1130"/>
      <c r="T645" s="1130"/>
      <c r="U645" s="1130"/>
      <c r="V645" s="1130"/>
      <c r="W645" s="1130"/>
      <c r="X645" s="1130"/>
      <c r="Y645" s="1130"/>
      <c r="Z645" s="1130"/>
    </row>
    <row r="646" spans="1:26" ht="15.75" customHeight="1">
      <c r="A646" s="1130"/>
      <c r="B646" s="1130"/>
      <c r="C646" s="1130"/>
      <c r="D646" s="1130"/>
      <c r="E646" s="1130"/>
      <c r="F646" s="1130"/>
      <c r="G646" s="1130"/>
      <c r="H646" s="1130"/>
      <c r="I646" s="1130"/>
      <c r="J646" s="1130"/>
      <c r="K646" s="1130"/>
      <c r="L646" s="1130"/>
      <c r="M646" s="1130"/>
      <c r="N646" s="1130"/>
      <c r="O646" s="1130"/>
      <c r="P646" s="1130"/>
      <c r="Q646" s="1130"/>
      <c r="R646" s="1130"/>
      <c r="S646" s="1130"/>
      <c r="T646" s="1130"/>
      <c r="U646" s="1130"/>
      <c r="V646" s="1130"/>
      <c r="W646" s="1130"/>
      <c r="X646" s="1130"/>
      <c r="Y646" s="1130"/>
      <c r="Z646" s="1130"/>
    </row>
    <row r="647" spans="1:26" ht="15.75" customHeight="1">
      <c r="A647" s="1130"/>
      <c r="B647" s="1130"/>
      <c r="C647" s="1130"/>
      <c r="D647" s="1130"/>
      <c r="E647" s="1130"/>
      <c r="F647" s="1130"/>
      <c r="G647" s="1130"/>
      <c r="H647" s="1130"/>
      <c r="I647" s="1130"/>
      <c r="J647" s="1130"/>
      <c r="K647" s="1130"/>
      <c r="L647" s="1130"/>
      <c r="M647" s="1130"/>
      <c r="N647" s="1130"/>
      <c r="O647" s="1130"/>
      <c r="P647" s="1130"/>
      <c r="Q647" s="1130"/>
      <c r="R647" s="1130"/>
      <c r="S647" s="1130"/>
      <c r="T647" s="1130"/>
      <c r="U647" s="1130"/>
      <c r="V647" s="1130"/>
      <c r="W647" s="1130"/>
      <c r="X647" s="1130"/>
      <c r="Y647" s="1130"/>
      <c r="Z647" s="1130"/>
    </row>
    <row r="648" spans="1:26" ht="15.75" customHeight="1">
      <c r="A648" s="1130"/>
      <c r="B648" s="1130"/>
      <c r="C648" s="1130"/>
      <c r="D648" s="1130"/>
      <c r="E648" s="1130"/>
      <c r="F648" s="1130"/>
      <c r="G648" s="1130"/>
      <c r="H648" s="1130"/>
      <c r="I648" s="1130"/>
      <c r="J648" s="1130"/>
      <c r="K648" s="1130"/>
      <c r="L648" s="1130"/>
      <c r="M648" s="1130"/>
      <c r="N648" s="1130"/>
      <c r="O648" s="1130"/>
      <c r="P648" s="1130"/>
      <c r="Q648" s="1130"/>
      <c r="R648" s="1130"/>
      <c r="S648" s="1130"/>
      <c r="T648" s="1130"/>
      <c r="U648" s="1130"/>
      <c r="V648" s="1130"/>
      <c r="W648" s="1130"/>
      <c r="X648" s="1130"/>
      <c r="Y648" s="1130"/>
      <c r="Z648" s="1130"/>
    </row>
    <row r="649" spans="1:26" ht="15.75" customHeight="1">
      <c r="A649" s="1130"/>
      <c r="B649" s="1130"/>
      <c r="C649" s="1130"/>
      <c r="D649" s="1130"/>
      <c r="E649" s="1130"/>
      <c r="F649" s="1130"/>
      <c r="G649" s="1130"/>
      <c r="H649" s="1130"/>
      <c r="I649" s="1130"/>
      <c r="J649" s="1130"/>
      <c r="K649" s="1130"/>
      <c r="L649" s="1130"/>
      <c r="M649" s="1130"/>
      <c r="N649" s="1130"/>
      <c r="O649" s="1130"/>
      <c r="P649" s="1130"/>
      <c r="Q649" s="1130"/>
      <c r="R649" s="1130"/>
      <c r="S649" s="1130"/>
      <c r="T649" s="1130"/>
      <c r="U649" s="1130"/>
      <c r="V649" s="1130"/>
      <c r="W649" s="1130"/>
      <c r="X649" s="1130"/>
      <c r="Y649" s="1130"/>
      <c r="Z649" s="1130"/>
    </row>
    <row r="650" spans="1:26" ht="15.75" customHeight="1">
      <c r="A650" s="1130"/>
      <c r="B650" s="1130"/>
      <c r="C650" s="1130"/>
      <c r="D650" s="1130"/>
      <c r="E650" s="1130"/>
      <c r="F650" s="1130"/>
      <c r="G650" s="1130"/>
      <c r="H650" s="1130"/>
      <c r="I650" s="1130"/>
      <c r="J650" s="1130"/>
      <c r="K650" s="1130"/>
      <c r="L650" s="1130"/>
      <c r="M650" s="1130"/>
      <c r="N650" s="1130"/>
      <c r="O650" s="1130"/>
      <c r="P650" s="1130"/>
      <c r="Q650" s="1130"/>
      <c r="R650" s="1130"/>
      <c r="S650" s="1130"/>
      <c r="T650" s="1130"/>
      <c r="U650" s="1130"/>
      <c r="V650" s="1130"/>
      <c r="W650" s="1130"/>
      <c r="X650" s="1130"/>
      <c r="Y650" s="1130"/>
      <c r="Z650" s="1130"/>
    </row>
    <row r="651" spans="1:26" ht="15.75" customHeight="1">
      <c r="A651" s="1130"/>
      <c r="B651" s="1130"/>
      <c r="C651" s="1130"/>
      <c r="D651" s="1130"/>
      <c r="E651" s="1130"/>
      <c r="F651" s="1130"/>
      <c r="G651" s="1130"/>
      <c r="H651" s="1130"/>
      <c r="I651" s="1130"/>
      <c r="J651" s="1130"/>
      <c r="K651" s="1130"/>
      <c r="L651" s="1130"/>
      <c r="M651" s="1130"/>
      <c r="N651" s="1130"/>
      <c r="O651" s="1130"/>
      <c r="P651" s="1130"/>
      <c r="Q651" s="1130"/>
      <c r="R651" s="1130"/>
      <c r="S651" s="1130"/>
      <c r="T651" s="1130"/>
      <c r="U651" s="1130"/>
      <c r="V651" s="1130"/>
      <c r="W651" s="1130"/>
      <c r="X651" s="1130"/>
      <c r="Y651" s="1130"/>
      <c r="Z651" s="1130"/>
    </row>
    <row r="652" spans="1:26" ht="15.75" customHeight="1">
      <c r="A652" s="1130"/>
      <c r="B652" s="1130"/>
      <c r="C652" s="1130"/>
      <c r="D652" s="1130"/>
      <c r="E652" s="1130"/>
      <c r="F652" s="1130"/>
      <c r="G652" s="1130"/>
      <c r="H652" s="1130"/>
      <c r="I652" s="1130"/>
      <c r="J652" s="1130"/>
      <c r="K652" s="1130"/>
      <c r="L652" s="1130"/>
      <c r="M652" s="1130"/>
      <c r="N652" s="1130"/>
      <c r="O652" s="1130"/>
      <c r="P652" s="1130"/>
      <c r="Q652" s="1130"/>
      <c r="R652" s="1130"/>
      <c r="S652" s="1130"/>
      <c r="T652" s="1130"/>
      <c r="U652" s="1130"/>
      <c r="V652" s="1130"/>
      <c r="W652" s="1130"/>
      <c r="X652" s="1130"/>
      <c r="Y652" s="1130"/>
      <c r="Z652" s="1130"/>
    </row>
    <row r="653" spans="1:26" ht="15.75" customHeight="1">
      <c r="A653" s="1130"/>
      <c r="B653" s="1130"/>
      <c r="C653" s="1130"/>
      <c r="D653" s="1130"/>
      <c r="E653" s="1130"/>
      <c r="F653" s="1130"/>
      <c r="G653" s="1130"/>
      <c r="H653" s="1130"/>
      <c r="I653" s="1130"/>
      <c r="J653" s="1130"/>
      <c r="K653" s="1130"/>
      <c r="L653" s="1130"/>
      <c r="M653" s="1130"/>
      <c r="N653" s="1130"/>
      <c r="O653" s="1130"/>
      <c r="P653" s="1130"/>
      <c r="Q653" s="1130"/>
      <c r="R653" s="1130"/>
      <c r="S653" s="1130"/>
      <c r="T653" s="1130"/>
      <c r="U653" s="1130"/>
      <c r="V653" s="1130"/>
      <c r="W653" s="1130"/>
      <c r="X653" s="1130"/>
      <c r="Y653" s="1130"/>
      <c r="Z653" s="1130"/>
    </row>
    <row r="654" spans="1:26" ht="15.75" customHeight="1">
      <c r="A654" s="1130"/>
      <c r="B654" s="1130"/>
      <c r="C654" s="1130"/>
      <c r="D654" s="1130"/>
      <c r="E654" s="1130"/>
      <c r="F654" s="1130"/>
      <c r="G654" s="1130"/>
      <c r="H654" s="1130"/>
      <c r="I654" s="1130"/>
      <c r="J654" s="1130"/>
      <c r="K654" s="1130"/>
      <c r="L654" s="1130"/>
      <c r="M654" s="1130"/>
      <c r="N654" s="1130"/>
      <c r="O654" s="1130"/>
      <c r="P654" s="1130"/>
      <c r="Q654" s="1130"/>
      <c r="R654" s="1130"/>
      <c r="S654" s="1130"/>
      <c r="T654" s="1130"/>
      <c r="U654" s="1130"/>
      <c r="V654" s="1130"/>
      <c r="W654" s="1130"/>
      <c r="X654" s="1130"/>
      <c r="Y654" s="1130"/>
      <c r="Z654" s="1130"/>
    </row>
    <row r="655" spans="1:26" ht="15.75" customHeight="1">
      <c r="A655" s="1130"/>
      <c r="B655" s="1130"/>
      <c r="C655" s="1130"/>
      <c r="D655" s="1130"/>
      <c r="E655" s="1130"/>
      <c r="F655" s="1130"/>
      <c r="G655" s="1130"/>
      <c r="H655" s="1130"/>
      <c r="I655" s="1130"/>
      <c r="J655" s="1130"/>
      <c r="K655" s="1130"/>
      <c r="L655" s="1130"/>
      <c r="M655" s="1130"/>
      <c r="N655" s="1130"/>
      <c r="O655" s="1130"/>
      <c r="P655" s="1130"/>
      <c r="Q655" s="1130"/>
      <c r="R655" s="1130"/>
      <c r="S655" s="1130"/>
      <c r="T655" s="1130"/>
      <c r="U655" s="1130"/>
      <c r="V655" s="1130"/>
      <c r="W655" s="1130"/>
      <c r="X655" s="1130"/>
      <c r="Y655" s="1130"/>
      <c r="Z655" s="1130"/>
    </row>
    <row r="656" spans="1:26" ht="15.75" customHeight="1">
      <c r="A656" s="1130"/>
      <c r="B656" s="1130"/>
      <c r="C656" s="1130"/>
      <c r="D656" s="1130"/>
      <c r="E656" s="1130"/>
      <c r="F656" s="1130"/>
      <c r="G656" s="1130"/>
      <c r="H656" s="1130"/>
      <c r="I656" s="1130"/>
      <c r="J656" s="1130"/>
      <c r="K656" s="1130"/>
      <c r="L656" s="1130"/>
      <c r="M656" s="1130"/>
      <c r="N656" s="1130"/>
      <c r="O656" s="1130"/>
      <c r="P656" s="1130"/>
      <c r="Q656" s="1130"/>
      <c r="R656" s="1130"/>
      <c r="S656" s="1130"/>
      <c r="T656" s="1130"/>
      <c r="U656" s="1130"/>
      <c r="V656" s="1130"/>
      <c r="W656" s="1130"/>
      <c r="X656" s="1130"/>
      <c r="Y656" s="1130"/>
      <c r="Z656" s="1130"/>
    </row>
    <row r="657" spans="1:26" ht="15.75" customHeight="1">
      <c r="A657" s="1130"/>
      <c r="B657" s="1130"/>
      <c r="C657" s="1130"/>
      <c r="D657" s="1130"/>
      <c r="E657" s="1130"/>
      <c r="F657" s="1130"/>
      <c r="G657" s="1130"/>
      <c r="H657" s="1130"/>
      <c r="I657" s="1130"/>
      <c r="J657" s="1130"/>
      <c r="K657" s="1130"/>
      <c r="L657" s="1130"/>
      <c r="M657" s="1130"/>
      <c r="N657" s="1130"/>
      <c r="O657" s="1130"/>
      <c r="P657" s="1130"/>
      <c r="Q657" s="1130"/>
      <c r="R657" s="1130"/>
      <c r="S657" s="1130"/>
      <c r="T657" s="1130"/>
      <c r="U657" s="1130"/>
      <c r="V657" s="1130"/>
      <c r="W657" s="1130"/>
      <c r="X657" s="1130"/>
      <c r="Y657" s="1130"/>
      <c r="Z657" s="1130"/>
    </row>
    <row r="658" spans="1:26" ht="15.75" customHeight="1">
      <c r="A658" s="1130"/>
      <c r="B658" s="1130"/>
      <c r="C658" s="1130"/>
      <c r="D658" s="1130"/>
      <c r="E658" s="1130"/>
      <c r="F658" s="1130"/>
      <c r="G658" s="1130"/>
      <c r="H658" s="1130"/>
      <c r="I658" s="1130"/>
      <c r="J658" s="1130"/>
      <c r="K658" s="1130"/>
      <c r="L658" s="1130"/>
      <c r="M658" s="1130"/>
      <c r="N658" s="1130"/>
      <c r="O658" s="1130"/>
      <c r="P658" s="1130"/>
      <c r="Q658" s="1130"/>
      <c r="R658" s="1130"/>
      <c r="S658" s="1130"/>
      <c r="T658" s="1130"/>
      <c r="U658" s="1130"/>
      <c r="V658" s="1130"/>
      <c r="W658" s="1130"/>
      <c r="X658" s="1130"/>
      <c r="Y658" s="1130"/>
      <c r="Z658" s="1130"/>
    </row>
    <row r="659" spans="1:26" ht="15.75" customHeight="1">
      <c r="A659" s="1130"/>
      <c r="B659" s="1130"/>
      <c r="C659" s="1130"/>
      <c r="D659" s="1130"/>
      <c r="E659" s="1130"/>
      <c r="F659" s="1130"/>
      <c r="G659" s="1130"/>
      <c r="H659" s="1130"/>
      <c r="I659" s="1130"/>
      <c r="J659" s="1130"/>
      <c r="K659" s="1130"/>
      <c r="L659" s="1130"/>
      <c r="M659" s="1130"/>
      <c r="N659" s="1130"/>
      <c r="O659" s="1130"/>
      <c r="P659" s="1130"/>
      <c r="Q659" s="1130"/>
      <c r="R659" s="1130"/>
      <c r="S659" s="1130"/>
      <c r="T659" s="1130"/>
      <c r="U659" s="1130"/>
      <c r="V659" s="1130"/>
      <c r="W659" s="1130"/>
      <c r="X659" s="1130"/>
      <c r="Y659" s="1130"/>
      <c r="Z659" s="1130"/>
    </row>
    <row r="660" spans="1:26" ht="15.75" customHeight="1">
      <c r="A660" s="1130"/>
      <c r="B660" s="1130"/>
      <c r="C660" s="1130"/>
      <c r="D660" s="1130"/>
      <c r="E660" s="1130"/>
      <c r="F660" s="1130"/>
      <c r="G660" s="1130"/>
      <c r="H660" s="1130"/>
      <c r="I660" s="1130"/>
      <c r="J660" s="1130"/>
      <c r="K660" s="1130"/>
      <c r="L660" s="1130"/>
      <c r="M660" s="1130"/>
      <c r="N660" s="1130"/>
      <c r="O660" s="1130"/>
      <c r="P660" s="1130"/>
      <c r="Q660" s="1130"/>
      <c r="R660" s="1130"/>
      <c r="S660" s="1130"/>
      <c r="T660" s="1130"/>
      <c r="U660" s="1130"/>
      <c r="V660" s="1130"/>
      <c r="W660" s="1130"/>
      <c r="X660" s="1130"/>
      <c r="Y660" s="1130"/>
      <c r="Z660" s="1130"/>
    </row>
    <row r="661" spans="1:26" ht="15.75" customHeight="1">
      <c r="A661" s="1130"/>
      <c r="B661" s="1130"/>
      <c r="C661" s="1130"/>
      <c r="D661" s="1130"/>
      <c r="E661" s="1130"/>
      <c r="F661" s="1130"/>
      <c r="G661" s="1130"/>
      <c r="H661" s="1130"/>
      <c r="I661" s="1130"/>
      <c r="J661" s="1130"/>
      <c r="K661" s="1130"/>
      <c r="L661" s="1130"/>
      <c r="M661" s="1130"/>
      <c r="N661" s="1130"/>
      <c r="O661" s="1130"/>
      <c r="P661" s="1130"/>
      <c r="Q661" s="1130"/>
      <c r="R661" s="1130"/>
      <c r="S661" s="1130"/>
      <c r="T661" s="1130"/>
      <c r="U661" s="1130"/>
      <c r="V661" s="1130"/>
      <c r="W661" s="1130"/>
      <c r="X661" s="1130"/>
      <c r="Y661" s="1130"/>
      <c r="Z661" s="1130"/>
    </row>
    <row r="662" spans="1:26" ht="15.75" customHeight="1">
      <c r="A662" s="1130"/>
      <c r="B662" s="1130"/>
      <c r="C662" s="1130"/>
      <c r="D662" s="1130"/>
      <c r="E662" s="1130"/>
      <c r="F662" s="1130"/>
      <c r="G662" s="1130"/>
      <c r="H662" s="1130"/>
      <c r="I662" s="1130"/>
      <c r="J662" s="1130"/>
      <c r="K662" s="1130"/>
      <c r="L662" s="1130"/>
      <c r="M662" s="1130"/>
      <c r="N662" s="1130"/>
      <c r="O662" s="1130"/>
      <c r="P662" s="1130"/>
      <c r="Q662" s="1130"/>
      <c r="R662" s="1130"/>
      <c r="S662" s="1130"/>
      <c r="T662" s="1130"/>
      <c r="U662" s="1130"/>
      <c r="V662" s="1130"/>
      <c r="W662" s="1130"/>
      <c r="X662" s="1130"/>
      <c r="Y662" s="1130"/>
      <c r="Z662" s="1130"/>
    </row>
    <row r="663" spans="1:26" ht="15.75" customHeight="1">
      <c r="A663" s="1130"/>
      <c r="B663" s="1130"/>
      <c r="C663" s="1130"/>
      <c r="D663" s="1130"/>
      <c r="E663" s="1130"/>
      <c r="F663" s="1130"/>
      <c r="G663" s="1130"/>
      <c r="H663" s="1130"/>
      <c r="I663" s="1130"/>
      <c r="J663" s="1130"/>
      <c r="K663" s="1130"/>
      <c r="L663" s="1130"/>
      <c r="M663" s="1130"/>
      <c r="N663" s="1130"/>
      <c r="O663" s="1130"/>
      <c r="P663" s="1130"/>
      <c r="Q663" s="1130"/>
      <c r="R663" s="1130"/>
      <c r="S663" s="1130"/>
      <c r="T663" s="1130"/>
      <c r="U663" s="1130"/>
      <c r="V663" s="1130"/>
      <c r="W663" s="1130"/>
      <c r="X663" s="1130"/>
      <c r="Y663" s="1130"/>
      <c r="Z663" s="1130"/>
    </row>
    <row r="664" spans="1:26" ht="15.75" customHeight="1">
      <c r="A664" s="1130"/>
      <c r="B664" s="1130"/>
      <c r="C664" s="1130"/>
      <c r="D664" s="1130"/>
      <c r="E664" s="1130"/>
      <c r="F664" s="1130"/>
      <c r="G664" s="1130"/>
      <c r="H664" s="1130"/>
      <c r="I664" s="1130"/>
      <c r="J664" s="1130"/>
      <c r="K664" s="1130"/>
      <c r="L664" s="1130"/>
      <c r="M664" s="1130"/>
      <c r="N664" s="1130"/>
      <c r="O664" s="1130"/>
      <c r="P664" s="1130"/>
      <c r="Q664" s="1130"/>
      <c r="R664" s="1130"/>
      <c r="S664" s="1130"/>
      <c r="T664" s="1130"/>
      <c r="U664" s="1130"/>
      <c r="V664" s="1130"/>
      <c r="W664" s="1130"/>
      <c r="X664" s="1130"/>
      <c r="Y664" s="1130"/>
      <c r="Z664" s="1130"/>
    </row>
    <row r="665" spans="1:26" ht="15.75" customHeight="1">
      <c r="A665" s="1130"/>
      <c r="B665" s="1130"/>
      <c r="C665" s="1130"/>
      <c r="D665" s="1130"/>
      <c r="E665" s="1130"/>
      <c r="F665" s="1130"/>
      <c r="G665" s="1130"/>
      <c r="H665" s="1130"/>
      <c r="I665" s="1130"/>
      <c r="J665" s="1130"/>
      <c r="K665" s="1130"/>
      <c r="L665" s="1130"/>
      <c r="M665" s="1130"/>
      <c r="N665" s="1130"/>
      <c r="O665" s="1130"/>
      <c r="P665" s="1130"/>
      <c r="Q665" s="1130"/>
      <c r="R665" s="1130"/>
      <c r="S665" s="1130"/>
      <c r="T665" s="1130"/>
      <c r="U665" s="1130"/>
      <c r="V665" s="1130"/>
      <c r="W665" s="1130"/>
      <c r="X665" s="1130"/>
      <c r="Y665" s="1130"/>
      <c r="Z665" s="1130"/>
    </row>
    <row r="666" spans="1:26" ht="15.75" customHeight="1">
      <c r="A666" s="1130"/>
      <c r="B666" s="1130"/>
      <c r="C666" s="1130"/>
      <c r="D666" s="1130"/>
      <c r="E666" s="1130"/>
      <c r="F666" s="1130"/>
      <c r="G666" s="1130"/>
      <c r="H666" s="1130"/>
      <c r="I666" s="1130"/>
      <c r="J666" s="1130"/>
      <c r="K666" s="1130"/>
      <c r="L666" s="1130"/>
      <c r="M666" s="1130"/>
      <c r="N666" s="1130"/>
      <c r="O666" s="1130"/>
      <c r="P666" s="1130"/>
      <c r="Q666" s="1130"/>
      <c r="R666" s="1130"/>
      <c r="S666" s="1130"/>
      <c r="T666" s="1130"/>
      <c r="U666" s="1130"/>
      <c r="V666" s="1130"/>
      <c r="W666" s="1130"/>
      <c r="X666" s="1130"/>
      <c r="Y666" s="1130"/>
      <c r="Z666" s="1130"/>
    </row>
    <row r="667" spans="1:26" ht="15.75" customHeight="1">
      <c r="A667" s="1130"/>
      <c r="B667" s="1130"/>
      <c r="C667" s="1130"/>
      <c r="D667" s="1130"/>
      <c r="E667" s="1130"/>
      <c r="F667" s="1130"/>
      <c r="G667" s="1130"/>
      <c r="H667" s="1130"/>
      <c r="I667" s="1130"/>
      <c r="J667" s="1130"/>
      <c r="K667" s="1130"/>
      <c r="L667" s="1130"/>
      <c r="M667" s="1130"/>
      <c r="N667" s="1130"/>
      <c r="O667" s="1130"/>
      <c r="P667" s="1130"/>
      <c r="Q667" s="1130"/>
      <c r="R667" s="1130"/>
      <c r="S667" s="1130"/>
      <c r="T667" s="1130"/>
      <c r="U667" s="1130"/>
      <c r="V667" s="1130"/>
      <c r="W667" s="1130"/>
      <c r="X667" s="1130"/>
      <c r="Y667" s="1130"/>
      <c r="Z667" s="1130"/>
    </row>
    <row r="668" spans="1:26" ht="15.75" customHeight="1">
      <c r="A668" s="1130"/>
      <c r="B668" s="1130"/>
      <c r="C668" s="1130"/>
      <c r="D668" s="1130"/>
      <c r="E668" s="1130"/>
      <c r="F668" s="1130"/>
      <c r="G668" s="1130"/>
      <c r="H668" s="1130"/>
      <c r="I668" s="1130"/>
      <c r="J668" s="1130"/>
      <c r="K668" s="1130"/>
      <c r="L668" s="1130"/>
      <c r="M668" s="1130"/>
      <c r="N668" s="1130"/>
      <c r="O668" s="1130"/>
      <c r="P668" s="1130"/>
      <c r="Q668" s="1130"/>
      <c r="R668" s="1130"/>
      <c r="S668" s="1130"/>
      <c r="T668" s="1130"/>
      <c r="U668" s="1130"/>
      <c r="V668" s="1130"/>
      <c r="W668" s="1130"/>
      <c r="X668" s="1130"/>
      <c r="Y668" s="1130"/>
      <c r="Z668" s="1130"/>
    </row>
    <row r="669" spans="1:26" ht="15.75" customHeight="1">
      <c r="A669" s="1130"/>
      <c r="B669" s="1130"/>
      <c r="C669" s="1130"/>
      <c r="D669" s="1130"/>
      <c r="E669" s="1130"/>
      <c r="F669" s="1130"/>
      <c r="G669" s="1130"/>
      <c r="H669" s="1130"/>
      <c r="I669" s="1130"/>
      <c r="J669" s="1130"/>
      <c r="K669" s="1130"/>
      <c r="L669" s="1130"/>
      <c r="M669" s="1130"/>
      <c r="N669" s="1130"/>
      <c r="O669" s="1130"/>
      <c r="P669" s="1130"/>
      <c r="Q669" s="1130"/>
      <c r="R669" s="1130"/>
      <c r="S669" s="1130"/>
      <c r="T669" s="1130"/>
      <c r="U669" s="1130"/>
      <c r="V669" s="1130"/>
      <c r="W669" s="1130"/>
      <c r="X669" s="1130"/>
      <c r="Y669" s="1130"/>
      <c r="Z669" s="1130"/>
    </row>
    <row r="670" spans="1:26" ht="15.75" customHeight="1">
      <c r="A670" s="1130"/>
      <c r="B670" s="1130"/>
      <c r="C670" s="1130"/>
      <c r="D670" s="1130"/>
      <c r="E670" s="1130"/>
      <c r="F670" s="1130"/>
      <c r="G670" s="1130"/>
      <c r="H670" s="1130"/>
      <c r="I670" s="1130"/>
      <c r="J670" s="1130"/>
      <c r="K670" s="1130"/>
      <c r="L670" s="1130"/>
      <c r="M670" s="1130"/>
      <c r="N670" s="1130"/>
      <c r="O670" s="1130"/>
      <c r="P670" s="1130"/>
      <c r="Q670" s="1130"/>
      <c r="R670" s="1130"/>
      <c r="S670" s="1130"/>
      <c r="T670" s="1130"/>
      <c r="U670" s="1130"/>
      <c r="V670" s="1130"/>
      <c r="W670" s="1130"/>
      <c r="X670" s="1130"/>
      <c r="Y670" s="1130"/>
      <c r="Z670" s="1130"/>
    </row>
    <row r="671" spans="1:26" ht="15.75" customHeight="1">
      <c r="A671" s="1130"/>
      <c r="B671" s="1130"/>
      <c r="C671" s="1130"/>
      <c r="D671" s="1130"/>
      <c r="E671" s="1130"/>
      <c r="F671" s="1130"/>
      <c r="G671" s="1130"/>
      <c r="H671" s="1130"/>
      <c r="I671" s="1130"/>
      <c r="J671" s="1130"/>
      <c r="K671" s="1130"/>
      <c r="L671" s="1130"/>
      <c r="M671" s="1130"/>
      <c r="N671" s="1130"/>
      <c r="O671" s="1130"/>
      <c r="P671" s="1130"/>
      <c r="Q671" s="1130"/>
      <c r="R671" s="1130"/>
      <c r="S671" s="1130"/>
      <c r="T671" s="1130"/>
      <c r="U671" s="1130"/>
      <c r="V671" s="1130"/>
      <c r="W671" s="1130"/>
      <c r="X671" s="1130"/>
      <c r="Y671" s="1130"/>
      <c r="Z671" s="1130"/>
    </row>
    <row r="672" spans="1:26" ht="15.75" customHeight="1">
      <c r="A672" s="1130"/>
      <c r="B672" s="1130"/>
      <c r="C672" s="1130"/>
      <c r="D672" s="1130"/>
      <c r="E672" s="1130"/>
      <c r="F672" s="1130"/>
      <c r="G672" s="1130"/>
      <c r="H672" s="1130"/>
      <c r="I672" s="1130"/>
      <c r="J672" s="1130"/>
      <c r="K672" s="1130"/>
      <c r="L672" s="1130"/>
      <c r="M672" s="1130"/>
      <c r="N672" s="1130"/>
      <c r="O672" s="1130"/>
      <c r="P672" s="1130"/>
      <c r="Q672" s="1130"/>
      <c r="R672" s="1130"/>
      <c r="S672" s="1130"/>
      <c r="T672" s="1130"/>
      <c r="U672" s="1130"/>
      <c r="V672" s="1130"/>
      <c r="W672" s="1130"/>
      <c r="X672" s="1130"/>
      <c r="Y672" s="1130"/>
      <c r="Z672" s="1130"/>
    </row>
    <row r="673" spans="1:26" ht="15.75" customHeight="1">
      <c r="A673" s="1130"/>
      <c r="B673" s="1130"/>
      <c r="C673" s="1130"/>
      <c r="D673" s="1130"/>
      <c r="E673" s="1130"/>
      <c r="F673" s="1130"/>
      <c r="G673" s="1130"/>
      <c r="H673" s="1130"/>
      <c r="I673" s="1130"/>
      <c r="J673" s="1130"/>
      <c r="K673" s="1130"/>
      <c r="L673" s="1130"/>
      <c r="M673" s="1130"/>
      <c r="N673" s="1130"/>
      <c r="O673" s="1130"/>
      <c r="P673" s="1130"/>
      <c r="Q673" s="1130"/>
      <c r="R673" s="1130"/>
      <c r="S673" s="1130"/>
      <c r="T673" s="1130"/>
      <c r="U673" s="1130"/>
      <c r="V673" s="1130"/>
      <c r="W673" s="1130"/>
      <c r="X673" s="1130"/>
      <c r="Y673" s="1130"/>
      <c r="Z673" s="1130"/>
    </row>
    <row r="674" spans="1:26" ht="15.75" customHeight="1">
      <c r="A674" s="1130"/>
      <c r="B674" s="1130"/>
      <c r="C674" s="1130"/>
      <c r="D674" s="1130"/>
      <c r="E674" s="1130"/>
      <c r="F674" s="1130"/>
      <c r="G674" s="1130"/>
      <c r="H674" s="1130"/>
      <c r="I674" s="1130"/>
      <c r="J674" s="1130"/>
      <c r="K674" s="1130"/>
      <c r="L674" s="1130"/>
      <c r="M674" s="1130"/>
      <c r="N674" s="1130"/>
      <c r="O674" s="1130"/>
      <c r="P674" s="1130"/>
      <c r="Q674" s="1130"/>
      <c r="R674" s="1130"/>
      <c r="S674" s="1130"/>
      <c r="T674" s="1130"/>
      <c r="U674" s="1130"/>
      <c r="V674" s="1130"/>
      <c r="W674" s="1130"/>
      <c r="X674" s="1130"/>
      <c r="Y674" s="1130"/>
      <c r="Z674" s="1130"/>
    </row>
    <row r="675" spans="1:26" ht="15.75" customHeight="1">
      <c r="A675" s="1130"/>
      <c r="B675" s="1130"/>
      <c r="C675" s="1130"/>
      <c r="D675" s="1130"/>
      <c r="E675" s="1130"/>
      <c r="F675" s="1130"/>
      <c r="G675" s="1130"/>
      <c r="H675" s="1130"/>
      <c r="I675" s="1130"/>
      <c r="J675" s="1130"/>
      <c r="K675" s="1130"/>
      <c r="L675" s="1130"/>
      <c r="M675" s="1130"/>
      <c r="N675" s="1130"/>
      <c r="O675" s="1130"/>
      <c r="P675" s="1130"/>
      <c r="Q675" s="1130"/>
      <c r="R675" s="1130"/>
      <c r="S675" s="1130"/>
      <c r="T675" s="1130"/>
      <c r="U675" s="1130"/>
      <c r="V675" s="1130"/>
      <c r="W675" s="1130"/>
      <c r="X675" s="1130"/>
      <c r="Y675" s="1130"/>
      <c r="Z675" s="1130"/>
    </row>
    <row r="676" spans="1:26" ht="15.75" customHeight="1">
      <c r="A676" s="1130"/>
      <c r="B676" s="1130"/>
      <c r="C676" s="1130"/>
      <c r="D676" s="1130"/>
      <c r="E676" s="1130"/>
      <c r="F676" s="1130"/>
      <c r="G676" s="1130"/>
      <c r="H676" s="1130"/>
      <c r="I676" s="1130"/>
      <c r="J676" s="1130"/>
      <c r="K676" s="1130"/>
      <c r="L676" s="1130"/>
      <c r="M676" s="1130"/>
      <c r="N676" s="1130"/>
      <c r="O676" s="1130"/>
      <c r="P676" s="1130"/>
      <c r="Q676" s="1130"/>
      <c r="R676" s="1130"/>
      <c r="S676" s="1130"/>
      <c r="T676" s="1130"/>
      <c r="U676" s="1130"/>
      <c r="V676" s="1130"/>
      <c r="W676" s="1130"/>
      <c r="X676" s="1130"/>
      <c r="Y676" s="1130"/>
      <c r="Z676" s="1130"/>
    </row>
    <row r="677" spans="1:26" ht="15.75" customHeight="1">
      <c r="A677" s="1130"/>
      <c r="B677" s="1130"/>
      <c r="C677" s="1130"/>
      <c r="D677" s="1130"/>
      <c r="E677" s="1130"/>
      <c r="F677" s="1130"/>
      <c r="G677" s="1130"/>
      <c r="H677" s="1130"/>
      <c r="I677" s="1130"/>
      <c r="J677" s="1130"/>
      <c r="K677" s="1130"/>
      <c r="L677" s="1130"/>
      <c r="M677" s="1130"/>
      <c r="N677" s="1130"/>
      <c r="O677" s="1130"/>
      <c r="P677" s="1130"/>
      <c r="Q677" s="1130"/>
      <c r="R677" s="1130"/>
      <c r="S677" s="1130"/>
      <c r="T677" s="1130"/>
      <c r="U677" s="1130"/>
      <c r="V677" s="1130"/>
      <c r="W677" s="1130"/>
      <c r="X677" s="1130"/>
      <c r="Y677" s="1130"/>
      <c r="Z677" s="1130"/>
    </row>
    <row r="678" spans="1:26" ht="15.75" customHeight="1">
      <c r="A678" s="1130"/>
      <c r="B678" s="1130"/>
      <c r="C678" s="1130"/>
      <c r="D678" s="1130"/>
      <c r="E678" s="1130"/>
      <c r="F678" s="1130"/>
      <c r="G678" s="1130"/>
      <c r="H678" s="1130"/>
      <c r="I678" s="1130"/>
      <c r="J678" s="1130"/>
      <c r="K678" s="1130"/>
      <c r="L678" s="1130"/>
      <c r="M678" s="1130"/>
      <c r="N678" s="1130"/>
      <c r="O678" s="1130"/>
      <c r="P678" s="1130"/>
      <c r="Q678" s="1130"/>
      <c r="R678" s="1130"/>
      <c r="S678" s="1130"/>
      <c r="T678" s="1130"/>
      <c r="U678" s="1130"/>
      <c r="V678" s="1130"/>
      <c r="W678" s="1130"/>
      <c r="X678" s="1130"/>
      <c r="Y678" s="1130"/>
      <c r="Z678" s="1130"/>
    </row>
    <row r="679" spans="1:26" ht="15.75" customHeight="1">
      <c r="A679" s="1130"/>
      <c r="B679" s="1130"/>
      <c r="C679" s="1130"/>
      <c r="D679" s="1130"/>
      <c r="E679" s="1130"/>
      <c r="F679" s="1130"/>
      <c r="G679" s="1130"/>
      <c r="H679" s="1130"/>
      <c r="I679" s="1130"/>
      <c r="J679" s="1130"/>
      <c r="K679" s="1130"/>
      <c r="L679" s="1130"/>
      <c r="M679" s="1130"/>
      <c r="N679" s="1130"/>
      <c r="O679" s="1130"/>
      <c r="P679" s="1130"/>
      <c r="Q679" s="1130"/>
      <c r="R679" s="1130"/>
      <c r="S679" s="1130"/>
      <c r="T679" s="1130"/>
      <c r="U679" s="1130"/>
      <c r="V679" s="1130"/>
      <c r="W679" s="1130"/>
      <c r="X679" s="1130"/>
      <c r="Y679" s="1130"/>
      <c r="Z679" s="1130"/>
    </row>
    <row r="680" spans="1:26" ht="15.75" customHeight="1">
      <c r="A680" s="1130"/>
      <c r="B680" s="1130"/>
      <c r="C680" s="1130"/>
      <c r="D680" s="1130"/>
      <c r="E680" s="1130"/>
      <c r="F680" s="1130"/>
      <c r="G680" s="1130"/>
      <c r="H680" s="1130"/>
      <c r="I680" s="1130"/>
      <c r="J680" s="1130"/>
      <c r="K680" s="1130"/>
      <c r="L680" s="1130"/>
      <c r="M680" s="1130"/>
      <c r="N680" s="1130"/>
      <c r="O680" s="1130"/>
      <c r="P680" s="1130"/>
      <c r="Q680" s="1130"/>
      <c r="R680" s="1130"/>
      <c r="S680" s="1130"/>
      <c r="T680" s="1130"/>
      <c r="U680" s="1130"/>
      <c r="V680" s="1130"/>
      <c r="W680" s="1130"/>
      <c r="X680" s="1130"/>
      <c r="Y680" s="1130"/>
      <c r="Z680" s="1130"/>
    </row>
    <row r="681" spans="1:26" ht="15.75" customHeight="1">
      <c r="A681" s="1130"/>
      <c r="B681" s="1130"/>
      <c r="C681" s="1130"/>
      <c r="D681" s="1130"/>
      <c r="E681" s="1130"/>
      <c r="F681" s="1130"/>
      <c r="G681" s="1130"/>
      <c r="H681" s="1130"/>
      <c r="I681" s="1130"/>
      <c r="J681" s="1130"/>
      <c r="K681" s="1130"/>
      <c r="L681" s="1130"/>
      <c r="M681" s="1130"/>
      <c r="N681" s="1130"/>
      <c r="O681" s="1130"/>
      <c r="P681" s="1130"/>
      <c r="Q681" s="1130"/>
      <c r="R681" s="1130"/>
      <c r="S681" s="1130"/>
      <c r="T681" s="1130"/>
      <c r="U681" s="1130"/>
      <c r="V681" s="1130"/>
      <c r="W681" s="1130"/>
      <c r="X681" s="1130"/>
      <c r="Y681" s="1130"/>
      <c r="Z681" s="1130"/>
    </row>
    <row r="682" spans="1:26" ht="15.75" customHeight="1">
      <c r="A682" s="1130"/>
      <c r="B682" s="1130"/>
      <c r="C682" s="1130"/>
      <c r="D682" s="1130"/>
      <c r="E682" s="1130"/>
      <c r="F682" s="1130"/>
      <c r="G682" s="1130"/>
      <c r="H682" s="1130"/>
      <c r="I682" s="1130"/>
      <c r="J682" s="1130"/>
      <c r="K682" s="1130"/>
      <c r="L682" s="1130"/>
      <c r="M682" s="1130"/>
      <c r="N682" s="1130"/>
      <c r="O682" s="1130"/>
      <c r="P682" s="1130"/>
      <c r="Q682" s="1130"/>
      <c r="R682" s="1130"/>
      <c r="S682" s="1130"/>
      <c r="T682" s="1130"/>
      <c r="U682" s="1130"/>
      <c r="V682" s="1130"/>
      <c r="W682" s="1130"/>
      <c r="X682" s="1130"/>
      <c r="Y682" s="1130"/>
      <c r="Z682" s="1130"/>
    </row>
    <row r="683" spans="1:26" ht="15.75" customHeight="1">
      <c r="A683" s="1130"/>
      <c r="B683" s="1130"/>
      <c r="C683" s="1130"/>
      <c r="D683" s="1130"/>
      <c r="E683" s="1130"/>
      <c r="F683" s="1130"/>
      <c r="G683" s="1130"/>
      <c r="H683" s="1130"/>
      <c r="I683" s="1130"/>
      <c r="J683" s="1130"/>
      <c r="K683" s="1130"/>
      <c r="L683" s="1130"/>
      <c r="M683" s="1130"/>
      <c r="N683" s="1130"/>
      <c r="O683" s="1130"/>
      <c r="P683" s="1130"/>
      <c r="Q683" s="1130"/>
      <c r="R683" s="1130"/>
      <c r="S683" s="1130"/>
      <c r="T683" s="1130"/>
      <c r="U683" s="1130"/>
      <c r="V683" s="1130"/>
      <c r="W683" s="1130"/>
      <c r="X683" s="1130"/>
      <c r="Y683" s="1130"/>
      <c r="Z683" s="1130"/>
    </row>
    <row r="684" spans="1:26" ht="15.75" customHeight="1">
      <c r="A684" s="1130"/>
      <c r="B684" s="1130"/>
      <c r="C684" s="1130"/>
      <c r="D684" s="1130"/>
      <c r="E684" s="1130"/>
      <c r="F684" s="1130"/>
      <c r="G684" s="1130"/>
      <c r="H684" s="1130"/>
      <c r="I684" s="1130"/>
      <c r="J684" s="1130"/>
      <c r="K684" s="1130"/>
      <c r="L684" s="1130"/>
      <c r="M684" s="1130"/>
      <c r="N684" s="1130"/>
      <c r="O684" s="1130"/>
      <c r="P684" s="1130"/>
      <c r="Q684" s="1130"/>
      <c r="R684" s="1130"/>
      <c r="S684" s="1130"/>
      <c r="T684" s="1130"/>
      <c r="U684" s="1130"/>
      <c r="V684" s="1130"/>
      <c r="W684" s="1130"/>
      <c r="X684" s="1130"/>
      <c r="Y684" s="1130"/>
      <c r="Z684" s="1130"/>
    </row>
    <row r="685" spans="1:26" ht="15.75" customHeight="1">
      <c r="A685" s="1130"/>
      <c r="B685" s="1130"/>
      <c r="C685" s="1130"/>
      <c r="D685" s="1130"/>
      <c r="E685" s="1130"/>
      <c r="F685" s="1130"/>
      <c r="G685" s="1130"/>
      <c r="H685" s="1130"/>
      <c r="I685" s="1130"/>
      <c r="J685" s="1130"/>
      <c r="K685" s="1130"/>
      <c r="L685" s="1130"/>
      <c r="M685" s="1130"/>
      <c r="N685" s="1130"/>
      <c r="O685" s="1130"/>
      <c r="P685" s="1130"/>
      <c r="Q685" s="1130"/>
      <c r="R685" s="1130"/>
      <c r="S685" s="1130"/>
      <c r="T685" s="1130"/>
      <c r="U685" s="1130"/>
      <c r="V685" s="1130"/>
      <c r="W685" s="1130"/>
      <c r="X685" s="1130"/>
      <c r="Y685" s="1130"/>
      <c r="Z685" s="1130"/>
    </row>
    <row r="686" spans="1:26" ht="15.75" customHeight="1">
      <c r="A686" s="1130"/>
      <c r="B686" s="1130"/>
      <c r="C686" s="1130"/>
      <c r="D686" s="1130"/>
      <c r="E686" s="1130"/>
      <c r="F686" s="1130"/>
      <c r="G686" s="1130"/>
      <c r="H686" s="1130"/>
      <c r="I686" s="1130"/>
      <c r="J686" s="1130"/>
      <c r="K686" s="1130"/>
      <c r="L686" s="1130"/>
      <c r="M686" s="1130"/>
      <c r="N686" s="1130"/>
      <c r="O686" s="1130"/>
      <c r="P686" s="1130"/>
      <c r="Q686" s="1130"/>
      <c r="R686" s="1130"/>
      <c r="S686" s="1130"/>
      <c r="T686" s="1130"/>
      <c r="U686" s="1130"/>
      <c r="V686" s="1130"/>
      <c r="W686" s="1130"/>
      <c r="X686" s="1130"/>
      <c r="Y686" s="1130"/>
      <c r="Z686" s="1130"/>
    </row>
    <row r="687" spans="1:26" ht="15.75" customHeight="1">
      <c r="A687" s="1130"/>
      <c r="B687" s="1130"/>
      <c r="C687" s="1130"/>
      <c r="D687" s="1130"/>
      <c r="E687" s="1130"/>
      <c r="F687" s="1130"/>
      <c r="G687" s="1130"/>
      <c r="H687" s="1130"/>
      <c r="I687" s="1130"/>
      <c r="J687" s="1130"/>
      <c r="K687" s="1130"/>
      <c r="L687" s="1130"/>
      <c r="M687" s="1130"/>
      <c r="N687" s="1130"/>
      <c r="O687" s="1130"/>
      <c r="P687" s="1130"/>
      <c r="Q687" s="1130"/>
      <c r="R687" s="1130"/>
      <c r="S687" s="1130"/>
      <c r="T687" s="1130"/>
      <c r="U687" s="1130"/>
      <c r="V687" s="1130"/>
      <c r="W687" s="1130"/>
      <c r="X687" s="1130"/>
      <c r="Y687" s="1130"/>
      <c r="Z687" s="1130"/>
    </row>
    <row r="688" spans="1:26" ht="15.75" customHeight="1">
      <c r="A688" s="1130"/>
      <c r="B688" s="1130"/>
      <c r="C688" s="1130"/>
      <c r="D688" s="1130"/>
      <c r="E688" s="1130"/>
      <c r="F688" s="1130"/>
      <c r="G688" s="1130"/>
      <c r="H688" s="1130"/>
      <c r="I688" s="1130"/>
      <c r="J688" s="1130"/>
      <c r="K688" s="1130"/>
      <c r="L688" s="1130"/>
      <c r="M688" s="1130"/>
      <c r="N688" s="1130"/>
      <c r="O688" s="1130"/>
      <c r="P688" s="1130"/>
      <c r="Q688" s="1130"/>
      <c r="R688" s="1130"/>
      <c r="S688" s="1130"/>
      <c r="T688" s="1130"/>
      <c r="U688" s="1130"/>
      <c r="V688" s="1130"/>
      <c r="W688" s="1130"/>
      <c r="X688" s="1130"/>
      <c r="Y688" s="1130"/>
      <c r="Z688" s="1130"/>
    </row>
    <row r="689" spans="1:26" ht="15.75" customHeight="1">
      <c r="A689" s="1130"/>
      <c r="B689" s="1130"/>
      <c r="C689" s="1130"/>
      <c r="D689" s="1130"/>
      <c r="E689" s="1130"/>
      <c r="F689" s="1130"/>
      <c r="G689" s="1130"/>
      <c r="H689" s="1130"/>
      <c r="I689" s="1130"/>
      <c r="J689" s="1130"/>
      <c r="K689" s="1130"/>
      <c r="L689" s="1130"/>
      <c r="M689" s="1130"/>
      <c r="N689" s="1130"/>
      <c r="O689" s="1130"/>
      <c r="P689" s="1130"/>
      <c r="Q689" s="1130"/>
      <c r="R689" s="1130"/>
      <c r="S689" s="1130"/>
      <c r="T689" s="1130"/>
      <c r="U689" s="1130"/>
      <c r="V689" s="1130"/>
      <c r="W689" s="1130"/>
      <c r="X689" s="1130"/>
      <c r="Y689" s="1130"/>
      <c r="Z689" s="1130"/>
    </row>
    <row r="690" spans="1:26" ht="15.75" customHeight="1">
      <c r="A690" s="1130"/>
      <c r="B690" s="1130"/>
      <c r="C690" s="1130"/>
      <c r="D690" s="1130"/>
      <c r="E690" s="1130"/>
      <c r="F690" s="1130"/>
      <c r="G690" s="1130"/>
      <c r="H690" s="1130"/>
      <c r="I690" s="1130"/>
      <c r="J690" s="1130"/>
      <c r="K690" s="1130"/>
      <c r="L690" s="1130"/>
      <c r="M690" s="1130"/>
      <c r="N690" s="1130"/>
      <c r="O690" s="1130"/>
      <c r="P690" s="1130"/>
      <c r="Q690" s="1130"/>
      <c r="R690" s="1130"/>
      <c r="S690" s="1130"/>
      <c r="T690" s="1130"/>
      <c r="U690" s="1130"/>
      <c r="V690" s="1130"/>
      <c r="W690" s="1130"/>
      <c r="X690" s="1130"/>
      <c r="Y690" s="1130"/>
      <c r="Z690" s="1130"/>
    </row>
    <row r="691" spans="1:26" ht="15.75" customHeight="1">
      <c r="A691" s="1130"/>
      <c r="B691" s="1130"/>
      <c r="C691" s="1130"/>
      <c r="D691" s="1130"/>
      <c r="E691" s="1130"/>
      <c r="F691" s="1130"/>
      <c r="G691" s="1130"/>
      <c r="H691" s="1130"/>
      <c r="I691" s="1130"/>
      <c r="J691" s="1130"/>
      <c r="K691" s="1130"/>
      <c r="L691" s="1130"/>
      <c r="M691" s="1130"/>
      <c r="N691" s="1130"/>
      <c r="O691" s="1130"/>
      <c r="P691" s="1130"/>
      <c r="Q691" s="1130"/>
      <c r="R691" s="1130"/>
      <c r="S691" s="1130"/>
      <c r="T691" s="1130"/>
      <c r="U691" s="1130"/>
      <c r="V691" s="1130"/>
      <c r="W691" s="1130"/>
      <c r="X691" s="1130"/>
      <c r="Y691" s="1130"/>
      <c r="Z691" s="1130"/>
    </row>
    <row r="692" spans="1:26" ht="15.75" customHeight="1">
      <c r="A692" s="1130"/>
      <c r="B692" s="1130"/>
      <c r="C692" s="1130"/>
      <c r="D692" s="1130"/>
      <c r="E692" s="1130"/>
      <c r="F692" s="1130"/>
      <c r="G692" s="1130"/>
      <c r="H692" s="1130"/>
      <c r="I692" s="1130"/>
      <c r="J692" s="1130"/>
      <c r="K692" s="1130"/>
      <c r="L692" s="1130"/>
      <c r="M692" s="1130"/>
      <c r="N692" s="1130"/>
      <c r="O692" s="1130"/>
      <c r="P692" s="1130"/>
      <c r="Q692" s="1130"/>
      <c r="R692" s="1130"/>
      <c r="S692" s="1130"/>
      <c r="T692" s="1130"/>
      <c r="U692" s="1130"/>
      <c r="V692" s="1130"/>
      <c r="W692" s="1130"/>
      <c r="X692" s="1130"/>
      <c r="Y692" s="1130"/>
      <c r="Z692" s="1130"/>
    </row>
    <row r="693" spans="1:26" ht="15.75" customHeight="1">
      <c r="A693" s="1130"/>
      <c r="B693" s="1130"/>
      <c r="C693" s="1130"/>
      <c r="D693" s="1130"/>
      <c r="E693" s="1130"/>
      <c r="F693" s="1130"/>
      <c r="G693" s="1130"/>
      <c r="H693" s="1130"/>
      <c r="I693" s="1130"/>
      <c r="J693" s="1130"/>
      <c r="K693" s="1130"/>
      <c r="L693" s="1130"/>
      <c r="M693" s="1130"/>
      <c r="N693" s="1130"/>
      <c r="O693" s="1130"/>
      <c r="P693" s="1130"/>
      <c r="Q693" s="1130"/>
      <c r="R693" s="1130"/>
      <c r="S693" s="1130"/>
      <c r="T693" s="1130"/>
      <c r="U693" s="1130"/>
      <c r="V693" s="1130"/>
      <c r="W693" s="1130"/>
      <c r="X693" s="1130"/>
      <c r="Y693" s="1130"/>
      <c r="Z693" s="1130"/>
    </row>
    <row r="694" spans="1:26" ht="15.75" customHeight="1">
      <c r="A694" s="1130"/>
      <c r="B694" s="1130"/>
      <c r="C694" s="1130"/>
      <c r="D694" s="1130"/>
      <c r="E694" s="1130"/>
      <c r="F694" s="1130"/>
      <c r="G694" s="1130"/>
      <c r="H694" s="1130"/>
      <c r="I694" s="1130"/>
      <c r="J694" s="1130"/>
      <c r="K694" s="1130"/>
      <c r="L694" s="1130"/>
      <c r="M694" s="1130"/>
      <c r="N694" s="1130"/>
      <c r="O694" s="1130"/>
      <c r="P694" s="1130"/>
      <c r="Q694" s="1130"/>
      <c r="R694" s="1130"/>
      <c r="S694" s="1130"/>
      <c r="T694" s="1130"/>
      <c r="U694" s="1130"/>
      <c r="V694" s="1130"/>
      <c r="W694" s="1130"/>
      <c r="X694" s="1130"/>
      <c r="Y694" s="1130"/>
      <c r="Z694" s="1130"/>
    </row>
    <row r="695" spans="1:26" ht="15.75" customHeight="1">
      <c r="A695" s="1130"/>
      <c r="B695" s="1130"/>
      <c r="C695" s="1130"/>
      <c r="D695" s="1130"/>
      <c r="E695" s="1130"/>
      <c r="F695" s="1130"/>
      <c r="G695" s="1130"/>
      <c r="H695" s="1130"/>
      <c r="I695" s="1130"/>
      <c r="J695" s="1130"/>
      <c r="K695" s="1130"/>
      <c r="L695" s="1130"/>
      <c r="M695" s="1130"/>
      <c r="N695" s="1130"/>
      <c r="O695" s="1130"/>
      <c r="P695" s="1130"/>
      <c r="Q695" s="1130"/>
      <c r="R695" s="1130"/>
      <c r="S695" s="1130"/>
      <c r="T695" s="1130"/>
      <c r="U695" s="1130"/>
      <c r="V695" s="1130"/>
      <c r="W695" s="1130"/>
      <c r="X695" s="1130"/>
      <c r="Y695" s="1130"/>
      <c r="Z695" s="1130"/>
    </row>
    <row r="696" spans="1:26" ht="15.75" customHeight="1">
      <c r="A696" s="1130"/>
      <c r="B696" s="1130"/>
      <c r="C696" s="1130"/>
      <c r="D696" s="1130"/>
      <c r="E696" s="1130"/>
      <c r="F696" s="1130"/>
      <c r="G696" s="1130"/>
      <c r="H696" s="1130"/>
      <c r="I696" s="1130"/>
      <c r="J696" s="1130"/>
      <c r="K696" s="1130"/>
      <c r="L696" s="1130"/>
      <c r="M696" s="1130"/>
      <c r="N696" s="1130"/>
      <c r="O696" s="1130"/>
      <c r="P696" s="1130"/>
      <c r="Q696" s="1130"/>
      <c r="R696" s="1130"/>
      <c r="S696" s="1130"/>
      <c r="T696" s="1130"/>
      <c r="U696" s="1130"/>
      <c r="V696" s="1130"/>
      <c r="W696" s="1130"/>
      <c r="X696" s="1130"/>
      <c r="Y696" s="1130"/>
      <c r="Z696" s="1130"/>
    </row>
    <row r="697" spans="1:26" ht="15.75" customHeight="1">
      <c r="A697" s="1130"/>
      <c r="B697" s="1130"/>
      <c r="C697" s="1130"/>
      <c r="D697" s="1130"/>
      <c r="E697" s="1130"/>
      <c r="F697" s="1130"/>
      <c r="G697" s="1130"/>
      <c r="H697" s="1130"/>
      <c r="I697" s="1130"/>
      <c r="J697" s="1130"/>
      <c r="K697" s="1130"/>
      <c r="L697" s="1130"/>
      <c r="M697" s="1130"/>
      <c r="N697" s="1130"/>
      <c r="O697" s="1130"/>
      <c r="P697" s="1130"/>
      <c r="Q697" s="1130"/>
      <c r="R697" s="1130"/>
      <c r="S697" s="1130"/>
      <c r="T697" s="1130"/>
      <c r="U697" s="1130"/>
      <c r="V697" s="1130"/>
      <c r="W697" s="1130"/>
      <c r="X697" s="1130"/>
      <c r="Y697" s="1130"/>
      <c r="Z697" s="1130"/>
    </row>
    <row r="698" spans="1:26" ht="15.75" customHeight="1">
      <c r="A698" s="1130"/>
      <c r="B698" s="1130"/>
      <c r="C698" s="1130"/>
      <c r="D698" s="1130"/>
      <c r="E698" s="1130"/>
      <c r="F698" s="1130"/>
      <c r="G698" s="1130"/>
      <c r="H698" s="1130"/>
      <c r="I698" s="1130"/>
      <c r="J698" s="1130"/>
      <c r="K698" s="1130"/>
      <c r="L698" s="1130"/>
      <c r="M698" s="1130"/>
      <c r="N698" s="1130"/>
      <c r="O698" s="1130"/>
      <c r="P698" s="1130"/>
      <c r="Q698" s="1130"/>
      <c r="R698" s="1130"/>
      <c r="S698" s="1130"/>
      <c r="T698" s="1130"/>
      <c r="U698" s="1130"/>
      <c r="V698" s="1130"/>
      <c r="W698" s="1130"/>
      <c r="X698" s="1130"/>
      <c r="Y698" s="1130"/>
      <c r="Z698" s="1130"/>
    </row>
    <row r="699" spans="1:26" ht="15.75" customHeight="1">
      <c r="A699" s="1130"/>
      <c r="B699" s="1130"/>
      <c r="C699" s="1130"/>
      <c r="D699" s="1130"/>
      <c r="E699" s="1130"/>
      <c r="F699" s="1130"/>
      <c r="G699" s="1130"/>
      <c r="H699" s="1130"/>
      <c r="I699" s="1130"/>
      <c r="J699" s="1130"/>
      <c r="K699" s="1130"/>
      <c r="L699" s="1130"/>
      <c r="M699" s="1130"/>
      <c r="N699" s="1130"/>
      <c r="O699" s="1130"/>
      <c r="P699" s="1130"/>
      <c r="Q699" s="1130"/>
      <c r="R699" s="1130"/>
      <c r="S699" s="1130"/>
      <c r="T699" s="1130"/>
      <c r="U699" s="1130"/>
      <c r="V699" s="1130"/>
      <c r="W699" s="1130"/>
      <c r="X699" s="1130"/>
      <c r="Y699" s="1130"/>
      <c r="Z699" s="1130"/>
    </row>
    <row r="700" spans="1:26" ht="15.75" customHeight="1">
      <c r="A700" s="1130"/>
      <c r="B700" s="1130"/>
      <c r="C700" s="1130"/>
      <c r="D700" s="1130"/>
      <c r="E700" s="1130"/>
      <c r="F700" s="1130"/>
      <c r="G700" s="1130"/>
      <c r="H700" s="1130"/>
      <c r="I700" s="1130"/>
      <c r="J700" s="1130"/>
      <c r="K700" s="1130"/>
      <c r="L700" s="1130"/>
      <c r="M700" s="1130"/>
      <c r="N700" s="1130"/>
      <c r="O700" s="1130"/>
      <c r="P700" s="1130"/>
      <c r="Q700" s="1130"/>
      <c r="R700" s="1130"/>
      <c r="S700" s="1130"/>
      <c r="T700" s="1130"/>
      <c r="U700" s="1130"/>
      <c r="V700" s="1130"/>
      <c r="W700" s="1130"/>
      <c r="X700" s="1130"/>
      <c r="Y700" s="1130"/>
      <c r="Z700" s="1130"/>
    </row>
    <row r="701" spans="1:26" ht="15.75" customHeight="1">
      <c r="A701" s="1130"/>
      <c r="B701" s="1130"/>
      <c r="C701" s="1130"/>
      <c r="D701" s="1130"/>
      <c r="E701" s="1130"/>
      <c r="F701" s="1130"/>
      <c r="G701" s="1130"/>
      <c r="H701" s="1130"/>
      <c r="I701" s="1130"/>
      <c r="J701" s="1130"/>
      <c r="K701" s="1130"/>
      <c r="L701" s="1130"/>
      <c r="M701" s="1130"/>
      <c r="N701" s="1130"/>
      <c r="O701" s="1130"/>
      <c r="P701" s="1130"/>
      <c r="Q701" s="1130"/>
      <c r="R701" s="1130"/>
      <c r="S701" s="1130"/>
      <c r="T701" s="1130"/>
      <c r="U701" s="1130"/>
      <c r="V701" s="1130"/>
      <c r="W701" s="1130"/>
      <c r="X701" s="1130"/>
      <c r="Y701" s="1130"/>
      <c r="Z701" s="1130"/>
    </row>
    <row r="702" spans="1:26" ht="15.75" customHeight="1">
      <c r="A702" s="1130"/>
      <c r="B702" s="1130"/>
      <c r="C702" s="1130"/>
      <c r="D702" s="1130"/>
      <c r="E702" s="1130"/>
      <c r="F702" s="1130"/>
      <c r="G702" s="1130"/>
      <c r="H702" s="1130"/>
      <c r="I702" s="1130"/>
      <c r="J702" s="1130"/>
      <c r="K702" s="1130"/>
      <c r="L702" s="1130"/>
      <c r="M702" s="1130"/>
      <c r="N702" s="1130"/>
      <c r="O702" s="1130"/>
      <c r="P702" s="1130"/>
      <c r="Q702" s="1130"/>
      <c r="R702" s="1130"/>
      <c r="S702" s="1130"/>
      <c r="T702" s="1130"/>
      <c r="U702" s="1130"/>
      <c r="V702" s="1130"/>
      <c r="W702" s="1130"/>
      <c r="X702" s="1130"/>
      <c r="Y702" s="1130"/>
      <c r="Z702" s="1130"/>
    </row>
    <row r="703" spans="1:26" ht="15.75" customHeight="1">
      <c r="A703" s="1130"/>
      <c r="B703" s="1130"/>
      <c r="C703" s="1130"/>
      <c r="D703" s="1130"/>
      <c r="E703" s="1130"/>
      <c r="F703" s="1130"/>
      <c r="G703" s="1130"/>
      <c r="H703" s="1130"/>
      <c r="I703" s="1130"/>
      <c r="J703" s="1130"/>
      <c r="K703" s="1130"/>
      <c r="L703" s="1130"/>
      <c r="M703" s="1130"/>
      <c r="N703" s="1130"/>
      <c r="O703" s="1130"/>
      <c r="P703" s="1130"/>
      <c r="Q703" s="1130"/>
      <c r="R703" s="1130"/>
      <c r="S703" s="1130"/>
      <c r="T703" s="1130"/>
      <c r="U703" s="1130"/>
      <c r="V703" s="1130"/>
      <c r="W703" s="1130"/>
      <c r="X703" s="1130"/>
      <c r="Y703" s="1130"/>
      <c r="Z703" s="1130"/>
    </row>
    <row r="704" spans="1:26" ht="15.75" customHeight="1">
      <c r="A704" s="1130"/>
      <c r="B704" s="1130"/>
      <c r="C704" s="1130"/>
      <c r="D704" s="1130"/>
      <c r="E704" s="1130"/>
      <c r="F704" s="1130"/>
      <c r="G704" s="1130"/>
      <c r="H704" s="1130"/>
      <c r="I704" s="1130"/>
      <c r="J704" s="1130"/>
      <c r="K704" s="1130"/>
      <c r="L704" s="1130"/>
      <c r="M704" s="1130"/>
      <c r="N704" s="1130"/>
      <c r="O704" s="1130"/>
      <c r="P704" s="1130"/>
      <c r="Q704" s="1130"/>
      <c r="R704" s="1130"/>
      <c r="S704" s="1130"/>
      <c r="T704" s="1130"/>
      <c r="U704" s="1130"/>
      <c r="V704" s="1130"/>
      <c r="W704" s="1130"/>
      <c r="X704" s="1130"/>
      <c r="Y704" s="1130"/>
      <c r="Z704" s="1130"/>
    </row>
    <row r="705" spans="1:26" ht="15.75" customHeight="1">
      <c r="A705" s="1130"/>
      <c r="B705" s="1130"/>
      <c r="C705" s="1130"/>
      <c r="D705" s="1130"/>
      <c r="E705" s="1130"/>
      <c r="F705" s="1130"/>
      <c r="G705" s="1130"/>
      <c r="H705" s="1130"/>
      <c r="I705" s="1130"/>
      <c r="J705" s="1130"/>
      <c r="K705" s="1130"/>
      <c r="L705" s="1130"/>
      <c r="M705" s="1130"/>
      <c r="N705" s="1130"/>
      <c r="O705" s="1130"/>
      <c r="P705" s="1130"/>
      <c r="Q705" s="1130"/>
      <c r="R705" s="1130"/>
      <c r="S705" s="1130"/>
      <c r="T705" s="1130"/>
      <c r="U705" s="1130"/>
      <c r="V705" s="1130"/>
      <c r="W705" s="1130"/>
      <c r="X705" s="1130"/>
      <c r="Y705" s="1130"/>
      <c r="Z705" s="1130"/>
    </row>
    <row r="706" spans="1:26" ht="15.75" customHeight="1">
      <c r="A706" s="1130"/>
      <c r="B706" s="1130"/>
      <c r="C706" s="1130"/>
      <c r="D706" s="1130"/>
      <c r="E706" s="1130"/>
      <c r="F706" s="1130"/>
      <c r="G706" s="1130"/>
      <c r="H706" s="1130"/>
      <c r="I706" s="1130"/>
      <c r="J706" s="1130"/>
      <c r="K706" s="1130"/>
      <c r="L706" s="1130"/>
      <c r="M706" s="1130"/>
      <c r="N706" s="1130"/>
      <c r="O706" s="1130"/>
      <c r="P706" s="1130"/>
      <c r="Q706" s="1130"/>
      <c r="R706" s="1130"/>
      <c r="S706" s="1130"/>
      <c r="T706" s="1130"/>
      <c r="U706" s="1130"/>
      <c r="V706" s="1130"/>
      <c r="W706" s="1130"/>
      <c r="X706" s="1130"/>
      <c r="Y706" s="1130"/>
      <c r="Z706" s="1130"/>
    </row>
    <row r="707" spans="1:26" ht="15.75" customHeight="1">
      <c r="A707" s="1130"/>
      <c r="B707" s="1130"/>
      <c r="C707" s="1130"/>
      <c r="D707" s="1130"/>
      <c r="E707" s="1130"/>
      <c r="F707" s="1130"/>
      <c r="G707" s="1130"/>
      <c r="H707" s="1130"/>
      <c r="I707" s="1130"/>
      <c r="J707" s="1130"/>
      <c r="K707" s="1130"/>
      <c r="L707" s="1130"/>
      <c r="M707" s="1130"/>
      <c r="N707" s="1130"/>
      <c r="O707" s="1130"/>
      <c r="P707" s="1130"/>
      <c r="Q707" s="1130"/>
      <c r="R707" s="1130"/>
      <c r="S707" s="1130"/>
      <c r="T707" s="1130"/>
      <c r="U707" s="1130"/>
      <c r="V707" s="1130"/>
      <c r="W707" s="1130"/>
      <c r="X707" s="1130"/>
      <c r="Y707" s="1130"/>
      <c r="Z707" s="1130"/>
    </row>
    <row r="708" spans="1:26" ht="15.75" customHeight="1">
      <c r="A708" s="1130"/>
      <c r="B708" s="1130"/>
      <c r="C708" s="1130"/>
      <c r="D708" s="1130"/>
      <c r="E708" s="1130"/>
      <c r="F708" s="1130"/>
      <c r="G708" s="1130"/>
      <c r="H708" s="1130"/>
      <c r="I708" s="1130"/>
      <c r="J708" s="1130"/>
      <c r="K708" s="1130"/>
      <c r="L708" s="1130"/>
      <c r="M708" s="1130"/>
      <c r="N708" s="1130"/>
      <c r="O708" s="1130"/>
      <c r="P708" s="1130"/>
      <c r="Q708" s="1130"/>
      <c r="R708" s="1130"/>
      <c r="S708" s="1130"/>
      <c r="T708" s="1130"/>
      <c r="U708" s="1130"/>
      <c r="V708" s="1130"/>
      <c r="W708" s="1130"/>
      <c r="X708" s="1130"/>
      <c r="Y708" s="1130"/>
      <c r="Z708" s="1130"/>
    </row>
    <row r="709" spans="1:26" ht="15.75" customHeight="1">
      <c r="A709" s="1130"/>
      <c r="B709" s="1130"/>
      <c r="C709" s="1130"/>
      <c r="D709" s="1130"/>
      <c r="E709" s="1130"/>
      <c r="F709" s="1130"/>
      <c r="G709" s="1130"/>
      <c r="H709" s="1130"/>
      <c r="I709" s="1130"/>
      <c r="J709" s="1130"/>
      <c r="K709" s="1130"/>
      <c r="L709" s="1130"/>
      <c r="M709" s="1130"/>
      <c r="N709" s="1130"/>
      <c r="O709" s="1130"/>
      <c r="P709" s="1130"/>
      <c r="Q709" s="1130"/>
      <c r="R709" s="1130"/>
      <c r="S709" s="1130"/>
      <c r="T709" s="1130"/>
      <c r="U709" s="1130"/>
      <c r="V709" s="1130"/>
      <c r="W709" s="1130"/>
      <c r="X709" s="1130"/>
      <c r="Y709" s="1130"/>
      <c r="Z709" s="1130"/>
    </row>
    <row r="710" spans="1:26" ht="15.75" customHeight="1">
      <c r="A710" s="1130"/>
      <c r="B710" s="1130"/>
      <c r="C710" s="1130"/>
      <c r="D710" s="1130"/>
      <c r="E710" s="1130"/>
      <c r="F710" s="1130"/>
      <c r="G710" s="1130"/>
      <c r="H710" s="1130"/>
      <c r="I710" s="1130"/>
      <c r="J710" s="1130"/>
      <c r="K710" s="1130"/>
      <c r="L710" s="1130"/>
      <c r="M710" s="1130"/>
      <c r="N710" s="1130"/>
      <c r="O710" s="1130"/>
      <c r="P710" s="1130"/>
      <c r="Q710" s="1130"/>
      <c r="R710" s="1130"/>
      <c r="S710" s="1130"/>
      <c r="T710" s="1130"/>
      <c r="U710" s="1130"/>
      <c r="V710" s="1130"/>
      <c r="W710" s="1130"/>
      <c r="X710" s="1130"/>
      <c r="Y710" s="1130"/>
      <c r="Z710" s="1130"/>
    </row>
    <row r="711" spans="1:26" ht="15.75" customHeight="1">
      <c r="A711" s="1130"/>
      <c r="B711" s="1130"/>
      <c r="C711" s="1130"/>
      <c r="D711" s="1130"/>
      <c r="E711" s="1130"/>
      <c r="F711" s="1130"/>
      <c r="G711" s="1130"/>
      <c r="H711" s="1130"/>
      <c r="I711" s="1130"/>
      <c r="J711" s="1130"/>
      <c r="K711" s="1130"/>
      <c r="L711" s="1130"/>
      <c r="M711" s="1130"/>
      <c r="N711" s="1130"/>
      <c r="O711" s="1130"/>
      <c r="P711" s="1130"/>
      <c r="Q711" s="1130"/>
      <c r="R711" s="1130"/>
      <c r="S711" s="1130"/>
      <c r="T711" s="1130"/>
      <c r="U711" s="1130"/>
      <c r="V711" s="1130"/>
      <c r="W711" s="1130"/>
      <c r="X711" s="1130"/>
      <c r="Y711" s="1130"/>
      <c r="Z711" s="1130"/>
    </row>
    <row r="712" spans="1:26" ht="15.75" customHeight="1">
      <c r="A712" s="1130"/>
      <c r="B712" s="1130"/>
      <c r="C712" s="1130"/>
      <c r="D712" s="1130"/>
      <c r="E712" s="1130"/>
      <c r="F712" s="1130"/>
      <c r="G712" s="1130"/>
      <c r="H712" s="1130"/>
      <c r="I712" s="1130"/>
      <c r="J712" s="1130"/>
      <c r="K712" s="1130"/>
      <c r="L712" s="1130"/>
      <c r="M712" s="1130"/>
      <c r="N712" s="1130"/>
      <c r="O712" s="1130"/>
      <c r="P712" s="1130"/>
      <c r="Q712" s="1130"/>
      <c r="R712" s="1130"/>
      <c r="S712" s="1130"/>
      <c r="T712" s="1130"/>
      <c r="U712" s="1130"/>
      <c r="V712" s="1130"/>
      <c r="W712" s="1130"/>
      <c r="X712" s="1130"/>
      <c r="Y712" s="1130"/>
      <c r="Z712" s="1130"/>
    </row>
    <row r="713" spans="1:26" ht="15.75" customHeight="1">
      <c r="A713" s="1130"/>
      <c r="B713" s="1130"/>
      <c r="C713" s="1130"/>
      <c r="D713" s="1130"/>
      <c r="E713" s="1130"/>
      <c r="F713" s="1130"/>
      <c r="G713" s="1130"/>
      <c r="H713" s="1130"/>
      <c r="I713" s="1130"/>
      <c r="J713" s="1130"/>
      <c r="K713" s="1130"/>
      <c r="L713" s="1130"/>
      <c r="M713" s="1130"/>
      <c r="N713" s="1130"/>
      <c r="O713" s="1130"/>
      <c r="P713" s="1130"/>
      <c r="Q713" s="1130"/>
      <c r="R713" s="1130"/>
      <c r="S713" s="1130"/>
      <c r="T713" s="1130"/>
      <c r="U713" s="1130"/>
      <c r="V713" s="1130"/>
      <c r="W713" s="1130"/>
      <c r="X713" s="1130"/>
      <c r="Y713" s="1130"/>
      <c r="Z713" s="1130"/>
    </row>
    <row r="714" spans="1:26" ht="15.75" customHeight="1">
      <c r="A714" s="1130"/>
      <c r="B714" s="1130"/>
      <c r="C714" s="1130"/>
      <c r="D714" s="1130"/>
      <c r="E714" s="1130"/>
      <c r="F714" s="1130"/>
      <c r="G714" s="1130"/>
      <c r="H714" s="1130"/>
      <c r="I714" s="1130"/>
      <c r="J714" s="1130"/>
      <c r="K714" s="1130"/>
      <c r="L714" s="1130"/>
      <c r="M714" s="1130"/>
      <c r="N714" s="1130"/>
      <c r="O714" s="1130"/>
      <c r="P714" s="1130"/>
      <c r="Q714" s="1130"/>
      <c r="R714" s="1130"/>
      <c r="S714" s="1130"/>
      <c r="T714" s="1130"/>
      <c r="U714" s="1130"/>
      <c r="V714" s="1130"/>
      <c r="W714" s="1130"/>
      <c r="X714" s="1130"/>
      <c r="Y714" s="1130"/>
      <c r="Z714" s="1130"/>
    </row>
    <row r="715" spans="1:26" ht="15.75" customHeight="1">
      <c r="A715" s="1130"/>
      <c r="B715" s="1130"/>
      <c r="C715" s="1130"/>
      <c r="D715" s="1130"/>
      <c r="E715" s="1130"/>
      <c r="F715" s="1130"/>
      <c r="G715" s="1130"/>
      <c r="H715" s="1130"/>
      <c r="I715" s="1130"/>
      <c r="J715" s="1130"/>
      <c r="K715" s="1130"/>
      <c r="L715" s="1130"/>
      <c r="M715" s="1130"/>
      <c r="N715" s="1130"/>
      <c r="O715" s="1130"/>
      <c r="P715" s="1130"/>
      <c r="Q715" s="1130"/>
      <c r="R715" s="1130"/>
      <c r="S715" s="1130"/>
      <c r="T715" s="1130"/>
      <c r="U715" s="1130"/>
      <c r="V715" s="1130"/>
      <c r="W715" s="1130"/>
      <c r="X715" s="1130"/>
      <c r="Y715" s="1130"/>
      <c r="Z715" s="1130"/>
    </row>
    <row r="716" spans="1:26" ht="15.75" customHeight="1">
      <c r="A716" s="1130"/>
      <c r="B716" s="1130"/>
      <c r="C716" s="1130"/>
      <c r="D716" s="1130"/>
      <c r="E716" s="1130"/>
      <c r="F716" s="1130"/>
      <c r="G716" s="1130"/>
      <c r="H716" s="1130"/>
      <c r="I716" s="1130"/>
      <c r="J716" s="1130"/>
      <c r="K716" s="1130"/>
      <c r="L716" s="1130"/>
      <c r="M716" s="1130"/>
      <c r="N716" s="1130"/>
      <c r="O716" s="1130"/>
      <c r="P716" s="1130"/>
      <c r="Q716" s="1130"/>
      <c r="R716" s="1130"/>
      <c r="S716" s="1130"/>
      <c r="T716" s="1130"/>
      <c r="U716" s="1130"/>
      <c r="V716" s="1130"/>
      <c r="W716" s="1130"/>
      <c r="X716" s="1130"/>
      <c r="Y716" s="1130"/>
      <c r="Z716" s="1130"/>
    </row>
    <row r="717" spans="1:26" ht="15.75" customHeight="1">
      <c r="A717" s="1130"/>
      <c r="B717" s="1130"/>
      <c r="C717" s="1130"/>
      <c r="D717" s="1130"/>
      <c r="E717" s="1130"/>
      <c r="F717" s="1130"/>
      <c r="G717" s="1130"/>
      <c r="H717" s="1130"/>
      <c r="I717" s="1130"/>
      <c r="J717" s="1130"/>
      <c r="K717" s="1130"/>
      <c r="L717" s="1130"/>
      <c r="M717" s="1130"/>
      <c r="N717" s="1130"/>
      <c r="O717" s="1130"/>
      <c r="P717" s="1130"/>
      <c r="Q717" s="1130"/>
      <c r="R717" s="1130"/>
      <c r="S717" s="1130"/>
      <c r="T717" s="1130"/>
      <c r="U717" s="1130"/>
      <c r="V717" s="1130"/>
      <c r="W717" s="1130"/>
      <c r="X717" s="1130"/>
      <c r="Y717" s="1130"/>
      <c r="Z717" s="1130"/>
    </row>
    <row r="718" spans="1:26" ht="15.75" customHeight="1">
      <c r="A718" s="1130"/>
      <c r="B718" s="1130"/>
      <c r="C718" s="1130"/>
      <c r="D718" s="1130"/>
      <c r="E718" s="1130"/>
      <c r="F718" s="1130"/>
      <c r="G718" s="1130"/>
      <c r="H718" s="1130"/>
      <c r="I718" s="1130"/>
      <c r="J718" s="1130"/>
      <c r="K718" s="1130"/>
      <c r="L718" s="1130"/>
      <c r="M718" s="1130"/>
      <c r="N718" s="1130"/>
      <c r="O718" s="1130"/>
      <c r="P718" s="1130"/>
      <c r="Q718" s="1130"/>
      <c r="R718" s="1130"/>
      <c r="S718" s="1130"/>
      <c r="T718" s="1130"/>
      <c r="U718" s="1130"/>
      <c r="V718" s="1130"/>
      <c r="W718" s="1130"/>
      <c r="X718" s="1130"/>
      <c r="Y718" s="1130"/>
      <c r="Z718" s="1130"/>
    </row>
    <row r="719" spans="1:26" ht="15.75" customHeight="1">
      <c r="A719" s="1130"/>
      <c r="B719" s="1130"/>
      <c r="C719" s="1130"/>
      <c r="D719" s="1130"/>
      <c r="E719" s="1130"/>
      <c r="F719" s="1130"/>
      <c r="G719" s="1130"/>
      <c r="H719" s="1130"/>
      <c r="I719" s="1130"/>
      <c r="J719" s="1130"/>
      <c r="K719" s="1130"/>
      <c r="L719" s="1130"/>
      <c r="M719" s="1130"/>
      <c r="N719" s="1130"/>
      <c r="O719" s="1130"/>
      <c r="P719" s="1130"/>
      <c r="Q719" s="1130"/>
      <c r="R719" s="1130"/>
      <c r="S719" s="1130"/>
      <c r="T719" s="1130"/>
      <c r="U719" s="1130"/>
      <c r="V719" s="1130"/>
      <c r="W719" s="1130"/>
      <c r="X719" s="1130"/>
      <c r="Y719" s="1130"/>
      <c r="Z719" s="1130"/>
    </row>
    <row r="720" spans="1:26" ht="15.75" customHeight="1">
      <c r="A720" s="1130"/>
      <c r="B720" s="1130"/>
      <c r="C720" s="1130"/>
      <c r="D720" s="1130"/>
      <c r="E720" s="1130"/>
      <c r="F720" s="1130"/>
      <c r="G720" s="1130"/>
      <c r="H720" s="1130"/>
      <c r="I720" s="1130"/>
      <c r="J720" s="1130"/>
      <c r="K720" s="1130"/>
      <c r="L720" s="1130"/>
      <c r="M720" s="1130"/>
      <c r="N720" s="1130"/>
      <c r="O720" s="1130"/>
      <c r="P720" s="1130"/>
      <c r="Q720" s="1130"/>
      <c r="R720" s="1130"/>
      <c r="S720" s="1130"/>
      <c r="T720" s="1130"/>
      <c r="U720" s="1130"/>
      <c r="V720" s="1130"/>
      <c r="W720" s="1130"/>
      <c r="X720" s="1130"/>
      <c r="Y720" s="1130"/>
      <c r="Z720" s="1130"/>
    </row>
    <row r="721" spans="1:26" ht="15.75" customHeight="1">
      <c r="A721" s="1130"/>
      <c r="B721" s="1130"/>
      <c r="C721" s="1130"/>
      <c r="D721" s="1130"/>
      <c r="E721" s="1130"/>
      <c r="F721" s="1130"/>
      <c r="G721" s="1130"/>
      <c r="H721" s="1130"/>
      <c r="I721" s="1130"/>
      <c r="J721" s="1130"/>
      <c r="K721" s="1130"/>
      <c r="L721" s="1130"/>
      <c r="M721" s="1130"/>
      <c r="N721" s="1130"/>
      <c r="O721" s="1130"/>
      <c r="P721" s="1130"/>
      <c r="Q721" s="1130"/>
      <c r="R721" s="1130"/>
      <c r="S721" s="1130"/>
      <c r="T721" s="1130"/>
      <c r="U721" s="1130"/>
      <c r="V721" s="1130"/>
      <c r="W721" s="1130"/>
      <c r="X721" s="1130"/>
      <c r="Y721" s="1130"/>
      <c r="Z721" s="1130"/>
    </row>
    <row r="722" spans="1:26" ht="15.75" customHeight="1">
      <c r="A722" s="1130"/>
      <c r="B722" s="1130"/>
      <c r="C722" s="1130"/>
      <c r="D722" s="1130"/>
      <c r="E722" s="1130"/>
      <c r="F722" s="1130"/>
      <c r="G722" s="1130"/>
      <c r="H722" s="1130"/>
      <c r="I722" s="1130"/>
      <c r="J722" s="1130"/>
      <c r="K722" s="1130"/>
      <c r="L722" s="1130"/>
      <c r="M722" s="1130"/>
      <c r="N722" s="1130"/>
      <c r="O722" s="1130"/>
      <c r="P722" s="1130"/>
      <c r="Q722" s="1130"/>
      <c r="R722" s="1130"/>
      <c r="S722" s="1130"/>
      <c r="T722" s="1130"/>
      <c r="U722" s="1130"/>
      <c r="V722" s="1130"/>
      <c r="W722" s="1130"/>
      <c r="X722" s="1130"/>
      <c r="Y722" s="1130"/>
      <c r="Z722" s="1130"/>
    </row>
    <row r="723" spans="1:26" ht="15.75" customHeight="1">
      <c r="A723" s="1130"/>
      <c r="B723" s="1130"/>
      <c r="C723" s="1130"/>
      <c r="D723" s="1130"/>
      <c r="E723" s="1130"/>
      <c r="F723" s="1130"/>
      <c r="G723" s="1130"/>
      <c r="H723" s="1130"/>
      <c r="I723" s="1130"/>
      <c r="J723" s="1130"/>
      <c r="K723" s="1130"/>
      <c r="L723" s="1130"/>
      <c r="M723" s="1130"/>
      <c r="N723" s="1130"/>
      <c r="O723" s="1130"/>
      <c r="P723" s="1130"/>
      <c r="Q723" s="1130"/>
      <c r="R723" s="1130"/>
      <c r="S723" s="1130"/>
      <c r="T723" s="1130"/>
      <c r="U723" s="1130"/>
      <c r="V723" s="1130"/>
      <c r="W723" s="1130"/>
      <c r="X723" s="1130"/>
      <c r="Y723" s="1130"/>
      <c r="Z723" s="1130"/>
    </row>
    <row r="724" spans="1:26" ht="15.75" customHeight="1">
      <c r="A724" s="1130"/>
      <c r="B724" s="1130"/>
      <c r="C724" s="1130"/>
      <c r="D724" s="1130"/>
      <c r="E724" s="1130"/>
      <c r="F724" s="1130"/>
      <c r="G724" s="1130"/>
      <c r="H724" s="1130"/>
      <c r="I724" s="1130"/>
      <c r="J724" s="1130"/>
      <c r="K724" s="1130"/>
      <c r="L724" s="1130"/>
      <c r="M724" s="1130"/>
      <c r="N724" s="1130"/>
      <c r="O724" s="1130"/>
      <c r="P724" s="1130"/>
      <c r="Q724" s="1130"/>
      <c r="R724" s="1130"/>
      <c r="S724" s="1130"/>
      <c r="T724" s="1130"/>
      <c r="U724" s="1130"/>
      <c r="V724" s="1130"/>
      <c r="W724" s="1130"/>
      <c r="X724" s="1130"/>
      <c r="Y724" s="1130"/>
      <c r="Z724" s="1130"/>
    </row>
    <row r="725" spans="1:26" ht="15.75" customHeight="1">
      <c r="A725" s="1130"/>
      <c r="B725" s="1130"/>
      <c r="C725" s="1130"/>
      <c r="D725" s="1130"/>
      <c r="E725" s="1130"/>
      <c r="F725" s="1130"/>
      <c r="G725" s="1130"/>
      <c r="H725" s="1130"/>
      <c r="I725" s="1130"/>
      <c r="J725" s="1130"/>
      <c r="K725" s="1130"/>
      <c r="L725" s="1130"/>
      <c r="M725" s="1130"/>
      <c r="N725" s="1130"/>
      <c r="O725" s="1130"/>
      <c r="P725" s="1130"/>
      <c r="Q725" s="1130"/>
      <c r="R725" s="1130"/>
      <c r="S725" s="1130"/>
      <c r="T725" s="1130"/>
      <c r="U725" s="1130"/>
      <c r="V725" s="1130"/>
      <c r="W725" s="1130"/>
      <c r="X725" s="1130"/>
      <c r="Y725" s="1130"/>
      <c r="Z725" s="1130"/>
    </row>
    <row r="726" spans="1:26" ht="15.75" customHeight="1">
      <c r="A726" s="1130"/>
      <c r="B726" s="1130"/>
      <c r="C726" s="1130"/>
      <c r="D726" s="1130"/>
      <c r="E726" s="1130"/>
      <c r="F726" s="1130"/>
      <c r="G726" s="1130"/>
      <c r="H726" s="1130"/>
      <c r="I726" s="1130"/>
      <c r="J726" s="1130"/>
      <c r="K726" s="1130"/>
      <c r="L726" s="1130"/>
      <c r="M726" s="1130"/>
      <c r="N726" s="1130"/>
      <c r="O726" s="1130"/>
      <c r="P726" s="1130"/>
      <c r="Q726" s="1130"/>
      <c r="R726" s="1130"/>
      <c r="S726" s="1130"/>
      <c r="T726" s="1130"/>
      <c r="U726" s="1130"/>
      <c r="V726" s="1130"/>
      <c r="W726" s="1130"/>
      <c r="X726" s="1130"/>
      <c r="Y726" s="1130"/>
      <c r="Z726" s="1130"/>
    </row>
    <row r="727" spans="1:26" ht="15.75" customHeight="1">
      <c r="A727" s="1130"/>
      <c r="B727" s="1130"/>
      <c r="C727" s="1130"/>
      <c r="D727" s="1130"/>
      <c r="E727" s="1130"/>
      <c r="F727" s="1130"/>
      <c r="G727" s="1130"/>
      <c r="H727" s="1130"/>
      <c r="I727" s="1130"/>
      <c r="J727" s="1130"/>
      <c r="K727" s="1130"/>
      <c r="L727" s="1130"/>
      <c r="M727" s="1130"/>
      <c r="N727" s="1130"/>
      <c r="O727" s="1130"/>
      <c r="P727" s="1130"/>
      <c r="Q727" s="1130"/>
      <c r="R727" s="1130"/>
      <c r="S727" s="1130"/>
      <c r="T727" s="1130"/>
      <c r="U727" s="1130"/>
      <c r="V727" s="1130"/>
      <c r="W727" s="1130"/>
      <c r="X727" s="1130"/>
      <c r="Y727" s="1130"/>
      <c r="Z727" s="1130"/>
    </row>
    <row r="728" spans="1:26" ht="15.75" customHeight="1">
      <c r="A728" s="1130"/>
      <c r="B728" s="1130"/>
      <c r="C728" s="1130"/>
      <c r="D728" s="1130"/>
      <c r="E728" s="1130"/>
      <c r="F728" s="1130"/>
      <c r="G728" s="1130"/>
      <c r="H728" s="1130"/>
      <c r="I728" s="1130"/>
      <c r="J728" s="1130"/>
      <c r="K728" s="1130"/>
      <c r="L728" s="1130"/>
      <c r="M728" s="1130"/>
      <c r="N728" s="1130"/>
      <c r="O728" s="1130"/>
      <c r="P728" s="1130"/>
      <c r="Q728" s="1130"/>
      <c r="R728" s="1130"/>
      <c r="S728" s="1130"/>
      <c r="T728" s="1130"/>
      <c r="U728" s="1130"/>
      <c r="V728" s="1130"/>
      <c r="W728" s="1130"/>
      <c r="X728" s="1130"/>
      <c r="Y728" s="1130"/>
      <c r="Z728" s="1130"/>
    </row>
    <row r="729" spans="1:26" ht="15.75" customHeight="1">
      <c r="A729" s="1130"/>
      <c r="B729" s="1130"/>
      <c r="C729" s="1130"/>
      <c r="D729" s="1130"/>
      <c r="E729" s="1130"/>
      <c r="F729" s="1130"/>
      <c r="G729" s="1130"/>
      <c r="H729" s="1130"/>
      <c r="I729" s="1130"/>
      <c r="J729" s="1130"/>
      <c r="K729" s="1130"/>
      <c r="L729" s="1130"/>
      <c r="M729" s="1130"/>
      <c r="N729" s="1130"/>
      <c r="O729" s="1130"/>
      <c r="P729" s="1130"/>
      <c r="Q729" s="1130"/>
      <c r="R729" s="1130"/>
      <c r="S729" s="1130"/>
      <c r="T729" s="1130"/>
      <c r="U729" s="1130"/>
      <c r="V729" s="1130"/>
      <c r="W729" s="1130"/>
      <c r="X729" s="1130"/>
      <c r="Y729" s="1130"/>
      <c r="Z729" s="1130"/>
    </row>
    <row r="730" spans="1:26" ht="15.75" customHeight="1">
      <c r="A730" s="1130"/>
      <c r="B730" s="1130"/>
      <c r="C730" s="1130"/>
      <c r="D730" s="1130"/>
      <c r="E730" s="1130"/>
      <c r="F730" s="1130"/>
      <c r="G730" s="1130"/>
      <c r="H730" s="1130"/>
      <c r="I730" s="1130"/>
      <c r="J730" s="1130"/>
      <c r="K730" s="1130"/>
      <c r="L730" s="1130"/>
      <c r="M730" s="1130"/>
      <c r="N730" s="1130"/>
      <c r="O730" s="1130"/>
      <c r="P730" s="1130"/>
      <c r="Q730" s="1130"/>
      <c r="R730" s="1130"/>
      <c r="S730" s="1130"/>
      <c r="T730" s="1130"/>
      <c r="U730" s="1130"/>
      <c r="V730" s="1130"/>
      <c r="W730" s="1130"/>
      <c r="X730" s="1130"/>
      <c r="Y730" s="1130"/>
      <c r="Z730" s="1130"/>
    </row>
    <row r="731" spans="1:26" ht="15.75" customHeight="1">
      <c r="A731" s="1130"/>
      <c r="B731" s="1130"/>
      <c r="C731" s="1130"/>
      <c r="D731" s="1130"/>
      <c r="E731" s="1130"/>
      <c r="F731" s="1130"/>
      <c r="G731" s="1130"/>
      <c r="H731" s="1130"/>
      <c r="I731" s="1130"/>
      <c r="J731" s="1130"/>
      <c r="K731" s="1130"/>
      <c r="L731" s="1130"/>
      <c r="M731" s="1130"/>
      <c r="N731" s="1130"/>
      <c r="O731" s="1130"/>
      <c r="P731" s="1130"/>
      <c r="Q731" s="1130"/>
      <c r="R731" s="1130"/>
      <c r="S731" s="1130"/>
      <c r="T731" s="1130"/>
      <c r="U731" s="1130"/>
      <c r="V731" s="1130"/>
      <c r="W731" s="1130"/>
      <c r="X731" s="1130"/>
      <c r="Y731" s="1130"/>
      <c r="Z731" s="1130"/>
    </row>
    <row r="732" spans="1:26" ht="15.75" customHeight="1">
      <c r="A732" s="1130"/>
      <c r="B732" s="1130"/>
      <c r="C732" s="1130"/>
      <c r="D732" s="1130"/>
      <c r="E732" s="1130"/>
      <c r="F732" s="1130"/>
      <c r="G732" s="1130"/>
      <c r="H732" s="1130"/>
      <c r="I732" s="1130"/>
      <c r="J732" s="1130"/>
      <c r="K732" s="1130"/>
      <c r="L732" s="1130"/>
      <c r="M732" s="1130"/>
      <c r="N732" s="1130"/>
      <c r="O732" s="1130"/>
      <c r="P732" s="1130"/>
      <c r="Q732" s="1130"/>
      <c r="R732" s="1130"/>
      <c r="S732" s="1130"/>
      <c r="T732" s="1130"/>
      <c r="U732" s="1130"/>
      <c r="V732" s="1130"/>
      <c r="W732" s="1130"/>
      <c r="X732" s="1130"/>
      <c r="Y732" s="1130"/>
      <c r="Z732" s="1130"/>
    </row>
    <row r="733" spans="1:26" ht="15.75" customHeight="1">
      <c r="A733" s="1130"/>
      <c r="B733" s="1130"/>
      <c r="C733" s="1130"/>
      <c r="D733" s="1130"/>
      <c r="E733" s="1130"/>
      <c r="F733" s="1130"/>
      <c r="G733" s="1130"/>
      <c r="H733" s="1130"/>
      <c r="I733" s="1130"/>
      <c r="J733" s="1130"/>
      <c r="K733" s="1130"/>
      <c r="L733" s="1130"/>
      <c r="M733" s="1130"/>
      <c r="N733" s="1130"/>
      <c r="O733" s="1130"/>
      <c r="P733" s="1130"/>
      <c r="Q733" s="1130"/>
      <c r="R733" s="1130"/>
      <c r="S733" s="1130"/>
      <c r="T733" s="1130"/>
      <c r="U733" s="1130"/>
      <c r="V733" s="1130"/>
      <c r="W733" s="1130"/>
      <c r="X733" s="1130"/>
      <c r="Y733" s="1130"/>
      <c r="Z733" s="1130"/>
    </row>
    <row r="734" spans="1:26" ht="15.75" customHeight="1">
      <c r="A734" s="1130"/>
      <c r="B734" s="1130"/>
      <c r="C734" s="1130"/>
      <c r="D734" s="1130"/>
      <c r="E734" s="1130"/>
      <c r="F734" s="1130"/>
      <c r="G734" s="1130"/>
      <c r="H734" s="1130"/>
      <c r="I734" s="1130"/>
      <c r="J734" s="1130"/>
      <c r="K734" s="1130"/>
      <c r="L734" s="1130"/>
      <c r="M734" s="1130"/>
      <c r="N734" s="1130"/>
      <c r="O734" s="1130"/>
      <c r="P734" s="1130"/>
      <c r="Q734" s="1130"/>
      <c r="R734" s="1130"/>
      <c r="S734" s="1130"/>
      <c r="T734" s="1130"/>
      <c r="U734" s="1130"/>
      <c r="V734" s="1130"/>
      <c r="W734" s="1130"/>
      <c r="X734" s="1130"/>
      <c r="Y734" s="1130"/>
      <c r="Z734" s="1130"/>
    </row>
    <row r="735" spans="1:26" ht="15.75" customHeight="1">
      <c r="A735" s="1130"/>
      <c r="B735" s="1130"/>
      <c r="C735" s="1130"/>
      <c r="D735" s="1130"/>
      <c r="E735" s="1130"/>
      <c r="F735" s="1130"/>
      <c r="G735" s="1130"/>
      <c r="H735" s="1130"/>
      <c r="I735" s="1130"/>
      <c r="J735" s="1130"/>
      <c r="K735" s="1130"/>
      <c r="L735" s="1130"/>
      <c r="M735" s="1130"/>
      <c r="N735" s="1130"/>
      <c r="O735" s="1130"/>
      <c r="P735" s="1130"/>
      <c r="Q735" s="1130"/>
      <c r="R735" s="1130"/>
      <c r="S735" s="1130"/>
      <c r="T735" s="1130"/>
      <c r="U735" s="1130"/>
      <c r="V735" s="1130"/>
      <c r="W735" s="1130"/>
      <c r="X735" s="1130"/>
      <c r="Y735" s="1130"/>
      <c r="Z735" s="1130"/>
    </row>
    <row r="736" spans="1:26" ht="15.75" customHeight="1">
      <c r="A736" s="1130"/>
      <c r="B736" s="1130"/>
      <c r="C736" s="1130"/>
      <c r="D736" s="1130"/>
      <c r="E736" s="1130"/>
      <c r="F736" s="1130"/>
      <c r="G736" s="1130"/>
      <c r="H736" s="1130"/>
      <c r="I736" s="1130"/>
      <c r="J736" s="1130"/>
      <c r="K736" s="1130"/>
      <c r="L736" s="1130"/>
      <c r="M736" s="1130"/>
      <c r="N736" s="1130"/>
      <c r="O736" s="1130"/>
      <c r="P736" s="1130"/>
      <c r="Q736" s="1130"/>
      <c r="R736" s="1130"/>
      <c r="S736" s="1130"/>
      <c r="T736" s="1130"/>
      <c r="U736" s="1130"/>
      <c r="V736" s="1130"/>
      <c r="W736" s="1130"/>
      <c r="X736" s="1130"/>
      <c r="Y736" s="1130"/>
      <c r="Z736" s="1130"/>
    </row>
    <row r="737" spans="1:26" ht="15.75" customHeight="1">
      <c r="A737" s="1130"/>
      <c r="B737" s="1130"/>
      <c r="C737" s="1130"/>
      <c r="D737" s="1130"/>
      <c r="E737" s="1130"/>
      <c r="F737" s="1130"/>
      <c r="G737" s="1130"/>
      <c r="H737" s="1130"/>
      <c r="I737" s="1130"/>
      <c r="J737" s="1130"/>
      <c r="K737" s="1130"/>
      <c r="L737" s="1130"/>
      <c r="M737" s="1130"/>
      <c r="N737" s="1130"/>
      <c r="O737" s="1130"/>
      <c r="P737" s="1130"/>
      <c r="Q737" s="1130"/>
      <c r="R737" s="1130"/>
      <c r="S737" s="1130"/>
      <c r="T737" s="1130"/>
      <c r="U737" s="1130"/>
      <c r="V737" s="1130"/>
      <c r="W737" s="1130"/>
      <c r="X737" s="1130"/>
      <c r="Y737" s="1130"/>
      <c r="Z737" s="1130"/>
    </row>
    <row r="738" spans="1:26" ht="15.75" customHeight="1">
      <c r="A738" s="1130"/>
      <c r="B738" s="1130"/>
      <c r="C738" s="1130"/>
      <c r="D738" s="1130"/>
      <c r="E738" s="1130"/>
      <c r="F738" s="1130"/>
      <c r="G738" s="1130"/>
      <c r="H738" s="1130"/>
      <c r="I738" s="1130"/>
      <c r="J738" s="1130"/>
      <c r="K738" s="1130"/>
      <c r="L738" s="1130"/>
      <c r="M738" s="1130"/>
      <c r="N738" s="1130"/>
      <c r="O738" s="1130"/>
      <c r="P738" s="1130"/>
      <c r="Q738" s="1130"/>
      <c r="R738" s="1130"/>
      <c r="S738" s="1130"/>
      <c r="T738" s="1130"/>
      <c r="U738" s="1130"/>
      <c r="V738" s="1130"/>
      <c r="W738" s="1130"/>
      <c r="X738" s="1130"/>
      <c r="Y738" s="1130"/>
      <c r="Z738" s="1130"/>
    </row>
    <row r="739" spans="1:26" ht="15.75" customHeight="1">
      <c r="A739" s="1130"/>
      <c r="B739" s="1130"/>
      <c r="C739" s="1130"/>
      <c r="D739" s="1130"/>
      <c r="E739" s="1130"/>
      <c r="F739" s="1130"/>
      <c r="G739" s="1130"/>
      <c r="H739" s="1130"/>
      <c r="I739" s="1130"/>
      <c r="J739" s="1130"/>
      <c r="K739" s="1130"/>
      <c r="L739" s="1130"/>
      <c r="M739" s="1130"/>
      <c r="N739" s="1130"/>
      <c r="O739" s="1130"/>
      <c r="P739" s="1130"/>
      <c r="Q739" s="1130"/>
      <c r="R739" s="1130"/>
      <c r="S739" s="1130"/>
      <c r="T739" s="1130"/>
      <c r="U739" s="1130"/>
      <c r="V739" s="1130"/>
      <c r="W739" s="1130"/>
      <c r="X739" s="1130"/>
      <c r="Y739" s="1130"/>
      <c r="Z739" s="1130"/>
    </row>
    <row r="740" spans="1:26" ht="15.75" customHeight="1">
      <c r="A740" s="1130"/>
      <c r="B740" s="1130"/>
      <c r="C740" s="1130"/>
      <c r="D740" s="1130"/>
      <c r="E740" s="1130"/>
      <c r="F740" s="1130"/>
      <c r="G740" s="1130"/>
      <c r="H740" s="1130"/>
      <c r="I740" s="1130"/>
      <c r="J740" s="1130"/>
      <c r="K740" s="1130"/>
      <c r="L740" s="1130"/>
      <c r="M740" s="1130"/>
      <c r="N740" s="1130"/>
      <c r="O740" s="1130"/>
      <c r="P740" s="1130"/>
      <c r="Q740" s="1130"/>
      <c r="R740" s="1130"/>
      <c r="S740" s="1130"/>
      <c r="T740" s="1130"/>
      <c r="U740" s="1130"/>
      <c r="V740" s="1130"/>
      <c r="W740" s="1130"/>
      <c r="X740" s="1130"/>
      <c r="Y740" s="1130"/>
      <c r="Z740" s="1130"/>
    </row>
    <row r="741" spans="1:26" ht="15.75" customHeight="1">
      <c r="A741" s="1130"/>
      <c r="B741" s="1130"/>
      <c r="C741" s="1130"/>
      <c r="D741" s="1130"/>
      <c r="E741" s="1130"/>
      <c r="F741" s="1130"/>
      <c r="G741" s="1130"/>
      <c r="H741" s="1130"/>
      <c r="I741" s="1130"/>
      <c r="J741" s="1130"/>
      <c r="K741" s="1130"/>
      <c r="L741" s="1130"/>
      <c r="M741" s="1130"/>
      <c r="N741" s="1130"/>
      <c r="O741" s="1130"/>
      <c r="P741" s="1130"/>
      <c r="Q741" s="1130"/>
      <c r="R741" s="1130"/>
      <c r="S741" s="1130"/>
      <c r="T741" s="1130"/>
      <c r="U741" s="1130"/>
      <c r="V741" s="1130"/>
      <c r="W741" s="1130"/>
      <c r="X741" s="1130"/>
      <c r="Y741" s="1130"/>
      <c r="Z741" s="1130"/>
    </row>
    <row r="742" spans="1:26" ht="15.75" customHeight="1">
      <c r="A742" s="1130"/>
      <c r="B742" s="1130"/>
      <c r="C742" s="1130"/>
      <c r="D742" s="1130"/>
      <c r="E742" s="1130"/>
      <c r="F742" s="1130"/>
      <c r="G742" s="1130"/>
      <c r="H742" s="1130"/>
      <c r="I742" s="1130"/>
      <c r="J742" s="1130"/>
      <c r="K742" s="1130"/>
      <c r="L742" s="1130"/>
      <c r="M742" s="1130"/>
      <c r="N742" s="1130"/>
      <c r="O742" s="1130"/>
      <c r="P742" s="1130"/>
      <c r="Q742" s="1130"/>
      <c r="R742" s="1130"/>
      <c r="S742" s="1130"/>
      <c r="T742" s="1130"/>
      <c r="U742" s="1130"/>
      <c r="V742" s="1130"/>
      <c r="W742" s="1130"/>
      <c r="X742" s="1130"/>
      <c r="Y742" s="1130"/>
      <c r="Z742" s="1130"/>
    </row>
    <row r="743" spans="1:26" ht="15.75" customHeight="1">
      <c r="A743" s="1130"/>
      <c r="B743" s="1130"/>
      <c r="C743" s="1130"/>
      <c r="D743" s="1130"/>
      <c r="E743" s="1130"/>
      <c r="F743" s="1130"/>
      <c r="G743" s="1130"/>
      <c r="H743" s="1130"/>
      <c r="I743" s="1130"/>
      <c r="J743" s="1130"/>
      <c r="K743" s="1130"/>
      <c r="L743" s="1130"/>
      <c r="M743" s="1130"/>
      <c r="N743" s="1130"/>
      <c r="O743" s="1130"/>
      <c r="P743" s="1130"/>
      <c r="Q743" s="1130"/>
      <c r="R743" s="1130"/>
      <c r="S743" s="1130"/>
      <c r="T743" s="1130"/>
      <c r="U743" s="1130"/>
      <c r="V743" s="1130"/>
      <c r="W743" s="1130"/>
      <c r="X743" s="1130"/>
      <c r="Y743" s="1130"/>
      <c r="Z743" s="1130"/>
    </row>
    <row r="744" spans="1:26" ht="15.75" customHeight="1">
      <c r="A744" s="1130"/>
      <c r="B744" s="1130"/>
      <c r="C744" s="1130"/>
      <c r="D744" s="1130"/>
      <c r="E744" s="1130"/>
      <c r="F744" s="1130"/>
      <c r="G744" s="1130"/>
      <c r="H744" s="1130"/>
      <c r="I744" s="1130"/>
      <c r="J744" s="1130"/>
      <c r="K744" s="1130"/>
      <c r="L744" s="1130"/>
      <c r="M744" s="1130"/>
      <c r="N744" s="1130"/>
      <c r="O744" s="1130"/>
      <c r="P744" s="1130"/>
      <c r="Q744" s="1130"/>
      <c r="R744" s="1130"/>
      <c r="S744" s="1130"/>
      <c r="T744" s="1130"/>
      <c r="U744" s="1130"/>
      <c r="V744" s="1130"/>
      <c r="W744" s="1130"/>
      <c r="X744" s="1130"/>
      <c r="Y744" s="1130"/>
      <c r="Z744" s="1130"/>
    </row>
    <row r="745" spans="1:26" ht="15.75" customHeight="1">
      <c r="A745" s="1130"/>
      <c r="B745" s="1130"/>
      <c r="C745" s="1130"/>
      <c r="D745" s="1130"/>
      <c r="E745" s="1130"/>
      <c r="F745" s="1130"/>
      <c r="G745" s="1130"/>
      <c r="H745" s="1130"/>
      <c r="I745" s="1130"/>
      <c r="J745" s="1130"/>
      <c r="K745" s="1130"/>
      <c r="L745" s="1130"/>
      <c r="M745" s="1130"/>
      <c r="N745" s="1130"/>
      <c r="O745" s="1130"/>
      <c r="P745" s="1130"/>
      <c r="Q745" s="1130"/>
      <c r="R745" s="1130"/>
      <c r="S745" s="1130"/>
      <c r="T745" s="1130"/>
      <c r="U745" s="1130"/>
      <c r="V745" s="1130"/>
      <c r="W745" s="1130"/>
      <c r="X745" s="1130"/>
      <c r="Y745" s="1130"/>
      <c r="Z745" s="1130"/>
    </row>
    <row r="746" spans="1:26" ht="15.75" customHeight="1">
      <c r="A746" s="1130"/>
      <c r="B746" s="1130"/>
      <c r="C746" s="1130"/>
      <c r="D746" s="1130"/>
      <c r="E746" s="1130"/>
      <c r="F746" s="1130"/>
      <c r="G746" s="1130"/>
      <c r="H746" s="1130"/>
      <c r="I746" s="1130"/>
      <c r="J746" s="1130"/>
      <c r="K746" s="1130"/>
      <c r="L746" s="1130"/>
      <c r="M746" s="1130"/>
      <c r="N746" s="1130"/>
      <c r="O746" s="1130"/>
      <c r="P746" s="1130"/>
      <c r="Q746" s="1130"/>
      <c r="R746" s="1130"/>
      <c r="S746" s="1130"/>
      <c r="T746" s="1130"/>
      <c r="U746" s="1130"/>
      <c r="V746" s="1130"/>
      <c r="W746" s="1130"/>
      <c r="X746" s="1130"/>
      <c r="Y746" s="1130"/>
      <c r="Z746" s="1130"/>
    </row>
    <row r="747" spans="1:26" ht="15.75" customHeight="1">
      <c r="A747" s="1130"/>
      <c r="B747" s="1130"/>
      <c r="C747" s="1130"/>
      <c r="D747" s="1130"/>
      <c r="E747" s="1130"/>
      <c r="F747" s="1130"/>
      <c r="G747" s="1130"/>
      <c r="H747" s="1130"/>
      <c r="I747" s="1130"/>
      <c r="J747" s="1130"/>
      <c r="K747" s="1130"/>
      <c r="L747" s="1130"/>
      <c r="M747" s="1130"/>
      <c r="N747" s="1130"/>
      <c r="O747" s="1130"/>
      <c r="P747" s="1130"/>
      <c r="Q747" s="1130"/>
      <c r="R747" s="1130"/>
      <c r="S747" s="1130"/>
      <c r="T747" s="1130"/>
      <c r="U747" s="1130"/>
      <c r="V747" s="1130"/>
      <c r="W747" s="1130"/>
      <c r="X747" s="1130"/>
      <c r="Y747" s="1130"/>
      <c r="Z747" s="1130"/>
    </row>
    <row r="748" spans="1:26" ht="15.75" customHeight="1">
      <c r="A748" s="1130"/>
      <c r="B748" s="1130"/>
      <c r="C748" s="1130"/>
      <c r="D748" s="1130"/>
      <c r="E748" s="1130"/>
      <c r="F748" s="1130"/>
      <c r="G748" s="1130"/>
      <c r="H748" s="1130"/>
      <c r="I748" s="1130"/>
      <c r="J748" s="1130"/>
      <c r="K748" s="1130"/>
      <c r="L748" s="1130"/>
      <c r="M748" s="1130"/>
      <c r="N748" s="1130"/>
      <c r="O748" s="1130"/>
      <c r="P748" s="1130"/>
      <c r="Q748" s="1130"/>
      <c r="R748" s="1130"/>
      <c r="S748" s="1130"/>
      <c r="T748" s="1130"/>
      <c r="U748" s="1130"/>
      <c r="V748" s="1130"/>
      <c r="W748" s="1130"/>
      <c r="X748" s="1130"/>
      <c r="Y748" s="1130"/>
      <c r="Z748" s="1130"/>
    </row>
    <row r="749" spans="1:26" ht="15.75" customHeight="1">
      <c r="A749" s="1130"/>
      <c r="B749" s="1130"/>
      <c r="C749" s="1130"/>
      <c r="D749" s="1130"/>
      <c r="E749" s="1130"/>
      <c r="F749" s="1130"/>
      <c r="G749" s="1130"/>
      <c r="H749" s="1130"/>
      <c r="I749" s="1130"/>
      <c r="J749" s="1130"/>
      <c r="K749" s="1130"/>
      <c r="L749" s="1130"/>
      <c r="M749" s="1130"/>
      <c r="N749" s="1130"/>
      <c r="O749" s="1130"/>
      <c r="P749" s="1130"/>
      <c r="Q749" s="1130"/>
      <c r="R749" s="1130"/>
      <c r="S749" s="1130"/>
      <c r="T749" s="1130"/>
      <c r="U749" s="1130"/>
      <c r="V749" s="1130"/>
      <c r="W749" s="1130"/>
      <c r="X749" s="1130"/>
      <c r="Y749" s="1130"/>
      <c r="Z749" s="1130"/>
    </row>
    <row r="750" spans="1:26" ht="15.75" customHeight="1">
      <c r="A750" s="1130"/>
      <c r="B750" s="1130"/>
      <c r="C750" s="1130"/>
      <c r="D750" s="1130"/>
      <c r="E750" s="1130"/>
      <c r="F750" s="1130"/>
      <c r="G750" s="1130"/>
      <c r="H750" s="1130"/>
      <c r="I750" s="1130"/>
      <c r="J750" s="1130"/>
      <c r="K750" s="1130"/>
      <c r="L750" s="1130"/>
      <c r="M750" s="1130"/>
      <c r="N750" s="1130"/>
      <c r="O750" s="1130"/>
      <c r="P750" s="1130"/>
      <c r="Q750" s="1130"/>
      <c r="R750" s="1130"/>
      <c r="S750" s="1130"/>
      <c r="T750" s="1130"/>
      <c r="U750" s="1130"/>
      <c r="V750" s="1130"/>
      <c r="W750" s="1130"/>
      <c r="X750" s="1130"/>
      <c r="Y750" s="1130"/>
      <c r="Z750" s="1130"/>
    </row>
    <row r="751" spans="1:26" ht="15.75" customHeight="1">
      <c r="A751" s="1130"/>
      <c r="B751" s="1130"/>
      <c r="C751" s="1130"/>
      <c r="D751" s="1130"/>
      <c r="E751" s="1130"/>
      <c r="F751" s="1130"/>
      <c r="G751" s="1130"/>
      <c r="H751" s="1130"/>
      <c r="I751" s="1130"/>
      <c r="J751" s="1130"/>
      <c r="K751" s="1130"/>
      <c r="L751" s="1130"/>
      <c r="M751" s="1130"/>
      <c r="N751" s="1130"/>
      <c r="O751" s="1130"/>
      <c r="P751" s="1130"/>
      <c r="Q751" s="1130"/>
      <c r="R751" s="1130"/>
      <c r="S751" s="1130"/>
      <c r="T751" s="1130"/>
      <c r="U751" s="1130"/>
      <c r="V751" s="1130"/>
      <c r="W751" s="1130"/>
      <c r="X751" s="1130"/>
      <c r="Y751" s="1130"/>
      <c r="Z751" s="1130"/>
    </row>
    <row r="752" spans="1:26" ht="15.75" customHeight="1">
      <c r="A752" s="1130"/>
      <c r="B752" s="1130"/>
      <c r="C752" s="1130"/>
      <c r="D752" s="1130"/>
      <c r="E752" s="1130"/>
      <c r="F752" s="1130"/>
      <c r="G752" s="1130"/>
      <c r="H752" s="1130"/>
      <c r="I752" s="1130"/>
      <c r="J752" s="1130"/>
      <c r="K752" s="1130"/>
      <c r="L752" s="1130"/>
      <c r="M752" s="1130"/>
      <c r="N752" s="1130"/>
      <c r="O752" s="1130"/>
      <c r="P752" s="1130"/>
      <c r="Q752" s="1130"/>
      <c r="R752" s="1130"/>
      <c r="S752" s="1130"/>
      <c r="T752" s="1130"/>
      <c r="U752" s="1130"/>
      <c r="V752" s="1130"/>
      <c r="W752" s="1130"/>
      <c r="X752" s="1130"/>
      <c r="Y752" s="1130"/>
      <c r="Z752" s="1130"/>
    </row>
    <row r="753" spans="1:26" ht="15.75" customHeight="1">
      <c r="A753" s="1130"/>
      <c r="B753" s="1130"/>
      <c r="C753" s="1130"/>
      <c r="D753" s="1130"/>
      <c r="E753" s="1130"/>
      <c r="F753" s="1130"/>
      <c r="G753" s="1130"/>
      <c r="H753" s="1130"/>
      <c r="I753" s="1130"/>
      <c r="J753" s="1130"/>
      <c r="K753" s="1130"/>
      <c r="L753" s="1130"/>
      <c r="M753" s="1130"/>
      <c r="N753" s="1130"/>
      <c r="O753" s="1130"/>
      <c r="P753" s="1130"/>
      <c r="Q753" s="1130"/>
      <c r="R753" s="1130"/>
      <c r="S753" s="1130"/>
      <c r="T753" s="1130"/>
      <c r="U753" s="1130"/>
      <c r="V753" s="1130"/>
      <c r="W753" s="1130"/>
      <c r="X753" s="1130"/>
      <c r="Y753" s="1130"/>
      <c r="Z753" s="1130"/>
    </row>
    <row r="754" spans="1:26" ht="15.75" customHeight="1">
      <c r="A754" s="1130"/>
      <c r="B754" s="1130"/>
      <c r="C754" s="1130"/>
      <c r="D754" s="1130"/>
      <c r="E754" s="1130"/>
      <c r="F754" s="1130"/>
      <c r="G754" s="1130"/>
      <c r="H754" s="1130"/>
      <c r="I754" s="1130"/>
      <c r="J754" s="1130"/>
      <c r="K754" s="1130"/>
      <c r="L754" s="1130"/>
      <c r="M754" s="1130"/>
      <c r="N754" s="1130"/>
      <c r="O754" s="1130"/>
      <c r="P754" s="1130"/>
      <c r="Q754" s="1130"/>
      <c r="R754" s="1130"/>
      <c r="S754" s="1130"/>
      <c r="T754" s="1130"/>
      <c r="U754" s="1130"/>
      <c r="V754" s="1130"/>
      <c r="W754" s="1130"/>
      <c r="X754" s="1130"/>
      <c r="Y754" s="1130"/>
      <c r="Z754" s="1130"/>
    </row>
    <row r="755" spans="1:26" ht="15.75" customHeight="1">
      <c r="A755" s="1130"/>
      <c r="B755" s="1130"/>
      <c r="C755" s="1130"/>
      <c r="D755" s="1130"/>
      <c r="E755" s="1130"/>
      <c r="F755" s="1130"/>
      <c r="G755" s="1130"/>
      <c r="H755" s="1130"/>
      <c r="I755" s="1130"/>
      <c r="J755" s="1130"/>
      <c r="K755" s="1130"/>
      <c r="L755" s="1130"/>
      <c r="M755" s="1130"/>
      <c r="N755" s="1130"/>
      <c r="O755" s="1130"/>
      <c r="P755" s="1130"/>
      <c r="Q755" s="1130"/>
      <c r="R755" s="1130"/>
      <c r="S755" s="1130"/>
      <c r="T755" s="1130"/>
      <c r="U755" s="1130"/>
      <c r="V755" s="1130"/>
      <c r="W755" s="1130"/>
      <c r="X755" s="1130"/>
      <c r="Y755" s="1130"/>
      <c r="Z755" s="1130"/>
    </row>
    <row r="756" spans="1:26" ht="15.75" customHeight="1">
      <c r="A756" s="1130"/>
      <c r="B756" s="1130"/>
      <c r="C756" s="1130"/>
      <c r="D756" s="1130"/>
      <c r="E756" s="1130"/>
      <c r="F756" s="1130"/>
      <c r="G756" s="1130"/>
      <c r="H756" s="1130"/>
      <c r="I756" s="1130"/>
      <c r="J756" s="1130"/>
      <c r="K756" s="1130"/>
      <c r="L756" s="1130"/>
      <c r="M756" s="1130"/>
      <c r="N756" s="1130"/>
      <c r="O756" s="1130"/>
      <c r="P756" s="1130"/>
      <c r="Q756" s="1130"/>
      <c r="R756" s="1130"/>
      <c r="S756" s="1130"/>
      <c r="T756" s="1130"/>
      <c r="U756" s="1130"/>
      <c r="V756" s="1130"/>
      <c r="W756" s="1130"/>
      <c r="X756" s="1130"/>
      <c r="Y756" s="1130"/>
      <c r="Z756" s="1130"/>
    </row>
    <row r="757" spans="1:26" ht="15.75" customHeight="1">
      <c r="A757" s="1130"/>
      <c r="B757" s="1130"/>
      <c r="C757" s="1130"/>
      <c r="D757" s="1130"/>
      <c r="E757" s="1130"/>
      <c r="F757" s="1130"/>
      <c r="G757" s="1130"/>
      <c r="H757" s="1130"/>
      <c r="I757" s="1130"/>
      <c r="J757" s="1130"/>
      <c r="K757" s="1130"/>
      <c r="L757" s="1130"/>
      <c r="M757" s="1130"/>
      <c r="N757" s="1130"/>
      <c r="O757" s="1130"/>
      <c r="P757" s="1130"/>
      <c r="Q757" s="1130"/>
      <c r="R757" s="1130"/>
      <c r="S757" s="1130"/>
      <c r="T757" s="1130"/>
      <c r="U757" s="1130"/>
      <c r="V757" s="1130"/>
      <c r="W757" s="1130"/>
      <c r="X757" s="1130"/>
      <c r="Y757" s="1130"/>
      <c r="Z757" s="1130"/>
    </row>
    <row r="758" spans="1:26" ht="15.75" customHeight="1">
      <c r="A758" s="1130"/>
      <c r="B758" s="1130"/>
      <c r="C758" s="1130"/>
      <c r="D758" s="1130"/>
      <c r="E758" s="1130"/>
      <c r="F758" s="1130"/>
      <c r="G758" s="1130"/>
      <c r="H758" s="1130"/>
      <c r="I758" s="1130"/>
      <c r="J758" s="1130"/>
      <c r="K758" s="1130"/>
      <c r="L758" s="1130"/>
      <c r="M758" s="1130"/>
      <c r="N758" s="1130"/>
      <c r="O758" s="1130"/>
      <c r="P758" s="1130"/>
      <c r="Q758" s="1130"/>
      <c r="R758" s="1130"/>
      <c r="S758" s="1130"/>
      <c r="T758" s="1130"/>
      <c r="U758" s="1130"/>
      <c r="V758" s="1130"/>
      <c r="W758" s="1130"/>
      <c r="X758" s="1130"/>
      <c r="Y758" s="1130"/>
      <c r="Z758" s="1130"/>
    </row>
    <row r="759" spans="1:26" ht="15.75" customHeight="1">
      <c r="A759" s="1130"/>
      <c r="B759" s="1130"/>
      <c r="C759" s="1130"/>
      <c r="D759" s="1130"/>
      <c r="E759" s="1130"/>
      <c r="F759" s="1130"/>
      <c r="G759" s="1130"/>
      <c r="H759" s="1130"/>
      <c r="I759" s="1130"/>
      <c r="J759" s="1130"/>
      <c r="K759" s="1130"/>
      <c r="L759" s="1130"/>
      <c r="M759" s="1130"/>
      <c r="N759" s="1130"/>
      <c r="O759" s="1130"/>
      <c r="P759" s="1130"/>
      <c r="Q759" s="1130"/>
      <c r="R759" s="1130"/>
      <c r="S759" s="1130"/>
      <c r="T759" s="1130"/>
      <c r="U759" s="1130"/>
      <c r="V759" s="1130"/>
      <c r="W759" s="1130"/>
      <c r="X759" s="1130"/>
      <c r="Y759" s="1130"/>
      <c r="Z759" s="1130"/>
    </row>
    <row r="760" spans="1:26" ht="15.75" customHeight="1">
      <c r="A760" s="1130"/>
      <c r="B760" s="1130"/>
      <c r="C760" s="1130"/>
      <c r="D760" s="1130"/>
      <c r="E760" s="1130"/>
      <c r="F760" s="1130"/>
      <c r="G760" s="1130"/>
      <c r="H760" s="1130"/>
      <c r="I760" s="1130"/>
      <c r="J760" s="1130"/>
      <c r="K760" s="1130"/>
      <c r="L760" s="1130"/>
      <c r="M760" s="1130"/>
      <c r="N760" s="1130"/>
      <c r="O760" s="1130"/>
      <c r="P760" s="1130"/>
      <c r="Q760" s="1130"/>
      <c r="R760" s="1130"/>
      <c r="S760" s="1130"/>
      <c r="T760" s="1130"/>
      <c r="U760" s="1130"/>
      <c r="V760" s="1130"/>
      <c r="W760" s="1130"/>
      <c r="X760" s="1130"/>
      <c r="Y760" s="1130"/>
      <c r="Z760" s="1130"/>
    </row>
    <row r="761" spans="1:26" ht="15.75" customHeight="1">
      <c r="A761" s="1130"/>
      <c r="B761" s="1130"/>
      <c r="C761" s="1130"/>
      <c r="D761" s="1130"/>
      <c r="E761" s="1130"/>
      <c r="F761" s="1130"/>
      <c r="G761" s="1130"/>
      <c r="H761" s="1130"/>
      <c r="I761" s="1130"/>
      <c r="J761" s="1130"/>
      <c r="K761" s="1130"/>
      <c r="L761" s="1130"/>
      <c r="M761" s="1130"/>
      <c r="N761" s="1130"/>
      <c r="O761" s="1130"/>
      <c r="P761" s="1130"/>
      <c r="Q761" s="1130"/>
      <c r="R761" s="1130"/>
      <c r="S761" s="1130"/>
      <c r="T761" s="1130"/>
      <c r="U761" s="1130"/>
      <c r="V761" s="1130"/>
      <c r="W761" s="1130"/>
      <c r="X761" s="1130"/>
      <c r="Y761" s="1130"/>
      <c r="Z761" s="1130"/>
    </row>
    <row r="762" spans="1:26" ht="15.75" customHeight="1">
      <c r="A762" s="1130"/>
      <c r="B762" s="1130"/>
      <c r="C762" s="1130"/>
      <c r="D762" s="1130"/>
      <c r="E762" s="1130"/>
      <c r="F762" s="1130"/>
      <c r="G762" s="1130"/>
      <c r="H762" s="1130"/>
      <c r="I762" s="1130"/>
      <c r="J762" s="1130"/>
      <c r="K762" s="1130"/>
      <c r="L762" s="1130"/>
      <c r="M762" s="1130"/>
      <c r="N762" s="1130"/>
      <c r="O762" s="1130"/>
      <c r="P762" s="1130"/>
      <c r="Q762" s="1130"/>
      <c r="R762" s="1130"/>
      <c r="S762" s="1130"/>
      <c r="T762" s="1130"/>
      <c r="U762" s="1130"/>
      <c r="V762" s="1130"/>
      <c r="W762" s="1130"/>
      <c r="X762" s="1130"/>
      <c r="Y762" s="1130"/>
      <c r="Z762" s="1130"/>
    </row>
    <row r="763" spans="1:26" ht="15.75" customHeight="1">
      <c r="A763" s="1130"/>
      <c r="B763" s="1130"/>
      <c r="C763" s="1130"/>
      <c r="D763" s="1130"/>
      <c r="E763" s="1130"/>
      <c r="F763" s="1130"/>
      <c r="G763" s="1130"/>
      <c r="H763" s="1130"/>
      <c r="I763" s="1130"/>
      <c r="J763" s="1130"/>
      <c r="K763" s="1130"/>
      <c r="L763" s="1130"/>
      <c r="M763" s="1130"/>
      <c r="N763" s="1130"/>
      <c r="O763" s="1130"/>
      <c r="P763" s="1130"/>
      <c r="Q763" s="1130"/>
      <c r="R763" s="1130"/>
      <c r="S763" s="1130"/>
      <c r="T763" s="1130"/>
      <c r="U763" s="1130"/>
      <c r="V763" s="1130"/>
      <c r="W763" s="1130"/>
      <c r="X763" s="1130"/>
      <c r="Y763" s="1130"/>
      <c r="Z763" s="1130"/>
    </row>
    <row r="764" spans="1:26" ht="15.75" customHeight="1">
      <c r="A764" s="1130"/>
      <c r="B764" s="1130"/>
      <c r="C764" s="1130"/>
      <c r="D764" s="1130"/>
      <c r="E764" s="1130"/>
      <c r="F764" s="1130"/>
      <c r="G764" s="1130"/>
      <c r="H764" s="1130"/>
      <c r="I764" s="1130"/>
      <c r="J764" s="1130"/>
      <c r="K764" s="1130"/>
      <c r="L764" s="1130"/>
      <c r="M764" s="1130"/>
      <c r="N764" s="1130"/>
      <c r="O764" s="1130"/>
      <c r="P764" s="1130"/>
      <c r="Q764" s="1130"/>
      <c r="R764" s="1130"/>
      <c r="S764" s="1130"/>
      <c r="T764" s="1130"/>
      <c r="U764" s="1130"/>
      <c r="V764" s="1130"/>
      <c r="W764" s="1130"/>
      <c r="X764" s="1130"/>
      <c r="Y764" s="1130"/>
      <c r="Z764" s="1130"/>
    </row>
    <row r="765" spans="1:26" ht="15.75" customHeight="1">
      <c r="A765" s="1130"/>
      <c r="B765" s="1130"/>
      <c r="C765" s="1130"/>
      <c r="D765" s="1130"/>
      <c r="E765" s="1130"/>
      <c r="F765" s="1130"/>
      <c r="G765" s="1130"/>
      <c r="H765" s="1130"/>
      <c r="I765" s="1130"/>
      <c r="J765" s="1130"/>
      <c r="K765" s="1130"/>
      <c r="L765" s="1130"/>
      <c r="M765" s="1130"/>
      <c r="N765" s="1130"/>
      <c r="O765" s="1130"/>
      <c r="P765" s="1130"/>
      <c r="Q765" s="1130"/>
      <c r="R765" s="1130"/>
      <c r="S765" s="1130"/>
      <c r="T765" s="1130"/>
      <c r="U765" s="1130"/>
      <c r="V765" s="1130"/>
      <c r="W765" s="1130"/>
      <c r="X765" s="1130"/>
      <c r="Y765" s="1130"/>
      <c r="Z765" s="1130"/>
    </row>
    <row r="766" spans="1:26" ht="15.75" customHeight="1">
      <c r="A766" s="1130"/>
      <c r="B766" s="1130"/>
      <c r="C766" s="1130"/>
      <c r="D766" s="1130"/>
      <c r="E766" s="1130"/>
      <c r="F766" s="1130"/>
      <c r="G766" s="1130"/>
      <c r="H766" s="1130"/>
      <c r="I766" s="1130"/>
      <c r="J766" s="1130"/>
      <c r="K766" s="1130"/>
      <c r="L766" s="1130"/>
      <c r="M766" s="1130"/>
      <c r="N766" s="1130"/>
      <c r="O766" s="1130"/>
      <c r="P766" s="1130"/>
      <c r="Q766" s="1130"/>
      <c r="R766" s="1130"/>
      <c r="S766" s="1130"/>
      <c r="T766" s="1130"/>
      <c r="U766" s="1130"/>
      <c r="V766" s="1130"/>
      <c r="W766" s="1130"/>
      <c r="X766" s="1130"/>
      <c r="Y766" s="1130"/>
      <c r="Z766" s="1130"/>
    </row>
    <row r="767" spans="1:26" ht="15.75" customHeight="1">
      <c r="A767" s="1130"/>
      <c r="B767" s="1130"/>
      <c r="C767" s="1130"/>
      <c r="D767" s="1130"/>
      <c r="E767" s="1130"/>
      <c r="F767" s="1130"/>
      <c r="G767" s="1130"/>
      <c r="H767" s="1130"/>
      <c r="I767" s="1130"/>
      <c r="J767" s="1130"/>
      <c r="K767" s="1130"/>
      <c r="L767" s="1130"/>
      <c r="M767" s="1130"/>
      <c r="N767" s="1130"/>
      <c r="O767" s="1130"/>
      <c r="P767" s="1130"/>
      <c r="Q767" s="1130"/>
      <c r="R767" s="1130"/>
      <c r="S767" s="1130"/>
      <c r="T767" s="1130"/>
      <c r="U767" s="1130"/>
      <c r="V767" s="1130"/>
      <c r="W767" s="1130"/>
      <c r="X767" s="1130"/>
      <c r="Y767" s="1130"/>
      <c r="Z767" s="1130"/>
    </row>
    <row r="768" spans="1:26" ht="15.75" customHeight="1">
      <c r="A768" s="1130"/>
      <c r="B768" s="1130"/>
      <c r="C768" s="1130"/>
      <c r="D768" s="1130"/>
      <c r="E768" s="1130"/>
      <c r="F768" s="1130"/>
      <c r="G768" s="1130"/>
      <c r="H768" s="1130"/>
      <c r="I768" s="1130"/>
      <c r="J768" s="1130"/>
      <c r="K768" s="1130"/>
      <c r="L768" s="1130"/>
      <c r="M768" s="1130"/>
      <c r="N768" s="1130"/>
      <c r="O768" s="1130"/>
      <c r="P768" s="1130"/>
      <c r="Q768" s="1130"/>
      <c r="R768" s="1130"/>
      <c r="S768" s="1130"/>
      <c r="T768" s="1130"/>
      <c r="U768" s="1130"/>
      <c r="V768" s="1130"/>
      <c r="W768" s="1130"/>
      <c r="X768" s="1130"/>
      <c r="Y768" s="1130"/>
      <c r="Z768" s="1130"/>
    </row>
    <row r="769" spans="1:26" ht="15.75" customHeight="1">
      <c r="A769" s="1130"/>
      <c r="B769" s="1130"/>
      <c r="C769" s="1130"/>
      <c r="D769" s="1130"/>
      <c r="E769" s="1130"/>
      <c r="F769" s="1130"/>
      <c r="G769" s="1130"/>
      <c r="H769" s="1130"/>
      <c r="I769" s="1130"/>
      <c r="J769" s="1130"/>
      <c r="K769" s="1130"/>
      <c r="L769" s="1130"/>
      <c r="M769" s="1130"/>
      <c r="N769" s="1130"/>
      <c r="O769" s="1130"/>
      <c r="P769" s="1130"/>
      <c r="Q769" s="1130"/>
      <c r="R769" s="1130"/>
      <c r="S769" s="1130"/>
      <c r="T769" s="1130"/>
      <c r="U769" s="1130"/>
      <c r="V769" s="1130"/>
      <c r="W769" s="1130"/>
      <c r="X769" s="1130"/>
      <c r="Y769" s="1130"/>
      <c r="Z769" s="1130"/>
    </row>
    <row r="770" spans="1:26" ht="15.75" customHeight="1">
      <c r="A770" s="1130"/>
      <c r="B770" s="1130"/>
      <c r="C770" s="1130"/>
      <c r="D770" s="1130"/>
      <c r="E770" s="1130"/>
      <c r="F770" s="1130"/>
      <c r="G770" s="1130"/>
      <c r="H770" s="1130"/>
      <c r="I770" s="1130"/>
      <c r="J770" s="1130"/>
      <c r="K770" s="1130"/>
      <c r="L770" s="1130"/>
      <c r="M770" s="1130"/>
      <c r="N770" s="1130"/>
      <c r="O770" s="1130"/>
      <c r="P770" s="1130"/>
      <c r="Q770" s="1130"/>
      <c r="R770" s="1130"/>
      <c r="S770" s="1130"/>
      <c r="T770" s="1130"/>
      <c r="U770" s="1130"/>
      <c r="V770" s="1130"/>
      <c r="W770" s="1130"/>
      <c r="X770" s="1130"/>
      <c r="Y770" s="1130"/>
      <c r="Z770" s="1130"/>
    </row>
    <row r="771" spans="1:26" ht="15.75" customHeight="1">
      <c r="A771" s="1130"/>
      <c r="B771" s="1130"/>
      <c r="C771" s="1130"/>
      <c r="D771" s="1130"/>
      <c r="E771" s="1130"/>
      <c r="F771" s="1130"/>
      <c r="G771" s="1130"/>
      <c r="H771" s="1130"/>
      <c r="I771" s="1130"/>
      <c r="J771" s="1130"/>
      <c r="K771" s="1130"/>
      <c r="L771" s="1130"/>
      <c r="M771" s="1130"/>
      <c r="N771" s="1130"/>
      <c r="O771" s="1130"/>
      <c r="P771" s="1130"/>
      <c r="Q771" s="1130"/>
      <c r="R771" s="1130"/>
      <c r="S771" s="1130"/>
      <c r="T771" s="1130"/>
      <c r="U771" s="1130"/>
      <c r="V771" s="1130"/>
      <c r="W771" s="1130"/>
      <c r="X771" s="1130"/>
      <c r="Y771" s="1130"/>
      <c r="Z771" s="1130"/>
    </row>
    <row r="772" spans="1:26" ht="15.75" customHeight="1">
      <c r="A772" s="1130"/>
      <c r="B772" s="1130"/>
      <c r="C772" s="1130"/>
      <c r="D772" s="1130"/>
      <c r="E772" s="1130"/>
      <c r="F772" s="1130"/>
      <c r="G772" s="1130"/>
      <c r="H772" s="1130"/>
      <c r="I772" s="1130"/>
      <c r="J772" s="1130"/>
      <c r="K772" s="1130"/>
      <c r="L772" s="1130"/>
      <c r="M772" s="1130"/>
      <c r="N772" s="1130"/>
      <c r="O772" s="1130"/>
      <c r="P772" s="1130"/>
      <c r="Q772" s="1130"/>
      <c r="R772" s="1130"/>
      <c r="S772" s="1130"/>
      <c r="T772" s="1130"/>
      <c r="U772" s="1130"/>
      <c r="V772" s="1130"/>
      <c r="W772" s="1130"/>
      <c r="X772" s="1130"/>
      <c r="Y772" s="1130"/>
      <c r="Z772" s="1130"/>
    </row>
    <row r="773" spans="1:26" ht="15.75" customHeight="1">
      <c r="A773" s="1130"/>
      <c r="B773" s="1130"/>
      <c r="C773" s="1130"/>
      <c r="D773" s="1130"/>
      <c r="E773" s="1130"/>
      <c r="F773" s="1130"/>
      <c r="G773" s="1130"/>
      <c r="H773" s="1130"/>
      <c r="I773" s="1130"/>
      <c r="J773" s="1130"/>
      <c r="K773" s="1130"/>
      <c r="L773" s="1130"/>
      <c r="M773" s="1130"/>
      <c r="N773" s="1130"/>
      <c r="O773" s="1130"/>
      <c r="P773" s="1130"/>
      <c r="Q773" s="1130"/>
      <c r="R773" s="1130"/>
      <c r="S773" s="1130"/>
      <c r="T773" s="1130"/>
      <c r="U773" s="1130"/>
      <c r="V773" s="1130"/>
      <c r="W773" s="1130"/>
      <c r="X773" s="1130"/>
      <c r="Y773" s="1130"/>
      <c r="Z773" s="1130"/>
    </row>
    <row r="774" spans="1:26" ht="15.75" customHeight="1">
      <c r="A774" s="1130"/>
      <c r="B774" s="1130"/>
      <c r="C774" s="1130"/>
      <c r="D774" s="1130"/>
      <c r="E774" s="1130"/>
      <c r="F774" s="1130"/>
      <c r="G774" s="1130"/>
      <c r="H774" s="1130"/>
      <c r="I774" s="1130"/>
      <c r="J774" s="1130"/>
      <c r="K774" s="1130"/>
      <c r="L774" s="1130"/>
      <c r="M774" s="1130"/>
      <c r="N774" s="1130"/>
      <c r="O774" s="1130"/>
      <c r="P774" s="1130"/>
      <c r="Q774" s="1130"/>
      <c r="R774" s="1130"/>
      <c r="S774" s="1130"/>
      <c r="T774" s="1130"/>
      <c r="U774" s="1130"/>
      <c r="V774" s="1130"/>
      <c r="W774" s="1130"/>
      <c r="X774" s="1130"/>
      <c r="Y774" s="1130"/>
      <c r="Z774" s="1130"/>
    </row>
    <row r="775" spans="1:26" ht="15.75" customHeight="1">
      <c r="A775" s="1130"/>
      <c r="B775" s="1130"/>
      <c r="C775" s="1130"/>
      <c r="D775" s="1130"/>
      <c r="E775" s="1130"/>
      <c r="F775" s="1130"/>
      <c r="G775" s="1130"/>
      <c r="H775" s="1130"/>
      <c r="I775" s="1130"/>
      <c r="J775" s="1130"/>
      <c r="K775" s="1130"/>
      <c r="L775" s="1130"/>
      <c r="M775" s="1130"/>
      <c r="N775" s="1130"/>
      <c r="O775" s="1130"/>
      <c r="P775" s="1130"/>
      <c r="Q775" s="1130"/>
      <c r="R775" s="1130"/>
      <c r="S775" s="1130"/>
      <c r="T775" s="1130"/>
      <c r="U775" s="1130"/>
      <c r="V775" s="1130"/>
      <c r="W775" s="1130"/>
      <c r="X775" s="1130"/>
      <c r="Y775" s="1130"/>
      <c r="Z775" s="1130"/>
    </row>
    <row r="776" spans="1:26" ht="15.75" customHeight="1">
      <c r="A776" s="1130"/>
      <c r="B776" s="1130"/>
      <c r="C776" s="1130"/>
      <c r="D776" s="1130"/>
      <c r="E776" s="1130"/>
      <c r="F776" s="1130"/>
      <c r="G776" s="1130"/>
      <c r="H776" s="1130"/>
      <c r="I776" s="1130"/>
      <c r="J776" s="1130"/>
      <c r="K776" s="1130"/>
      <c r="L776" s="1130"/>
      <c r="M776" s="1130"/>
      <c r="N776" s="1130"/>
      <c r="O776" s="1130"/>
      <c r="P776" s="1130"/>
      <c r="Q776" s="1130"/>
      <c r="R776" s="1130"/>
      <c r="S776" s="1130"/>
      <c r="T776" s="1130"/>
      <c r="U776" s="1130"/>
      <c r="V776" s="1130"/>
      <c r="W776" s="1130"/>
      <c r="X776" s="1130"/>
      <c r="Y776" s="1130"/>
      <c r="Z776" s="1130"/>
    </row>
    <row r="777" spans="1:26" ht="15.75" customHeight="1">
      <c r="A777" s="1130"/>
      <c r="B777" s="1130"/>
      <c r="C777" s="1130"/>
      <c r="D777" s="1130"/>
      <c r="E777" s="1130"/>
      <c r="F777" s="1130"/>
      <c r="G777" s="1130"/>
      <c r="H777" s="1130"/>
      <c r="I777" s="1130"/>
      <c r="J777" s="1130"/>
      <c r="K777" s="1130"/>
      <c r="L777" s="1130"/>
      <c r="M777" s="1130"/>
      <c r="N777" s="1130"/>
      <c r="O777" s="1130"/>
      <c r="P777" s="1130"/>
      <c r="Q777" s="1130"/>
      <c r="R777" s="1130"/>
      <c r="S777" s="1130"/>
      <c r="T777" s="1130"/>
      <c r="U777" s="1130"/>
      <c r="V777" s="1130"/>
      <c r="W777" s="1130"/>
      <c r="X777" s="1130"/>
      <c r="Y777" s="1130"/>
      <c r="Z777" s="1130"/>
    </row>
    <row r="778" spans="1:26" ht="15.75" customHeight="1">
      <c r="A778" s="1130"/>
      <c r="B778" s="1130"/>
      <c r="C778" s="1130"/>
      <c r="D778" s="1130"/>
      <c r="E778" s="1130"/>
      <c r="F778" s="1130"/>
      <c r="G778" s="1130"/>
      <c r="H778" s="1130"/>
      <c r="I778" s="1130"/>
      <c r="J778" s="1130"/>
      <c r="K778" s="1130"/>
      <c r="L778" s="1130"/>
      <c r="M778" s="1130"/>
      <c r="N778" s="1130"/>
      <c r="O778" s="1130"/>
      <c r="P778" s="1130"/>
      <c r="Q778" s="1130"/>
      <c r="R778" s="1130"/>
      <c r="S778" s="1130"/>
      <c r="T778" s="1130"/>
      <c r="U778" s="1130"/>
      <c r="V778" s="1130"/>
      <c r="W778" s="1130"/>
      <c r="X778" s="1130"/>
      <c r="Y778" s="1130"/>
      <c r="Z778" s="1130"/>
    </row>
    <row r="779" spans="1:26" ht="15.75" customHeight="1">
      <c r="A779" s="1130"/>
      <c r="B779" s="1130"/>
      <c r="C779" s="1130"/>
      <c r="D779" s="1130"/>
      <c r="E779" s="1130"/>
      <c r="F779" s="1130"/>
      <c r="G779" s="1130"/>
      <c r="H779" s="1130"/>
      <c r="I779" s="1130"/>
      <c r="J779" s="1130"/>
      <c r="K779" s="1130"/>
      <c r="L779" s="1130"/>
      <c r="M779" s="1130"/>
      <c r="N779" s="1130"/>
      <c r="O779" s="1130"/>
      <c r="P779" s="1130"/>
      <c r="Q779" s="1130"/>
      <c r="R779" s="1130"/>
      <c r="S779" s="1130"/>
      <c r="T779" s="1130"/>
      <c r="U779" s="1130"/>
      <c r="V779" s="1130"/>
      <c r="W779" s="1130"/>
      <c r="X779" s="1130"/>
      <c r="Y779" s="1130"/>
      <c r="Z779" s="1130"/>
    </row>
    <row r="780" spans="1:26" ht="15.75" customHeight="1">
      <c r="A780" s="1130"/>
      <c r="B780" s="1130"/>
      <c r="C780" s="1130"/>
      <c r="D780" s="1130"/>
      <c r="E780" s="1130"/>
      <c r="F780" s="1130"/>
      <c r="G780" s="1130"/>
      <c r="H780" s="1130"/>
      <c r="I780" s="1130"/>
      <c r="J780" s="1130"/>
      <c r="K780" s="1130"/>
      <c r="L780" s="1130"/>
      <c r="M780" s="1130"/>
      <c r="N780" s="1130"/>
      <c r="O780" s="1130"/>
      <c r="P780" s="1130"/>
      <c r="Q780" s="1130"/>
      <c r="R780" s="1130"/>
      <c r="S780" s="1130"/>
      <c r="T780" s="1130"/>
      <c r="U780" s="1130"/>
      <c r="V780" s="1130"/>
      <c r="W780" s="1130"/>
      <c r="X780" s="1130"/>
      <c r="Y780" s="1130"/>
      <c r="Z780" s="1130"/>
    </row>
    <row r="781" spans="1:26" ht="15.75" customHeight="1">
      <c r="A781" s="1130"/>
      <c r="B781" s="1130"/>
      <c r="C781" s="1130"/>
      <c r="D781" s="1130"/>
      <c r="E781" s="1130"/>
      <c r="F781" s="1130"/>
      <c r="G781" s="1130"/>
      <c r="H781" s="1130"/>
      <c r="I781" s="1130"/>
      <c r="J781" s="1130"/>
      <c r="K781" s="1130"/>
      <c r="L781" s="1130"/>
      <c r="M781" s="1130"/>
      <c r="N781" s="1130"/>
      <c r="O781" s="1130"/>
      <c r="P781" s="1130"/>
      <c r="Q781" s="1130"/>
      <c r="R781" s="1130"/>
      <c r="S781" s="1130"/>
      <c r="T781" s="1130"/>
      <c r="U781" s="1130"/>
      <c r="V781" s="1130"/>
      <c r="W781" s="1130"/>
      <c r="X781" s="1130"/>
      <c r="Y781" s="1130"/>
      <c r="Z781" s="1130"/>
    </row>
    <row r="782" spans="1:26" ht="15.75" customHeight="1">
      <c r="A782" s="1130"/>
      <c r="B782" s="1130"/>
      <c r="C782" s="1130"/>
      <c r="D782" s="1130"/>
      <c r="E782" s="1130"/>
      <c r="F782" s="1130"/>
      <c r="G782" s="1130"/>
      <c r="H782" s="1130"/>
      <c r="I782" s="1130"/>
      <c r="J782" s="1130"/>
      <c r="K782" s="1130"/>
      <c r="L782" s="1130"/>
      <c r="M782" s="1130"/>
      <c r="N782" s="1130"/>
      <c r="O782" s="1130"/>
      <c r="P782" s="1130"/>
      <c r="Q782" s="1130"/>
      <c r="R782" s="1130"/>
      <c r="S782" s="1130"/>
      <c r="T782" s="1130"/>
      <c r="U782" s="1130"/>
      <c r="V782" s="1130"/>
      <c r="W782" s="1130"/>
      <c r="X782" s="1130"/>
      <c r="Y782" s="1130"/>
      <c r="Z782" s="1130"/>
    </row>
    <row r="783" spans="1:26" ht="15.75" customHeight="1">
      <c r="A783" s="1130"/>
      <c r="B783" s="1130"/>
      <c r="C783" s="1130"/>
      <c r="D783" s="1130"/>
      <c r="E783" s="1130"/>
      <c r="F783" s="1130"/>
      <c r="G783" s="1130"/>
      <c r="H783" s="1130"/>
      <c r="I783" s="1130"/>
      <c r="J783" s="1130"/>
      <c r="K783" s="1130"/>
      <c r="L783" s="1130"/>
      <c r="M783" s="1130"/>
      <c r="N783" s="1130"/>
      <c r="O783" s="1130"/>
      <c r="P783" s="1130"/>
      <c r="Q783" s="1130"/>
      <c r="R783" s="1130"/>
      <c r="S783" s="1130"/>
      <c r="T783" s="1130"/>
      <c r="U783" s="1130"/>
      <c r="V783" s="1130"/>
      <c r="W783" s="1130"/>
      <c r="X783" s="1130"/>
      <c r="Y783" s="1130"/>
      <c r="Z783" s="1130"/>
    </row>
    <row r="784" spans="1:26" ht="15.75" customHeight="1">
      <c r="A784" s="1130"/>
      <c r="B784" s="1130"/>
      <c r="C784" s="1130"/>
      <c r="D784" s="1130"/>
      <c r="E784" s="1130"/>
      <c r="F784" s="1130"/>
      <c r="G784" s="1130"/>
      <c r="H784" s="1130"/>
      <c r="I784" s="1130"/>
      <c r="J784" s="1130"/>
      <c r="K784" s="1130"/>
      <c r="L784" s="1130"/>
      <c r="M784" s="1130"/>
      <c r="N784" s="1130"/>
      <c r="O784" s="1130"/>
      <c r="P784" s="1130"/>
      <c r="Q784" s="1130"/>
      <c r="R784" s="1130"/>
      <c r="S784" s="1130"/>
      <c r="T784" s="1130"/>
      <c r="U784" s="1130"/>
      <c r="V784" s="1130"/>
      <c r="W784" s="1130"/>
      <c r="X784" s="1130"/>
      <c r="Y784" s="1130"/>
      <c r="Z784" s="1130"/>
    </row>
    <row r="785" spans="1:26" ht="15.75" customHeight="1">
      <c r="A785" s="1130"/>
      <c r="B785" s="1130"/>
      <c r="C785" s="1130"/>
      <c r="D785" s="1130"/>
      <c r="E785" s="1130"/>
      <c r="F785" s="1130"/>
      <c r="G785" s="1130"/>
      <c r="H785" s="1130"/>
      <c r="I785" s="1130"/>
      <c r="J785" s="1130"/>
      <c r="K785" s="1130"/>
      <c r="L785" s="1130"/>
      <c r="M785" s="1130"/>
      <c r="N785" s="1130"/>
      <c r="O785" s="1130"/>
      <c r="P785" s="1130"/>
      <c r="Q785" s="1130"/>
      <c r="R785" s="1130"/>
      <c r="S785" s="1130"/>
      <c r="T785" s="1130"/>
      <c r="U785" s="1130"/>
      <c r="V785" s="1130"/>
      <c r="W785" s="1130"/>
      <c r="X785" s="1130"/>
      <c r="Y785" s="1130"/>
      <c r="Z785" s="1130"/>
    </row>
    <row r="786" spans="1:26" ht="15.75" customHeight="1">
      <c r="A786" s="1130"/>
      <c r="B786" s="1130"/>
      <c r="C786" s="1130"/>
      <c r="D786" s="1130"/>
      <c r="E786" s="1130"/>
      <c r="F786" s="1130"/>
      <c r="G786" s="1130"/>
      <c r="H786" s="1130"/>
      <c r="I786" s="1130"/>
      <c r="J786" s="1130"/>
      <c r="K786" s="1130"/>
      <c r="L786" s="1130"/>
      <c r="M786" s="1130"/>
      <c r="N786" s="1130"/>
      <c r="O786" s="1130"/>
      <c r="P786" s="1130"/>
      <c r="Q786" s="1130"/>
      <c r="R786" s="1130"/>
      <c r="S786" s="1130"/>
      <c r="T786" s="1130"/>
      <c r="U786" s="1130"/>
      <c r="V786" s="1130"/>
      <c r="W786" s="1130"/>
      <c r="X786" s="1130"/>
      <c r="Y786" s="1130"/>
      <c r="Z786" s="1130"/>
    </row>
    <row r="787" spans="1:26" ht="15.75" customHeight="1">
      <c r="A787" s="1130"/>
      <c r="B787" s="1130"/>
      <c r="C787" s="1130"/>
      <c r="D787" s="1130"/>
      <c r="E787" s="1130"/>
      <c r="F787" s="1130"/>
      <c r="G787" s="1130"/>
      <c r="H787" s="1130"/>
      <c r="I787" s="1130"/>
      <c r="J787" s="1130"/>
      <c r="K787" s="1130"/>
      <c r="L787" s="1130"/>
      <c r="M787" s="1130"/>
      <c r="N787" s="1130"/>
      <c r="O787" s="1130"/>
      <c r="P787" s="1130"/>
      <c r="Q787" s="1130"/>
      <c r="R787" s="1130"/>
      <c r="S787" s="1130"/>
      <c r="T787" s="1130"/>
      <c r="U787" s="1130"/>
      <c r="V787" s="1130"/>
      <c r="W787" s="1130"/>
      <c r="X787" s="1130"/>
      <c r="Y787" s="1130"/>
      <c r="Z787" s="1130"/>
    </row>
    <row r="788" spans="1:26" ht="15.75" customHeight="1">
      <c r="A788" s="1130"/>
      <c r="B788" s="1130"/>
      <c r="C788" s="1130"/>
      <c r="D788" s="1130"/>
      <c r="E788" s="1130"/>
      <c r="F788" s="1130"/>
      <c r="G788" s="1130"/>
      <c r="H788" s="1130"/>
      <c r="I788" s="1130"/>
      <c r="J788" s="1130"/>
      <c r="K788" s="1130"/>
      <c r="L788" s="1130"/>
      <c r="M788" s="1130"/>
      <c r="N788" s="1130"/>
      <c r="O788" s="1130"/>
      <c r="P788" s="1130"/>
      <c r="Q788" s="1130"/>
      <c r="R788" s="1130"/>
      <c r="S788" s="1130"/>
      <c r="T788" s="1130"/>
      <c r="U788" s="1130"/>
      <c r="V788" s="1130"/>
      <c r="W788" s="1130"/>
      <c r="X788" s="1130"/>
      <c r="Y788" s="1130"/>
      <c r="Z788" s="1130"/>
    </row>
    <row r="789" spans="1:26" ht="15.75" customHeight="1">
      <c r="A789" s="1130"/>
      <c r="B789" s="1130"/>
      <c r="C789" s="1130"/>
      <c r="D789" s="1130"/>
      <c r="E789" s="1130"/>
      <c r="F789" s="1130"/>
      <c r="G789" s="1130"/>
      <c r="H789" s="1130"/>
      <c r="I789" s="1130"/>
      <c r="J789" s="1130"/>
      <c r="K789" s="1130"/>
      <c r="L789" s="1130"/>
      <c r="M789" s="1130"/>
      <c r="N789" s="1130"/>
      <c r="O789" s="1130"/>
      <c r="P789" s="1130"/>
      <c r="Q789" s="1130"/>
      <c r="R789" s="1130"/>
      <c r="S789" s="1130"/>
      <c r="T789" s="1130"/>
      <c r="U789" s="1130"/>
      <c r="V789" s="1130"/>
      <c r="W789" s="1130"/>
      <c r="X789" s="1130"/>
      <c r="Y789" s="1130"/>
      <c r="Z789" s="1130"/>
    </row>
    <row r="790" spans="1:26" ht="15.75" customHeight="1">
      <c r="A790" s="1130"/>
      <c r="B790" s="1130"/>
      <c r="C790" s="1130"/>
      <c r="D790" s="1130"/>
      <c r="E790" s="1130"/>
      <c r="F790" s="1130"/>
      <c r="G790" s="1130"/>
      <c r="H790" s="1130"/>
      <c r="I790" s="1130"/>
      <c r="J790" s="1130"/>
      <c r="K790" s="1130"/>
      <c r="L790" s="1130"/>
      <c r="M790" s="1130"/>
      <c r="N790" s="1130"/>
      <c r="O790" s="1130"/>
      <c r="P790" s="1130"/>
      <c r="Q790" s="1130"/>
      <c r="R790" s="1130"/>
      <c r="S790" s="1130"/>
      <c r="T790" s="1130"/>
      <c r="U790" s="1130"/>
      <c r="V790" s="1130"/>
      <c r="W790" s="1130"/>
      <c r="X790" s="1130"/>
      <c r="Y790" s="1130"/>
      <c r="Z790" s="1130"/>
    </row>
    <row r="791" spans="1:26" ht="15.75" customHeight="1">
      <c r="A791" s="1130"/>
      <c r="B791" s="1130"/>
      <c r="C791" s="1130"/>
      <c r="D791" s="1130"/>
      <c r="E791" s="1130"/>
      <c r="F791" s="1130"/>
      <c r="G791" s="1130"/>
      <c r="H791" s="1130"/>
      <c r="I791" s="1130"/>
      <c r="J791" s="1130"/>
      <c r="K791" s="1130"/>
      <c r="L791" s="1130"/>
      <c r="M791" s="1130"/>
      <c r="N791" s="1130"/>
      <c r="O791" s="1130"/>
      <c r="P791" s="1130"/>
      <c r="Q791" s="1130"/>
      <c r="R791" s="1130"/>
      <c r="S791" s="1130"/>
      <c r="T791" s="1130"/>
      <c r="U791" s="1130"/>
      <c r="V791" s="1130"/>
      <c r="W791" s="1130"/>
      <c r="X791" s="1130"/>
      <c r="Y791" s="1130"/>
      <c r="Z791" s="1130"/>
    </row>
    <row r="792" spans="1:26" ht="15.75" customHeight="1">
      <c r="A792" s="1130"/>
      <c r="B792" s="1130"/>
      <c r="C792" s="1130"/>
      <c r="D792" s="1130"/>
      <c r="E792" s="1130"/>
      <c r="F792" s="1130"/>
      <c r="G792" s="1130"/>
      <c r="H792" s="1130"/>
      <c r="I792" s="1130"/>
      <c r="J792" s="1130"/>
      <c r="K792" s="1130"/>
      <c r="L792" s="1130"/>
      <c r="M792" s="1130"/>
      <c r="N792" s="1130"/>
      <c r="O792" s="1130"/>
      <c r="P792" s="1130"/>
      <c r="Q792" s="1130"/>
      <c r="R792" s="1130"/>
      <c r="S792" s="1130"/>
      <c r="T792" s="1130"/>
      <c r="U792" s="1130"/>
      <c r="V792" s="1130"/>
      <c r="W792" s="1130"/>
      <c r="X792" s="1130"/>
      <c r="Y792" s="1130"/>
      <c r="Z792" s="1130"/>
    </row>
    <row r="793" spans="1:26" ht="15.75" customHeight="1">
      <c r="A793" s="1130"/>
      <c r="B793" s="1130"/>
      <c r="C793" s="1130"/>
      <c r="D793" s="1130"/>
      <c r="E793" s="1130"/>
      <c r="F793" s="1130"/>
      <c r="G793" s="1130"/>
      <c r="H793" s="1130"/>
      <c r="I793" s="1130"/>
      <c r="J793" s="1130"/>
      <c r="K793" s="1130"/>
      <c r="L793" s="1130"/>
      <c r="M793" s="1130"/>
      <c r="N793" s="1130"/>
      <c r="O793" s="1130"/>
      <c r="P793" s="1130"/>
      <c r="Q793" s="1130"/>
      <c r="R793" s="1130"/>
      <c r="S793" s="1130"/>
      <c r="T793" s="1130"/>
      <c r="U793" s="1130"/>
      <c r="V793" s="1130"/>
      <c r="W793" s="1130"/>
      <c r="X793" s="1130"/>
      <c r="Y793" s="1130"/>
      <c r="Z793" s="1130"/>
    </row>
    <row r="794" spans="1:26" ht="15.75" customHeight="1">
      <c r="A794" s="1130"/>
      <c r="B794" s="1130"/>
      <c r="C794" s="1130"/>
      <c r="D794" s="1130"/>
      <c r="E794" s="1130"/>
      <c r="F794" s="1130"/>
      <c r="G794" s="1130"/>
      <c r="H794" s="1130"/>
      <c r="I794" s="1130"/>
      <c r="J794" s="1130"/>
      <c r="K794" s="1130"/>
      <c r="L794" s="1130"/>
      <c r="M794" s="1130"/>
      <c r="N794" s="1130"/>
      <c r="O794" s="1130"/>
      <c r="P794" s="1130"/>
      <c r="Q794" s="1130"/>
      <c r="R794" s="1130"/>
      <c r="S794" s="1130"/>
      <c r="T794" s="1130"/>
      <c r="U794" s="1130"/>
      <c r="V794" s="1130"/>
      <c r="W794" s="1130"/>
      <c r="X794" s="1130"/>
      <c r="Y794" s="1130"/>
      <c r="Z794" s="1130"/>
    </row>
    <row r="795" spans="1:26" ht="15.75" customHeight="1">
      <c r="A795" s="1130"/>
      <c r="B795" s="1130"/>
      <c r="C795" s="1130"/>
      <c r="D795" s="1130"/>
      <c r="E795" s="1130"/>
      <c r="F795" s="1130"/>
      <c r="G795" s="1130"/>
      <c r="H795" s="1130"/>
      <c r="I795" s="1130"/>
      <c r="J795" s="1130"/>
      <c r="K795" s="1130"/>
      <c r="L795" s="1130"/>
      <c r="M795" s="1130"/>
      <c r="N795" s="1130"/>
      <c r="O795" s="1130"/>
      <c r="P795" s="1130"/>
      <c r="Q795" s="1130"/>
      <c r="R795" s="1130"/>
      <c r="S795" s="1130"/>
      <c r="T795" s="1130"/>
      <c r="U795" s="1130"/>
      <c r="V795" s="1130"/>
      <c r="W795" s="1130"/>
      <c r="X795" s="1130"/>
      <c r="Y795" s="1130"/>
      <c r="Z795" s="1130"/>
    </row>
    <row r="796" spans="1:26" ht="15.75" customHeight="1">
      <c r="A796" s="1130"/>
      <c r="B796" s="1130"/>
      <c r="C796" s="1130"/>
      <c r="D796" s="1130"/>
      <c r="E796" s="1130"/>
      <c r="F796" s="1130"/>
      <c r="G796" s="1130"/>
      <c r="H796" s="1130"/>
      <c r="I796" s="1130"/>
      <c r="J796" s="1130"/>
      <c r="K796" s="1130"/>
      <c r="L796" s="1130"/>
      <c r="M796" s="1130"/>
      <c r="N796" s="1130"/>
      <c r="O796" s="1130"/>
      <c r="P796" s="1130"/>
      <c r="Q796" s="1130"/>
      <c r="R796" s="1130"/>
      <c r="S796" s="1130"/>
      <c r="T796" s="1130"/>
      <c r="U796" s="1130"/>
      <c r="V796" s="1130"/>
      <c r="W796" s="1130"/>
      <c r="X796" s="1130"/>
      <c r="Y796" s="1130"/>
      <c r="Z796" s="1130"/>
    </row>
    <row r="797" spans="1:26" ht="15.75" customHeight="1">
      <c r="A797" s="1130"/>
      <c r="B797" s="1130"/>
      <c r="C797" s="1130"/>
      <c r="D797" s="1130"/>
      <c r="E797" s="1130"/>
      <c r="F797" s="1130"/>
      <c r="G797" s="1130"/>
      <c r="H797" s="1130"/>
      <c r="I797" s="1130"/>
      <c r="J797" s="1130"/>
      <c r="K797" s="1130"/>
      <c r="L797" s="1130"/>
      <c r="M797" s="1130"/>
      <c r="N797" s="1130"/>
      <c r="O797" s="1130"/>
      <c r="P797" s="1130"/>
      <c r="Q797" s="1130"/>
      <c r="R797" s="1130"/>
      <c r="S797" s="1130"/>
      <c r="T797" s="1130"/>
      <c r="U797" s="1130"/>
      <c r="V797" s="1130"/>
      <c r="W797" s="1130"/>
      <c r="X797" s="1130"/>
      <c r="Y797" s="1130"/>
      <c r="Z797" s="1130"/>
    </row>
    <row r="798" spans="1:26" ht="15.75" customHeight="1">
      <c r="A798" s="1130"/>
      <c r="B798" s="1130"/>
      <c r="C798" s="1130"/>
      <c r="D798" s="1130"/>
      <c r="E798" s="1130"/>
      <c r="F798" s="1130"/>
      <c r="G798" s="1130"/>
      <c r="H798" s="1130"/>
      <c r="I798" s="1130"/>
      <c r="J798" s="1130"/>
      <c r="K798" s="1130"/>
      <c r="L798" s="1130"/>
      <c r="M798" s="1130"/>
      <c r="N798" s="1130"/>
      <c r="O798" s="1130"/>
      <c r="P798" s="1130"/>
      <c r="Q798" s="1130"/>
      <c r="R798" s="1130"/>
      <c r="S798" s="1130"/>
      <c r="T798" s="1130"/>
      <c r="U798" s="1130"/>
      <c r="V798" s="1130"/>
      <c r="W798" s="1130"/>
      <c r="X798" s="1130"/>
      <c r="Y798" s="1130"/>
      <c r="Z798" s="1130"/>
    </row>
    <row r="799" spans="1:26" ht="15.75" customHeight="1">
      <c r="A799" s="1130"/>
      <c r="B799" s="1130"/>
      <c r="C799" s="1130"/>
      <c r="D799" s="1130"/>
      <c r="E799" s="1130"/>
      <c r="F799" s="1130"/>
      <c r="G799" s="1130"/>
      <c r="H799" s="1130"/>
      <c r="I799" s="1130"/>
      <c r="J799" s="1130"/>
      <c r="K799" s="1130"/>
      <c r="L799" s="1130"/>
      <c r="M799" s="1130"/>
      <c r="N799" s="1130"/>
      <c r="O799" s="1130"/>
      <c r="P799" s="1130"/>
      <c r="Q799" s="1130"/>
      <c r="R799" s="1130"/>
      <c r="S799" s="1130"/>
      <c r="T799" s="1130"/>
      <c r="U799" s="1130"/>
      <c r="V799" s="1130"/>
      <c r="W799" s="1130"/>
      <c r="X799" s="1130"/>
      <c r="Y799" s="1130"/>
      <c r="Z799" s="1130"/>
    </row>
    <row r="800" spans="1:26" ht="15.75" customHeight="1">
      <c r="A800" s="1130"/>
      <c r="B800" s="1130"/>
      <c r="C800" s="1130"/>
      <c r="D800" s="1130"/>
      <c r="E800" s="1130"/>
      <c r="F800" s="1130"/>
      <c r="G800" s="1130"/>
      <c r="H800" s="1130"/>
      <c r="I800" s="1130"/>
      <c r="J800" s="1130"/>
      <c r="K800" s="1130"/>
      <c r="L800" s="1130"/>
      <c r="M800" s="1130"/>
      <c r="N800" s="1130"/>
      <c r="O800" s="1130"/>
      <c r="P800" s="1130"/>
      <c r="Q800" s="1130"/>
      <c r="R800" s="1130"/>
      <c r="S800" s="1130"/>
      <c r="T800" s="1130"/>
      <c r="U800" s="1130"/>
      <c r="V800" s="1130"/>
      <c r="W800" s="1130"/>
      <c r="X800" s="1130"/>
      <c r="Y800" s="1130"/>
      <c r="Z800" s="1130"/>
    </row>
    <row r="801" spans="1:26" ht="15.75" customHeight="1">
      <c r="A801" s="1130"/>
      <c r="B801" s="1130"/>
      <c r="C801" s="1130"/>
      <c r="D801" s="1130"/>
      <c r="E801" s="1130"/>
      <c r="F801" s="1130"/>
      <c r="G801" s="1130"/>
      <c r="H801" s="1130"/>
      <c r="I801" s="1130"/>
      <c r="J801" s="1130"/>
      <c r="K801" s="1130"/>
      <c r="L801" s="1130"/>
      <c r="M801" s="1130"/>
      <c r="N801" s="1130"/>
      <c r="O801" s="1130"/>
      <c r="P801" s="1130"/>
      <c r="Q801" s="1130"/>
      <c r="R801" s="1130"/>
      <c r="S801" s="1130"/>
      <c r="T801" s="1130"/>
      <c r="U801" s="1130"/>
      <c r="V801" s="1130"/>
      <c r="W801" s="1130"/>
      <c r="X801" s="1130"/>
      <c r="Y801" s="1130"/>
      <c r="Z801" s="1130"/>
    </row>
    <row r="802" spans="1:26" ht="15.75" customHeight="1">
      <c r="A802" s="1130"/>
      <c r="B802" s="1130"/>
      <c r="C802" s="1130"/>
      <c r="D802" s="1130"/>
      <c r="E802" s="1130"/>
      <c r="F802" s="1130"/>
      <c r="G802" s="1130"/>
      <c r="H802" s="1130"/>
      <c r="I802" s="1130"/>
      <c r="J802" s="1130"/>
      <c r="K802" s="1130"/>
      <c r="L802" s="1130"/>
      <c r="M802" s="1130"/>
      <c r="N802" s="1130"/>
      <c r="O802" s="1130"/>
      <c r="P802" s="1130"/>
      <c r="Q802" s="1130"/>
      <c r="R802" s="1130"/>
      <c r="S802" s="1130"/>
      <c r="T802" s="1130"/>
      <c r="U802" s="1130"/>
      <c r="V802" s="1130"/>
      <c r="W802" s="1130"/>
      <c r="X802" s="1130"/>
      <c r="Y802" s="1130"/>
      <c r="Z802" s="1130"/>
    </row>
    <row r="803" spans="1:26" ht="15.75" customHeight="1">
      <c r="A803" s="1130"/>
      <c r="B803" s="1130"/>
      <c r="C803" s="1130"/>
      <c r="D803" s="1130"/>
      <c r="E803" s="1130"/>
      <c r="F803" s="1130"/>
      <c r="G803" s="1130"/>
      <c r="H803" s="1130"/>
      <c r="I803" s="1130"/>
      <c r="J803" s="1130"/>
      <c r="K803" s="1130"/>
      <c r="L803" s="1130"/>
      <c r="M803" s="1130"/>
      <c r="N803" s="1130"/>
      <c r="O803" s="1130"/>
      <c r="P803" s="1130"/>
      <c r="Q803" s="1130"/>
      <c r="R803" s="1130"/>
      <c r="S803" s="1130"/>
      <c r="T803" s="1130"/>
      <c r="U803" s="1130"/>
      <c r="V803" s="1130"/>
      <c r="W803" s="1130"/>
      <c r="X803" s="1130"/>
      <c r="Y803" s="1130"/>
      <c r="Z803" s="1130"/>
    </row>
    <row r="804" spans="1:26" ht="15.75" customHeight="1">
      <c r="A804" s="1130"/>
      <c r="B804" s="1130"/>
      <c r="C804" s="1130"/>
      <c r="D804" s="1130"/>
      <c r="E804" s="1130"/>
      <c r="F804" s="1130"/>
      <c r="G804" s="1130"/>
      <c r="H804" s="1130"/>
      <c r="I804" s="1130"/>
      <c r="J804" s="1130"/>
      <c r="K804" s="1130"/>
      <c r="L804" s="1130"/>
      <c r="M804" s="1130"/>
      <c r="N804" s="1130"/>
      <c r="O804" s="1130"/>
      <c r="P804" s="1130"/>
      <c r="Q804" s="1130"/>
      <c r="R804" s="1130"/>
      <c r="S804" s="1130"/>
      <c r="T804" s="1130"/>
      <c r="U804" s="1130"/>
      <c r="V804" s="1130"/>
      <c r="W804" s="1130"/>
      <c r="X804" s="1130"/>
      <c r="Y804" s="1130"/>
      <c r="Z804" s="1130"/>
    </row>
    <row r="805" spans="1:26" ht="15.75" customHeight="1">
      <c r="A805" s="1130"/>
      <c r="B805" s="1130"/>
      <c r="C805" s="1130"/>
      <c r="D805" s="1130"/>
      <c r="E805" s="1130"/>
      <c r="F805" s="1130"/>
      <c r="G805" s="1130"/>
      <c r="H805" s="1130"/>
      <c r="I805" s="1130"/>
      <c r="J805" s="1130"/>
      <c r="K805" s="1130"/>
      <c r="L805" s="1130"/>
      <c r="M805" s="1130"/>
      <c r="N805" s="1130"/>
      <c r="O805" s="1130"/>
      <c r="P805" s="1130"/>
      <c r="Q805" s="1130"/>
      <c r="R805" s="1130"/>
      <c r="S805" s="1130"/>
      <c r="T805" s="1130"/>
      <c r="U805" s="1130"/>
      <c r="V805" s="1130"/>
      <c r="W805" s="1130"/>
      <c r="X805" s="1130"/>
      <c r="Y805" s="1130"/>
      <c r="Z805" s="1130"/>
    </row>
    <row r="806" spans="1:26" ht="15.75" customHeight="1">
      <c r="A806" s="1130"/>
      <c r="B806" s="1130"/>
      <c r="C806" s="1130"/>
      <c r="D806" s="1130"/>
      <c r="E806" s="1130"/>
      <c r="F806" s="1130"/>
      <c r="G806" s="1130"/>
      <c r="H806" s="1130"/>
      <c r="I806" s="1130"/>
      <c r="J806" s="1130"/>
      <c r="K806" s="1130"/>
      <c r="L806" s="1130"/>
      <c r="M806" s="1130"/>
      <c r="N806" s="1130"/>
      <c r="O806" s="1130"/>
      <c r="P806" s="1130"/>
      <c r="Q806" s="1130"/>
      <c r="R806" s="1130"/>
      <c r="S806" s="1130"/>
      <c r="T806" s="1130"/>
      <c r="U806" s="1130"/>
      <c r="V806" s="1130"/>
      <c r="W806" s="1130"/>
      <c r="X806" s="1130"/>
      <c r="Y806" s="1130"/>
      <c r="Z806" s="1130"/>
    </row>
    <row r="807" spans="1:26" ht="15.75" customHeight="1">
      <c r="A807" s="1130"/>
      <c r="B807" s="1130"/>
      <c r="C807" s="1130"/>
      <c r="D807" s="1130"/>
      <c r="E807" s="1130"/>
      <c r="F807" s="1130"/>
      <c r="G807" s="1130"/>
      <c r="H807" s="1130"/>
      <c r="I807" s="1130"/>
      <c r="J807" s="1130"/>
      <c r="K807" s="1130"/>
      <c r="L807" s="1130"/>
      <c r="M807" s="1130"/>
      <c r="N807" s="1130"/>
      <c r="O807" s="1130"/>
      <c r="P807" s="1130"/>
      <c r="Q807" s="1130"/>
      <c r="R807" s="1130"/>
      <c r="S807" s="1130"/>
      <c r="T807" s="1130"/>
      <c r="U807" s="1130"/>
      <c r="V807" s="1130"/>
      <c r="W807" s="1130"/>
      <c r="X807" s="1130"/>
      <c r="Y807" s="1130"/>
      <c r="Z807" s="1130"/>
    </row>
    <row r="808" spans="1:26" ht="15.75" customHeight="1">
      <c r="A808" s="1130"/>
      <c r="B808" s="1130"/>
      <c r="C808" s="1130"/>
      <c r="D808" s="1130"/>
      <c r="E808" s="1130"/>
      <c r="F808" s="1130"/>
      <c r="G808" s="1130"/>
      <c r="H808" s="1130"/>
      <c r="I808" s="1130"/>
      <c r="J808" s="1130"/>
      <c r="K808" s="1130"/>
      <c r="L808" s="1130"/>
      <c r="M808" s="1130"/>
      <c r="N808" s="1130"/>
      <c r="O808" s="1130"/>
      <c r="P808" s="1130"/>
      <c r="Q808" s="1130"/>
      <c r="R808" s="1130"/>
      <c r="S808" s="1130"/>
      <c r="T808" s="1130"/>
      <c r="U808" s="1130"/>
      <c r="V808" s="1130"/>
      <c r="W808" s="1130"/>
      <c r="X808" s="1130"/>
      <c r="Y808" s="1130"/>
      <c r="Z808" s="1130"/>
    </row>
    <row r="809" spans="1:26" ht="15.75" customHeight="1">
      <c r="A809" s="1130"/>
      <c r="B809" s="1130"/>
      <c r="C809" s="1130"/>
      <c r="D809" s="1130"/>
      <c r="E809" s="1130"/>
      <c r="F809" s="1130"/>
      <c r="G809" s="1130"/>
      <c r="H809" s="1130"/>
      <c r="I809" s="1130"/>
      <c r="J809" s="1130"/>
      <c r="K809" s="1130"/>
      <c r="L809" s="1130"/>
      <c r="M809" s="1130"/>
      <c r="N809" s="1130"/>
      <c r="O809" s="1130"/>
      <c r="P809" s="1130"/>
      <c r="Q809" s="1130"/>
      <c r="R809" s="1130"/>
      <c r="S809" s="1130"/>
      <c r="T809" s="1130"/>
      <c r="U809" s="1130"/>
      <c r="V809" s="1130"/>
      <c r="W809" s="1130"/>
      <c r="X809" s="1130"/>
      <c r="Y809" s="1130"/>
      <c r="Z809" s="1130"/>
    </row>
    <row r="810" spans="1:26" ht="15.75" customHeight="1">
      <c r="A810" s="1130"/>
      <c r="B810" s="1130"/>
      <c r="C810" s="1130"/>
      <c r="D810" s="1130"/>
      <c r="E810" s="1130"/>
      <c r="F810" s="1130"/>
      <c r="G810" s="1130"/>
      <c r="H810" s="1130"/>
      <c r="I810" s="1130"/>
      <c r="J810" s="1130"/>
      <c r="K810" s="1130"/>
      <c r="L810" s="1130"/>
      <c r="M810" s="1130"/>
      <c r="N810" s="1130"/>
      <c r="O810" s="1130"/>
      <c r="P810" s="1130"/>
      <c r="Q810" s="1130"/>
      <c r="R810" s="1130"/>
      <c r="S810" s="1130"/>
      <c r="T810" s="1130"/>
      <c r="U810" s="1130"/>
      <c r="V810" s="1130"/>
      <c r="W810" s="1130"/>
      <c r="X810" s="1130"/>
      <c r="Y810" s="1130"/>
      <c r="Z810" s="1130"/>
    </row>
    <row r="811" spans="1:26" ht="15.75" customHeight="1">
      <c r="A811" s="1130"/>
      <c r="B811" s="1130"/>
      <c r="C811" s="1130"/>
      <c r="D811" s="1130"/>
      <c r="E811" s="1130"/>
      <c r="F811" s="1130"/>
      <c r="G811" s="1130"/>
      <c r="H811" s="1130"/>
      <c r="I811" s="1130"/>
      <c r="J811" s="1130"/>
      <c r="K811" s="1130"/>
      <c r="L811" s="1130"/>
      <c r="M811" s="1130"/>
      <c r="N811" s="1130"/>
      <c r="O811" s="1130"/>
      <c r="P811" s="1130"/>
      <c r="Q811" s="1130"/>
      <c r="R811" s="1130"/>
      <c r="S811" s="1130"/>
      <c r="T811" s="1130"/>
      <c r="U811" s="1130"/>
      <c r="V811" s="1130"/>
      <c r="W811" s="1130"/>
      <c r="X811" s="1130"/>
      <c r="Y811" s="1130"/>
      <c r="Z811" s="1130"/>
    </row>
    <row r="812" spans="1:26" ht="15.75" customHeight="1">
      <c r="A812" s="1130"/>
      <c r="B812" s="1130"/>
      <c r="C812" s="1130"/>
      <c r="D812" s="1130"/>
      <c r="E812" s="1130"/>
      <c r="F812" s="1130"/>
      <c r="G812" s="1130"/>
      <c r="H812" s="1130"/>
      <c r="I812" s="1130"/>
      <c r="J812" s="1130"/>
      <c r="K812" s="1130"/>
      <c r="L812" s="1130"/>
      <c r="M812" s="1130"/>
      <c r="N812" s="1130"/>
      <c r="O812" s="1130"/>
      <c r="P812" s="1130"/>
      <c r="Q812" s="1130"/>
      <c r="R812" s="1130"/>
      <c r="S812" s="1130"/>
      <c r="T812" s="1130"/>
      <c r="U812" s="1130"/>
      <c r="V812" s="1130"/>
      <c r="W812" s="1130"/>
      <c r="X812" s="1130"/>
      <c r="Y812" s="1130"/>
      <c r="Z812" s="1130"/>
    </row>
    <row r="813" spans="1:26" ht="15.75" customHeight="1">
      <c r="A813" s="1130"/>
      <c r="B813" s="1130"/>
      <c r="C813" s="1130"/>
      <c r="D813" s="1130"/>
      <c r="E813" s="1130"/>
      <c r="F813" s="1130"/>
      <c r="G813" s="1130"/>
      <c r="H813" s="1130"/>
      <c r="I813" s="1130"/>
      <c r="J813" s="1130"/>
      <c r="K813" s="1130"/>
      <c r="L813" s="1130"/>
      <c r="M813" s="1130"/>
      <c r="N813" s="1130"/>
      <c r="O813" s="1130"/>
      <c r="P813" s="1130"/>
      <c r="Q813" s="1130"/>
      <c r="R813" s="1130"/>
      <c r="S813" s="1130"/>
      <c r="T813" s="1130"/>
      <c r="U813" s="1130"/>
      <c r="V813" s="1130"/>
      <c r="W813" s="1130"/>
      <c r="X813" s="1130"/>
      <c r="Y813" s="1130"/>
      <c r="Z813" s="1130"/>
    </row>
    <row r="814" spans="1:26" ht="15.75" customHeight="1">
      <c r="A814" s="1130"/>
      <c r="B814" s="1130"/>
      <c r="C814" s="1130"/>
      <c r="D814" s="1130"/>
      <c r="E814" s="1130"/>
      <c r="F814" s="1130"/>
      <c r="G814" s="1130"/>
      <c r="H814" s="1130"/>
      <c r="I814" s="1130"/>
      <c r="J814" s="1130"/>
      <c r="K814" s="1130"/>
      <c r="L814" s="1130"/>
      <c r="M814" s="1130"/>
      <c r="N814" s="1130"/>
      <c r="O814" s="1130"/>
      <c r="P814" s="1130"/>
      <c r="Q814" s="1130"/>
      <c r="R814" s="1130"/>
      <c r="S814" s="1130"/>
      <c r="T814" s="1130"/>
      <c r="U814" s="1130"/>
      <c r="V814" s="1130"/>
      <c r="W814" s="1130"/>
      <c r="X814" s="1130"/>
      <c r="Y814" s="1130"/>
      <c r="Z814" s="1130"/>
    </row>
    <row r="815" spans="1:26" ht="15.75" customHeight="1">
      <c r="A815" s="1130"/>
      <c r="B815" s="1130"/>
      <c r="C815" s="1130"/>
      <c r="D815" s="1130"/>
      <c r="E815" s="1130"/>
      <c r="F815" s="1130"/>
      <c r="G815" s="1130"/>
      <c r="H815" s="1130"/>
      <c r="I815" s="1130"/>
      <c r="J815" s="1130"/>
      <c r="K815" s="1130"/>
      <c r="L815" s="1130"/>
      <c r="M815" s="1130"/>
      <c r="N815" s="1130"/>
      <c r="O815" s="1130"/>
      <c r="P815" s="1130"/>
      <c r="Q815" s="1130"/>
      <c r="R815" s="1130"/>
      <c r="S815" s="1130"/>
      <c r="T815" s="1130"/>
      <c r="U815" s="1130"/>
      <c r="V815" s="1130"/>
      <c r="W815" s="1130"/>
      <c r="X815" s="1130"/>
      <c r="Y815" s="1130"/>
      <c r="Z815" s="1130"/>
    </row>
    <row r="816" spans="1:26" ht="15.75" customHeight="1">
      <c r="A816" s="1130"/>
      <c r="B816" s="1130"/>
      <c r="C816" s="1130"/>
      <c r="D816" s="1130"/>
      <c r="E816" s="1130"/>
      <c r="F816" s="1130"/>
      <c r="G816" s="1130"/>
      <c r="H816" s="1130"/>
      <c r="I816" s="1130"/>
      <c r="J816" s="1130"/>
      <c r="K816" s="1130"/>
      <c r="L816" s="1130"/>
      <c r="M816" s="1130"/>
      <c r="N816" s="1130"/>
      <c r="O816" s="1130"/>
      <c r="P816" s="1130"/>
      <c r="Q816" s="1130"/>
      <c r="R816" s="1130"/>
      <c r="S816" s="1130"/>
      <c r="T816" s="1130"/>
      <c r="U816" s="1130"/>
      <c r="V816" s="1130"/>
      <c r="W816" s="1130"/>
      <c r="X816" s="1130"/>
      <c r="Y816" s="1130"/>
      <c r="Z816" s="1130"/>
    </row>
    <row r="817" spans="1:26" ht="15.75" customHeight="1">
      <c r="A817" s="1130"/>
      <c r="B817" s="1130"/>
      <c r="C817" s="1130"/>
      <c r="D817" s="1130"/>
      <c r="E817" s="1130"/>
      <c r="F817" s="1130"/>
      <c r="G817" s="1130"/>
      <c r="H817" s="1130"/>
      <c r="I817" s="1130"/>
      <c r="J817" s="1130"/>
      <c r="K817" s="1130"/>
      <c r="L817" s="1130"/>
      <c r="M817" s="1130"/>
      <c r="N817" s="1130"/>
      <c r="O817" s="1130"/>
      <c r="P817" s="1130"/>
      <c r="Q817" s="1130"/>
      <c r="R817" s="1130"/>
      <c r="S817" s="1130"/>
      <c r="T817" s="1130"/>
      <c r="U817" s="1130"/>
      <c r="V817" s="1130"/>
      <c r="W817" s="1130"/>
      <c r="X817" s="1130"/>
      <c r="Y817" s="1130"/>
      <c r="Z817" s="1130"/>
    </row>
    <row r="818" spans="1:26" ht="15.75" customHeight="1">
      <c r="A818" s="1130"/>
      <c r="B818" s="1130"/>
      <c r="C818" s="1130"/>
      <c r="D818" s="1130"/>
      <c r="E818" s="1130"/>
      <c r="F818" s="1130"/>
      <c r="G818" s="1130"/>
      <c r="H818" s="1130"/>
      <c r="I818" s="1130"/>
      <c r="J818" s="1130"/>
      <c r="K818" s="1130"/>
      <c r="L818" s="1130"/>
      <c r="M818" s="1130"/>
      <c r="N818" s="1130"/>
      <c r="O818" s="1130"/>
      <c r="P818" s="1130"/>
      <c r="Q818" s="1130"/>
      <c r="R818" s="1130"/>
      <c r="S818" s="1130"/>
      <c r="T818" s="1130"/>
      <c r="U818" s="1130"/>
      <c r="V818" s="1130"/>
      <c r="W818" s="1130"/>
      <c r="X818" s="1130"/>
      <c r="Y818" s="1130"/>
      <c r="Z818" s="1130"/>
    </row>
    <row r="819" spans="1:26" ht="15.75" customHeight="1">
      <c r="A819" s="1130"/>
      <c r="B819" s="1130"/>
      <c r="C819" s="1130"/>
      <c r="D819" s="1130"/>
      <c r="E819" s="1130"/>
      <c r="F819" s="1130"/>
      <c r="G819" s="1130"/>
      <c r="H819" s="1130"/>
      <c r="I819" s="1130"/>
      <c r="J819" s="1130"/>
      <c r="K819" s="1130"/>
      <c r="L819" s="1130"/>
      <c r="M819" s="1130"/>
      <c r="N819" s="1130"/>
      <c r="O819" s="1130"/>
      <c r="P819" s="1130"/>
      <c r="Q819" s="1130"/>
      <c r="R819" s="1130"/>
      <c r="S819" s="1130"/>
      <c r="T819" s="1130"/>
      <c r="U819" s="1130"/>
      <c r="V819" s="1130"/>
      <c r="W819" s="1130"/>
      <c r="X819" s="1130"/>
      <c r="Y819" s="1130"/>
      <c r="Z819" s="1130"/>
    </row>
    <row r="820" spans="1:26" ht="15.75" customHeight="1">
      <c r="A820" s="1130"/>
      <c r="B820" s="1130"/>
      <c r="C820" s="1130"/>
      <c r="D820" s="1130"/>
      <c r="E820" s="1130"/>
      <c r="F820" s="1130"/>
      <c r="G820" s="1130"/>
      <c r="H820" s="1130"/>
      <c r="I820" s="1130"/>
      <c r="J820" s="1130"/>
      <c r="K820" s="1130"/>
      <c r="L820" s="1130"/>
      <c r="M820" s="1130"/>
      <c r="N820" s="1130"/>
      <c r="O820" s="1130"/>
      <c r="P820" s="1130"/>
      <c r="Q820" s="1130"/>
      <c r="R820" s="1130"/>
      <c r="S820" s="1130"/>
      <c r="T820" s="1130"/>
      <c r="U820" s="1130"/>
      <c r="V820" s="1130"/>
      <c r="W820" s="1130"/>
      <c r="X820" s="1130"/>
      <c r="Y820" s="1130"/>
      <c r="Z820" s="1130"/>
    </row>
    <row r="821" spans="1:26" ht="15.75" customHeight="1">
      <c r="A821" s="1130"/>
      <c r="B821" s="1130"/>
      <c r="C821" s="1130"/>
      <c r="D821" s="1130"/>
      <c r="E821" s="1130"/>
      <c r="F821" s="1130"/>
      <c r="G821" s="1130"/>
      <c r="H821" s="1130"/>
      <c r="I821" s="1130"/>
      <c r="J821" s="1130"/>
      <c r="K821" s="1130"/>
      <c r="L821" s="1130"/>
      <c r="M821" s="1130"/>
      <c r="N821" s="1130"/>
      <c r="O821" s="1130"/>
      <c r="P821" s="1130"/>
      <c r="Q821" s="1130"/>
      <c r="R821" s="1130"/>
      <c r="S821" s="1130"/>
      <c r="T821" s="1130"/>
      <c r="U821" s="1130"/>
      <c r="V821" s="1130"/>
      <c r="W821" s="1130"/>
      <c r="X821" s="1130"/>
      <c r="Y821" s="1130"/>
      <c r="Z821" s="1130"/>
    </row>
    <row r="822" spans="1:26" ht="15.75" customHeight="1">
      <c r="A822" s="1130"/>
      <c r="B822" s="1130"/>
      <c r="C822" s="1130"/>
      <c r="D822" s="1130"/>
      <c r="E822" s="1130"/>
      <c r="F822" s="1130"/>
      <c r="G822" s="1130"/>
      <c r="H822" s="1130"/>
      <c r="I822" s="1130"/>
      <c r="J822" s="1130"/>
      <c r="K822" s="1130"/>
      <c r="L822" s="1130"/>
      <c r="M822" s="1130"/>
      <c r="N822" s="1130"/>
      <c r="O822" s="1130"/>
      <c r="P822" s="1130"/>
      <c r="Q822" s="1130"/>
      <c r="R822" s="1130"/>
      <c r="S822" s="1130"/>
      <c r="T822" s="1130"/>
      <c r="U822" s="1130"/>
      <c r="V822" s="1130"/>
      <c r="W822" s="1130"/>
      <c r="X822" s="1130"/>
      <c r="Y822" s="1130"/>
      <c r="Z822" s="1130"/>
    </row>
    <row r="823" spans="1:26" ht="15.75" customHeight="1">
      <c r="A823" s="1130"/>
      <c r="B823" s="1130"/>
      <c r="C823" s="1130"/>
      <c r="D823" s="1130"/>
      <c r="E823" s="1130"/>
      <c r="F823" s="1130"/>
      <c r="G823" s="1130"/>
      <c r="H823" s="1130"/>
      <c r="I823" s="1130"/>
      <c r="J823" s="1130"/>
      <c r="K823" s="1130"/>
      <c r="L823" s="1130"/>
      <c r="M823" s="1130"/>
      <c r="N823" s="1130"/>
      <c r="O823" s="1130"/>
      <c r="P823" s="1130"/>
      <c r="Q823" s="1130"/>
      <c r="R823" s="1130"/>
      <c r="S823" s="1130"/>
      <c r="T823" s="1130"/>
      <c r="U823" s="1130"/>
      <c r="V823" s="1130"/>
      <c r="W823" s="1130"/>
      <c r="X823" s="1130"/>
      <c r="Y823" s="1130"/>
      <c r="Z823" s="1130"/>
    </row>
    <row r="824" spans="1:26" ht="15.75" customHeight="1">
      <c r="A824" s="1130"/>
      <c r="B824" s="1130"/>
      <c r="C824" s="1130"/>
      <c r="D824" s="1130"/>
      <c r="E824" s="1130"/>
      <c r="F824" s="1130"/>
      <c r="G824" s="1130"/>
      <c r="H824" s="1130"/>
      <c r="I824" s="1130"/>
      <c r="J824" s="1130"/>
      <c r="K824" s="1130"/>
      <c r="L824" s="1130"/>
      <c r="M824" s="1130"/>
      <c r="N824" s="1130"/>
      <c r="O824" s="1130"/>
      <c r="P824" s="1130"/>
      <c r="Q824" s="1130"/>
      <c r="R824" s="1130"/>
      <c r="S824" s="1130"/>
      <c r="T824" s="1130"/>
      <c r="U824" s="1130"/>
      <c r="V824" s="1130"/>
      <c r="W824" s="1130"/>
      <c r="X824" s="1130"/>
      <c r="Y824" s="1130"/>
      <c r="Z824" s="1130"/>
    </row>
    <row r="825" spans="1:26" ht="15.75" customHeight="1">
      <c r="A825" s="1130"/>
      <c r="B825" s="1130"/>
      <c r="C825" s="1130"/>
      <c r="D825" s="1130"/>
      <c r="E825" s="1130"/>
      <c r="F825" s="1130"/>
      <c r="G825" s="1130"/>
      <c r="H825" s="1130"/>
      <c r="I825" s="1130"/>
      <c r="J825" s="1130"/>
      <c r="K825" s="1130"/>
      <c r="L825" s="1130"/>
      <c r="M825" s="1130"/>
      <c r="N825" s="1130"/>
      <c r="O825" s="1130"/>
      <c r="P825" s="1130"/>
      <c r="Q825" s="1130"/>
      <c r="R825" s="1130"/>
      <c r="S825" s="1130"/>
      <c r="T825" s="1130"/>
      <c r="U825" s="1130"/>
      <c r="V825" s="1130"/>
      <c r="W825" s="1130"/>
      <c r="X825" s="1130"/>
      <c r="Y825" s="1130"/>
      <c r="Z825" s="1130"/>
    </row>
    <row r="826" spans="1:26" ht="15.75" customHeight="1">
      <c r="A826" s="1130"/>
      <c r="B826" s="1130"/>
      <c r="C826" s="1130"/>
      <c r="D826" s="1130"/>
      <c r="E826" s="1130"/>
      <c r="F826" s="1130"/>
      <c r="G826" s="1130"/>
      <c r="H826" s="1130"/>
      <c r="I826" s="1130"/>
      <c r="J826" s="1130"/>
      <c r="K826" s="1130"/>
      <c r="L826" s="1130"/>
      <c r="M826" s="1130"/>
      <c r="N826" s="1130"/>
      <c r="O826" s="1130"/>
      <c r="P826" s="1130"/>
      <c r="Q826" s="1130"/>
      <c r="R826" s="1130"/>
      <c r="S826" s="1130"/>
      <c r="T826" s="1130"/>
      <c r="U826" s="1130"/>
      <c r="V826" s="1130"/>
      <c r="W826" s="1130"/>
      <c r="X826" s="1130"/>
      <c r="Y826" s="1130"/>
      <c r="Z826" s="1130"/>
    </row>
    <row r="827" spans="1:26" ht="15.75" customHeight="1">
      <c r="A827" s="1130"/>
      <c r="B827" s="1130"/>
      <c r="C827" s="1130"/>
      <c r="D827" s="1130"/>
      <c r="E827" s="1130"/>
      <c r="F827" s="1130"/>
      <c r="G827" s="1130"/>
      <c r="H827" s="1130"/>
      <c r="I827" s="1130"/>
      <c r="J827" s="1130"/>
      <c r="K827" s="1130"/>
      <c r="L827" s="1130"/>
      <c r="M827" s="1130"/>
      <c r="N827" s="1130"/>
      <c r="O827" s="1130"/>
      <c r="P827" s="1130"/>
      <c r="Q827" s="1130"/>
      <c r="R827" s="1130"/>
      <c r="S827" s="1130"/>
      <c r="T827" s="1130"/>
      <c r="U827" s="1130"/>
      <c r="V827" s="1130"/>
      <c r="W827" s="1130"/>
      <c r="X827" s="1130"/>
      <c r="Y827" s="1130"/>
      <c r="Z827" s="1130"/>
    </row>
    <row r="828" spans="1:26" ht="15.75" customHeight="1">
      <c r="A828" s="1130"/>
      <c r="B828" s="1130"/>
      <c r="C828" s="1130"/>
      <c r="D828" s="1130"/>
      <c r="E828" s="1130"/>
      <c r="F828" s="1130"/>
      <c r="G828" s="1130"/>
      <c r="H828" s="1130"/>
      <c r="I828" s="1130"/>
      <c r="J828" s="1130"/>
      <c r="K828" s="1130"/>
      <c r="L828" s="1130"/>
      <c r="M828" s="1130"/>
      <c r="N828" s="1130"/>
      <c r="O828" s="1130"/>
      <c r="P828" s="1130"/>
      <c r="Q828" s="1130"/>
      <c r="R828" s="1130"/>
      <c r="S828" s="1130"/>
      <c r="T828" s="1130"/>
      <c r="U828" s="1130"/>
      <c r="V828" s="1130"/>
      <c r="W828" s="1130"/>
      <c r="X828" s="1130"/>
      <c r="Y828" s="1130"/>
      <c r="Z828" s="1130"/>
    </row>
    <row r="829" spans="1:26" ht="15.75" customHeight="1">
      <c r="A829" s="1130"/>
      <c r="B829" s="1130"/>
      <c r="C829" s="1130"/>
      <c r="D829" s="1130"/>
      <c r="E829" s="1130"/>
      <c r="F829" s="1130"/>
      <c r="G829" s="1130"/>
      <c r="H829" s="1130"/>
      <c r="I829" s="1130"/>
      <c r="J829" s="1130"/>
      <c r="K829" s="1130"/>
      <c r="L829" s="1130"/>
      <c r="M829" s="1130"/>
      <c r="N829" s="1130"/>
      <c r="O829" s="1130"/>
      <c r="P829" s="1130"/>
      <c r="Q829" s="1130"/>
      <c r="R829" s="1130"/>
      <c r="S829" s="1130"/>
      <c r="T829" s="1130"/>
      <c r="U829" s="1130"/>
      <c r="V829" s="1130"/>
      <c r="W829" s="1130"/>
      <c r="X829" s="1130"/>
      <c r="Y829" s="1130"/>
      <c r="Z829" s="1130"/>
    </row>
    <row r="830" spans="1:26" ht="15.75" customHeight="1">
      <c r="A830" s="1130"/>
      <c r="B830" s="1130"/>
      <c r="C830" s="1130"/>
      <c r="D830" s="1130"/>
      <c r="E830" s="1130"/>
      <c r="F830" s="1130"/>
      <c r="G830" s="1130"/>
      <c r="H830" s="1130"/>
      <c r="I830" s="1130"/>
      <c r="J830" s="1130"/>
      <c r="K830" s="1130"/>
      <c r="L830" s="1130"/>
      <c r="M830" s="1130"/>
      <c r="N830" s="1130"/>
      <c r="O830" s="1130"/>
      <c r="P830" s="1130"/>
      <c r="Q830" s="1130"/>
      <c r="R830" s="1130"/>
      <c r="S830" s="1130"/>
      <c r="T830" s="1130"/>
      <c r="U830" s="1130"/>
      <c r="V830" s="1130"/>
      <c r="W830" s="1130"/>
      <c r="X830" s="1130"/>
      <c r="Y830" s="1130"/>
      <c r="Z830" s="1130"/>
    </row>
    <row r="831" spans="1:26" ht="15.75" customHeight="1">
      <c r="A831" s="1130"/>
      <c r="B831" s="1130"/>
      <c r="C831" s="1130"/>
      <c r="D831" s="1130"/>
      <c r="E831" s="1130"/>
      <c r="F831" s="1130"/>
      <c r="G831" s="1130"/>
      <c r="H831" s="1130"/>
      <c r="I831" s="1130"/>
      <c r="J831" s="1130"/>
      <c r="K831" s="1130"/>
      <c r="L831" s="1130"/>
      <c r="M831" s="1130"/>
      <c r="N831" s="1130"/>
      <c r="O831" s="1130"/>
      <c r="P831" s="1130"/>
      <c r="Q831" s="1130"/>
      <c r="R831" s="1130"/>
      <c r="S831" s="1130"/>
      <c r="T831" s="1130"/>
      <c r="U831" s="1130"/>
      <c r="V831" s="1130"/>
      <c r="W831" s="1130"/>
      <c r="X831" s="1130"/>
      <c r="Y831" s="1130"/>
      <c r="Z831" s="1130"/>
    </row>
    <row r="832" spans="1:26" ht="15.75" customHeight="1">
      <c r="A832" s="1130"/>
      <c r="B832" s="1130"/>
      <c r="C832" s="1130"/>
      <c r="D832" s="1130"/>
      <c r="E832" s="1130"/>
      <c r="F832" s="1130"/>
      <c r="G832" s="1130"/>
      <c r="H832" s="1130"/>
      <c r="I832" s="1130"/>
      <c r="J832" s="1130"/>
      <c r="K832" s="1130"/>
      <c r="L832" s="1130"/>
      <c r="M832" s="1130"/>
      <c r="N832" s="1130"/>
      <c r="O832" s="1130"/>
      <c r="P832" s="1130"/>
      <c r="Q832" s="1130"/>
      <c r="R832" s="1130"/>
      <c r="S832" s="1130"/>
      <c r="T832" s="1130"/>
      <c r="U832" s="1130"/>
      <c r="V832" s="1130"/>
      <c r="W832" s="1130"/>
      <c r="X832" s="1130"/>
      <c r="Y832" s="1130"/>
      <c r="Z832" s="1130"/>
    </row>
    <row r="833" spans="1:26" ht="15.75" customHeight="1">
      <c r="A833" s="1130"/>
      <c r="B833" s="1130"/>
      <c r="C833" s="1130"/>
      <c r="D833" s="1130"/>
      <c r="E833" s="1130"/>
      <c r="F833" s="1130"/>
      <c r="G833" s="1130"/>
      <c r="H833" s="1130"/>
      <c r="I833" s="1130"/>
      <c r="J833" s="1130"/>
      <c r="K833" s="1130"/>
      <c r="L833" s="1130"/>
      <c r="M833" s="1130"/>
      <c r="N833" s="1130"/>
      <c r="O833" s="1130"/>
      <c r="P833" s="1130"/>
      <c r="Q833" s="1130"/>
      <c r="R833" s="1130"/>
      <c r="S833" s="1130"/>
      <c r="T833" s="1130"/>
      <c r="U833" s="1130"/>
      <c r="V833" s="1130"/>
      <c r="W833" s="1130"/>
      <c r="X833" s="1130"/>
      <c r="Y833" s="1130"/>
      <c r="Z833" s="1130"/>
    </row>
    <row r="834" spans="1:26" ht="15.75" customHeight="1">
      <c r="A834" s="1130"/>
      <c r="B834" s="1130"/>
      <c r="C834" s="1130"/>
      <c r="D834" s="1130"/>
      <c r="E834" s="1130"/>
      <c r="F834" s="1130"/>
      <c r="G834" s="1130"/>
      <c r="H834" s="1130"/>
      <c r="I834" s="1130"/>
      <c r="J834" s="1130"/>
      <c r="K834" s="1130"/>
      <c r="L834" s="1130"/>
      <c r="M834" s="1130"/>
      <c r="N834" s="1130"/>
      <c r="O834" s="1130"/>
      <c r="P834" s="1130"/>
      <c r="Q834" s="1130"/>
      <c r="R834" s="1130"/>
      <c r="S834" s="1130"/>
      <c r="T834" s="1130"/>
      <c r="U834" s="1130"/>
      <c r="V834" s="1130"/>
      <c r="W834" s="1130"/>
      <c r="X834" s="1130"/>
      <c r="Y834" s="1130"/>
      <c r="Z834" s="1130"/>
    </row>
    <row r="835" spans="1:26" ht="15.75" customHeight="1">
      <c r="A835" s="1130"/>
      <c r="B835" s="1130"/>
      <c r="C835" s="1130"/>
      <c r="D835" s="1130"/>
      <c r="E835" s="1130"/>
      <c r="F835" s="1130"/>
      <c r="G835" s="1130"/>
      <c r="H835" s="1130"/>
      <c r="I835" s="1130"/>
      <c r="J835" s="1130"/>
      <c r="K835" s="1130"/>
      <c r="L835" s="1130"/>
      <c r="M835" s="1130"/>
      <c r="N835" s="1130"/>
      <c r="O835" s="1130"/>
      <c r="P835" s="1130"/>
      <c r="Q835" s="1130"/>
      <c r="R835" s="1130"/>
      <c r="S835" s="1130"/>
      <c r="T835" s="1130"/>
      <c r="U835" s="1130"/>
      <c r="V835" s="1130"/>
      <c r="W835" s="1130"/>
      <c r="X835" s="1130"/>
      <c r="Y835" s="1130"/>
      <c r="Z835" s="1130"/>
    </row>
    <row r="836" spans="1:26" ht="15.75" customHeight="1">
      <c r="A836" s="1130"/>
      <c r="B836" s="1130"/>
      <c r="C836" s="1130"/>
      <c r="D836" s="1130"/>
      <c r="E836" s="1130"/>
      <c r="F836" s="1130"/>
      <c r="G836" s="1130"/>
      <c r="H836" s="1130"/>
      <c r="I836" s="1130"/>
      <c r="J836" s="1130"/>
      <c r="K836" s="1130"/>
      <c r="L836" s="1130"/>
      <c r="M836" s="1130"/>
      <c r="N836" s="1130"/>
      <c r="O836" s="1130"/>
      <c r="P836" s="1130"/>
      <c r="Q836" s="1130"/>
      <c r="R836" s="1130"/>
      <c r="S836" s="1130"/>
      <c r="T836" s="1130"/>
      <c r="U836" s="1130"/>
      <c r="V836" s="1130"/>
      <c r="W836" s="1130"/>
      <c r="X836" s="1130"/>
      <c r="Y836" s="1130"/>
      <c r="Z836" s="1130"/>
    </row>
    <row r="837" spans="1:26" ht="15.75" customHeight="1">
      <c r="A837" s="1130"/>
      <c r="B837" s="1130"/>
      <c r="C837" s="1130"/>
      <c r="D837" s="1130"/>
      <c r="E837" s="1130"/>
      <c r="F837" s="1130"/>
      <c r="G837" s="1130"/>
      <c r="H837" s="1130"/>
      <c r="I837" s="1130"/>
      <c r="J837" s="1130"/>
      <c r="K837" s="1130"/>
      <c r="L837" s="1130"/>
      <c r="M837" s="1130"/>
      <c r="N837" s="1130"/>
      <c r="O837" s="1130"/>
      <c r="P837" s="1130"/>
      <c r="Q837" s="1130"/>
      <c r="R837" s="1130"/>
      <c r="S837" s="1130"/>
      <c r="T837" s="1130"/>
      <c r="U837" s="1130"/>
      <c r="V837" s="1130"/>
      <c r="W837" s="1130"/>
      <c r="X837" s="1130"/>
      <c r="Y837" s="1130"/>
      <c r="Z837" s="1130"/>
    </row>
    <row r="838" spans="1:26" ht="15.75" customHeight="1">
      <c r="A838" s="1130"/>
      <c r="B838" s="1130"/>
      <c r="C838" s="1130"/>
      <c r="D838" s="1130"/>
      <c r="E838" s="1130"/>
      <c r="F838" s="1130"/>
      <c r="G838" s="1130"/>
      <c r="H838" s="1130"/>
      <c r="I838" s="1130"/>
      <c r="J838" s="1130"/>
      <c r="K838" s="1130"/>
      <c r="L838" s="1130"/>
      <c r="M838" s="1130"/>
      <c r="N838" s="1130"/>
      <c r="O838" s="1130"/>
      <c r="P838" s="1130"/>
      <c r="Q838" s="1130"/>
      <c r="R838" s="1130"/>
      <c r="S838" s="1130"/>
      <c r="T838" s="1130"/>
      <c r="U838" s="1130"/>
      <c r="V838" s="1130"/>
      <c r="W838" s="1130"/>
      <c r="X838" s="1130"/>
      <c r="Y838" s="1130"/>
      <c r="Z838" s="1130"/>
    </row>
    <row r="839" spans="1:26" ht="15.75" customHeight="1">
      <c r="A839" s="1130"/>
      <c r="B839" s="1130"/>
      <c r="C839" s="1130"/>
      <c r="D839" s="1130"/>
      <c r="E839" s="1130"/>
      <c r="F839" s="1130"/>
      <c r="G839" s="1130"/>
      <c r="H839" s="1130"/>
      <c r="I839" s="1130"/>
      <c r="J839" s="1130"/>
      <c r="K839" s="1130"/>
      <c r="L839" s="1130"/>
      <c r="M839" s="1130"/>
      <c r="N839" s="1130"/>
      <c r="O839" s="1130"/>
      <c r="P839" s="1130"/>
      <c r="Q839" s="1130"/>
      <c r="R839" s="1130"/>
      <c r="S839" s="1130"/>
      <c r="T839" s="1130"/>
      <c r="U839" s="1130"/>
      <c r="V839" s="1130"/>
      <c r="W839" s="1130"/>
      <c r="X839" s="1130"/>
      <c r="Y839" s="1130"/>
      <c r="Z839" s="1130"/>
    </row>
    <row r="840" spans="1:26" ht="15.75" customHeight="1">
      <c r="A840" s="1130"/>
      <c r="B840" s="1130"/>
      <c r="C840" s="1130"/>
      <c r="D840" s="1130"/>
      <c r="E840" s="1130"/>
      <c r="F840" s="1130"/>
      <c r="G840" s="1130"/>
      <c r="H840" s="1130"/>
      <c r="I840" s="1130"/>
      <c r="J840" s="1130"/>
      <c r="K840" s="1130"/>
      <c r="L840" s="1130"/>
      <c r="M840" s="1130"/>
      <c r="N840" s="1130"/>
      <c r="O840" s="1130"/>
      <c r="P840" s="1130"/>
      <c r="Q840" s="1130"/>
      <c r="R840" s="1130"/>
      <c r="S840" s="1130"/>
      <c r="T840" s="1130"/>
      <c r="U840" s="1130"/>
      <c r="V840" s="1130"/>
      <c r="W840" s="1130"/>
      <c r="X840" s="1130"/>
      <c r="Y840" s="1130"/>
      <c r="Z840" s="1130"/>
    </row>
    <row r="841" spans="1:26" ht="15.75" customHeight="1">
      <c r="A841" s="1130"/>
      <c r="B841" s="1130"/>
      <c r="C841" s="1130"/>
      <c r="D841" s="1130"/>
      <c r="E841" s="1130"/>
      <c r="F841" s="1130"/>
      <c r="G841" s="1130"/>
      <c r="H841" s="1130"/>
      <c r="I841" s="1130"/>
      <c r="J841" s="1130"/>
      <c r="K841" s="1130"/>
      <c r="L841" s="1130"/>
      <c r="M841" s="1130"/>
      <c r="N841" s="1130"/>
      <c r="O841" s="1130"/>
      <c r="P841" s="1130"/>
      <c r="Q841" s="1130"/>
      <c r="R841" s="1130"/>
      <c r="S841" s="1130"/>
      <c r="T841" s="1130"/>
      <c r="U841" s="1130"/>
      <c r="V841" s="1130"/>
      <c r="W841" s="1130"/>
      <c r="X841" s="1130"/>
      <c r="Y841" s="1130"/>
      <c r="Z841" s="1130"/>
    </row>
    <row r="842" spans="1:26" ht="15.75" customHeight="1">
      <c r="A842" s="1130"/>
      <c r="B842" s="1130"/>
      <c r="C842" s="1130"/>
      <c r="D842" s="1130"/>
      <c r="E842" s="1130"/>
      <c r="F842" s="1130"/>
      <c r="G842" s="1130"/>
      <c r="H842" s="1130"/>
      <c r="I842" s="1130"/>
      <c r="J842" s="1130"/>
      <c r="K842" s="1130"/>
      <c r="L842" s="1130"/>
      <c r="M842" s="1130"/>
      <c r="N842" s="1130"/>
      <c r="O842" s="1130"/>
      <c r="P842" s="1130"/>
      <c r="Q842" s="1130"/>
      <c r="R842" s="1130"/>
      <c r="S842" s="1130"/>
      <c r="T842" s="1130"/>
      <c r="U842" s="1130"/>
      <c r="V842" s="1130"/>
      <c r="W842" s="1130"/>
      <c r="X842" s="1130"/>
      <c r="Y842" s="1130"/>
      <c r="Z842" s="1130"/>
    </row>
    <row r="843" spans="1:26" ht="15.75" customHeight="1">
      <c r="A843" s="1130"/>
      <c r="B843" s="1130"/>
      <c r="C843" s="1130"/>
      <c r="D843" s="1130"/>
      <c r="E843" s="1130"/>
      <c r="F843" s="1130"/>
      <c r="G843" s="1130"/>
      <c r="H843" s="1130"/>
      <c r="I843" s="1130"/>
      <c r="J843" s="1130"/>
      <c r="K843" s="1130"/>
      <c r="L843" s="1130"/>
      <c r="M843" s="1130"/>
      <c r="N843" s="1130"/>
      <c r="O843" s="1130"/>
      <c r="P843" s="1130"/>
      <c r="Q843" s="1130"/>
      <c r="R843" s="1130"/>
      <c r="S843" s="1130"/>
      <c r="T843" s="1130"/>
      <c r="U843" s="1130"/>
      <c r="V843" s="1130"/>
      <c r="W843" s="1130"/>
      <c r="X843" s="1130"/>
      <c r="Y843" s="1130"/>
      <c r="Z843" s="1130"/>
    </row>
    <row r="844" spans="1:26" ht="15.75" customHeight="1">
      <c r="A844" s="1130"/>
      <c r="B844" s="1130"/>
      <c r="C844" s="1130"/>
      <c r="D844" s="1130"/>
      <c r="E844" s="1130"/>
      <c r="F844" s="1130"/>
      <c r="G844" s="1130"/>
      <c r="H844" s="1130"/>
      <c r="I844" s="1130"/>
      <c r="J844" s="1130"/>
      <c r="K844" s="1130"/>
      <c r="L844" s="1130"/>
      <c r="M844" s="1130"/>
      <c r="N844" s="1130"/>
      <c r="O844" s="1130"/>
      <c r="P844" s="1130"/>
      <c r="Q844" s="1130"/>
      <c r="R844" s="1130"/>
      <c r="S844" s="1130"/>
      <c r="T844" s="1130"/>
      <c r="U844" s="1130"/>
      <c r="V844" s="1130"/>
      <c r="W844" s="1130"/>
      <c r="X844" s="1130"/>
      <c r="Y844" s="1130"/>
      <c r="Z844" s="1130"/>
    </row>
    <row r="845" spans="1:26" ht="15.75" customHeight="1">
      <c r="A845" s="1130"/>
      <c r="B845" s="1130"/>
      <c r="C845" s="1130"/>
      <c r="D845" s="1130"/>
      <c r="E845" s="1130"/>
      <c r="F845" s="1130"/>
      <c r="G845" s="1130"/>
      <c r="H845" s="1130"/>
      <c r="I845" s="1130"/>
      <c r="J845" s="1130"/>
      <c r="K845" s="1130"/>
      <c r="L845" s="1130"/>
      <c r="M845" s="1130"/>
      <c r="N845" s="1130"/>
      <c r="O845" s="1130"/>
      <c r="P845" s="1130"/>
      <c r="Q845" s="1130"/>
      <c r="R845" s="1130"/>
      <c r="S845" s="1130"/>
      <c r="T845" s="1130"/>
      <c r="U845" s="1130"/>
      <c r="V845" s="1130"/>
      <c r="W845" s="1130"/>
      <c r="X845" s="1130"/>
      <c r="Y845" s="1130"/>
      <c r="Z845" s="1130"/>
    </row>
    <row r="846" spans="1:26" ht="15.75" customHeight="1">
      <c r="A846" s="1130"/>
      <c r="B846" s="1130"/>
      <c r="C846" s="1130"/>
      <c r="D846" s="1130"/>
      <c r="E846" s="1130"/>
      <c r="F846" s="1130"/>
      <c r="G846" s="1130"/>
      <c r="H846" s="1130"/>
      <c r="I846" s="1130"/>
      <c r="J846" s="1130"/>
      <c r="K846" s="1130"/>
      <c r="L846" s="1130"/>
      <c r="M846" s="1130"/>
      <c r="N846" s="1130"/>
      <c r="O846" s="1130"/>
      <c r="P846" s="1130"/>
      <c r="Q846" s="1130"/>
      <c r="R846" s="1130"/>
      <c r="S846" s="1130"/>
      <c r="T846" s="1130"/>
      <c r="U846" s="1130"/>
      <c r="V846" s="1130"/>
      <c r="W846" s="1130"/>
      <c r="X846" s="1130"/>
      <c r="Y846" s="1130"/>
      <c r="Z846" s="1130"/>
    </row>
    <row r="847" spans="1:26" ht="15.75" customHeight="1">
      <c r="A847" s="1130"/>
      <c r="B847" s="1130"/>
      <c r="C847" s="1130"/>
      <c r="D847" s="1130"/>
      <c r="E847" s="1130"/>
      <c r="F847" s="1130"/>
      <c r="G847" s="1130"/>
      <c r="H847" s="1130"/>
      <c r="I847" s="1130"/>
      <c r="J847" s="1130"/>
      <c r="K847" s="1130"/>
      <c r="L847" s="1130"/>
      <c r="M847" s="1130"/>
      <c r="N847" s="1130"/>
      <c r="O847" s="1130"/>
      <c r="P847" s="1130"/>
      <c r="Q847" s="1130"/>
      <c r="R847" s="1130"/>
      <c r="S847" s="1130"/>
      <c r="T847" s="1130"/>
      <c r="U847" s="1130"/>
      <c r="V847" s="1130"/>
      <c r="W847" s="1130"/>
      <c r="X847" s="1130"/>
      <c r="Y847" s="1130"/>
      <c r="Z847" s="1130"/>
    </row>
    <row r="848" spans="1:26" ht="15.75" customHeight="1">
      <c r="A848" s="1130"/>
      <c r="B848" s="1130"/>
      <c r="C848" s="1130"/>
      <c r="D848" s="1130"/>
      <c r="E848" s="1130"/>
      <c r="F848" s="1130"/>
      <c r="G848" s="1130"/>
      <c r="H848" s="1130"/>
      <c r="I848" s="1130"/>
      <c r="J848" s="1130"/>
      <c r="K848" s="1130"/>
      <c r="L848" s="1130"/>
      <c r="M848" s="1130"/>
      <c r="N848" s="1130"/>
      <c r="O848" s="1130"/>
      <c r="P848" s="1130"/>
      <c r="Q848" s="1130"/>
      <c r="R848" s="1130"/>
      <c r="S848" s="1130"/>
      <c r="T848" s="1130"/>
      <c r="U848" s="1130"/>
      <c r="V848" s="1130"/>
      <c r="W848" s="1130"/>
      <c r="X848" s="1130"/>
      <c r="Y848" s="1130"/>
      <c r="Z848" s="1130"/>
    </row>
    <row r="849" spans="1:26" ht="15.75" customHeight="1">
      <c r="A849" s="1130"/>
      <c r="B849" s="1130"/>
      <c r="C849" s="1130"/>
      <c r="D849" s="1130"/>
      <c r="E849" s="1130"/>
      <c r="F849" s="1130"/>
      <c r="G849" s="1130"/>
      <c r="H849" s="1130"/>
      <c r="I849" s="1130"/>
      <c r="J849" s="1130"/>
      <c r="K849" s="1130"/>
      <c r="L849" s="1130"/>
      <c r="M849" s="1130"/>
      <c r="N849" s="1130"/>
      <c r="O849" s="1130"/>
      <c r="P849" s="1130"/>
      <c r="Q849" s="1130"/>
      <c r="R849" s="1130"/>
      <c r="S849" s="1130"/>
      <c r="T849" s="1130"/>
      <c r="U849" s="1130"/>
      <c r="V849" s="1130"/>
      <c r="W849" s="1130"/>
      <c r="X849" s="1130"/>
      <c r="Y849" s="1130"/>
      <c r="Z849" s="1130"/>
    </row>
    <row r="850" spans="1:26" ht="15.75" customHeight="1">
      <c r="A850" s="1130"/>
      <c r="B850" s="1130"/>
      <c r="C850" s="1130"/>
      <c r="D850" s="1130"/>
      <c r="E850" s="1130"/>
      <c r="F850" s="1130"/>
      <c r="G850" s="1130"/>
      <c r="H850" s="1130"/>
      <c r="I850" s="1130"/>
      <c r="J850" s="1130"/>
      <c r="K850" s="1130"/>
      <c r="L850" s="1130"/>
      <c r="M850" s="1130"/>
      <c r="N850" s="1130"/>
      <c r="O850" s="1130"/>
      <c r="P850" s="1130"/>
      <c r="Q850" s="1130"/>
      <c r="R850" s="1130"/>
      <c r="S850" s="1130"/>
      <c r="T850" s="1130"/>
      <c r="U850" s="1130"/>
      <c r="V850" s="1130"/>
      <c r="W850" s="1130"/>
      <c r="X850" s="1130"/>
      <c r="Y850" s="1130"/>
      <c r="Z850" s="1130"/>
    </row>
    <row r="851" spans="1:26" ht="15.75" customHeight="1">
      <c r="A851" s="1130"/>
      <c r="B851" s="1130"/>
      <c r="C851" s="1130"/>
      <c r="D851" s="1130"/>
      <c r="E851" s="1130"/>
      <c r="F851" s="1130"/>
      <c r="G851" s="1130"/>
      <c r="H851" s="1130"/>
      <c r="I851" s="1130"/>
      <c r="J851" s="1130"/>
      <c r="K851" s="1130"/>
      <c r="L851" s="1130"/>
      <c r="M851" s="1130"/>
      <c r="N851" s="1130"/>
      <c r="O851" s="1130"/>
      <c r="P851" s="1130"/>
      <c r="Q851" s="1130"/>
      <c r="R851" s="1130"/>
      <c r="S851" s="1130"/>
      <c r="T851" s="1130"/>
      <c r="U851" s="1130"/>
      <c r="V851" s="1130"/>
      <c r="W851" s="1130"/>
      <c r="X851" s="1130"/>
      <c r="Y851" s="1130"/>
      <c r="Z851" s="1130"/>
    </row>
    <row r="852" spans="1:26" ht="15.75" customHeight="1">
      <c r="A852" s="1130"/>
      <c r="B852" s="1130"/>
      <c r="C852" s="1130"/>
      <c r="D852" s="1130"/>
      <c r="E852" s="1130"/>
      <c r="F852" s="1130"/>
      <c r="G852" s="1130"/>
      <c r="H852" s="1130"/>
      <c r="I852" s="1130"/>
      <c r="J852" s="1130"/>
      <c r="K852" s="1130"/>
      <c r="L852" s="1130"/>
      <c r="M852" s="1130"/>
      <c r="N852" s="1130"/>
      <c r="O852" s="1130"/>
      <c r="P852" s="1130"/>
      <c r="Q852" s="1130"/>
      <c r="R852" s="1130"/>
      <c r="S852" s="1130"/>
      <c r="T852" s="1130"/>
      <c r="U852" s="1130"/>
      <c r="V852" s="1130"/>
      <c r="W852" s="1130"/>
      <c r="X852" s="1130"/>
      <c r="Y852" s="1130"/>
      <c r="Z852" s="1130"/>
    </row>
    <row r="853" spans="1:26" ht="15.75" customHeight="1">
      <c r="A853" s="1130"/>
      <c r="B853" s="1130"/>
      <c r="C853" s="1130"/>
      <c r="D853" s="1130"/>
      <c r="E853" s="1130"/>
      <c r="F853" s="1130"/>
      <c r="G853" s="1130"/>
      <c r="H853" s="1130"/>
      <c r="I853" s="1130"/>
      <c r="J853" s="1130"/>
      <c r="K853" s="1130"/>
      <c r="L853" s="1130"/>
      <c r="M853" s="1130"/>
      <c r="N853" s="1130"/>
      <c r="O853" s="1130"/>
      <c r="P853" s="1130"/>
      <c r="Q853" s="1130"/>
      <c r="R853" s="1130"/>
      <c r="S853" s="1130"/>
      <c r="T853" s="1130"/>
      <c r="U853" s="1130"/>
      <c r="V853" s="1130"/>
      <c r="W853" s="1130"/>
      <c r="X853" s="1130"/>
      <c r="Y853" s="1130"/>
      <c r="Z853" s="1130"/>
    </row>
    <row r="854" spans="1:26" ht="15.75" customHeight="1">
      <c r="A854" s="1130"/>
      <c r="B854" s="1130"/>
      <c r="C854" s="1130"/>
      <c r="D854" s="1130"/>
      <c r="E854" s="1130"/>
      <c r="F854" s="1130"/>
      <c r="G854" s="1130"/>
      <c r="H854" s="1130"/>
      <c r="I854" s="1130"/>
      <c r="J854" s="1130"/>
      <c r="K854" s="1130"/>
      <c r="L854" s="1130"/>
      <c r="M854" s="1130"/>
      <c r="N854" s="1130"/>
      <c r="O854" s="1130"/>
      <c r="P854" s="1130"/>
      <c r="Q854" s="1130"/>
      <c r="R854" s="1130"/>
      <c r="S854" s="1130"/>
      <c r="T854" s="1130"/>
      <c r="U854" s="1130"/>
      <c r="V854" s="1130"/>
      <c r="W854" s="1130"/>
      <c r="X854" s="1130"/>
      <c r="Y854" s="1130"/>
      <c r="Z854" s="1130"/>
    </row>
    <row r="855" spans="1:26" ht="15.75" customHeight="1">
      <c r="A855" s="1130"/>
      <c r="B855" s="1130"/>
      <c r="C855" s="1130"/>
      <c r="D855" s="1130"/>
      <c r="E855" s="1130"/>
      <c r="F855" s="1130"/>
      <c r="G855" s="1130"/>
      <c r="H855" s="1130"/>
      <c r="I855" s="1130"/>
      <c r="J855" s="1130"/>
      <c r="K855" s="1130"/>
      <c r="L855" s="1130"/>
      <c r="M855" s="1130"/>
      <c r="N855" s="1130"/>
      <c r="O855" s="1130"/>
      <c r="P855" s="1130"/>
      <c r="Q855" s="1130"/>
      <c r="R855" s="1130"/>
      <c r="S855" s="1130"/>
      <c r="T855" s="1130"/>
      <c r="U855" s="1130"/>
      <c r="V855" s="1130"/>
      <c r="W855" s="1130"/>
      <c r="X855" s="1130"/>
      <c r="Y855" s="1130"/>
      <c r="Z855" s="1130"/>
    </row>
    <row r="856" spans="1:26" ht="15.75" customHeight="1">
      <c r="A856" s="1130"/>
      <c r="B856" s="1130"/>
      <c r="C856" s="1130"/>
      <c r="D856" s="1130"/>
      <c r="E856" s="1130"/>
      <c r="F856" s="1130"/>
      <c r="G856" s="1130"/>
      <c r="H856" s="1130"/>
      <c r="I856" s="1130"/>
      <c r="J856" s="1130"/>
      <c r="K856" s="1130"/>
      <c r="L856" s="1130"/>
      <c r="M856" s="1130"/>
      <c r="N856" s="1130"/>
      <c r="O856" s="1130"/>
      <c r="P856" s="1130"/>
      <c r="Q856" s="1130"/>
      <c r="R856" s="1130"/>
      <c r="S856" s="1130"/>
      <c r="T856" s="1130"/>
      <c r="U856" s="1130"/>
      <c r="V856" s="1130"/>
      <c r="W856" s="1130"/>
      <c r="X856" s="1130"/>
      <c r="Y856" s="1130"/>
      <c r="Z856" s="1130"/>
    </row>
    <row r="857" spans="1:26" ht="15.75" customHeight="1">
      <c r="A857" s="1130"/>
      <c r="B857" s="1130"/>
      <c r="C857" s="1130"/>
      <c r="D857" s="1130"/>
      <c r="E857" s="1130"/>
      <c r="F857" s="1130"/>
      <c r="G857" s="1130"/>
      <c r="H857" s="1130"/>
      <c r="I857" s="1130"/>
      <c r="J857" s="1130"/>
      <c r="K857" s="1130"/>
      <c r="L857" s="1130"/>
      <c r="M857" s="1130"/>
      <c r="N857" s="1130"/>
      <c r="O857" s="1130"/>
      <c r="P857" s="1130"/>
      <c r="Q857" s="1130"/>
      <c r="R857" s="1130"/>
      <c r="S857" s="1130"/>
      <c r="T857" s="1130"/>
      <c r="U857" s="1130"/>
      <c r="V857" s="1130"/>
      <c r="W857" s="1130"/>
      <c r="X857" s="1130"/>
      <c r="Y857" s="1130"/>
      <c r="Z857" s="1130"/>
    </row>
    <row r="858" spans="1:26" ht="15.75" customHeight="1">
      <c r="A858" s="1130"/>
      <c r="B858" s="1130"/>
      <c r="C858" s="1130"/>
      <c r="D858" s="1130"/>
      <c r="E858" s="1130"/>
      <c r="F858" s="1130"/>
      <c r="G858" s="1130"/>
      <c r="H858" s="1130"/>
      <c r="I858" s="1130"/>
      <c r="J858" s="1130"/>
      <c r="K858" s="1130"/>
      <c r="L858" s="1130"/>
      <c r="M858" s="1130"/>
      <c r="N858" s="1130"/>
      <c r="O858" s="1130"/>
      <c r="P858" s="1130"/>
      <c r="Q858" s="1130"/>
      <c r="R858" s="1130"/>
      <c r="S858" s="1130"/>
      <c r="T858" s="1130"/>
      <c r="U858" s="1130"/>
      <c r="V858" s="1130"/>
      <c r="W858" s="1130"/>
      <c r="X858" s="1130"/>
      <c r="Y858" s="1130"/>
      <c r="Z858" s="1130"/>
    </row>
    <row r="859" spans="1:26" ht="15.75" customHeight="1">
      <c r="A859" s="1130"/>
      <c r="B859" s="1130"/>
      <c r="C859" s="1130"/>
      <c r="D859" s="1130"/>
      <c r="E859" s="1130"/>
      <c r="F859" s="1130"/>
      <c r="G859" s="1130"/>
      <c r="H859" s="1130"/>
      <c r="I859" s="1130"/>
      <c r="J859" s="1130"/>
      <c r="K859" s="1130"/>
      <c r="L859" s="1130"/>
      <c r="M859" s="1130"/>
      <c r="N859" s="1130"/>
      <c r="O859" s="1130"/>
      <c r="P859" s="1130"/>
      <c r="Q859" s="1130"/>
      <c r="R859" s="1130"/>
      <c r="S859" s="1130"/>
      <c r="T859" s="1130"/>
      <c r="U859" s="1130"/>
      <c r="V859" s="1130"/>
      <c r="W859" s="1130"/>
      <c r="X859" s="1130"/>
      <c r="Y859" s="1130"/>
      <c r="Z859" s="1130"/>
    </row>
    <row r="860" spans="1:26" ht="15.75" customHeight="1">
      <c r="A860" s="1130"/>
      <c r="B860" s="1130"/>
      <c r="C860" s="1130"/>
      <c r="D860" s="1130"/>
      <c r="E860" s="1130"/>
      <c r="F860" s="1130"/>
      <c r="G860" s="1130"/>
      <c r="H860" s="1130"/>
      <c r="I860" s="1130"/>
      <c r="J860" s="1130"/>
      <c r="K860" s="1130"/>
      <c r="L860" s="1130"/>
      <c r="M860" s="1130"/>
      <c r="N860" s="1130"/>
      <c r="O860" s="1130"/>
      <c r="P860" s="1130"/>
      <c r="Q860" s="1130"/>
      <c r="R860" s="1130"/>
      <c r="S860" s="1130"/>
      <c r="T860" s="1130"/>
      <c r="U860" s="1130"/>
      <c r="V860" s="1130"/>
      <c r="W860" s="1130"/>
      <c r="X860" s="1130"/>
      <c r="Y860" s="1130"/>
      <c r="Z860" s="1130"/>
    </row>
    <row r="861" spans="1:26" ht="15.75" customHeight="1">
      <c r="A861" s="1130"/>
      <c r="B861" s="1130"/>
      <c r="C861" s="1130"/>
      <c r="D861" s="1130"/>
      <c r="E861" s="1130"/>
      <c r="F861" s="1130"/>
      <c r="G861" s="1130"/>
      <c r="H861" s="1130"/>
      <c r="I861" s="1130"/>
      <c r="J861" s="1130"/>
      <c r="K861" s="1130"/>
      <c r="L861" s="1130"/>
      <c r="M861" s="1130"/>
      <c r="N861" s="1130"/>
      <c r="O861" s="1130"/>
      <c r="P861" s="1130"/>
      <c r="Q861" s="1130"/>
      <c r="R861" s="1130"/>
      <c r="S861" s="1130"/>
      <c r="T861" s="1130"/>
      <c r="U861" s="1130"/>
      <c r="V861" s="1130"/>
      <c r="W861" s="1130"/>
      <c r="X861" s="1130"/>
      <c r="Y861" s="1130"/>
      <c r="Z861" s="1130"/>
    </row>
    <row r="862" spans="1:26" ht="15.75" customHeight="1">
      <c r="A862" s="1130"/>
      <c r="B862" s="1130"/>
      <c r="C862" s="1130"/>
      <c r="D862" s="1130"/>
      <c r="E862" s="1130"/>
      <c r="F862" s="1130"/>
      <c r="G862" s="1130"/>
      <c r="H862" s="1130"/>
      <c r="I862" s="1130"/>
      <c r="J862" s="1130"/>
      <c r="K862" s="1130"/>
      <c r="L862" s="1130"/>
      <c r="M862" s="1130"/>
      <c r="N862" s="1130"/>
      <c r="O862" s="1130"/>
      <c r="P862" s="1130"/>
      <c r="Q862" s="1130"/>
      <c r="R862" s="1130"/>
      <c r="S862" s="1130"/>
      <c r="T862" s="1130"/>
      <c r="U862" s="1130"/>
      <c r="V862" s="1130"/>
      <c r="W862" s="1130"/>
      <c r="X862" s="1130"/>
      <c r="Y862" s="1130"/>
      <c r="Z862" s="1130"/>
    </row>
    <row r="863" spans="1:26" ht="15.75" customHeight="1">
      <c r="A863" s="1130"/>
      <c r="B863" s="1130"/>
      <c r="C863" s="1130"/>
      <c r="D863" s="1130"/>
      <c r="E863" s="1130"/>
      <c r="F863" s="1130"/>
      <c r="G863" s="1130"/>
      <c r="H863" s="1130"/>
      <c r="I863" s="1130"/>
      <c r="J863" s="1130"/>
      <c r="K863" s="1130"/>
      <c r="L863" s="1130"/>
      <c r="M863" s="1130"/>
      <c r="N863" s="1130"/>
      <c r="O863" s="1130"/>
      <c r="P863" s="1130"/>
      <c r="Q863" s="1130"/>
      <c r="R863" s="1130"/>
      <c r="S863" s="1130"/>
      <c r="T863" s="1130"/>
      <c r="U863" s="1130"/>
      <c r="V863" s="1130"/>
      <c r="W863" s="1130"/>
      <c r="X863" s="1130"/>
      <c r="Y863" s="1130"/>
      <c r="Z863" s="1130"/>
    </row>
    <row r="864" spans="1:26" ht="15.75" customHeight="1">
      <c r="A864" s="1130"/>
      <c r="B864" s="1130"/>
      <c r="C864" s="1130"/>
      <c r="D864" s="1130"/>
      <c r="E864" s="1130"/>
      <c r="F864" s="1130"/>
      <c r="G864" s="1130"/>
      <c r="H864" s="1130"/>
      <c r="I864" s="1130"/>
      <c r="J864" s="1130"/>
      <c r="K864" s="1130"/>
      <c r="L864" s="1130"/>
      <c r="M864" s="1130"/>
      <c r="N864" s="1130"/>
      <c r="O864" s="1130"/>
      <c r="P864" s="1130"/>
      <c r="Q864" s="1130"/>
      <c r="R864" s="1130"/>
      <c r="S864" s="1130"/>
      <c r="T864" s="1130"/>
      <c r="U864" s="1130"/>
      <c r="V864" s="1130"/>
      <c r="W864" s="1130"/>
      <c r="X864" s="1130"/>
      <c r="Y864" s="1130"/>
      <c r="Z864" s="1130"/>
    </row>
    <row r="865" spans="1:26" ht="15.75" customHeight="1">
      <c r="A865" s="1130"/>
      <c r="B865" s="1130"/>
      <c r="C865" s="1130"/>
      <c r="D865" s="1130"/>
      <c r="E865" s="1130"/>
      <c r="F865" s="1130"/>
      <c r="G865" s="1130"/>
      <c r="H865" s="1130"/>
      <c r="I865" s="1130"/>
      <c r="J865" s="1130"/>
      <c r="K865" s="1130"/>
      <c r="L865" s="1130"/>
      <c r="M865" s="1130"/>
      <c r="N865" s="1130"/>
      <c r="O865" s="1130"/>
      <c r="P865" s="1130"/>
      <c r="Q865" s="1130"/>
      <c r="R865" s="1130"/>
      <c r="S865" s="1130"/>
      <c r="T865" s="1130"/>
      <c r="U865" s="1130"/>
      <c r="V865" s="1130"/>
      <c r="W865" s="1130"/>
      <c r="X865" s="1130"/>
      <c r="Y865" s="1130"/>
      <c r="Z865" s="1130"/>
    </row>
    <row r="866" spans="1:26" ht="15.75" customHeight="1">
      <c r="A866" s="1130"/>
      <c r="B866" s="1130"/>
      <c r="C866" s="1130"/>
      <c r="D866" s="1130"/>
      <c r="E866" s="1130"/>
      <c r="F866" s="1130"/>
      <c r="G866" s="1130"/>
      <c r="H866" s="1130"/>
      <c r="I866" s="1130"/>
      <c r="J866" s="1130"/>
      <c r="K866" s="1130"/>
      <c r="L866" s="1130"/>
      <c r="M866" s="1130"/>
      <c r="N866" s="1130"/>
      <c r="O866" s="1130"/>
      <c r="P866" s="1130"/>
      <c r="Q866" s="1130"/>
      <c r="R866" s="1130"/>
      <c r="S866" s="1130"/>
      <c r="T866" s="1130"/>
      <c r="U866" s="1130"/>
      <c r="V866" s="1130"/>
      <c r="W866" s="1130"/>
      <c r="X866" s="1130"/>
      <c r="Y866" s="1130"/>
      <c r="Z866" s="1130"/>
    </row>
    <row r="867" spans="1:26" ht="15.75" customHeight="1">
      <c r="A867" s="1130"/>
      <c r="B867" s="1130"/>
      <c r="C867" s="1130"/>
      <c r="D867" s="1130"/>
      <c r="E867" s="1130"/>
      <c r="F867" s="1130"/>
      <c r="G867" s="1130"/>
      <c r="H867" s="1130"/>
      <c r="I867" s="1130"/>
      <c r="J867" s="1130"/>
      <c r="K867" s="1130"/>
      <c r="L867" s="1130"/>
      <c r="M867" s="1130"/>
      <c r="N867" s="1130"/>
      <c r="O867" s="1130"/>
      <c r="P867" s="1130"/>
      <c r="Q867" s="1130"/>
      <c r="R867" s="1130"/>
      <c r="S867" s="1130"/>
      <c r="T867" s="1130"/>
      <c r="U867" s="1130"/>
      <c r="V867" s="1130"/>
      <c r="W867" s="1130"/>
      <c r="X867" s="1130"/>
      <c r="Y867" s="1130"/>
      <c r="Z867" s="1130"/>
    </row>
    <row r="868" spans="1:26" ht="15.75" customHeight="1">
      <c r="A868" s="1130"/>
      <c r="B868" s="1130"/>
      <c r="C868" s="1130"/>
      <c r="D868" s="1130"/>
      <c r="E868" s="1130"/>
      <c r="F868" s="1130"/>
      <c r="G868" s="1130"/>
      <c r="H868" s="1130"/>
      <c r="I868" s="1130"/>
      <c r="J868" s="1130"/>
      <c r="K868" s="1130"/>
      <c r="L868" s="1130"/>
      <c r="M868" s="1130"/>
      <c r="N868" s="1130"/>
      <c r="O868" s="1130"/>
      <c r="P868" s="1130"/>
      <c r="Q868" s="1130"/>
      <c r="R868" s="1130"/>
      <c r="S868" s="1130"/>
      <c r="T868" s="1130"/>
      <c r="U868" s="1130"/>
      <c r="V868" s="1130"/>
      <c r="W868" s="1130"/>
      <c r="X868" s="1130"/>
      <c r="Y868" s="1130"/>
      <c r="Z868" s="1130"/>
    </row>
    <row r="869" spans="1:26" ht="15.75" customHeight="1">
      <c r="A869" s="1130"/>
      <c r="B869" s="1130"/>
      <c r="C869" s="1130"/>
      <c r="D869" s="1130"/>
      <c r="E869" s="1130"/>
      <c r="F869" s="1130"/>
      <c r="G869" s="1130"/>
      <c r="H869" s="1130"/>
      <c r="I869" s="1130"/>
      <c r="J869" s="1130"/>
      <c r="K869" s="1130"/>
      <c r="L869" s="1130"/>
      <c r="M869" s="1130"/>
      <c r="N869" s="1130"/>
      <c r="O869" s="1130"/>
      <c r="P869" s="1130"/>
      <c r="Q869" s="1130"/>
      <c r="R869" s="1130"/>
      <c r="S869" s="1130"/>
      <c r="T869" s="1130"/>
      <c r="U869" s="1130"/>
      <c r="V869" s="1130"/>
      <c r="W869" s="1130"/>
      <c r="X869" s="1130"/>
      <c r="Y869" s="1130"/>
      <c r="Z869" s="1130"/>
    </row>
    <row r="870" spans="1:26" ht="15.75" customHeight="1">
      <c r="A870" s="1130"/>
      <c r="B870" s="1130"/>
      <c r="C870" s="1130"/>
      <c r="D870" s="1130"/>
      <c r="E870" s="1130"/>
      <c r="F870" s="1130"/>
      <c r="G870" s="1130"/>
      <c r="H870" s="1130"/>
      <c r="I870" s="1130"/>
      <c r="J870" s="1130"/>
      <c r="K870" s="1130"/>
      <c r="L870" s="1130"/>
      <c r="M870" s="1130"/>
      <c r="N870" s="1130"/>
      <c r="O870" s="1130"/>
      <c r="P870" s="1130"/>
      <c r="Q870" s="1130"/>
      <c r="R870" s="1130"/>
      <c r="S870" s="1130"/>
      <c r="T870" s="1130"/>
      <c r="U870" s="1130"/>
      <c r="V870" s="1130"/>
      <c r="W870" s="1130"/>
      <c r="X870" s="1130"/>
      <c r="Y870" s="1130"/>
      <c r="Z870" s="1130"/>
    </row>
    <row r="871" spans="1:26" ht="15.75" customHeight="1">
      <c r="A871" s="1130"/>
      <c r="B871" s="1130"/>
      <c r="C871" s="1130"/>
      <c r="D871" s="1130"/>
      <c r="E871" s="1130"/>
      <c r="F871" s="1130"/>
      <c r="G871" s="1130"/>
      <c r="H871" s="1130"/>
      <c r="I871" s="1130"/>
      <c r="J871" s="1130"/>
      <c r="K871" s="1130"/>
      <c r="L871" s="1130"/>
      <c r="M871" s="1130"/>
      <c r="N871" s="1130"/>
      <c r="O871" s="1130"/>
      <c r="P871" s="1130"/>
      <c r="Q871" s="1130"/>
      <c r="R871" s="1130"/>
      <c r="S871" s="1130"/>
      <c r="T871" s="1130"/>
      <c r="U871" s="1130"/>
      <c r="V871" s="1130"/>
      <c r="W871" s="1130"/>
      <c r="X871" s="1130"/>
      <c r="Y871" s="1130"/>
      <c r="Z871" s="1130"/>
    </row>
    <row r="872" spans="1:26" ht="15.75" customHeight="1">
      <c r="A872" s="1130"/>
      <c r="B872" s="1130"/>
      <c r="C872" s="1130"/>
      <c r="D872" s="1130"/>
      <c r="E872" s="1130"/>
      <c r="F872" s="1130"/>
      <c r="G872" s="1130"/>
      <c r="H872" s="1130"/>
      <c r="I872" s="1130"/>
      <c r="J872" s="1130"/>
      <c r="K872" s="1130"/>
      <c r="L872" s="1130"/>
      <c r="M872" s="1130"/>
      <c r="N872" s="1130"/>
      <c r="O872" s="1130"/>
      <c r="P872" s="1130"/>
      <c r="Q872" s="1130"/>
      <c r="R872" s="1130"/>
      <c r="S872" s="1130"/>
      <c r="T872" s="1130"/>
      <c r="U872" s="1130"/>
      <c r="V872" s="1130"/>
      <c r="W872" s="1130"/>
      <c r="X872" s="1130"/>
      <c r="Y872" s="1130"/>
      <c r="Z872" s="1130"/>
    </row>
    <row r="873" spans="1:26" ht="15.75" customHeight="1">
      <c r="A873" s="1130"/>
      <c r="B873" s="1130"/>
      <c r="C873" s="1130"/>
      <c r="D873" s="1130"/>
      <c r="E873" s="1130"/>
      <c r="F873" s="1130"/>
      <c r="G873" s="1130"/>
      <c r="H873" s="1130"/>
      <c r="I873" s="1130"/>
      <c r="J873" s="1130"/>
      <c r="K873" s="1130"/>
      <c r="L873" s="1130"/>
      <c r="M873" s="1130"/>
      <c r="N873" s="1130"/>
      <c r="O873" s="1130"/>
      <c r="P873" s="1130"/>
      <c r="Q873" s="1130"/>
      <c r="R873" s="1130"/>
      <c r="S873" s="1130"/>
      <c r="T873" s="1130"/>
      <c r="U873" s="1130"/>
      <c r="V873" s="1130"/>
      <c r="W873" s="1130"/>
      <c r="X873" s="1130"/>
      <c r="Y873" s="1130"/>
      <c r="Z873" s="1130"/>
    </row>
    <row r="874" spans="1:26" ht="15.75" customHeight="1">
      <c r="A874" s="1130"/>
      <c r="B874" s="1130"/>
      <c r="C874" s="1130"/>
      <c r="D874" s="1130"/>
      <c r="E874" s="1130"/>
      <c r="F874" s="1130"/>
      <c r="G874" s="1130"/>
      <c r="H874" s="1130"/>
      <c r="I874" s="1130"/>
      <c r="J874" s="1130"/>
      <c r="K874" s="1130"/>
      <c r="L874" s="1130"/>
      <c r="M874" s="1130"/>
      <c r="N874" s="1130"/>
      <c r="O874" s="1130"/>
      <c r="P874" s="1130"/>
      <c r="Q874" s="1130"/>
      <c r="R874" s="1130"/>
      <c r="S874" s="1130"/>
      <c r="T874" s="1130"/>
      <c r="U874" s="1130"/>
      <c r="V874" s="1130"/>
      <c r="W874" s="1130"/>
      <c r="X874" s="1130"/>
      <c r="Y874" s="1130"/>
      <c r="Z874" s="1130"/>
    </row>
    <row r="875" spans="1:26" ht="15.75" customHeight="1">
      <c r="A875" s="1130"/>
      <c r="B875" s="1130"/>
      <c r="C875" s="1130"/>
      <c r="D875" s="1130"/>
      <c r="E875" s="1130"/>
      <c r="F875" s="1130"/>
      <c r="G875" s="1130"/>
      <c r="H875" s="1130"/>
      <c r="I875" s="1130"/>
      <c r="J875" s="1130"/>
      <c r="K875" s="1130"/>
      <c r="L875" s="1130"/>
      <c r="M875" s="1130"/>
      <c r="N875" s="1130"/>
      <c r="O875" s="1130"/>
      <c r="P875" s="1130"/>
      <c r="Q875" s="1130"/>
      <c r="R875" s="1130"/>
      <c r="S875" s="1130"/>
      <c r="T875" s="1130"/>
      <c r="U875" s="1130"/>
      <c r="V875" s="1130"/>
      <c r="W875" s="1130"/>
      <c r="X875" s="1130"/>
      <c r="Y875" s="1130"/>
      <c r="Z875" s="1130"/>
    </row>
    <row r="876" spans="1:26" ht="15.75" customHeight="1">
      <c r="A876" s="1130"/>
      <c r="B876" s="1130"/>
      <c r="C876" s="1130"/>
      <c r="D876" s="1130"/>
      <c r="E876" s="1130"/>
      <c r="F876" s="1130"/>
      <c r="G876" s="1130"/>
      <c r="H876" s="1130"/>
      <c r="I876" s="1130"/>
      <c r="J876" s="1130"/>
      <c r="K876" s="1130"/>
      <c r="L876" s="1130"/>
      <c r="M876" s="1130"/>
      <c r="N876" s="1130"/>
      <c r="O876" s="1130"/>
      <c r="P876" s="1130"/>
      <c r="Q876" s="1130"/>
      <c r="R876" s="1130"/>
      <c r="S876" s="1130"/>
      <c r="T876" s="1130"/>
      <c r="U876" s="1130"/>
      <c r="V876" s="1130"/>
      <c r="W876" s="1130"/>
      <c r="X876" s="1130"/>
      <c r="Y876" s="1130"/>
      <c r="Z876" s="1130"/>
    </row>
    <row r="877" spans="1:26" ht="15.75" customHeight="1">
      <c r="A877" s="1130"/>
      <c r="B877" s="1130"/>
      <c r="C877" s="1130"/>
      <c r="D877" s="1130"/>
      <c r="E877" s="1130"/>
      <c r="F877" s="1130"/>
      <c r="G877" s="1130"/>
      <c r="H877" s="1130"/>
      <c r="I877" s="1130"/>
      <c r="J877" s="1130"/>
      <c r="K877" s="1130"/>
      <c r="L877" s="1130"/>
      <c r="M877" s="1130"/>
      <c r="N877" s="1130"/>
      <c r="O877" s="1130"/>
      <c r="P877" s="1130"/>
      <c r="Q877" s="1130"/>
      <c r="R877" s="1130"/>
      <c r="S877" s="1130"/>
      <c r="T877" s="1130"/>
      <c r="U877" s="1130"/>
      <c r="V877" s="1130"/>
      <c r="W877" s="1130"/>
      <c r="X877" s="1130"/>
      <c r="Y877" s="1130"/>
      <c r="Z877" s="1130"/>
    </row>
    <row r="878" spans="1:26" ht="15.75" customHeight="1">
      <c r="A878" s="1130"/>
      <c r="B878" s="1130"/>
      <c r="C878" s="1130"/>
      <c r="D878" s="1130"/>
      <c r="E878" s="1130"/>
      <c r="F878" s="1130"/>
      <c r="G878" s="1130"/>
      <c r="H878" s="1130"/>
      <c r="I878" s="1130"/>
      <c r="J878" s="1130"/>
      <c r="K878" s="1130"/>
      <c r="L878" s="1130"/>
      <c r="M878" s="1130"/>
      <c r="N878" s="1130"/>
      <c r="O878" s="1130"/>
      <c r="P878" s="1130"/>
      <c r="Q878" s="1130"/>
      <c r="R878" s="1130"/>
      <c r="S878" s="1130"/>
      <c r="T878" s="1130"/>
      <c r="U878" s="1130"/>
      <c r="V878" s="1130"/>
      <c r="W878" s="1130"/>
      <c r="X878" s="1130"/>
      <c r="Y878" s="1130"/>
      <c r="Z878" s="1130"/>
    </row>
    <row r="879" spans="1:26" ht="15.75" customHeight="1">
      <c r="A879" s="1130"/>
      <c r="B879" s="1130"/>
      <c r="C879" s="1130"/>
      <c r="D879" s="1130"/>
      <c r="E879" s="1130"/>
      <c r="F879" s="1130"/>
      <c r="G879" s="1130"/>
      <c r="H879" s="1130"/>
      <c r="I879" s="1130"/>
      <c r="J879" s="1130"/>
      <c r="K879" s="1130"/>
      <c r="L879" s="1130"/>
      <c r="M879" s="1130"/>
      <c r="N879" s="1130"/>
      <c r="O879" s="1130"/>
      <c r="P879" s="1130"/>
      <c r="Q879" s="1130"/>
      <c r="R879" s="1130"/>
      <c r="S879" s="1130"/>
      <c r="T879" s="1130"/>
      <c r="U879" s="1130"/>
      <c r="V879" s="1130"/>
      <c r="W879" s="1130"/>
      <c r="X879" s="1130"/>
      <c r="Y879" s="1130"/>
      <c r="Z879" s="1130"/>
    </row>
    <row r="880" spans="1:26" ht="15.75" customHeight="1">
      <c r="A880" s="1130"/>
      <c r="B880" s="1130"/>
      <c r="C880" s="1130"/>
      <c r="D880" s="1130"/>
      <c r="E880" s="1130"/>
      <c r="F880" s="1130"/>
      <c r="G880" s="1130"/>
      <c r="H880" s="1130"/>
      <c r="I880" s="1130"/>
      <c r="J880" s="1130"/>
      <c r="K880" s="1130"/>
      <c r="L880" s="1130"/>
      <c r="M880" s="1130"/>
      <c r="N880" s="1130"/>
      <c r="O880" s="1130"/>
      <c r="P880" s="1130"/>
      <c r="Q880" s="1130"/>
      <c r="R880" s="1130"/>
      <c r="S880" s="1130"/>
      <c r="T880" s="1130"/>
      <c r="U880" s="1130"/>
      <c r="V880" s="1130"/>
      <c r="W880" s="1130"/>
      <c r="X880" s="1130"/>
      <c r="Y880" s="1130"/>
      <c r="Z880" s="1130"/>
    </row>
    <row r="881" spans="1:26" ht="15.75" customHeight="1">
      <c r="A881" s="1130"/>
      <c r="B881" s="1130"/>
      <c r="C881" s="1130"/>
      <c r="D881" s="1130"/>
      <c r="E881" s="1130"/>
      <c r="F881" s="1130"/>
      <c r="G881" s="1130"/>
      <c r="H881" s="1130"/>
      <c r="I881" s="1130"/>
      <c r="J881" s="1130"/>
      <c r="K881" s="1130"/>
      <c r="L881" s="1130"/>
      <c r="M881" s="1130"/>
      <c r="N881" s="1130"/>
      <c r="O881" s="1130"/>
      <c r="P881" s="1130"/>
      <c r="Q881" s="1130"/>
      <c r="R881" s="1130"/>
      <c r="S881" s="1130"/>
      <c r="T881" s="1130"/>
      <c r="U881" s="1130"/>
      <c r="V881" s="1130"/>
      <c r="W881" s="1130"/>
      <c r="X881" s="1130"/>
      <c r="Y881" s="1130"/>
      <c r="Z881" s="1130"/>
    </row>
    <row r="882" spans="1:26" ht="15.75" customHeight="1">
      <c r="A882" s="1130"/>
      <c r="B882" s="1130"/>
      <c r="C882" s="1130"/>
      <c r="D882" s="1130"/>
      <c r="E882" s="1130"/>
      <c r="F882" s="1130"/>
      <c r="G882" s="1130"/>
      <c r="H882" s="1130"/>
      <c r="I882" s="1130"/>
      <c r="J882" s="1130"/>
      <c r="K882" s="1130"/>
      <c r="L882" s="1130"/>
      <c r="M882" s="1130"/>
      <c r="N882" s="1130"/>
      <c r="O882" s="1130"/>
      <c r="P882" s="1130"/>
      <c r="Q882" s="1130"/>
      <c r="R882" s="1130"/>
      <c r="S882" s="1130"/>
      <c r="T882" s="1130"/>
      <c r="U882" s="1130"/>
      <c r="V882" s="1130"/>
      <c r="W882" s="1130"/>
      <c r="X882" s="1130"/>
      <c r="Y882" s="1130"/>
      <c r="Z882" s="1130"/>
    </row>
    <row r="883" spans="1:26" ht="15.75" customHeight="1">
      <c r="A883" s="1130"/>
      <c r="B883" s="1130"/>
      <c r="C883" s="1130"/>
      <c r="D883" s="1130"/>
      <c r="E883" s="1130"/>
      <c r="F883" s="1130"/>
      <c r="G883" s="1130"/>
      <c r="H883" s="1130"/>
      <c r="I883" s="1130"/>
      <c r="J883" s="1130"/>
      <c r="K883" s="1130"/>
      <c r="L883" s="1130"/>
      <c r="M883" s="1130"/>
      <c r="N883" s="1130"/>
      <c r="O883" s="1130"/>
      <c r="P883" s="1130"/>
      <c r="Q883" s="1130"/>
      <c r="R883" s="1130"/>
      <c r="S883" s="1130"/>
      <c r="T883" s="1130"/>
      <c r="U883" s="1130"/>
      <c r="V883" s="1130"/>
      <c r="W883" s="1130"/>
      <c r="X883" s="1130"/>
      <c r="Y883" s="1130"/>
      <c r="Z883" s="1130"/>
    </row>
    <row r="884" spans="1:26" ht="15.75" customHeight="1">
      <c r="A884" s="1130"/>
      <c r="B884" s="1130"/>
      <c r="C884" s="1130"/>
      <c r="D884" s="1130"/>
      <c r="E884" s="1130"/>
      <c r="F884" s="1130"/>
      <c r="G884" s="1130"/>
      <c r="H884" s="1130"/>
      <c r="I884" s="1130"/>
      <c r="J884" s="1130"/>
      <c r="K884" s="1130"/>
      <c r="L884" s="1130"/>
      <c r="M884" s="1130"/>
      <c r="N884" s="1130"/>
      <c r="O884" s="1130"/>
      <c r="P884" s="1130"/>
      <c r="Q884" s="1130"/>
      <c r="R884" s="1130"/>
      <c r="S884" s="1130"/>
      <c r="T884" s="1130"/>
      <c r="U884" s="1130"/>
      <c r="V884" s="1130"/>
      <c r="W884" s="1130"/>
      <c r="X884" s="1130"/>
      <c r="Y884" s="1130"/>
      <c r="Z884" s="1130"/>
    </row>
    <row r="885" spans="1:26" ht="15.75" customHeight="1">
      <c r="A885" s="1130"/>
      <c r="B885" s="1130"/>
      <c r="C885" s="1130"/>
      <c r="D885" s="1130"/>
      <c r="E885" s="1130"/>
      <c r="F885" s="1130"/>
      <c r="G885" s="1130"/>
      <c r="H885" s="1130"/>
      <c r="I885" s="1130"/>
      <c r="J885" s="1130"/>
      <c r="K885" s="1130"/>
      <c r="L885" s="1130"/>
      <c r="M885" s="1130"/>
      <c r="N885" s="1130"/>
      <c r="O885" s="1130"/>
      <c r="P885" s="1130"/>
      <c r="Q885" s="1130"/>
      <c r="R885" s="1130"/>
      <c r="S885" s="1130"/>
      <c r="T885" s="1130"/>
      <c r="U885" s="1130"/>
      <c r="V885" s="1130"/>
      <c r="W885" s="1130"/>
      <c r="X885" s="1130"/>
      <c r="Y885" s="1130"/>
      <c r="Z885" s="1130"/>
    </row>
    <row r="886" spans="1:26" ht="15.75" customHeight="1">
      <c r="A886" s="1130"/>
      <c r="B886" s="1130"/>
      <c r="C886" s="1130"/>
      <c r="D886" s="1130"/>
      <c r="E886" s="1130"/>
      <c r="F886" s="1130"/>
      <c r="G886" s="1130"/>
      <c r="H886" s="1130"/>
      <c r="I886" s="1130"/>
      <c r="J886" s="1130"/>
      <c r="K886" s="1130"/>
      <c r="L886" s="1130"/>
      <c r="M886" s="1130"/>
      <c r="N886" s="1130"/>
      <c r="O886" s="1130"/>
      <c r="P886" s="1130"/>
      <c r="Q886" s="1130"/>
      <c r="R886" s="1130"/>
      <c r="S886" s="1130"/>
      <c r="T886" s="1130"/>
      <c r="U886" s="1130"/>
      <c r="V886" s="1130"/>
      <c r="W886" s="1130"/>
      <c r="X886" s="1130"/>
      <c r="Y886" s="1130"/>
      <c r="Z886" s="1130"/>
    </row>
    <row r="887" spans="1:26" ht="15.75" customHeight="1">
      <c r="A887" s="1130"/>
      <c r="B887" s="1130"/>
      <c r="C887" s="1130"/>
      <c r="D887" s="1130"/>
      <c r="E887" s="1130"/>
      <c r="F887" s="1130"/>
      <c r="G887" s="1130"/>
      <c r="H887" s="1130"/>
      <c r="I887" s="1130"/>
      <c r="J887" s="1130"/>
      <c r="K887" s="1130"/>
      <c r="L887" s="1130"/>
      <c r="M887" s="1130"/>
      <c r="N887" s="1130"/>
      <c r="O887" s="1130"/>
      <c r="P887" s="1130"/>
      <c r="Q887" s="1130"/>
      <c r="R887" s="1130"/>
      <c r="S887" s="1130"/>
      <c r="T887" s="1130"/>
      <c r="U887" s="1130"/>
      <c r="V887" s="1130"/>
      <c r="W887" s="1130"/>
      <c r="X887" s="1130"/>
      <c r="Y887" s="1130"/>
      <c r="Z887" s="1130"/>
    </row>
    <row r="888" spans="1:26" ht="15.75" customHeight="1">
      <c r="A888" s="1130"/>
      <c r="B888" s="1130"/>
      <c r="C888" s="1130"/>
      <c r="D888" s="1130"/>
      <c r="E888" s="1130"/>
      <c r="F888" s="1130"/>
      <c r="G888" s="1130"/>
      <c r="H888" s="1130"/>
      <c r="I888" s="1130"/>
      <c r="J888" s="1130"/>
      <c r="K888" s="1130"/>
      <c r="L888" s="1130"/>
      <c r="M888" s="1130"/>
      <c r="N888" s="1130"/>
      <c r="O888" s="1130"/>
      <c r="P888" s="1130"/>
      <c r="Q888" s="1130"/>
      <c r="R888" s="1130"/>
      <c r="S888" s="1130"/>
      <c r="T888" s="1130"/>
      <c r="U888" s="1130"/>
      <c r="V888" s="1130"/>
      <c r="W888" s="1130"/>
      <c r="X888" s="1130"/>
      <c r="Y888" s="1130"/>
      <c r="Z888" s="1130"/>
    </row>
    <row r="889" spans="1:26" ht="15.75" customHeight="1">
      <c r="A889" s="1130"/>
      <c r="B889" s="1130"/>
      <c r="C889" s="1130"/>
      <c r="D889" s="1130"/>
      <c r="E889" s="1130"/>
      <c r="F889" s="1130"/>
      <c r="G889" s="1130"/>
      <c r="H889" s="1130"/>
      <c r="I889" s="1130"/>
      <c r="J889" s="1130"/>
      <c r="K889" s="1130"/>
      <c r="L889" s="1130"/>
      <c r="M889" s="1130"/>
      <c r="N889" s="1130"/>
      <c r="O889" s="1130"/>
      <c r="P889" s="1130"/>
      <c r="Q889" s="1130"/>
      <c r="R889" s="1130"/>
      <c r="S889" s="1130"/>
      <c r="T889" s="1130"/>
      <c r="U889" s="1130"/>
      <c r="V889" s="1130"/>
      <c r="W889" s="1130"/>
      <c r="X889" s="1130"/>
      <c r="Y889" s="1130"/>
      <c r="Z889" s="1130"/>
    </row>
    <row r="890" spans="1:26" ht="15.75" customHeight="1">
      <c r="A890" s="1130"/>
      <c r="B890" s="1130"/>
      <c r="C890" s="1130"/>
      <c r="D890" s="1130"/>
      <c r="E890" s="1130"/>
      <c r="F890" s="1130"/>
      <c r="G890" s="1130"/>
      <c r="H890" s="1130"/>
      <c r="I890" s="1130"/>
      <c r="J890" s="1130"/>
      <c r="K890" s="1130"/>
      <c r="L890" s="1130"/>
      <c r="M890" s="1130"/>
      <c r="N890" s="1130"/>
      <c r="O890" s="1130"/>
      <c r="P890" s="1130"/>
      <c r="Q890" s="1130"/>
      <c r="R890" s="1130"/>
      <c r="S890" s="1130"/>
      <c r="T890" s="1130"/>
      <c r="U890" s="1130"/>
      <c r="V890" s="1130"/>
      <c r="W890" s="1130"/>
      <c r="X890" s="1130"/>
      <c r="Y890" s="1130"/>
      <c r="Z890" s="1130"/>
    </row>
    <row r="891" spans="1:26" ht="15.75" customHeight="1">
      <c r="A891" s="1130"/>
      <c r="B891" s="1130"/>
      <c r="C891" s="1130"/>
      <c r="D891" s="1130"/>
      <c r="E891" s="1130"/>
      <c r="F891" s="1130"/>
      <c r="G891" s="1130"/>
      <c r="H891" s="1130"/>
      <c r="I891" s="1130"/>
      <c r="J891" s="1130"/>
      <c r="K891" s="1130"/>
      <c r="L891" s="1130"/>
      <c r="M891" s="1130"/>
      <c r="N891" s="1130"/>
      <c r="O891" s="1130"/>
      <c r="P891" s="1130"/>
      <c r="Q891" s="1130"/>
      <c r="R891" s="1130"/>
      <c r="S891" s="1130"/>
      <c r="T891" s="1130"/>
      <c r="U891" s="1130"/>
      <c r="V891" s="1130"/>
      <c r="W891" s="1130"/>
      <c r="X891" s="1130"/>
      <c r="Y891" s="1130"/>
      <c r="Z891" s="1130"/>
    </row>
    <row r="892" spans="1:26" ht="15.75" customHeight="1">
      <c r="A892" s="1130"/>
      <c r="B892" s="1130"/>
      <c r="C892" s="1130"/>
      <c r="D892" s="1130"/>
      <c r="E892" s="1130"/>
      <c r="F892" s="1130"/>
      <c r="G892" s="1130"/>
      <c r="H892" s="1130"/>
      <c r="I892" s="1130"/>
      <c r="J892" s="1130"/>
      <c r="K892" s="1130"/>
      <c r="L892" s="1130"/>
      <c r="M892" s="1130"/>
      <c r="N892" s="1130"/>
      <c r="O892" s="1130"/>
      <c r="P892" s="1130"/>
      <c r="Q892" s="1130"/>
      <c r="R892" s="1130"/>
      <c r="S892" s="1130"/>
      <c r="T892" s="1130"/>
      <c r="U892" s="1130"/>
      <c r="V892" s="1130"/>
      <c r="W892" s="1130"/>
      <c r="X892" s="1130"/>
      <c r="Y892" s="1130"/>
      <c r="Z892" s="1130"/>
    </row>
    <row r="893" spans="1:26" ht="15.75" customHeight="1">
      <c r="A893" s="1130"/>
      <c r="B893" s="1130"/>
      <c r="C893" s="1130"/>
      <c r="D893" s="1130"/>
      <c r="E893" s="1130"/>
      <c r="F893" s="1130"/>
      <c r="G893" s="1130"/>
      <c r="H893" s="1130"/>
      <c r="I893" s="1130"/>
      <c r="J893" s="1130"/>
      <c r="K893" s="1130"/>
      <c r="L893" s="1130"/>
      <c r="M893" s="1130"/>
      <c r="N893" s="1130"/>
      <c r="O893" s="1130"/>
      <c r="P893" s="1130"/>
      <c r="Q893" s="1130"/>
      <c r="R893" s="1130"/>
      <c r="S893" s="1130"/>
      <c r="T893" s="1130"/>
      <c r="U893" s="1130"/>
      <c r="V893" s="1130"/>
      <c r="W893" s="1130"/>
      <c r="X893" s="1130"/>
      <c r="Y893" s="1130"/>
      <c r="Z893" s="1130"/>
    </row>
    <row r="894" spans="1:26" ht="15.75" customHeight="1">
      <c r="A894" s="1130"/>
      <c r="B894" s="1130"/>
      <c r="C894" s="1130"/>
      <c r="D894" s="1130"/>
      <c r="E894" s="1130"/>
      <c r="F894" s="1130"/>
      <c r="G894" s="1130"/>
      <c r="H894" s="1130"/>
      <c r="I894" s="1130"/>
      <c r="J894" s="1130"/>
      <c r="K894" s="1130"/>
      <c r="L894" s="1130"/>
      <c r="M894" s="1130"/>
      <c r="N894" s="1130"/>
      <c r="O894" s="1130"/>
      <c r="P894" s="1130"/>
      <c r="Q894" s="1130"/>
      <c r="R894" s="1130"/>
      <c r="S894" s="1130"/>
      <c r="T894" s="1130"/>
      <c r="U894" s="1130"/>
      <c r="V894" s="1130"/>
      <c r="W894" s="1130"/>
      <c r="X894" s="1130"/>
      <c r="Y894" s="1130"/>
      <c r="Z894" s="1130"/>
    </row>
    <row r="895" spans="1:26" ht="15.75" customHeight="1">
      <c r="A895" s="1130"/>
      <c r="B895" s="1130"/>
      <c r="C895" s="1130"/>
      <c r="D895" s="1130"/>
      <c r="E895" s="1130"/>
      <c r="F895" s="1130"/>
      <c r="G895" s="1130"/>
      <c r="H895" s="1130"/>
      <c r="I895" s="1130"/>
      <c r="J895" s="1130"/>
      <c r="K895" s="1130"/>
      <c r="L895" s="1130"/>
      <c r="M895" s="1130"/>
      <c r="N895" s="1130"/>
      <c r="O895" s="1130"/>
      <c r="P895" s="1130"/>
      <c r="Q895" s="1130"/>
      <c r="R895" s="1130"/>
      <c r="S895" s="1130"/>
      <c r="T895" s="1130"/>
      <c r="U895" s="1130"/>
      <c r="V895" s="1130"/>
      <c r="W895" s="1130"/>
      <c r="X895" s="1130"/>
      <c r="Y895" s="1130"/>
      <c r="Z895" s="1130"/>
    </row>
    <row r="896" spans="1:26" ht="15.75" customHeight="1">
      <c r="A896" s="1130"/>
      <c r="B896" s="1130"/>
      <c r="C896" s="1130"/>
      <c r="D896" s="1130"/>
      <c r="E896" s="1130"/>
      <c r="F896" s="1130"/>
      <c r="G896" s="1130"/>
      <c r="H896" s="1130"/>
      <c r="I896" s="1130"/>
      <c r="J896" s="1130"/>
      <c r="K896" s="1130"/>
      <c r="L896" s="1130"/>
      <c r="M896" s="1130"/>
      <c r="N896" s="1130"/>
      <c r="O896" s="1130"/>
      <c r="P896" s="1130"/>
      <c r="Q896" s="1130"/>
      <c r="R896" s="1130"/>
      <c r="S896" s="1130"/>
      <c r="T896" s="1130"/>
      <c r="U896" s="1130"/>
      <c r="V896" s="1130"/>
      <c r="W896" s="1130"/>
      <c r="X896" s="1130"/>
      <c r="Y896" s="1130"/>
      <c r="Z896" s="1130"/>
    </row>
    <row r="897" spans="1:26" ht="15.75" customHeight="1">
      <c r="A897" s="1130"/>
      <c r="B897" s="1130"/>
      <c r="C897" s="1130"/>
      <c r="D897" s="1130"/>
      <c r="E897" s="1130"/>
      <c r="F897" s="1130"/>
      <c r="G897" s="1130"/>
      <c r="H897" s="1130"/>
      <c r="I897" s="1130"/>
      <c r="J897" s="1130"/>
      <c r="K897" s="1130"/>
      <c r="L897" s="1130"/>
      <c r="M897" s="1130"/>
      <c r="N897" s="1130"/>
      <c r="O897" s="1130"/>
      <c r="P897" s="1130"/>
      <c r="Q897" s="1130"/>
      <c r="R897" s="1130"/>
      <c r="S897" s="1130"/>
      <c r="T897" s="1130"/>
      <c r="U897" s="1130"/>
      <c r="V897" s="1130"/>
      <c r="W897" s="1130"/>
      <c r="X897" s="1130"/>
      <c r="Y897" s="1130"/>
      <c r="Z897" s="1130"/>
    </row>
    <row r="898" spans="1:26" ht="15.75" customHeight="1">
      <c r="A898" s="1130"/>
      <c r="B898" s="1130"/>
      <c r="C898" s="1130"/>
      <c r="D898" s="1130"/>
      <c r="E898" s="1130"/>
      <c r="F898" s="1130"/>
      <c r="G898" s="1130"/>
      <c r="H898" s="1130"/>
      <c r="I898" s="1130"/>
      <c r="J898" s="1130"/>
      <c r="K898" s="1130"/>
      <c r="L898" s="1130"/>
      <c r="M898" s="1130"/>
      <c r="N898" s="1130"/>
      <c r="O898" s="1130"/>
      <c r="P898" s="1130"/>
      <c r="Q898" s="1130"/>
      <c r="R898" s="1130"/>
      <c r="S898" s="1130"/>
      <c r="T898" s="1130"/>
      <c r="U898" s="1130"/>
      <c r="V898" s="1130"/>
      <c r="W898" s="1130"/>
      <c r="X898" s="1130"/>
      <c r="Y898" s="1130"/>
      <c r="Z898" s="1130"/>
    </row>
    <row r="899" spans="1:26" ht="15.75" customHeight="1">
      <c r="A899" s="1130"/>
      <c r="B899" s="1130"/>
      <c r="C899" s="1130"/>
      <c r="D899" s="1130"/>
      <c r="E899" s="1130"/>
      <c r="F899" s="1130"/>
      <c r="G899" s="1130"/>
      <c r="H899" s="1130"/>
      <c r="I899" s="1130"/>
      <c r="J899" s="1130"/>
      <c r="K899" s="1130"/>
      <c r="L899" s="1130"/>
      <c r="M899" s="1130"/>
      <c r="N899" s="1130"/>
      <c r="O899" s="1130"/>
      <c r="P899" s="1130"/>
      <c r="Q899" s="1130"/>
      <c r="R899" s="1130"/>
      <c r="S899" s="1130"/>
      <c r="T899" s="1130"/>
      <c r="U899" s="1130"/>
      <c r="V899" s="1130"/>
      <c r="W899" s="1130"/>
      <c r="X899" s="1130"/>
      <c r="Y899" s="1130"/>
      <c r="Z899" s="1130"/>
    </row>
    <row r="900" spans="1:26" ht="15.75" customHeight="1">
      <c r="A900" s="1130"/>
      <c r="B900" s="1130"/>
      <c r="C900" s="1130"/>
      <c r="D900" s="1130"/>
      <c r="E900" s="1130"/>
      <c r="F900" s="1130"/>
      <c r="G900" s="1130"/>
      <c r="H900" s="1130"/>
      <c r="I900" s="1130"/>
      <c r="J900" s="1130"/>
      <c r="K900" s="1130"/>
      <c r="L900" s="1130"/>
      <c r="M900" s="1130"/>
      <c r="N900" s="1130"/>
      <c r="O900" s="1130"/>
      <c r="P900" s="1130"/>
      <c r="Q900" s="1130"/>
      <c r="R900" s="1130"/>
      <c r="S900" s="1130"/>
      <c r="T900" s="1130"/>
      <c r="U900" s="1130"/>
      <c r="V900" s="1130"/>
      <c r="W900" s="1130"/>
      <c r="X900" s="1130"/>
      <c r="Y900" s="1130"/>
      <c r="Z900" s="1130"/>
    </row>
    <row r="901" spans="1:26" ht="15.75" customHeight="1">
      <c r="A901" s="1130"/>
      <c r="B901" s="1130"/>
      <c r="C901" s="1130"/>
      <c r="D901" s="1130"/>
      <c r="E901" s="1130"/>
      <c r="F901" s="1130"/>
      <c r="G901" s="1130"/>
      <c r="H901" s="1130"/>
      <c r="I901" s="1130"/>
      <c r="J901" s="1130"/>
      <c r="K901" s="1130"/>
      <c r="L901" s="1130"/>
      <c r="M901" s="1130"/>
      <c r="N901" s="1130"/>
      <c r="O901" s="1130"/>
      <c r="P901" s="1130"/>
      <c r="Q901" s="1130"/>
      <c r="R901" s="1130"/>
      <c r="S901" s="1130"/>
      <c r="T901" s="1130"/>
      <c r="U901" s="1130"/>
      <c r="V901" s="1130"/>
      <c r="W901" s="1130"/>
      <c r="X901" s="1130"/>
      <c r="Y901" s="1130"/>
      <c r="Z901" s="1130"/>
    </row>
    <row r="902" spans="1:26" ht="15.75" customHeight="1">
      <c r="A902" s="1130"/>
      <c r="B902" s="1130"/>
      <c r="C902" s="1130"/>
      <c r="D902" s="1130"/>
      <c r="E902" s="1130"/>
      <c r="F902" s="1130"/>
      <c r="G902" s="1130"/>
      <c r="H902" s="1130"/>
      <c r="I902" s="1130"/>
      <c r="J902" s="1130"/>
      <c r="K902" s="1130"/>
      <c r="L902" s="1130"/>
      <c r="M902" s="1130"/>
      <c r="N902" s="1130"/>
      <c r="O902" s="1130"/>
      <c r="P902" s="1130"/>
      <c r="Q902" s="1130"/>
      <c r="R902" s="1130"/>
      <c r="S902" s="1130"/>
      <c r="T902" s="1130"/>
      <c r="U902" s="1130"/>
      <c r="V902" s="1130"/>
      <c r="W902" s="1130"/>
      <c r="X902" s="1130"/>
      <c r="Y902" s="1130"/>
      <c r="Z902" s="1130"/>
    </row>
    <row r="903" spans="1:26" ht="15.75" customHeight="1">
      <c r="A903" s="1130"/>
      <c r="B903" s="1130"/>
      <c r="C903" s="1130"/>
      <c r="D903" s="1130"/>
      <c r="E903" s="1130"/>
      <c r="F903" s="1130"/>
      <c r="G903" s="1130"/>
      <c r="H903" s="1130"/>
      <c r="I903" s="1130"/>
      <c r="J903" s="1130"/>
      <c r="K903" s="1130"/>
      <c r="L903" s="1130"/>
      <c r="M903" s="1130"/>
      <c r="N903" s="1130"/>
      <c r="O903" s="1130"/>
      <c r="P903" s="1130"/>
      <c r="Q903" s="1130"/>
      <c r="R903" s="1130"/>
      <c r="S903" s="1130"/>
      <c r="T903" s="1130"/>
      <c r="U903" s="1130"/>
      <c r="V903" s="1130"/>
      <c r="W903" s="1130"/>
      <c r="X903" s="1130"/>
      <c r="Y903" s="1130"/>
      <c r="Z903" s="1130"/>
    </row>
    <row r="904" spans="1:26" ht="15.75" customHeight="1">
      <c r="A904" s="1130"/>
      <c r="B904" s="1130"/>
      <c r="C904" s="1130"/>
      <c r="D904" s="1130"/>
      <c r="E904" s="1130"/>
      <c r="F904" s="1130"/>
      <c r="G904" s="1130"/>
      <c r="H904" s="1130"/>
      <c r="I904" s="1130"/>
      <c r="J904" s="1130"/>
      <c r="K904" s="1130"/>
      <c r="L904" s="1130"/>
      <c r="M904" s="1130"/>
      <c r="N904" s="1130"/>
      <c r="O904" s="1130"/>
      <c r="P904" s="1130"/>
      <c r="Q904" s="1130"/>
      <c r="R904" s="1130"/>
      <c r="S904" s="1130"/>
      <c r="T904" s="1130"/>
      <c r="U904" s="1130"/>
      <c r="V904" s="1130"/>
      <c r="W904" s="1130"/>
      <c r="X904" s="1130"/>
      <c r="Y904" s="1130"/>
      <c r="Z904" s="1130"/>
    </row>
    <row r="905" spans="1:26" ht="15.75" customHeight="1">
      <c r="A905" s="1130"/>
      <c r="B905" s="1130"/>
      <c r="C905" s="1130"/>
      <c r="D905" s="1130"/>
      <c r="E905" s="1130"/>
      <c r="F905" s="1130"/>
      <c r="G905" s="1130"/>
      <c r="H905" s="1130"/>
      <c r="I905" s="1130"/>
      <c r="J905" s="1130"/>
      <c r="K905" s="1130"/>
      <c r="L905" s="1130"/>
      <c r="M905" s="1130"/>
      <c r="N905" s="1130"/>
      <c r="O905" s="1130"/>
      <c r="P905" s="1130"/>
      <c r="Q905" s="1130"/>
      <c r="R905" s="1130"/>
      <c r="S905" s="1130"/>
      <c r="T905" s="1130"/>
      <c r="U905" s="1130"/>
      <c r="V905" s="1130"/>
      <c r="W905" s="1130"/>
      <c r="X905" s="1130"/>
      <c r="Y905" s="1130"/>
      <c r="Z905" s="1130"/>
    </row>
    <row r="906" spans="1:26" ht="15.75" customHeight="1">
      <c r="A906" s="1130"/>
      <c r="B906" s="1130"/>
      <c r="C906" s="1130"/>
      <c r="D906" s="1130"/>
      <c r="E906" s="1130"/>
      <c r="F906" s="1130"/>
      <c r="G906" s="1130"/>
      <c r="H906" s="1130"/>
      <c r="I906" s="1130"/>
      <c r="J906" s="1130"/>
      <c r="K906" s="1130"/>
      <c r="L906" s="1130"/>
      <c r="M906" s="1130"/>
      <c r="N906" s="1130"/>
      <c r="O906" s="1130"/>
      <c r="P906" s="1130"/>
      <c r="Q906" s="1130"/>
      <c r="R906" s="1130"/>
      <c r="S906" s="1130"/>
      <c r="T906" s="1130"/>
      <c r="U906" s="1130"/>
      <c r="V906" s="1130"/>
      <c r="W906" s="1130"/>
      <c r="X906" s="1130"/>
      <c r="Y906" s="1130"/>
      <c r="Z906" s="1130"/>
    </row>
    <row r="907" spans="1:26" ht="15.75" customHeight="1">
      <c r="A907" s="1130"/>
      <c r="B907" s="1130"/>
      <c r="C907" s="1130"/>
      <c r="D907" s="1130"/>
      <c r="E907" s="1130"/>
      <c r="F907" s="1130"/>
      <c r="G907" s="1130"/>
      <c r="H907" s="1130"/>
      <c r="I907" s="1130"/>
      <c r="J907" s="1130"/>
      <c r="K907" s="1130"/>
      <c r="L907" s="1130"/>
      <c r="M907" s="1130"/>
      <c r="N907" s="1130"/>
      <c r="O907" s="1130"/>
      <c r="P907" s="1130"/>
      <c r="Q907" s="1130"/>
      <c r="R907" s="1130"/>
      <c r="S907" s="1130"/>
      <c r="T907" s="1130"/>
      <c r="U907" s="1130"/>
      <c r="V907" s="1130"/>
      <c r="W907" s="1130"/>
      <c r="X907" s="1130"/>
      <c r="Y907" s="1130"/>
      <c r="Z907" s="1130"/>
    </row>
    <row r="908" spans="1:26" ht="15.75" customHeight="1">
      <c r="A908" s="1130"/>
      <c r="B908" s="1130"/>
      <c r="C908" s="1130"/>
      <c r="D908" s="1130"/>
      <c r="E908" s="1130"/>
      <c r="F908" s="1130"/>
      <c r="G908" s="1130"/>
      <c r="H908" s="1130"/>
      <c r="I908" s="1130"/>
      <c r="J908" s="1130"/>
      <c r="K908" s="1130"/>
      <c r="L908" s="1130"/>
      <c r="M908" s="1130"/>
      <c r="N908" s="1130"/>
      <c r="O908" s="1130"/>
      <c r="P908" s="1130"/>
      <c r="Q908" s="1130"/>
      <c r="R908" s="1130"/>
      <c r="S908" s="1130"/>
      <c r="T908" s="1130"/>
      <c r="U908" s="1130"/>
      <c r="V908" s="1130"/>
      <c r="W908" s="1130"/>
      <c r="X908" s="1130"/>
      <c r="Y908" s="1130"/>
      <c r="Z908" s="1130"/>
    </row>
    <row r="909" spans="1:26" ht="15.75" customHeight="1">
      <c r="A909" s="1130"/>
      <c r="B909" s="1130"/>
      <c r="C909" s="1130"/>
      <c r="D909" s="1130"/>
      <c r="E909" s="1130"/>
      <c r="F909" s="1130"/>
      <c r="G909" s="1130"/>
      <c r="H909" s="1130"/>
      <c r="I909" s="1130"/>
      <c r="J909" s="1130"/>
      <c r="K909" s="1130"/>
      <c r="L909" s="1130"/>
      <c r="M909" s="1130"/>
      <c r="N909" s="1130"/>
      <c r="O909" s="1130"/>
      <c r="P909" s="1130"/>
      <c r="Q909" s="1130"/>
      <c r="R909" s="1130"/>
      <c r="S909" s="1130"/>
      <c r="T909" s="1130"/>
      <c r="U909" s="1130"/>
      <c r="V909" s="1130"/>
      <c r="W909" s="1130"/>
      <c r="X909" s="1130"/>
      <c r="Y909" s="1130"/>
      <c r="Z909" s="1130"/>
    </row>
    <row r="910" spans="1:26" ht="15.75" customHeight="1">
      <c r="A910" s="1130"/>
      <c r="B910" s="1130"/>
      <c r="C910" s="1130"/>
      <c r="D910" s="1130"/>
      <c r="E910" s="1130"/>
      <c r="F910" s="1130"/>
      <c r="G910" s="1130"/>
      <c r="H910" s="1130"/>
      <c r="I910" s="1130"/>
      <c r="J910" s="1130"/>
      <c r="K910" s="1130"/>
      <c r="L910" s="1130"/>
      <c r="M910" s="1130"/>
      <c r="N910" s="1130"/>
      <c r="O910" s="1130"/>
      <c r="P910" s="1130"/>
      <c r="Q910" s="1130"/>
      <c r="R910" s="1130"/>
      <c r="S910" s="1130"/>
      <c r="T910" s="1130"/>
      <c r="U910" s="1130"/>
      <c r="V910" s="1130"/>
      <c r="W910" s="1130"/>
      <c r="X910" s="1130"/>
      <c r="Y910" s="1130"/>
      <c r="Z910" s="1130"/>
    </row>
    <row r="911" spans="1:26" ht="15.75" customHeight="1">
      <c r="A911" s="1130"/>
      <c r="B911" s="1130"/>
      <c r="C911" s="1130"/>
      <c r="D911" s="1130"/>
      <c r="E911" s="1130"/>
      <c r="F911" s="1130"/>
      <c r="G911" s="1130"/>
      <c r="H911" s="1130"/>
      <c r="I911" s="1130"/>
      <c r="J911" s="1130"/>
      <c r="K911" s="1130"/>
      <c r="L911" s="1130"/>
      <c r="M911" s="1130"/>
      <c r="N911" s="1130"/>
      <c r="O911" s="1130"/>
      <c r="P911" s="1130"/>
      <c r="Q911" s="1130"/>
      <c r="R911" s="1130"/>
      <c r="S911" s="1130"/>
      <c r="T911" s="1130"/>
      <c r="U911" s="1130"/>
      <c r="V911" s="1130"/>
      <c r="W911" s="1130"/>
      <c r="X911" s="1130"/>
      <c r="Y911" s="1130"/>
      <c r="Z911" s="1130"/>
    </row>
    <row r="912" spans="1:26" ht="15.75" customHeight="1">
      <c r="A912" s="1130"/>
      <c r="B912" s="1130"/>
      <c r="C912" s="1130"/>
      <c r="D912" s="1130"/>
      <c r="E912" s="1130"/>
      <c r="F912" s="1130"/>
      <c r="G912" s="1130"/>
      <c r="H912" s="1130"/>
      <c r="I912" s="1130"/>
      <c r="J912" s="1130"/>
      <c r="K912" s="1130"/>
      <c r="L912" s="1130"/>
      <c r="M912" s="1130"/>
      <c r="N912" s="1130"/>
      <c r="O912" s="1130"/>
      <c r="P912" s="1130"/>
      <c r="Q912" s="1130"/>
      <c r="R912" s="1130"/>
      <c r="S912" s="1130"/>
      <c r="T912" s="1130"/>
      <c r="U912" s="1130"/>
      <c r="V912" s="1130"/>
      <c r="W912" s="1130"/>
      <c r="X912" s="1130"/>
      <c r="Y912" s="1130"/>
      <c r="Z912" s="1130"/>
    </row>
    <row r="913" spans="1:26" ht="15.75" customHeight="1">
      <c r="A913" s="1130"/>
      <c r="B913" s="1130"/>
      <c r="C913" s="1130"/>
      <c r="D913" s="1130"/>
      <c r="E913" s="1130"/>
      <c r="F913" s="1130"/>
      <c r="G913" s="1130"/>
      <c r="H913" s="1130"/>
      <c r="I913" s="1130"/>
      <c r="J913" s="1130"/>
      <c r="K913" s="1130"/>
      <c r="L913" s="1130"/>
      <c r="M913" s="1130"/>
      <c r="N913" s="1130"/>
      <c r="O913" s="1130"/>
      <c r="P913" s="1130"/>
      <c r="Q913" s="1130"/>
      <c r="R913" s="1130"/>
      <c r="S913" s="1130"/>
      <c r="T913" s="1130"/>
      <c r="U913" s="1130"/>
      <c r="V913" s="1130"/>
      <c r="W913" s="1130"/>
      <c r="X913" s="1130"/>
      <c r="Y913" s="1130"/>
      <c r="Z913" s="1130"/>
    </row>
    <row r="914" spans="1:26" ht="15.75" customHeight="1">
      <c r="A914" s="1130"/>
      <c r="B914" s="1130"/>
      <c r="C914" s="1130"/>
      <c r="D914" s="1130"/>
      <c r="E914" s="1130"/>
      <c r="F914" s="1130"/>
      <c r="G914" s="1130"/>
      <c r="H914" s="1130"/>
      <c r="I914" s="1130"/>
      <c r="J914" s="1130"/>
      <c r="K914" s="1130"/>
      <c r="L914" s="1130"/>
      <c r="M914" s="1130"/>
      <c r="N914" s="1130"/>
      <c r="O914" s="1130"/>
      <c r="P914" s="1130"/>
      <c r="Q914" s="1130"/>
      <c r="R914" s="1130"/>
      <c r="S914" s="1130"/>
      <c r="T914" s="1130"/>
      <c r="U914" s="1130"/>
      <c r="V914" s="1130"/>
      <c r="W914" s="1130"/>
      <c r="X914" s="1130"/>
      <c r="Y914" s="1130"/>
      <c r="Z914" s="1130"/>
    </row>
    <row r="915" spans="1:26" ht="15.75" customHeight="1">
      <c r="A915" s="1130"/>
      <c r="B915" s="1130"/>
      <c r="C915" s="1130"/>
      <c r="D915" s="1130"/>
      <c r="E915" s="1130"/>
      <c r="F915" s="1130"/>
      <c r="G915" s="1130"/>
      <c r="H915" s="1130"/>
      <c r="I915" s="1130"/>
      <c r="J915" s="1130"/>
      <c r="K915" s="1130"/>
      <c r="L915" s="1130"/>
      <c r="M915" s="1130"/>
      <c r="N915" s="1130"/>
      <c r="O915" s="1130"/>
      <c r="P915" s="1130"/>
      <c r="Q915" s="1130"/>
      <c r="R915" s="1130"/>
      <c r="S915" s="1130"/>
      <c r="T915" s="1130"/>
      <c r="U915" s="1130"/>
      <c r="V915" s="1130"/>
      <c r="W915" s="1130"/>
      <c r="X915" s="1130"/>
      <c r="Y915" s="1130"/>
      <c r="Z915" s="1130"/>
    </row>
    <row r="916" spans="1:26" ht="15.75" customHeight="1">
      <c r="A916" s="1130"/>
      <c r="B916" s="1130"/>
      <c r="C916" s="1130"/>
      <c r="D916" s="1130"/>
      <c r="E916" s="1130"/>
      <c r="F916" s="1130"/>
      <c r="G916" s="1130"/>
      <c r="H916" s="1130"/>
      <c r="I916" s="1130"/>
      <c r="J916" s="1130"/>
      <c r="K916" s="1130"/>
      <c r="L916" s="1130"/>
      <c r="M916" s="1130"/>
      <c r="N916" s="1130"/>
      <c r="O916" s="1130"/>
      <c r="P916" s="1130"/>
      <c r="Q916" s="1130"/>
      <c r="R916" s="1130"/>
      <c r="S916" s="1130"/>
      <c r="T916" s="1130"/>
      <c r="U916" s="1130"/>
      <c r="V916" s="1130"/>
      <c r="W916" s="1130"/>
      <c r="X916" s="1130"/>
      <c r="Y916" s="1130"/>
      <c r="Z916" s="1130"/>
    </row>
    <row r="917" spans="1:26" ht="15.75" customHeight="1">
      <c r="A917" s="1130"/>
      <c r="B917" s="1130"/>
      <c r="C917" s="1130"/>
      <c r="D917" s="1130"/>
      <c r="E917" s="1130"/>
      <c r="F917" s="1130"/>
      <c r="G917" s="1130"/>
      <c r="H917" s="1130"/>
      <c r="I917" s="1130"/>
      <c r="J917" s="1130"/>
      <c r="K917" s="1130"/>
      <c r="L917" s="1130"/>
      <c r="M917" s="1130"/>
      <c r="N917" s="1130"/>
      <c r="O917" s="1130"/>
      <c r="P917" s="1130"/>
      <c r="Q917" s="1130"/>
      <c r="R917" s="1130"/>
      <c r="S917" s="1130"/>
      <c r="T917" s="1130"/>
      <c r="U917" s="1130"/>
      <c r="V917" s="1130"/>
      <c r="W917" s="1130"/>
      <c r="X917" s="1130"/>
      <c r="Y917" s="1130"/>
      <c r="Z917" s="1130"/>
    </row>
    <row r="918" spans="1:26" ht="15.75" customHeight="1">
      <c r="A918" s="1130"/>
      <c r="B918" s="1130"/>
      <c r="C918" s="1130"/>
      <c r="D918" s="1130"/>
      <c r="E918" s="1130"/>
      <c r="F918" s="1130"/>
      <c r="G918" s="1130"/>
      <c r="H918" s="1130"/>
      <c r="I918" s="1130"/>
      <c r="J918" s="1130"/>
      <c r="K918" s="1130"/>
      <c r="L918" s="1130"/>
      <c r="M918" s="1130"/>
      <c r="N918" s="1130"/>
      <c r="O918" s="1130"/>
      <c r="P918" s="1130"/>
      <c r="Q918" s="1130"/>
      <c r="R918" s="1130"/>
      <c r="S918" s="1130"/>
      <c r="T918" s="1130"/>
      <c r="U918" s="1130"/>
      <c r="V918" s="1130"/>
      <c r="W918" s="1130"/>
      <c r="X918" s="1130"/>
      <c r="Y918" s="1130"/>
      <c r="Z918" s="1130"/>
    </row>
    <row r="919" spans="1:26" ht="15.75" customHeight="1">
      <c r="A919" s="1130"/>
      <c r="B919" s="1130"/>
      <c r="C919" s="1130"/>
      <c r="D919" s="1130"/>
      <c r="E919" s="1130"/>
      <c r="F919" s="1130"/>
      <c r="G919" s="1130"/>
      <c r="H919" s="1130"/>
      <c r="I919" s="1130"/>
      <c r="J919" s="1130"/>
      <c r="K919" s="1130"/>
      <c r="L919" s="1130"/>
      <c r="M919" s="1130"/>
      <c r="N919" s="1130"/>
      <c r="O919" s="1130"/>
      <c r="P919" s="1130"/>
      <c r="Q919" s="1130"/>
      <c r="R919" s="1130"/>
      <c r="S919" s="1130"/>
      <c r="T919" s="1130"/>
      <c r="U919" s="1130"/>
      <c r="V919" s="1130"/>
      <c r="W919" s="1130"/>
      <c r="X919" s="1130"/>
      <c r="Y919" s="1130"/>
      <c r="Z919" s="1130"/>
    </row>
    <row r="920" spans="1:26" ht="15.75" customHeight="1">
      <c r="A920" s="1130"/>
      <c r="B920" s="1130"/>
      <c r="C920" s="1130"/>
      <c r="D920" s="1130"/>
      <c r="E920" s="1130"/>
      <c r="F920" s="1130"/>
      <c r="G920" s="1130"/>
      <c r="H920" s="1130"/>
      <c r="I920" s="1130"/>
      <c r="J920" s="1130"/>
      <c r="K920" s="1130"/>
      <c r="L920" s="1130"/>
      <c r="M920" s="1130"/>
      <c r="N920" s="1130"/>
      <c r="O920" s="1130"/>
      <c r="P920" s="1130"/>
      <c r="Q920" s="1130"/>
      <c r="R920" s="1130"/>
      <c r="S920" s="1130"/>
      <c r="T920" s="1130"/>
      <c r="U920" s="1130"/>
      <c r="V920" s="1130"/>
      <c r="W920" s="1130"/>
      <c r="X920" s="1130"/>
      <c r="Y920" s="1130"/>
      <c r="Z920" s="1130"/>
    </row>
    <row r="921" spans="1:26" ht="15.75" customHeight="1">
      <c r="A921" s="1130"/>
      <c r="B921" s="1130"/>
      <c r="C921" s="1130"/>
      <c r="D921" s="1130"/>
      <c r="E921" s="1130"/>
      <c r="F921" s="1130"/>
      <c r="G921" s="1130"/>
      <c r="H921" s="1130"/>
      <c r="I921" s="1130"/>
      <c r="J921" s="1130"/>
      <c r="K921" s="1130"/>
      <c r="L921" s="1130"/>
      <c r="M921" s="1130"/>
      <c r="N921" s="1130"/>
      <c r="O921" s="1130"/>
      <c r="P921" s="1130"/>
      <c r="Q921" s="1130"/>
      <c r="R921" s="1130"/>
      <c r="S921" s="1130"/>
      <c r="T921" s="1130"/>
      <c r="U921" s="1130"/>
      <c r="V921" s="1130"/>
      <c r="W921" s="1130"/>
      <c r="X921" s="1130"/>
      <c r="Y921" s="1130"/>
      <c r="Z921" s="1130"/>
    </row>
    <row r="922" spans="1:26" ht="15.75" customHeight="1">
      <c r="A922" s="1130"/>
      <c r="B922" s="1130"/>
      <c r="C922" s="1130"/>
      <c r="D922" s="1130"/>
      <c r="E922" s="1130"/>
      <c r="F922" s="1130"/>
      <c r="G922" s="1130"/>
      <c r="H922" s="1130"/>
      <c r="I922" s="1130"/>
      <c r="J922" s="1130"/>
      <c r="K922" s="1130"/>
      <c r="L922" s="1130"/>
      <c r="M922" s="1130"/>
      <c r="N922" s="1130"/>
      <c r="O922" s="1130"/>
      <c r="P922" s="1130"/>
      <c r="Q922" s="1130"/>
      <c r="R922" s="1130"/>
      <c r="S922" s="1130"/>
      <c r="T922" s="1130"/>
      <c r="U922" s="1130"/>
      <c r="V922" s="1130"/>
      <c r="W922" s="1130"/>
      <c r="X922" s="1130"/>
      <c r="Y922" s="1130"/>
      <c r="Z922" s="1130"/>
    </row>
    <row r="923" spans="1:26" ht="15.75" customHeight="1">
      <c r="A923" s="1130"/>
      <c r="B923" s="1130"/>
      <c r="C923" s="1130"/>
      <c r="D923" s="1130"/>
      <c r="E923" s="1130"/>
      <c r="F923" s="1130"/>
      <c r="G923" s="1130"/>
      <c r="H923" s="1130"/>
      <c r="I923" s="1130"/>
      <c r="J923" s="1130"/>
      <c r="K923" s="1130"/>
      <c r="L923" s="1130"/>
      <c r="M923" s="1130"/>
      <c r="N923" s="1130"/>
      <c r="O923" s="1130"/>
      <c r="P923" s="1130"/>
      <c r="Q923" s="1130"/>
      <c r="R923" s="1130"/>
      <c r="S923" s="1130"/>
      <c r="T923" s="1130"/>
      <c r="U923" s="1130"/>
      <c r="V923" s="1130"/>
      <c r="W923" s="1130"/>
      <c r="X923" s="1130"/>
      <c r="Y923" s="1130"/>
      <c r="Z923" s="1130"/>
    </row>
    <row r="924" spans="1:26" ht="15.75" customHeight="1">
      <c r="A924" s="1130"/>
      <c r="B924" s="1130"/>
      <c r="C924" s="1130"/>
      <c r="D924" s="1130"/>
      <c r="E924" s="1130"/>
      <c r="F924" s="1130"/>
      <c r="G924" s="1130"/>
      <c r="H924" s="1130"/>
      <c r="I924" s="1130"/>
      <c r="J924" s="1130"/>
      <c r="K924" s="1130"/>
      <c r="L924" s="1130"/>
      <c r="M924" s="1130"/>
      <c r="N924" s="1130"/>
      <c r="O924" s="1130"/>
      <c r="P924" s="1130"/>
      <c r="Q924" s="1130"/>
      <c r="R924" s="1130"/>
      <c r="S924" s="1130"/>
      <c r="T924" s="1130"/>
      <c r="U924" s="1130"/>
      <c r="V924" s="1130"/>
      <c r="W924" s="1130"/>
      <c r="X924" s="1130"/>
      <c r="Y924" s="1130"/>
      <c r="Z924" s="1130"/>
    </row>
    <row r="925" spans="1:26" ht="15.75" customHeight="1">
      <c r="A925" s="1130"/>
      <c r="B925" s="1130"/>
      <c r="C925" s="1130"/>
      <c r="D925" s="1130"/>
      <c r="E925" s="1130"/>
      <c r="F925" s="1130"/>
      <c r="G925" s="1130"/>
      <c r="H925" s="1130"/>
      <c r="I925" s="1130"/>
      <c r="J925" s="1130"/>
      <c r="K925" s="1130"/>
      <c r="L925" s="1130"/>
      <c r="M925" s="1130"/>
      <c r="N925" s="1130"/>
      <c r="O925" s="1130"/>
      <c r="P925" s="1130"/>
      <c r="Q925" s="1130"/>
      <c r="R925" s="1130"/>
      <c r="S925" s="1130"/>
      <c r="T925" s="1130"/>
      <c r="U925" s="1130"/>
      <c r="V925" s="1130"/>
      <c r="W925" s="1130"/>
      <c r="X925" s="1130"/>
      <c r="Y925" s="1130"/>
      <c r="Z925" s="1130"/>
    </row>
    <row r="926" spans="1:26" ht="15.75" customHeight="1">
      <c r="A926" s="1130"/>
      <c r="B926" s="1130"/>
      <c r="C926" s="1130"/>
      <c r="D926" s="1130"/>
      <c r="E926" s="1130"/>
      <c r="F926" s="1130"/>
      <c r="G926" s="1130"/>
      <c r="H926" s="1130"/>
      <c r="I926" s="1130"/>
      <c r="J926" s="1130"/>
      <c r="K926" s="1130"/>
      <c r="L926" s="1130"/>
      <c r="M926" s="1130"/>
      <c r="N926" s="1130"/>
      <c r="O926" s="1130"/>
      <c r="P926" s="1130"/>
      <c r="Q926" s="1130"/>
      <c r="R926" s="1130"/>
      <c r="S926" s="1130"/>
      <c r="T926" s="1130"/>
      <c r="U926" s="1130"/>
      <c r="V926" s="1130"/>
      <c r="W926" s="1130"/>
      <c r="X926" s="1130"/>
      <c r="Y926" s="1130"/>
      <c r="Z926" s="1130"/>
    </row>
    <row r="927" spans="1:26" ht="15.75" customHeight="1">
      <c r="A927" s="1130"/>
      <c r="B927" s="1130"/>
      <c r="C927" s="1130"/>
      <c r="D927" s="1130"/>
      <c r="E927" s="1130"/>
      <c r="F927" s="1130"/>
      <c r="G927" s="1130"/>
      <c r="H927" s="1130"/>
      <c r="I927" s="1130"/>
      <c r="J927" s="1130"/>
      <c r="K927" s="1130"/>
      <c r="L927" s="1130"/>
      <c r="M927" s="1130"/>
      <c r="N927" s="1130"/>
      <c r="O927" s="1130"/>
      <c r="P927" s="1130"/>
      <c r="Q927" s="1130"/>
      <c r="R927" s="1130"/>
      <c r="S927" s="1130"/>
      <c r="T927" s="1130"/>
      <c r="U927" s="1130"/>
      <c r="V927" s="1130"/>
      <c r="W927" s="1130"/>
      <c r="X927" s="1130"/>
      <c r="Y927" s="1130"/>
      <c r="Z927" s="1130"/>
    </row>
    <row r="928" spans="1:26" ht="15.75" customHeight="1">
      <c r="A928" s="1130"/>
      <c r="B928" s="1130"/>
      <c r="C928" s="1130"/>
      <c r="D928" s="1130"/>
      <c r="E928" s="1130"/>
      <c r="F928" s="1130"/>
      <c r="G928" s="1130"/>
      <c r="H928" s="1130"/>
      <c r="I928" s="1130"/>
      <c r="J928" s="1130"/>
      <c r="K928" s="1130"/>
      <c r="L928" s="1130"/>
      <c r="M928" s="1130"/>
      <c r="N928" s="1130"/>
      <c r="O928" s="1130"/>
      <c r="P928" s="1130"/>
      <c r="Q928" s="1130"/>
      <c r="R928" s="1130"/>
      <c r="S928" s="1130"/>
      <c r="T928" s="1130"/>
      <c r="U928" s="1130"/>
      <c r="V928" s="1130"/>
      <c r="W928" s="1130"/>
      <c r="X928" s="1130"/>
      <c r="Y928" s="1130"/>
      <c r="Z928" s="1130"/>
    </row>
    <row r="929" spans="1:26" ht="15.75" customHeight="1">
      <c r="A929" s="1130"/>
      <c r="B929" s="1130"/>
      <c r="C929" s="1130"/>
      <c r="D929" s="1130"/>
      <c r="E929" s="1130"/>
      <c r="F929" s="1130"/>
      <c r="G929" s="1130"/>
      <c r="H929" s="1130"/>
      <c r="I929" s="1130"/>
      <c r="J929" s="1130"/>
      <c r="K929" s="1130"/>
      <c r="L929" s="1130"/>
      <c r="M929" s="1130"/>
      <c r="N929" s="1130"/>
      <c r="O929" s="1130"/>
      <c r="P929" s="1130"/>
      <c r="Q929" s="1130"/>
      <c r="R929" s="1130"/>
      <c r="S929" s="1130"/>
      <c r="T929" s="1130"/>
      <c r="U929" s="1130"/>
      <c r="V929" s="1130"/>
      <c r="W929" s="1130"/>
      <c r="X929" s="1130"/>
      <c r="Y929" s="1130"/>
      <c r="Z929" s="1130"/>
    </row>
    <row r="930" spans="1:26" ht="15.75" customHeight="1">
      <c r="A930" s="1130"/>
      <c r="B930" s="1130"/>
      <c r="C930" s="1130"/>
      <c r="D930" s="1130"/>
      <c r="E930" s="1130"/>
      <c r="F930" s="1130"/>
      <c r="G930" s="1130"/>
      <c r="H930" s="1130"/>
      <c r="I930" s="1130"/>
      <c r="J930" s="1130"/>
      <c r="K930" s="1130"/>
      <c r="L930" s="1130"/>
      <c r="M930" s="1130"/>
      <c r="N930" s="1130"/>
      <c r="O930" s="1130"/>
      <c r="P930" s="1130"/>
      <c r="Q930" s="1130"/>
      <c r="R930" s="1130"/>
      <c r="S930" s="1130"/>
      <c r="T930" s="1130"/>
      <c r="U930" s="1130"/>
      <c r="V930" s="1130"/>
      <c r="W930" s="1130"/>
      <c r="X930" s="1130"/>
      <c r="Y930" s="1130"/>
      <c r="Z930" s="1130"/>
    </row>
    <row r="931" spans="1:26" ht="15.75" customHeight="1">
      <c r="A931" s="1130"/>
      <c r="B931" s="1130"/>
      <c r="C931" s="1130"/>
      <c r="D931" s="1130"/>
      <c r="E931" s="1130"/>
      <c r="F931" s="1130"/>
      <c r="G931" s="1130"/>
      <c r="H931" s="1130"/>
      <c r="I931" s="1130"/>
      <c r="J931" s="1130"/>
      <c r="K931" s="1130"/>
      <c r="L931" s="1130"/>
      <c r="M931" s="1130"/>
      <c r="N931" s="1130"/>
      <c r="O931" s="1130"/>
      <c r="P931" s="1130"/>
      <c r="Q931" s="1130"/>
      <c r="R931" s="1130"/>
      <c r="S931" s="1130"/>
      <c r="T931" s="1130"/>
      <c r="U931" s="1130"/>
      <c r="V931" s="1130"/>
      <c r="W931" s="1130"/>
      <c r="X931" s="1130"/>
      <c r="Y931" s="1130"/>
      <c r="Z931" s="1130"/>
    </row>
    <row r="932" spans="1:26" ht="15.75" customHeight="1">
      <c r="A932" s="1130"/>
      <c r="B932" s="1130"/>
      <c r="C932" s="1130"/>
      <c r="D932" s="1130"/>
      <c r="E932" s="1130"/>
      <c r="F932" s="1130"/>
      <c r="G932" s="1130"/>
      <c r="H932" s="1130"/>
      <c r="I932" s="1130"/>
      <c r="J932" s="1130"/>
      <c r="K932" s="1130"/>
      <c r="L932" s="1130"/>
      <c r="M932" s="1130"/>
      <c r="N932" s="1130"/>
      <c r="O932" s="1130"/>
      <c r="P932" s="1130"/>
      <c r="Q932" s="1130"/>
      <c r="R932" s="1130"/>
      <c r="S932" s="1130"/>
      <c r="T932" s="1130"/>
      <c r="U932" s="1130"/>
      <c r="V932" s="1130"/>
      <c r="W932" s="1130"/>
      <c r="X932" s="1130"/>
      <c r="Y932" s="1130"/>
      <c r="Z932" s="1130"/>
    </row>
    <row r="933" spans="1:26" ht="15.75" customHeight="1">
      <c r="A933" s="1130"/>
      <c r="B933" s="1130"/>
      <c r="C933" s="1130"/>
      <c r="D933" s="1130"/>
      <c r="E933" s="1130"/>
      <c r="F933" s="1130"/>
      <c r="G933" s="1130"/>
      <c r="H933" s="1130"/>
      <c r="I933" s="1130"/>
      <c r="J933" s="1130"/>
      <c r="K933" s="1130"/>
      <c r="L933" s="1130"/>
      <c r="M933" s="1130"/>
      <c r="N933" s="1130"/>
      <c r="O933" s="1130"/>
      <c r="P933" s="1130"/>
      <c r="Q933" s="1130"/>
      <c r="R933" s="1130"/>
      <c r="S933" s="1130"/>
      <c r="T933" s="1130"/>
      <c r="U933" s="1130"/>
      <c r="V933" s="1130"/>
      <c r="W933" s="1130"/>
      <c r="X933" s="1130"/>
      <c r="Y933" s="1130"/>
      <c r="Z933" s="1130"/>
    </row>
    <row r="934" spans="1:26" ht="15.75" customHeight="1">
      <c r="A934" s="1130"/>
      <c r="B934" s="1130"/>
      <c r="C934" s="1130"/>
      <c r="D934" s="1130"/>
      <c r="E934" s="1130"/>
      <c r="F934" s="1130"/>
      <c r="G934" s="1130"/>
      <c r="H934" s="1130"/>
      <c r="I934" s="1130"/>
      <c r="J934" s="1130"/>
      <c r="K934" s="1130"/>
      <c r="L934" s="1130"/>
      <c r="M934" s="1130"/>
      <c r="N934" s="1130"/>
      <c r="O934" s="1130"/>
      <c r="P934" s="1130"/>
      <c r="Q934" s="1130"/>
      <c r="R934" s="1130"/>
      <c r="S934" s="1130"/>
      <c r="T934" s="1130"/>
      <c r="U934" s="1130"/>
      <c r="V934" s="1130"/>
      <c r="W934" s="1130"/>
      <c r="X934" s="1130"/>
      <c r="Y934" s="1130"/>
      <c r="Z934" s="1130"/>
    </row>
    <row r="935" spans="1:26" ht="15.75" customHeight="1">
      <c r="A935" s="1130"/>
      <c r="B935" s="1130"/>
      <c r="C935" s="1130"/>
      <c r="D935" s="1130"/>
      <c r="E935" s="1130"/>
      <c r="F935" s="1130"/>
      <c r="G935" s="1130"/>
      <c r="H935" s="1130"/>
      <c r="I935" s="1130"/>
      <c r="J935" s="1130"/>
      <c r="K935" s="1130"/>
      <c r="L935" s="1130"/>
      <c r="M935" s="1130"/>
      <c r="N935" s="1130"/>
      <c r="O935" s="1130"/>
      <c r="P935" s="1130"/>
      <c r="Q935" s="1130"/>
      <c r="R935" s="1130"/>
      <c r="S935" s="1130"/>
      <c r="T935" s="1130"/>
      <c r="U935" s="1130"/>
      <c r="V935" s="1130"/>
      <c r="W935" s="1130"/>
      <c r="X935" s="1130"/>
      <c r="Y935" s="1130"/>
      <c r="Z935" s="1130"/>
    </row>
    <row r="936" spans="1:26" ht="15.75" customHeight="1">
      <c r="A936" s="1130"/>
      <c r="B936" s="1130"/>
      <c r="C936" s="1130"/>
      <c r="D936" s="1130"/>
      <c r="E936" s="1130"/>
      <c r="F936" s="1130"/>
      <c r="G936" s="1130"/>
      <c r="H936" s="1130"/>
      <c r="I936" s="1130"/>
      <c r="J936" s="1130"/>
      <c r="K936" s="1130"/>
      <c r="L936" s="1130"/>
      <c r="M936" s="1130"/>
      <c r="N936" s="1130"/>
      <c r="O936" s="1130"/>
      <c r="P936" s="1130"/>
      <c r="Q936" s="1130"/>
      <c r="R936" s="1130"/>
      <c r="S936" s="1130"/>
      <c r="T936" s="1130"/>
      <c r="U936" s="1130"/>
      <c r="V936" s="1130"/>
      <c r="W936" s="1130"/>
      <c r="X936" s="1130"/>
      <c r="Y936" s="1130"/>
      <c r="Z936" s="1130"/>
    </row>
    <row r="937" spans="1:26" ht="15.75" customHeight="1">
      <c r="A937" s="1130"/>
      <c r="B937" s="1130"/>
      <c r="C937" s="1130"/>
      <c r="D937" s="1130"/>
      <c r="E937" s="1130"/>
      <c r="F937" s="1130"/>
      <c r="G937" s="1130"/>
      <c r="H937" s="1130"/>
      <c r="I937" s="1130"/>
      <c r="J937" s="1130"/>
      <c r="K937" s="1130"/>
      <c r="L937" s="1130"/>
      <c r="M937" s="1130"/>
      <c r="N937" s="1130"/>
      <c r="O937" s="1130"/>
      <c r="P937" s="1130"/>
      <c r="Q937" s="1130"/>
      <c r="R937" s="1130"/>
      <c r="S937" s="1130"/>
      <c r="T937" s="1130"/>
      <c r="U937" s="1130"/>
      <c r="V937" s="1130"/>
      <c r="W937" s="1130"/>
      <c r="X937" s="1130"/>
      <c r="Y937" s="1130"/>
      <c r="Z937" s="1130"/>
    </row>
    <row r="938" spans="1:26" ht="15.75" customHeight="1">
      <c r="A938" s="1130"/>
      <c r="B938" s="1130"/>
      <c r="C938" s="1130"/>
      <c r="D938" s="1130"/>
      <c r="E938" s="1130"/>
      <c r="F938" s="1130"/>
      <c r="G938" s="1130"/>
      <c r="H938" s="1130"/>
      <c r="I938" s="1130"/>
      <c r="J938" s="1130"/>
      <c r="K938" s="1130"/>
      <c r="L938" s="1130"/>
      <c r="M938" s="1130"/>
      <c r="N938" s="1130"/>
      <c r="O938" s="1130"/>
      <c r="P938" s="1130"/>
      <c r="Q938" s="1130"/>
      <c r="R938" s="1130"/>
      <c r="S938" s="1130"/>
      <c r="T938" s="1130"/>
      <c r="U938" s="1130"/>
      <c r="V938" s="1130"/>
      <c r="W938" s="1130"/>
      <c r="X938" s="1130"/>
      <c r="Y938" s="1130"/>
      <c r="Z938" s="1130"/>
    </row>
    <row r="939" spans="1:26" ht="15.75" customHeight="1">
      <c r="A939" s="1130"/>
      <c r="B939" s="1130"/>
      <c r="C939" s="1130"/>
      <c r="D939" s="1130"/>
      <c r="E939" s="1130"/>
      <c r="F939" s="1130"/>
      <c r="G939" s="1130"/>
      <c r="H939" s="1130"/>
      <c r="I939" s="1130"/>
      <c r="J939" s="1130"/>
      <c r="K939" s="1130"/>
      <c r="L939" s="1130"/>
      <c r="M939" s="1130"/>
      <c r="N939" s="1130"/>
      <c r="O939" s="1130"/>
      <c r="P939" s="1130"/>
      <c r="Q939" s="1130"/>
      <c r="R939" s="1130"/>
      <c r="S939" s="1130"/>
      <c r="T939" s="1130"/>
      <c r="U939" s="1130"/>
      <c r="V939" s="1130"/>
      <c r="W939" s="1130"/>
      <c r="X939" s="1130"/>
      <c r="Y939" s="1130"/>
      <c r="Z939" s="1130"/>
    </row>
    <row r="940" spans="1:26" ht="15.75" customHeight="1">
      <c r="A940" s="1130"/>
      <c r="B940" s="1130"/>
      <c r="C940" s="1130"/>
      <c r="D940" s="1130"/>
      <c r="E940" s="1130"/>
      <c r="F940" s="1130"/>
      <c r="G940" s="1130"/>
      <c r="H940" s="1130"/>
      <c r="I940" s="1130"/>
      <c r="J940" s="1130"/>
      <c r="K940" s="1130"/>
      <c r="L940" s="1130"/>
      <c r="M940" s="1130"/>
      <c r="N940" s="1130"/>
      <c r="O940" s="1130"/>
      <c r="P940" s="1130"/>
      <c r="Q940" s="1130"/>
      <c r="R940" s="1130"/>
      <c r="S940" s="1130"/>
      <c r="T940" s="1130"/>
      <c r="U940" s="1130"/>
      <c r="V940" s="1130"/>
      <c r="W940" s="1130"/>
      <c r="X940" s="1130"/>
      <c r="Y940" s="1130"/>
      <c r="Z940" s="1130"/>
    </row>
    <row r="941" spans="1:26" ht="15.75" customHeight="1">
      <c r="A941" s="1130"/>
      <c r="B941" s="1130"/>
      <c r="C941" s="1130"/>
      <c r="D941" s="1130"/>
      <c r="E941" s="1130"/>
      <c r="F941" s="1130"/>
      <c r="G941" s="1130"/>
      <c r="H941" s="1130"/>
      <c r="I941" s="1130"/>
      <c r="J941" s="1130"/>
      <c r="K941" s="1130"/>
      <c r="L941" s="1130"/>
      <c r="M941" s="1130"/>
      <c r="N941" s="1130"/>
      <c r="O941" s="1130"/>
      <c r="P941" s="1130"/>
      <c r="Q941" s="1130"/>
      <c r="R941" s="1130"/>
      <c r="S941" s="1130"/>
      <c r="T941" s="1130"/>
      <c r="U941" s="1130"/>
      <c r="V941" s="1130"/>
      <c r="W941" s="1130"/>
      <c r="X941" s="1130"/>
      <c r="Y941" s="1130"/>
      <c r="Z941" s="1130"/>
    </row>
    <row r="942" spans="1:26" ht="15.75" customHeight="1">
      <c r="A942" s="1130"/>
      <c r="B942" s="1130"/>
      <c r="C942" s="1130"/>
      <c r="D942" s="1130"/>
      <c r="E942" s="1130"/>
      <c r="F942" s="1130"/>
      <c r="G942" s="1130"/>
      <c r="H942" s="1130"/>
      <c r="I942" s="1130"/>
      <c r="J942" s="1130"/>
      <c r="K942" s="1130"/>
      <c r="L942" s="1130"/>
      <c r="M942" s="1130"/>
      <c r="N942" s="1130"/>
      <c r="O942" s="1130"/>
      <c r="P942" s="1130"/>
      <c r="Q942" s="1130"/>
      <c r="R942" s="1130"/>
      <c r="S942" s="1130"/>
      <c r="T942" s="1130"/>
      <c r="U942" s="1130"/>
      <c r="V942" s="1130"/>
      <c r="W942" s="1130"/>
      <c r="X942" s="1130"/>
      <c r="Y942" s="1130"/>
      <c r="Z942" s="1130"/>
    </row>
    <row r="943" spans="1:26" ht="15.75" customHeight="1">
      <c r="A943" s="1130"/>
      <c r="B943" s="1130"/>
      <c r="C943" s="1130"/>
      <c r="D943" s="1130"/>
      <c r="E943" s="1130"/>
      <c r="F943" s="1130"/>
      <c r="G943" s="1130"/>
      <c r="H943" s="1130"/>
      <c r="I943" s="1130"/>
      <c r="J943" s="1130"/>
      <c r="K943" s="1130"/>
      <c r="L943" s="1130"/>
      <c r="M943" s="1130"/>
      <c r="N943" s="1130"/>
      <c r="O943" s="1130"/>
      <c r="P943" s="1130"/>
      <c r="Q943" s="1130"/>
      <c r="R943" s="1130"/>
      <c r="S943" s="1130"/>
      <c r="T943" s="1130"/>
      <c r="U943" s="1130"/>
      <c r="V943" s="1130"/>
      <c r="W943" s="1130"/>
      <c r="X943" s="1130"/>
      <c r="Y943" s="1130"/>
      <c r="Z943" s="1130"/>
    </row>
    <row r="944" spans="1:26" ht="15.75" customHeight="1">
      <c r="A944" s="1130"/>
      <c r="B944" s="1130"/>
      <c r="C944" s="1130"/>
      <c r="D944" s="1130"/>
      <c r="E944" s="1130"/>
      <c r="F944" s="1130"/>
      <c r="G944" s="1130"/>
      <c r="H944" s="1130"/>
      <c r="I944" s="1130"/>
      <c r="J944" s="1130"/>
      <c r="K944" s="1130"/>
      <c r="L944" s="1130"/>
      <c r="M944" s="1130"/>
      <c r="N944" s="1130"/>
      <c r="O944" s="1130"/>
      <c r="P944" s="1130"/>
      <c r="Q944" s="1130"/>
      <c r="R944" s="1130"/>
      <c r="S944" s="1130"/>
      <c r="T944" s="1130"/>
      <c r="U944" s="1130"/>
      <c r="V944" s="1130"/>
      <c r="W944" s="1130"/>
      <c r="X944" s="1130"/>
      <c r="Y944" s="1130"/>
      <c r="Z944" s="1130"/>
    </row>
    <row r="945" spans="1:26" ht="15.75" customHeight="1">
      <c r="A945" s="1130"/>
      <c r="B945" s="1130"/>
      <c r="C945" s="1130"/>
      <c r="D945" s="1130"/>
      <c r="E945" s="1130"/>
      <c r="F945" s="1130"/>
      <c r="G945" s="1130"/>
      <c r="H945" s="1130"/>
      <c r="I945" s="1130"/>
      <c r="J945" s="1130"/>
      <c r="K945" s="1130"/>
      <c r="L945" s="1130"/>
      <c r="M945" s="1130"/>
      <c r="N945" s="1130"/>
      <c r="O945" s="1130"/>
      <c r="P945" s="1130"/>
      <c r="Q945" s="1130"/>
      <c r="R945" s="1130"/>
      <c r="S945" s="1130"/>
      <c r="T945" s="1130"/>
      <c r="U945" s="1130"/>
      <c r="V945" s="1130"/>
      <c r="W945" s="1130"/>
      <c r="X945" s="1130"/>
      <c r="Y945" s="1130"/>
      <c r="Z945" s="1130"/>
    </row>
    <row r="946" spans="1:26" ht="15.75" customHeight="1">
      <c r="A946" s="1130"/>
      <c r="B946" s="1130"/>
      <c r="C946" s="1130"/>
      <c r="D946" s="1130"/>
      <c r="E946" s="1130"/>
      <c r="F946" s="1130"/>
      <c r="G946" s="1130"/>
      <c r="H946" s="1130"/>
      <c r="I946" s="1130"/>
      <c r="J946" s="1130"/>
      <c r="K946" s="1130"/>
      <c r="L946" s="1130"/>
      <c r="M946" s="1130"/>
      <c r="N946" s="1130"/>
      <c r="O946" s="1130"/>
      <c r="P946" s="1130"/>
      <c r="Q946" s="1130"/>
      <c r="R946" s="1130"/>
      <c r="S946" s="1130"/>
      <c r="T946" s="1130"/>
      <c r="U946" s="1130"/>
      <c r="V946" s="1130"/>
      <c r="W946" s="1130"/>
      <c r="X946" s="1130"/>
      <c r="Y946" s="1130"/>
      <c r="Z946" s="1130"/>
    </row>
    <row r="947" spans="1:26" ht="15.75" customHeight="1">
      <c r="A947" s="1130"/>
      <c r="B947" s="1130"/>
      <c r="C947" s="1130"/>
      <c r="D947" s="1130"/>
      <c r="E947" s="1130"/>
      <c r="F947" s="1130"/>
      <c r="G947" s="1130"/>
      <c r="H947" s="1130"/>
      <c r="I947" s="1130"/>
      <c r="J947" s="1130"/>
      <c r="K947" s="1130"/>
      <c r="L947" s="1130"/>
      <c r="M947" s="1130"/>
      <c r="N947" s="1130"/>
      <c r="O947" s="1130"/>
      <c r="P947" s="1130"/>
      <c r="Q947" s="1130"/>
      <c r="R947" s="1130"/>
      <c r="S947" s="1130"/>
      <c r="T947" s="1130"/>
      <c r="U947" s="1130"/>
      <c r="V947" s="1130"/>
      <c r="W947" s="1130"/>
      <c r="X947" s="1130"/>
      <c r="Y947" s="1130"/>
      <c r="Z947" s="1130"/>
    </row>
    <row r="948" spans="1:26" ht="15.75" customHeight="1">
      <c r="A948" s="1130"/>
      <c r="B948" s="1130"/>
      <c r="C948" s="1130"/>
      <c r="D948" s="1130"/>
      <c r="E948" s="1130"/>
      <c r="F948" s="1130"/>
      <c r="G948" s="1130"/>
      <c r="H948" s="1130"/>
      <c r="I948" s="1130"/>
      <c r="J948" s="1130"/>
      <c r="K948" s="1130"/>
      <c r="L948" s="1130"/>
      <c r="M948" s="1130"/>
      <c r="N948" s="1130"/>
      <c r="O948" s="1130"/>
      <c r="P948" s="1130"/>
      <c r="Q948" s="1130"/>
      <c r="R948" s="1130"/>
      <c r="S948" s="1130"/>
      <c r="T948" s="1130"/>
      <c r="U948" s="1130"/>
      <c r="V948" s="1130"/>
      <c r="W948" s="1130"/>
      <c r="X948" s="1130"/>
      <c r="Y948" s="1130"/>
      <c r="Z948" s="1130"/>
    </row>
    <row r="949" spans="1:26" ht="15.75" customHeight="1">
      <c r="A949" s="1130"/>
      <c r="B949" s="1130"/>
      <c r="C949" s="1130"/>
      <c r="D949" s="1130"/>
      <c r="E949" s="1130"/>
      <c r="F949" s="1130"/>
      <c r="G949" s="1130"/>
      <c r="H949" s="1130"/>
      <c r="I949" s="1130"/>
      <c r="J949" s="1130"/>
      <c r="K949" s="1130"/>
      <c r="L949" s="1130"/>
      <c r="M949" s="1130"/>
      <c r="N949" s="1130"/>
      <c r="O949" s="1130"/>
      <c r="P949" s="1130"/>
      <c r="Q949" s="1130"/>
      <c r="R949" s="1130"/>
      <c r="S949" s="1130"/>
      <c r="T949" s="1130"/>
      <c r="U949" s="1130"/>
      <c r="V949" s="1130"/>
      <c r="W949" s="1130"/>
      <c r="X949" s="1130"/>
      <c r="Y949" s="1130"/>
      <c r="Z949" s="1130"/>
    </row>
    <row r="950" spans="1:26" ht="15.75" customHeight="1">
      <c r="A950" s="1130"/>
      <c r="B950" s="1130"/>
      <c r="C950" s="1130"/>
      <c r="D950" s="1130"/>
      <c r="E950" s="1130"/>
      <c r="F950" s="1130"/>
      <c r="G950" s="1130"/>
      <c r="H950" s="1130"/>
      <c r="I950" s="1130"/>
      <c r="J950" s="1130"/>
      <c r="K950" s="1130"/>
      <c r="L950" s="1130"/>
      <c r="M950" s="1130"/>
      <c r="N950" s="1130"/>
      <c r="O950" s="1130"/>
      <c r="P950" s="1130"/>
      <c r="Q950" s="1130"/>
      <c r="R950" s="1130"/>
      <c r="S950" s="1130"/>
      <c r="T950" s="1130"/>
      <c r="U950" s="1130"/>
      <c r="V950" s="1130"/>
      <c r="W950" s="1130"/>
      <c r="X950" s="1130"/>
      <c r="Y950" s="1130"/>
      <c r="Z950" s="1130"/>
    </row>
    <row r="951" spans="1:26" ht="15.75" customHeight="1">
      <c r="A951" s="1130"/>
      <c r="B951" s="1130"/>
      <c r="C951" s="1130"/>
      <c r="D951" s="1130"/>
      <c r="E951" s="1130"/>
      <c r="F951" s="1130"/>
      <c r="G951" s="1130"/>
      <c r="H951" s="1130"/>
      <c r="I951" s="1130"/>
      <c r="J951" s="1130"/>
      <c r="K951" s="1130"/>
      <c r="L951" s="1130"/>
      <c r="M951" s="1130"/>
      <c r="N951" s="1130"/>
      <c r="O951" s="1130"/>
      <c r="P951" s="1130"/>
      <c r="Q951" s="1130"/>
      <c r="R951" s="1130"/>
      <c r="S951" s="1130"/>
      <c r="T951" s="1130"/>
      <c r="U951" s="1130"/>
      <c r="V951" s="1130"/>
      <c r="W951" s="1130"/>
      <c r="X951" s="1130"/>
      <c r="Y951" s="1130"/>
      <c r="Z951" s="1130"/>
    </row>
    <row r="952" spans="1:26" ht="15.75" customHeight="1">
      <c r="A952" s="1130"/>
      <c r="B952" s="1130"/>
      <c r="C952" s="1130"/>
      <c r="D952" s="1130"/>
      <c r="E952" s="1130"/>
      <c r="F952" s="1130"/>
      <c r="G952" s="1130"/>
      <c r="H952" s="1130"/>
      <c r="I952" s="1130"/>
      <c r="J952" s="1130"/>
      <c r="K952" s="1130"/>
      <c r="L952" s="1130"/>
      <c r="M952" s="1130"/>
      <c r="N952" s="1130"/>
      <c r="O952" s="1130"/>
      <c r="P952" s="1130"/>
      <c r="Q952" s="1130"/>
      <c r="R952" s="1130"/>
      <c r="S952" s="1130"/>
      <c r="T952" s="1130"/>
      <c r="U952" s="1130"/>
      <c r="V952" s="1130"/>
      <c r="W952" s="1130"/>
      <c r="X952" s="1130"/>
      <c r="Y952" s="1130"/>
      <c r="Z952" s="1130"/>
    </row>
    <row r="953" spans="1:26" ht="15.75" customHeight="1">
      <c r="A953" s="1130"/>
      <c r="B953" s="1130"/>
      <c r="C953" s="1130"/>
      <c r="D953" s="1130"/>
      <c r="E953" s="1130"/>
      <c r="F953" s="1130"/>
      <c r="G953" s="1130"/>
      <c r="H953" s="1130"/>
      <c r="I953" s="1130"/>
      <c r="J953" s="1130"/>
      <c r="K953" s="1130"/>
      <c r="L953" s="1130"/>
      <c r="M953" s="1130"/>
      <c r="N953" s="1130"/>
      <c r="O953" s="1130"/>
      <c r="P953" s="1130"/>
      <c r="Q953" s="1130"/>
      <c r="R953" s="1130"/>
      <c r="S953" s="1130"/>
      <c r="T953" s="1130"/>
      <c r="U953" s="1130"/>
      <c r="V953" s="1130"/>
      <c r="W953" s="1130"/>
      <c r="X953" s="1130"/>
      <c r="Y953" s="1130"/>
      <c r="Z953" s="1130"/>
    </row>
    <row r="954" spans="1:26" ht="15.75" customHeight="1">
      <c r="A954" s="1130"/>
      <c r="B954" s="1130"/>
      <c r="C954" s="1130"/>
      <c r="D954" s="1130"/>
      <c r="E954" s="1130"/>
      <c r="F954" s="1130"/>
      <c r="G954" s="1130"/>
      <c r="H954" s="1130"/>
      <c r="I954" s="1130"/>
      <c r="J954" s="1130"/>
      <c r="K954" s="1130"/>
      <c r="L954" s="1130"/>
      <c r="M954" s="1130"/>
      <c r="N954" s="1130"/>
      <c r="O954" s="1130"/>
      <c r="P954" s="1130"/>
      <c r="Q954" s="1130"/>
      <c r="R954" s="1130"/>
      <c r="S954" s="1130"/>
      <c r="T954" s="1130"/>
      <c r="U954" s="1130"/>
      <c r="V954" s="1130"/>
      <c r="W954" s="1130"/>
      <c r="X954" s="1130"/>
      <c r="Y954" s="1130"/>
      <c r="Z954" s="1130"/>
    </row>
    <row r="955" spans="1:26" ht="15.75" customHeight="1">
      <c r="A955" s="1130"/>
      <c r="B955" s="1130"/>
      <c r="C955" s="1130"/>
      <c r="D955" s="1130"/>
      <c r="E955" s="1130"/>
      <c r="F955" s="1130"/>
      <c r="G955" s="1130"/>
      <c r="H955" s="1130"/>
      <c r="I955" s="1130"/>
      <c r="J955" s="1130"/>
      <c r="K955" s="1130"/>
      <c r="L955" s="1130"/>
      <c r="M955" s="1130"/>
      <c r="N955" s="1130"/>
      <c r="O955" s="1130"/>
      <c r="P955" s="1130"/>
      <c r="Q955" s="1130"/>
      <c r="R955" s="1130"/>
      <c r="S955" s="1130"/>
      <c r="T955" s="1130"/>
      <c r="U955" s="1130"/>
      <c r="V955" s="1130"/>
      <c r="W955" s="1130"/>
      <c r="X955" s="1130"/>
      <c r="Y955" s="1130"/>
      <c r="Z955" s="1130"/>
    </row>
    <row r="956" spans="1:26" ht="15.75" customHeight="1">
      <c r="A956" s="1130"/>
      <c r="B956" s="1130"/>
      <c r="C956" s="1130"/>
      <c r="D956" s="1130"/>
      <c r="E956" s="1130"/>
      <c r="F956" s="1130"/>
      <c r="G956" s="1130"/>
      <c r="H956" s="1130"/>
      <c r="I956" s="1130"/>
      <c r="J956" s="1130"/>
      <c r="K956" s="1130"/>
      <c r="L956" s="1130"/>
      <c r="M956" s="1130"/>
      <c r="N956" s="1130"/>
      <c r="O956" s="1130"/>
      <c r="P956" s="1130"/>
      <c r="Q956" s="1130"/>
      <c r="R956" s="1130"/>
      <c r="S956" s="1130"/>
      <c r="T956" s="1130"/>
      <c r="U956" s="1130"/>
      <c r="V956" s="1130"/>
      <c r="W956" s="1130"/>
      <c r="X956" s="1130"/>
      <c r="Y956" s="1130"/>
      <c r="Z956" s="1130"/>
    </row>
    <row r="957" spans="1:26" ht="15.75" customHeight="1">
      <c r="A957" s="1130"/>
      <c r="B957" s="1130"/>
      <c r="C957" s="1130"/>
      <c r="D957" s="1130"/>
      <c r="E957" s="1130"/>
      <c r="F957" s="1130"/>
      <c r="G957" s="1130"/>
      <c r="H957" s="1130"/>
      <c r="I957" s="1130"/>
      <c r="J957" s="1130"/>
      <c r="K957" s="1130"/>
      <c r="L957" s="1130"/>
      <c r="M957" s="1130"/>
      <c r="N957" s="1130"/>
      <c r="O957" s="1130"/>
      <c r="P957" s="1130"/>
      <c r="Q957" s="1130"/>
      <c r="R957" s="1130"/>
      <c r="S957" s="1130"/>
      <c r="T957" s="1130"/>
      <c r="U957" s="1130"/>
      <c r="V957" s="1130"/>
      <c r="W957" s="1130"/>
      <c r="X957" s="1130"/>
      <c r="Y957" s="1130"/>
      <c r="Z957" s="1130"/>
    </row>
    <row r="958" spans="1:26" ht="15.75" customHeight="1">
      <c r="A958" s="1130"/>
      <c r="B958" s="1130"/>
      <c r="C958" s="1130"/>
      <c r="D958" s="1130"/>
      <c r="E958" s="1130"/>
      <c r="F958" s="1130"/>
      <c r="G958" s="1130"/>
      <c r="H958" s="1130"/>
      <c r="I958" s="1130"/>
      <c r="J958" s="1130"/>
      <c r="K958" s="1130"/>
      <c r="L958" s="1130"/>
      <c r="M958" s="1130"/>
      <c r="N958" s="1130"/>
      <c r="O958" s="1130"/>
      <c r="P958" s="1130"/>
      <c r="Q958" s="1130"/>
      <c r="R958" s="1130"/>
      <c r="S958" s="1130"/>
      <c r="T958" s="1130"/>
      <c r="U958" s="1130"/>
      <c r="V958" s="1130"/>
      <c r="W958" s="1130"/>
      <c r="X958" s="1130"/>
      <c r="Y958" s="1130"/>
      <c r="Z958" s="1130"/>
    </row>
    <row r="959" spans="1:26" ht="15.75" customHeight="1">
      <c r="A959" s="1130"/>
      <c r="B959" s="1130"/>
      <c r="C959" s="1130"/>
      <c r="D959" s="1130"/>
      <c r="E959" s="1130"/>
      <c r="F959" s="1130"/>
      <c r="G959" s="1130"/>
      <c r="H959" s="1130"/>
      <c r="I959" s="1130"/>
      <c r="J959" s="1130"/>
      <c r="K959" s="1130"/>
      <c r="L959" s="1130"/>
      <c r="M959" s="1130"/>
      <c r="N959" s="1130"/>
      <c r="O959" s="1130"/>
      <c r="P959" s="1130"/>
      <c r="Q959" s="1130"/>
      <c r="R959" s="1130"/>
      <c r="S959" s="1130"/>
      <c r="T959" s="1130"/>
      <c r="U959" s="1130"/>
      <c r="V959" s="1130"/>
      <c r="W959" s="1130"/>
      <c r="X959" s="1130"/>
      <c r="Y959" s="1130"/>
      <c r="Z959" s="1130"/>
    </row>
    <row r="960" spans="1:26" ht="15.75" customHeight="1">
      <c r="A960" s="1130"/>
      <c r="B960" s="1130"/>
      <c r="C960" s="1130"/>
      <c r="D960" s="1130"/>
      <c r="E960" s="1130"/>
      <c r="F960" s="1130"/>
      <c r="G960" s="1130"/>
      <c r="H960" s="1130"/>
      <c r="I960" s="1130"/>
      <c r="J960" s="1130"/>
      <c r="K960" s="1130"/>
      <c r="L960" s="1130"/>
      <c r="M960" s="1130"/>
      <c r="N960" s="1130"/>
      <c r="O960" s="1130"/>
      <c r="P960" s="1130"/>
      <c r="Q960" s="1130"/>
      <c r="R960" s="1130"/>
      <c r="S960" s="1130"/>
      <c r="T960" s="1130"/>
      <c r="U960" s="1130"/>
      <c r="V960" s="1130"/>
      <c r="W960" s="1130"/>
      <c r="X960" s="1130"/>
      <c r="Y960" s="1130"/>
      <c r="Z960" s="1130"/>
    </row>
    <row r="961" spans="1:26" ht="15.75" customHeight="1">
      <c r="A961" s="1130"/>
      <c r="B961" s="1130"/>
      <c r="C961" s="1130"/>
      <c r="D961" s="1130"/>
      <c r="E961" s="1130"/>
      <c r="F961" s="1130"/>
      <c r="G961" s="1130"/>
      <c r="H961" s="1130"/>
      <c r="I961" s="1130"/>
      <c r="J961" s="1130"/>
      <c r="K961" s="1130"/>
      <c r="L961" s="1130"/>
      <c r="M961" s="1130"/>
      <c r="N961" s="1130"/>
      <c r="O961" s="1130"/>
      <c r="P961" s="1130"/>
      <c r="Q961" s="1130"/>
      <c r="R961" s="1130"/>
      <c r="S961" s="1130"/>
      <c r="T961" s="1130"/>
      <c r="U961" s="1130"/>
      <c r="V961" s="1130"/>
      <c r="W961" s="1130"/>
      <c r="X961" s="1130"/>
      <c r="Y961" s="1130"/>
      <c r="Z961" s="1130"/>
    </row>
    <row r="962" spans="1:26" ht="15.75" customHeight="1">
      <c r="A962" s="1130"/>
      <c r="B962" s="1130"/>
      <c r="C962" s="1130"/>
      <c r="D962" s="1130"/>
      <c r="E962" s="1130"/>
      <c r="F962" s="1130"/>
      <c r="G962" s="1130"/>
      <c r="H962" s="1130"/>
      <c r="I962" s="1130"/>
      <c r="J962" s="1130"/>
      <c r="K962" s="1130"/>
      <c r="L962" s="1130"/>
      <c r="M962" s="1130"/>
      <c r="N962" s="1130"/>
      <c r="O962" s="1130"/>
      <c r="P962" s="1130"/>
      <c r="Q962" s="1130"/>
      <c r="R962" s="1130"/>
      <c r="S962" s="1130"/>
      <c r="T962" s="1130"/>
      <c r="U962" s="1130"/>
      <c r="V962" s="1130"/>
      <c r="W962" s="1130"/>
      <c r="X962" s="1130"/>
      <c r="Y962" s="1130"/>
      <c r="Z962" s="1130"/>
    </row>
    <row r="963" spans="1:26" ht="15.75" customHeight="1">
      <c r="A963" s="1130"/>
      <c r="B963" s="1130"/>
      <c r="C963" s="1130"/>
      <c r="D963" s="1130"/>
      <c r="E963" s="1130"/>
      <c r="F963" s="1130"/>
      <c r="G963" s="1130"/>
      <c r="H963" s="1130"/>
      <c r="I963" s="1130"/>
      <c r="J963" s="1130"/>
      <c r="K963" s="1130"/>
      <c r="L963" s="1130"/>
      <c r="M963" s="1130"/>
      <c r="N963" s="1130"/>
      <c r="O963" s="1130"/>
      <c r="P963" s="1130"/>
      <c r="Q963" s="1130"/>
      <c r="R963" s="1130"/>
      <c r="S963" s="1130"/>
      <c r="T963" s="1130"/>
      <c r="U963" s="1130"/>
      <c r="V963" s="1130"/>
      <c r="W963" s="1130"/>
      <c r="X963" s="1130"/>
      <c r="Y963" s="1130"/>
      <c r="Z963" s="1130"/>
    </row>
    <row r="964" spans="1:26" ht="15.75" customHeight="1">
      <c r="A964" s="1130"/>
      <c r="B964" s="1130"/>
      <c r="C964" s="1130"/>
      <c r="D964" s="1130"/>
      <c r="E964" s="1130"/>
      <c r="F964" s="1130"/>
      <c r="G964" s="1130"/>
      <c r="H964" s="1130"/>
      <c r="I964" s="1130"/>
      <c r="J964" s="1130"/>
      <c r="K964" s="1130"/>
      <c r="L964" s="1130"/>
      <c r="M964" s="1130"/>
      <c r="N964" s="1130"/>
      <c r="O964" s="1130"/>
      <c r="P964" s="1130"/>
      <c r="Q964" s="1130"/>
      <c r="R964" s="1130"/>
      <c r="S964" s="1130"/>
      <c r="T964" s="1130"/>
      <c r="U964" s="1130"/>
      <c r="V964" s="1130"/>
      <c r="W964" s="1130"/>
      <c r="X964" s="1130"/>
      <c r="Y964" s="1130"/>
      <c r="Z964" s="1130"/>
    </row>
    <row r="965" spans="1:26" ht="15.75" customHeight="1">
      <c r="A965" s="1130"/>
      <c r="B965" s="1130"/>
      <c r="C965" s="1130"/>
      <c r="D965" s="1130"/>
      <c r="E965" s="1130"/>
      <c r="F965" s="1130"/>
      <c r="G965" s="1130"/>
      <c r="H965" s="1130"/>
      <c r="I965" s="1130"/>
      <c r="J965" s="1130"/>
      <c r="K965" s="1130"/>
      <c r="L965" s="1130"/>
      <c r="M965" s="1130"/>
      <c r="N965" s="1130"/>
      <c r="O965" s="1130"/>
      <c r="P965" s="1130"/>
      <c r="Q965" s="1130"/>
      <c r="R965" s="1130"/>
      <c r="S965" s="1130"/>
      <c r="T965" s="1130"/>
      <c r="U965" s="1130"/>
      <c r="V965" s="1130"/>
      <c r="W965" s="1130"/>
      <c r="X965" s="1130"/>
      <c r="Y965" s="1130"/>
      <c r="Z965" s="1130"/>
    </row>
    <row r="966" spans="1:26" ht="15.75" customHeight="1">
      <c r="A966" s="1130"/>
      <c r="B966" s="1130"/>
      <c r="C966" s="1130"/>
      <c r="D966" s="1130"/>
      <c r="E966" s="1130"/>
      <c r="F966" s="1130"/>
      <c r="G966" s="1130"/>
      <c r="H966" s="1130"/>
      <c r="I966" s="1130"/>
      <c r="J966" s="1130"/>
      <c r="K966" s="1130"/>
      <c r="L966" s="1130"/>
      <c r="M966" s="1130"/>
      <c r="N966" s="1130"/>
      <c r="O966" s="1130"/>
      <c r="P966" s="1130"/>
      <c r="Q966" s="1130"/>
      <c r="R966" s="1130"/>
      <c r="S966" s="1130"/>
      <c r="T966" s="1130"/>
      <c r="U966" s="1130"/>
      <c r="V966" s="1130"/>
      <c r="W966" s="1130"/>
      <c r="X966" s="1130"/>
      <c r="Y966" s="1130"/>
      <c r="Z966" s="1130"/>
    </row>
    <row r="967" spans="1:26" ht="15.75" customHeight="1">
      <c r="A967" s="1130"/>
      <c r="B967" s="1130"/>
      <c r="C967" s="1130"/>
      <c r="D967" s="1130"/>
      <c r="E967" s="1130"/>
      <c r="F967" s="1130"/>
      <c r="G967" s="1130"/>
      <c r="H967" s="1130"/>
      <c r="I967" s="1130"/>
      <c r="J967" s="1130"/>
      <c r="K967" s="1130"/>
      <c r="L967" s="1130"/>
      <c r="M967" s="1130"/>
      <c r="N967" s="1130"/>
      <c r="O967" s="1130"/>
      <c r="P967" s="1130"/>
      <c r="Q967" s="1130"/>
      <c r="R967" s="1130"/>
      <c r="S967" s="1130"/>
      <c r="T967" s="1130"/>
      <c r="U967" s="1130"/>
      <c r="V967" s="1130"/>
      <c r="W967" s="1130"/>
      <c r="X967" s="1130"/>
      <c r="Y967" s="1130"/>
      <c r="Z967" s="1130"/>
    </row>
    <row r="968" spans="1:26" ht="15.75" customHeight="1">
      <c r="A968" s="1130"/>
      <c r="B968" s="1130"/>
      <c r="C968" s="1130"/>
      <c r="D968" s="1130"/>
      <c r="E968" s="1130"/>
      <c r="F968" s="1130"/>
      <c r="G968" s="1130"/>
      <c r="H968" s="1130"/>
      <c r="I968" s="1130"/>
      <c r="J968" s="1130"/>
      <c r="K968" s="1130"/>
      <c r="L968" s="1130"/>
      <c r="M968" s="1130"/>
      <c r="N968" s="1130"/>
      <c r="O968" s="1130"/>
      <c r="P968" s="1130"/>
      <c r="Q968" s="1130"/>
      <c r="R968" s="1130"/>
      <c r="S968" s="1130"/>
      <c r="T968" s="1130"/>
      <c r="U968" s="1130"/>
      <c r="V968" s="1130"/>
      <c r="W968" s="1130"/>
      <c r="X968" s="1130"/>
      <c r="Y968" s="1130"/>
      <c r="Z968" s="1130"/>
    </row>
    <row r="969" spans="1:26" ht="15.75" customHeight="1">
      <c r="A969" s="1130"/>
      <c r="B969" s="1130"/>
      <c r="C969" s="1130"/>
      <c r="D969" s="1130"/>
      <c r="E969" s="1130"/>
      <c r="F969" s="1130"/>
      <c r="G969" s="1130"/>
      <c r="H969" s="1130"/>
      <c r="I969" s="1130"/>
      <c r="J969" s="1130"/>
      <c r="K969" s="1130"/>
      <c r="L969" s="1130"/>
      <c r="M969" s="1130"/>
      <c r="N969" s="1130"/>
      <c r="O969" s="1130"/>
      <c r="P969" s="1130"/>
      <c r="Q969" s="1130"/>
      <c r="R969" s="1130"/>
      <c r="S969" s="1130"/>
      <c r="T969" s="1130"/>
      <c r="U969" s="1130"/>
      <c r="V969" s="1130"/>
      <c r="W969" s="1130"/>
      <c r="X969" s="1130"/>
      <c r="Y969" s="1130"/>
      <c r="Z969" s="1130"/>
    </row>
    <row r="970" spans="1:26" ht="15.75" customHeight="1">
      <c r="A970" s="1130"/>
      <c r="B970" s="1130"/>
      <c r="C970" s="1130"/>
      <c r="D970" s="1130"/>
      <c r="E970" s="1130"/>
      <c r="F970" s="1130"/>
      <c r="G970" s="1130"/>
      <c r="H970" s="1130"/>
      <c r="I970" s="1130"/>
      <c r="J970" s="1130"/>
      <c r="K970" s="1130"/>
      <c r="L970" s="1130"/>
      <c r="M970" s="1130"/>
      <c r="N970" s="1130"/>
      <c r="O970" s="1130"/>
      <c r="P970" s="1130"/>
      <c r="Q970" s="1130"/>
      <c r="R970" s="1130"/>
      <c r="S970" s="1130"/>
      <c r="T970" s="1130"/>
      <c r="U970" s="1130"/>
      <c r="V970" s="1130"/>
      <c r="W970" s="1130"/>
      <c r="X970" s="1130"/>
      <c r="Y970" s="1130"/>
      <c r="Z970" s="1130"/>
    </row>
    <row r="971" spans="1:26" ht="15.75" customHeight="1">
      <c r="A971" s="1130"/>
      <c r="B971" s="1130"/>
      <c r="C971" s="1130"/>
      <c r="D971" s="1130"/>
      <c r="E971" s="1130"/>
      <c r="F971" s="1130"/>
      <c r="G971" s="1130"/>
      <c r="H971" s="1130"/>
      <c r="I971" s="1130"/>
      <c r="J971" s="1130"/>
      <c r="K971" s="1130"/>
      <c r="L971" s="1130"/>
      <c r="M971" s="1130"/>
      <c r="N971" s="1130"/>
      <c r="O971" s="1130"/>
      <c r="P971" s="1130"/>
      <c r="Q971" s="1130"/>
      <c r="R971" s="1130"/>
      <c r="S971" s="1130"/>
      <c r="T971" s="1130"/>
      <c r="U971" s="1130"/>
      <c r="V971" s="1130"/>
      <c r="W971" s="1130"/>
      <c r="X971" s="1130"/>
      <c r="Y971" s="1130"/>
      <c r="Z971" s="1130"/>
    </row>
    <row r="972" spans="1:26" ht="15.75" customHeight="1">
      <c r="A972" s="1130"/>
      <c r="B972" s="1130"/>
      <c r="C972" s="1130"/>
      <c r="D972" s="1130"/>
      <c r="E972" s="1130"/>
      <c r="F972" s="1130"/>
      <c r="G972" s="1130"/>
      <c r="H972" s="1130"/>
      <c r="I972" s="1130"/>
      <c r="J972" s="1130"/>
      <c r="K972" s="1130"/>
      <c r="L972" s="1130"/>
      <c r="M972" s="1130"/>
      <c r="N972" s="1130"/>
      <c r="O972" s="1130"/>
      <c r="P972" s="1130"/>
      <c r="Q972" s="1130"/>
      <c r="R972" s="1130"/>
      <c r="S972" s="1130"/>
      <c r="T972" s="1130"/>
      <c r="U972" s="1130"/>
      <c r="V972" s="1130"/>
      <c r="W972" s="1130"/>
      <c r="X972" s="1130"/>
      <c r="Y972" s="1130"/>
      <c r="Z972" s="1130"/>
    </row>
    <row r="973" spans="1:26" ht="15.75" customHeight="1">
      <c r="A973" s="1130"/>
      <c r="B973" s="1130"/>
      <c r="C973" s="1130"/>
      <c r="D973" s="1130"/>
      <c r="E973" s="1130"/>
      <c r="F973" s="1130"/>
      <c r="G973" s="1130"/>
      <c r="H973" s="1130"/>
      <c r="I973" s="1130"/>
      <c r="J973" s="1130"/>
      <c r="K973" s="1130"/>
      <c r="L973" s="1130"/>
      <c r="M973" s="1130"/>
      <c r="N973" s="1130"/>
      <c r="O973" s="1130"/>
      <c r="P973" s="1130"/>
      <c r="Q973" s="1130"/>
      <c r="R973" s="1130"/>
      <c r="S973" s="1130"/>
      <c r="T973" s="1130"/>
      <c r="U973" s="1130"/>
      <c r="V973" s="1130"/>
      <c r="W973" s="1130"/>
      <c r="X973" s="1130"/>
      <c r="Y973" s="1130"/>
      <c r="Z973" s="1130"/>
    </row>
    <row r="974" spans="1:26" ht="15.75" customHeight="1">
      <c r="A974" s="1130"/>
      <c r="B974" s="1130"/>
      <c r="C974" s="1130"/>
      <c r="D974" s="1130"/>
      <c r="E974" s="1130"/>
      <c r="F974" s="1130"/>
      <c r="G974" s="1130"/>
      <c r="H974" s="1130"/>
      <c r="I974" s="1130"/>
      <c r="J974" s="1130"/>
      <c r="K974" s="1130"/>
      <c r="L974" s="1130"/>
      <c r="M974" s="1130"/>
      <c r="N974" s="1130"/>
      <c r="O974" s="1130"/>
      <c r="P974" s="1130"/>
      <c r="Q974" s="1130"/>
      <c r="R974" s="1130"/>
      <c r="S974" s="1130"/>
      <c r="T974" s="1130"/>
      <c r="U974" s="1130"/>
      <c r="V974" s="1130"/>
      <c r="W974" s="1130"/>
      <c r="X974" s="1130"/>
      <c r="Y974" s="1130"/>
      <c r="Z974" s="1130"/>
    </row>
    <row r="975" spans="1:26" ht="15.75" customHeight="1">
      <c r="A975" s="1130"/>
      <c r="B975" s="1130"/>
      <c r="C975" s="1130"/>
      <c r="D975" s="1130"/>
      <c r="E975" s="1130"/>
      <c r="F975" s="1130"/>
      <c r="G975" s="1130"/>
      <c r="H975" s="1130"/>
      <c r="I975" s="1130"/>
      <c r="J975" s="1130"/>
      <c r="K975" s="1130"/>
      <c r="L975" s="1130"/>
      <c r="M975" s="1130"/>
      <c r="N975" s="1130"/>
      <c r="O975" s="1130"/>
      <c r="P975" s="1130"/>
      <c r="Q975" s="1130"/>
      <c r="R975" s="1130"/>
      <c r="S975" s="1130"/>
      <c r="T975" s="1130"/>
      <c r="U975" s="1130"/>
      <c r="V975" s="1130"/>
      <c r="W975" s="1130"/>
      <c r="X975" s="1130"/>
      <c r="Y975" s="1130"/>
      <c r="Z975" s="1130"/>
    </row>
    <row r="976" spans="1:26" ht="15.75" customHeight="1">
      <c r="A976" s="1130"/>
      <c r="B976" s="1130"/>
      <c r="C976" s="1130"/>
      <c r="D976" s="1130"/>
      <c r="E976" s="1130"/>
      <c r="F976" s="1130"/>
      <c r="G976" s="1130"/>
      <c r="H976" s="1130"/>
      <c r="I976" s="1130"/>
      <c r="J976" s="1130"/>
      <c r="K976" s="1130"/>
      <c r="L976" s="1130"/>
      <c r="M976" s="1130"/>
      <c r="N976" s="1130"/>
      <c r="O976" s="1130"/>
      <c r="P976" s="1130"/>
      <c r="Q976" s="1130"/>
      <c r="R976" s="1130"/>
      <c r="S976" s="1130"/>
      <c r="T976" s="1130"/>
      <c r="U976" s="1130"/>
      <c r="V976" s="1130"/>
      <c r="W976" s="1130"/>
      <c r="X976" s="1130"/>
      <c r="Y976" s="1130"/>
      <c r="Z976" s="1130"/>
    </row>
    <row r="977" spans="1:26" ht="15.75" customHeight="1">
      <c r="A977" s="1130"/>
      <c r="B977" s="1130"/>
      <c r="C977" s="1130"/>
      <c r="D977" s="1130"/>
      <c r="E977" s="1130"/>
      <c r="F977" s="1130"/>
      <c r="G977" s="1130"/>
      <c r="H977" s="1130"/>
      <c r="I977" s="1130"/>
      <c r="J977" s="1130"/>
      <c r="K977" s="1130"/>
      <c r="L977" s="1130"/>
      <c r="M977" s="1130"/>
      <c r="N977" s="1130"/>
      <c r="O977" s="1130"/>
      <c r="P977" s="1130"/>
      <c r="Q977" s="1130"/>
      <c r="R977" s="1130"/>
      <c r="S977" s="1130"/>
      <c r="T977" s="1130"/>
      <c r="U977" s="1130"/>
      <c r="V977" s="1130"/>
      <c r="W977" s="1130"/>
      <c r="X977" s="1130"/>
      <c r="Y977" s="1130"/>
      <c r="Z977" s="1130"/>
    </row>
    <row r="978" spans="1:26" ht="15.75" customHeight="1">
      <c r="A978" s="1130"/>
      <c r="B978" s="1130"/>
      <c r="C978" s="1130"/>
      <c r="D978" s="1130"/>
      <c r="E978" s="1130"/>
      <c r="F978" s="1130"/>
      <c r="G978" s="1130"/>
      <c r="H978" s="1130"/>
      <c r="I978" s="1130"/>
      <c r="J978" s="1130"/>
      <c r="K978" s="1130"/>
      <c r="L978" s="1130"/>
      <c r="M978" s="1130"/>
      <c r="N978" s="1130"/>
      <c r="O978" s="1130"/>
      <c r="P978" s="1130"/>
      <c r="Q978" s="1130"/>
      <c r="R978" s="1130"/>
      <c r="S978" s="1130"/>
      <c r="T978" s="1130"/>
      <c r="U978" s="1130"/>
      <c r="V978" s="1130"/>
      <c r="W978" s="1130"/>
      <c r="X978" s="1130"/>
      <c r="Y978" s="1130"/>
      <c r="Z978" s="1130"/>
    </row>
    <row r="979" spans="1:26" ht="15.75" customHeight="1">
      <c r="A979" s="1130"/>
      <c r="B979" s="1130"/>
      <c r="C979" s="1130"/>
      <c r="D979" s="1130"/>
      <c r="E979" s="1130"/>
      <c r="F979" s="1130"/>
      <c r="G979" s="1130"/>
      <c r="H979" s="1130"/>
      <c r="I979" s="1130"/>
      <c r="J979" s="1130"/>
      <c r="K979" s="1130"/>
      <c r="L979" s="1130"/>
      <c r="M979" s="1130"/>
      <c r="N979" s="1130"/>
      <c r="O979" s="1130"/>
      <c r="P979" s="1130"/>
      <c r="Q979" s="1130"/>
      <c r="R979" s="1130"/>
      <c r="S979" s="1130"/>
      <c r="T979" s="1130"/>
      <c r="U979" s="1130"/>
      <c r="V979" s="1130"/>
      <c r="W979" s="1130"/>
      <c r="X979" s="1130"/>
      <c r="Y979" s="1130"/>
      <c r="Z979" s="1130"/>
    </row>
    <row r="980" spans="1:26" ht="15.75" customHeight="1">
      <c r="A980" s="1130"/>
      <c r="B980" s="1130"/>
      <c r="C980" s="1130"/>
      <c r="D980" s="1130"/>
      <c r="E980" s="1130"/>
      <c r="F980" s="1130"/>
      <c r="G980" s="1130"/>
      <c r="H980" s="1130"/>
      <c r="I980" s="1130"/>
      <c r="J980" s="1130"/>
      <c r="K980" s="1130"/>
      <c r="L980" s="1130"/>
      <c r="M980" s="1130"/>
      <c r="N980" s="1130"/>
      <c r="O980" s="1130"/>
      <c r="P980" s="1130"/>
      <c r="Q980" s="1130"/>
      <c r="R980" s="1130"/>
      <c r="S980" s="1130"/>
      <c r="T980" s="1130"/>
      <c r="U980" s="1130"/>
      <c r="V980" s="1130"/>
      <c r="W980" s="1130"/>
      <c r="X980" s="1130"/>
      <c r="Y980" s="1130"/>
      <c r="Z980" s="1130"/>
    </row>
    <row r="981" spans="1:26" ht="15.75" customHeight="1">
      <c r="A981" s="1130"/>
      <c r="B981" s="1130"/>
      <c r="C981" s="1130"/>
      <c r="D981" s="1130"/>
      <c r="E981" s="1130"/>
      <c r="F981" s="1130"/>
      <c r="G981" s="1130"/>
      <c r="H981" s="1130"/>
      <c r="I981" s="1130"/>
      <c r="J981" s="1130"/>
      <c r="K981" s="1130"/>
      <c r="L981" s="1130"/>
      <c r="M981" s="1130"/>
      <c r="N981" s="1130"/>
      <c r="O981" s="1130"/>
      <c r="P981" s="1130"/>
      <c r="Q981" s="1130"/>
      <c r="R981" s="1130"/>
      <c r="S981" s="1130"/>
      <c r="T981" s="1130"/>
      <c r="U981" s="1130"/>
      <c r="V981" s="1130"/>
      <c r="W981" s="1130"/>
      <c r="X981" s="1130"/>
      <c r="Y981" s="1130"/>
      <c r="Z981" s="1130"/>
    </row>
    <row r="982" spans="1:26" ht="15.75" customHeight="1">
      <c r="A982" s="1130"/>
      <c r="B982" s="1130"/>
      <c r="C982" s="1130"/>
      <c r="D982" s="1130"/>
      <c r="E982" s="1130"/>
      <c r="F982" s="1130"/>
      <c r="G982" s="1130"/>
      <c r="H982" s="1130"/>
      <c r="I982" s="1130"/>
      <c r="J982" s="1130"/>
      <c r="K982" s="1130"/>
      <c r="L982" s="1130"/>
      <c r="M982" s="1130"/>
      <c r="N982" s="1130"/>
      <c r="O982" s="1130"/>
      <c r="P982" s="1130"/>
      <c r="Q982" s="1130"/>
      <c r="R982" s="1130"/>
      <c r="S982" s="1130"/>
      <c r="T982" s="1130"/>
      <c r="U982" s="1130"/>
      <c r="V982" s="1130"/>
      <c r="W982" s="1130"/>
      <c r="X982" s="1130"/>
      <c r="Y982" s="1130"/>
      <c r="Z982" s="1130"/>
    </row>
    <row r="983" spans="1:26" ht="15.75" customHeight="1">
      <c r="A983" s="1130"/>
      <c r="B983" s="1130"/>
      <c r="C983" s="1130"/>
      <c r="D983" s="1130"/>
      <c r="E983" s="1130"/>
      <c r="F983" s="1130"/>
      <c r="G983" s="1130"/>
      <c r="H983" s="1130"/>
      <c r="I983" s="1130"/>
      <c r="J983" s="1130"/>
      <c r="K983" s="1130"/>
      <c r="L983" s="1130"/>
      <c r="M983" s="1130"/>
      <c r="N983" s="1130"/>
      <c r="O983" s="1130"/>
      <c r="P983" s="1130"/>
      <c r="Q983" s="1130"/>
      <c r="R983" s="1130"/>
      <c r="S983" s="1130"/>
      <c r="T983" s="1130"/>
      <c r="U983" s="1130"/>
      <c r="V983" s="1130"/>
      <c r="W983" s="1130"/>
      <c r="X983" s="1130"/>
      <c r="Y983" s="1130"/>
      <c r="Z983" s="1130"/>
    </row>
    <row r="984" spans="1:26" ht="15.75" customHeight="1">
      <c r="A984" s="1130"/>
      <c r="B984" s="1130"/>
      <c r="C984" s="1130"/>
      <c r="D984" s="1130"/>
      <c r="E984" s="1130"/>
      <c r="F984" s="1130"/>
      <c r="G984" s="1130"/>
      <c r="H984" s="1130"/>
      <c r="I984" s="1130"/>
      <c r="J984" s="1130"/>
      <c r="K984" s="1130"/>
      <c r="L984" s="1130"/>
      <c r="M984" s="1130"/>
      <c r="N984" s="1130"/>
      <c r="O984" s="1130"/>
      <c r="P984" s="1130"/>
      <c r="Q984" s="1130"/>
      <c r="R984" s="1130"/>
      <c r="S984" s="1130"/>
      <c r="T984" s="1130"/>
      <c r="U984" s="1130"/>
      <c r="V984" s="1130"/>
      <c r="W984" s="1130"/>
      <c r="X984" s="1130"/>
      <c r="Y984" s="1130"/>
      <c r="Z984" s="1130"/>
    </row>
    <row r="985" spans="1:26" ht="15.75" customHeight="1">
      <c r="A985" s="1130"/>
      <c r="B985" s="1130"/>
      <c r="C985" s="1130"/>
      <c r="D985" s="1130"/>
      <c r="E985" s="1130"/>
      <c r="F985" s="1130"/>
      <c r="G985" s="1130"/>
      <c r="H985" s="1130"/>
      <c r="I985" s="1130"/>
      <c r="J985" s="1130"/>
      <c r="K985" s="1130"/>
      <c r="L985" s="1130"/>
      <c r="M985" s="1130"/>
      <c r="N985" s="1130"/>
      <c r="O985" s="1130"/>
      <c r="P985" s="1130"/>
      <c r="Q985" s="1130"/>
      <c r="R985" s="1130"/>
      <c r="S985" s="1130"/>
      <c r="T985" s="1130"/>
      <c r="U985" s="1130"/>
      <c r="V985" s="1130"/>
      <c r="W985" s="1130"/>
      <c r="X985" s="1130"/>
      <c r="Y985" s="1130"/>
      <c r="Z985" s="1130"/>
    </row>
    <row r="986" spans="1:26" ht="15.75" customHeight="1">
      <c r="A986" s="1130"/>
      <c r="B986" s="1130"/>
      <c r="C986" s="1130"/>
      <c r="D986" s="1130"/>
      <c r="E986" s="1130"/>
      <c r="F986" s="1130"/>
      <c r="G986" s="1130"/>
      <c r="H986" s="1130"/>
      <c r="I986" s="1130"/>
      <c r="J986" s="1130"/>
      <c r="K986" s="1130"/>
      <c r="L986" s="1130"/>
      <c r="M986" s="1130"/>
      <c r="N986" s="1130"/>
      <c r="O986" s="1130"/>
      <c r="P986" s="1130"/>
      <c r="Q986" s="1130"/>
      <c r="R986" s="1130"/>
      <c r="S986" s="1130"/>
      <c r="T986" s="1130"/>
      <c r="U986" s="1130"/>
      <c r="V986" s="1130"/>
      <c r="W986" s="1130"/>
      <c r="X986" s="1130"/>
      <c r="Y986" s="1130"/>
      <c r="Z986" s="1130"/>
    </row>
    <row r="987" spans="1:26" ht="15.75" customHeight="1">
      <c r="A987" s="1130"/>
      <c r="B987" s="1130"/>
      <c r="C987" s="1130"/>
      <c r="D987" s="1130"/>
      <c r="E987" s="1130"/>
      <c r="F987" s="1130"/>
      <c r="G987" s="1130"/>
      <c r="H987" s="1130"/>
      <c r="I987" s="1130"/>
      <c r="J987" s="1130"/>
      <c r="K987" s="1130"/>
      <c r="L987" s="1130"/>
      <c r="M987" s="1130"/>
      <c r="N987" s="1130"/>
      <c r="O987" s="1130"/>
      <c r="P987" s="1130"/>
      <c r="Q987" s="1130"/>
      <c r="R987" s="1130"/>
      <c r="S987" s="1130"/>
      <c r="T987" s="1130"/>
      <c r="U987" s="1130"/>
      <c r="V987" s="1130"/>
      <c r="W987" s="1130"/>
      <c r="X987" s="1130"/>
      <c r="Y987" s="1130"/>
      <c r="Z987" s="1130"/>
    </row>
    <row r="988" spans="1:26" ht="15.75" customHeight="1">
      <c r="A988" s="1130"/>
      <c r="B988" s="1130"/>
      <c r="C988" s="1130"/>
      <c r="D988" s="1130"/>
      <c r="E988" s="1130"/>
      <c r="F988" s="1130"/>
      <c r="G988" s="1130"/>
      <c r="H988" s="1130"/>
      <c r="I988" s="1130"/>
      <c r="J988" s="1130"/>
      <c r="K988" s="1130"/>
      <c r="L988" s="1130"/>
      <c r="M988" s="1130"/>
      <c r="N988" s="1130"/>
      <c r="O988" s="1130"/>
      <c r="P988" s="1130"/>
      <c r="Q988" s="1130"/>
      <c r="R988" s="1130"/>
      <c r="S988" s="1130"/>
      <c r="T988" s="1130"/>
      <c r="U988" s="1130"/>
      <c r="V988" s="1130"/>
      <c r="W988" s="1130"/>
      <c r="X988" s="1130"/>
      <c r="Y988" s="1130"/>
      <c r="Z988" s="1130"/>
    </row>
    <row r="989" spans="1:26" ht="15.75" customHeight="1">
      <c r="A989" s="1130"/>
      <c r="B989" s="1130"/>
      <c r="C989" s="1130"/>
      <c r="D989" s="1130"/>
      <c r="E989" s="1130"/>
      <c r="F989" s="1130"/>
      <c r="G989" s="1130"/>
      <c r="H989" s="1130"/>
      <c r="I989" s="1130"/>
      <c r="J989" s="1130"/>
      <c r="K989" s="1130"/>
      <c r="L989" s="1130"/>
      <c r="M989" s="1130"/>
      <c r="N989" s="1130"/>
      <c r="O989" s="1130"/>
      <c r="P989" s="1130"/>
      <c r="Q989" s="1130"/>
      <c r="R989" s="1130"/>
      <c r="S989" s="1130"/>
      <c r="T989" s="1130"/>
      <c r="U989" s="1130"/>
      <c r="V989" s="1130"/>
      <c r="W989" s="1130"/>
      <c r="X989" s="1130"/>
      <c r="Y989" s="1130"/>
      <c r="Z989" s="1130"/>
    </row>
    <row r="990" spans="1:26" ht="15.75" customHeight="1">
      <c r="A990" s="1130"/>
      <c r="B990" s="1130"/>
      <c r="C990" s="1130"/>
      <c r="D990" s="1130"/>
      <c r="E990" s="1130"/>
      <c r="F990" s="1130"/>
      <c r="G990" s="1130"/>
      <c r="H990" s="1130"/>
      <c r="I990" s="1130"/>
      <c r="J990" s="1130"/>
      <c r="K990" s="1130"/>
      <c r="L990" s="1130"/>
      <c r="M990" s="1130"/>
      <c r="N990" s="1130"/>
      <c r="O990" s="1130"/>
      <c r="P990" s="1130"/>
      <c r="Q990" s="1130"/>
      <c r="R990" s="1130"/>
      <c r="S990" s="1130"/>
      <c r="T990" s="1130"/>
      <c r="U990" s="1130"/>
      <c r="V990" s="1130"/>
      <c r="W990" s="1130"/>
      <c r="X990" s="1130"/>
      <c r="Y990" s="1130"/>
      <c r="Z990" s="1130"/>
    </row>
    <row r="991" spans="1:26" ht="15.75" customHeight="1">
      <c r="A991" s="1130"/>
      <c r="B991" s="1130"/>
      <c r="C991" s="1130"/>
      <c r="D991" s="1130"/>
      <c r="E991" s="1130"/>
      <c r="F991" s="1130"/>
      <c r="G991" s="1130"/>
      <c r="H991" s="1130"/>
      <c r="I991" s="1130"/>
      <c r="J991" s="1130"/>
      <c r="K991" s="1130"/>
      <c r="L991" s="1130"/>
      <c r="M991" s="1130"/>
      <c r="N991" s="1130"/>
      <c r="O991" s="1130"/>
      <c r="P991" s="1130"/>
      <c r="Q991" s="1130"/>
      <c r="R991" s="1130"/>
      <c r="S991" s="1130"/>
      <c r="T991" s="1130"/>
      <c r="U991" s="1130"/>
      <c r="V991" s="1130"/>
      <c r="W991" s="1130"/>
      <c r="X991" s="1130"/>
      <c r="Y991" s="1130"/>
      <c r="Z991" s="1130"/>
    </row>
    <row r="992" spans="1:26" ht="15.75" customHeight="1">
      <c r="A992" s="1130"/>
      <c r="B992" s="1130"/>
      <c r="C992" s="1130"/>
      <c r="D992" s="1130"/>
      <c r="E992" s="1130"/>
      <c r="F992" s="1130"/>
      <c r="G992" s="1130"/>
      <c r="H992" s="1130"/>
      <c r="I992" s="1130"/>
      <c r="J992" s="1130"/>
      <c r="K992" s="1130"/>
      <c r="L992" s="1130"/>
      <c r="M992" s="1130"/>
      <c r="N992" s="1130"/>
      <c r="O992" s="1130"/>
      <c r="P992" s="1130"/>
      <c r="Q992" s="1130"/>
      <c r="R992" s="1130"/>
      <c r="S992" s="1130"/>
      <c r="T992" s="1130"/>
      <c r="U992" s="1130"/>
      <c r="V992" s="1130"/>
      <c r="W992" s="1130"/>
      <c r="X992" s="1130"/>
      <c r="Y992" s="1130"/>
      <c r="Z992" s="1130"/>
    </row>
    <row r="993" spans="1:26" ht="15.75" customHeight="1">
      <c r="A993" s="1130"/>
      <c r="B993" s="1130"/>
      <c r="C993" s="1130"/>
      <c r="D993" s="1130"/>
      <c r="E993" s="1130"/>
      <c r="F993" s="1130"/>
      <c r="G993" s="1130"/>
      <c r="H993" s="1130"/>
      <c r="I993" s="1130"/>
      <c r="J993" s="1130"/>
      <c r="K993" s="1130"/>
      <c r="L993" s="1130"/>
      <c r="M993" s="1130"/>
      <c r="N993" s="1130"/>
      <c r="O993" s="1130"/>
      <c r="P993" s="1130"/>
      <c r="Q993" s="1130"/>
      <c r="R993" s="1130"/>
      <c r="S993" s="1130"/>
      <c r="T993" s="1130"/>
      <c r="U993" s="1130"/>
      <c r="V993" s="1130"/>
      <c r="W993" s="1130"/>
      <c r="X993" s="1130"/>
      <c r="Y993" s="1130"/>
      <c r="Z993" s="1130"/>
    </row>
    <row r="994" spans="1:26" ht="15.75" customHeight="1">
      <c r="A994" s="1130"/>
      <c r="B994" s="1130"/>
      <c r="C994" s="1130"/>
      <c r="D994" s="1130"/>
      <c r="E994" s="1130"/>
      <c r="F994" s="1130"/>
      <c r="G994" s="1130"/>
      <c r="H994" s="1130"/>
      <c r="I994" s="1130"/>
      <c r="J994" s="1130"/>
      <c r="K994" s="1130"/>
      <c r="L994" s="1130"/>
      <c r="M994" s="1130"/>
      <c r="N994" s="1130"/>
      <c r="O994" s="1130"/>
      <c r="P994" s="1130"/>
      <c r="Q994" s="1130"/>
      <c r="R994" s="1130"/>
      <c r="S994" s="1130"/>
      <c r="T994" s="1130"/>
      <c r="U994" s="1130"/>
      <c r="V994" s="1130"/>
      <c r="W994" s="1130"/>
      <c r="X994" s="1130"/>
      <c r="Y994" s="1130"/>
      <c r="Z994" s="1130"/>
    </row>
    <row r="995" spans="1:26" ht="15.75" customHeight="1">
      <c r="A995" s="1130"/>
      <c r="B995" s="1130"/>
      <c r="C995" s="1130"/>
      <c r="D995" s="1130"/>
      <c r="E995" s="1130"/>
      <c r="F995" s="1130"/>
      <c r="G995" s="1130"/>
      <c r="H995" s="1130"/>
      <c r="I995" s="1130"/>
      <c r="J995" s="1130"/>
      <c r="K995" s="1130"/>
      <c r="L995" s="1130"/>
      <c r="M995" s="1130"/>
      <c r="N995" s="1130"/>
      <c r="O995" s="1130"/>
      <c r="P995" s="1130"/>
      <c r="Q995" s="1130"/>
      <c r="R995" s="1130"/>
      <c r="S995" s="1130"/>
      <c r="T995" s="1130"/>
      <c r="U995" s="1130"/>
      <c r="V995" s="1130"/>
      <c r="W995" s="1130"/>
      <c r="X995" s="1130"/>
      <c r="Y995" s="1130"/>
      <c r="Z995" s="1130"/>
    </row>
    <row r="996" spans="1:26" ht="15.75" customHeight="1">
      <c r="A996" s="1130"/>
      <c r="B996" s="1130"/>
      <c r="C996" s="1130"/>
      <c r="D996" s="1130"/>
      <c r="E996" s="1130"/>
      <c r="F996" s="1130"/>
      <c r="G996" s="1130"/>
      <c r="H996" s="1130"/>
      <c r="I996" s="1130"/>
      <c r="J996" s="1130"/>
      <c r="K996" s="1130"/>
      <c r="L996" s="1130"/>
      <c r="M996" s="1130"/>
      <c r="N996" s="1130"/>
      <c r="O996" s="1130"/>
      <c r="P996" s="1130"/>
      <c r="Q996" s="1130"/>
      <c r="R996" s="1130"/>
      <c r="S996" s="1130"/>
      <c r="T996" s="1130"/>
      <c r="U996" s="1130"/>
      <c r="V996" s="1130"/>
      <c r="W996" s="1130"/>
      <c r="X996" s="1130"/>
      <c r="Y996" s="1130"/>
      <c r="Z996" s="1130"/>
    </row>
    <row r="997" spans="1:26" ht="15.75" customHeight="1">
      <c r="A997" s="1130"/>
      <c r="B997" s="1130"/>
      <c r="C997" s="1130"/>
      <c r="D997" s="1130"/>
      <c r="E997" s="1130"/>
      <c r="F997" s="1130"/>
      <c r="G997" s="1130"/>
      <c r="H997" s="1130"/>
      <c r="I997" s="1130"/>
      <c r="J997" s="1130"/>
      <c r="K997" s="1130"/>
      <c r="L997" s="1130"/>
      <c r="M997" s="1130"/>
      <c r="N997" s="1130"/>
      <c r="O997" s="1130"/>
      <c r="P997" s="1130"/>
      <c r="Q997" s="1130"/>
      <c r="R997" s="1130"/>
      <c r="S997" s="1130"/>
      <c r="T997" s="1130"/>
      <c r="U997" s="1130"/>
      <c r="V997" s="1130"/>
      <c r="W997" s="1130"/>
      <c r="X997" s="1130"/>
      <c r="Y997" s="1130"/>
      <c r="Z997" s="1130"/>
    </row>
    <row r="998" spans="1:26" ht="15.75" customHeight="1">
      <c r="A998" s="1130"/>
      <c r="B998" s="1130"/>
      <c r="C998" s="1130"/>
      <c r="D998" s="1130"/>
      <c r="E998" s="1130"/>
      <c r="F998" s="1130"/>
      <c r="G998" s="1130"/>
      <c r="H998" s="1130"/>
      <c r="I998" s="1130"/>
      <c r="J998" s="1130"/>
      <c r="K998" s="1130"/>
      <c r="L998" s="1130"/>
      <c r="M998" s="1130"/>
      <c r="N998" s="1130"/>
      <c r="O998" s="1130"/>
      <c r="P998" s="1130"/>
      <c r="Q998" s="1130"/>
      <c r="R998" s="1130"/>
      <c r="S998" s="1130"/>
      <c r="T998" s="1130"/>
      <c r="U998" s="1130"/>
      <c r="V998" s="1130"/>
      <c r="W998" s="1130"/>
      <c r="X998" s="1130"/>
      <c r="Y998" s="1130"/>
      <c r="Z998" s="1130"/>
    </row>
    <row r="999" spans="1:26" ht="15.75" customHeight="1">
      <c r="A999" s="1130"/>
      <c r="B999" s="1130"/>
      <c r="C999" s="1130"/>
      <c r="D999" s="1130"/>
      <c r="E999" s="1130"/>
      <c r="F999" s="1130"/>
      <c r="G999" s="1130"/>
      <c r="H999" s="1130"/>
      <c r="I999" s="1130"/>
      <c r="J999" s="1130"/>
      <c r="K999" s="1130"/>
      <c r="L999" s="1130"/>
      <c r="M999" s="1130"/>
      <c r="N999" s="1130"/>
      <c r="O999" s="1130"/>
      <c r="P999" s="1130"/>
      <c r="Q999" s="1130"/>
      <c r="R999" s="1130"/>
      <c r="S999" s="1130"/>
      <c r="T999" s="1130"/>
      <c r="U999" s="1130"/>
      <c r="V999" s="1130"/>
      <c r="W999" s="1130"/>
      <c r="X999" s="1130"/>
      <c r="Y999" s="1130"/>
      <c r="Z999" s="1130"/>
    </row>
    <row r="1000" spans="1:26" ht="15.75" customHeight="1">
      <c r="A1000" s="1130"/>
      <c r="B1000" s="1130"/>
      <c r="C1000" s="1130"/>
      <c r="D1000" s="1130"/>
      <c r="E1000" s="1130"/>
      <c r="F1000" s="1130"/>
      <c r="G1000" s="1130"/>
      <c r="H1000" s="1130"/>
      <c r="I1000" s="1130"/>
      <c r="J1000" s="1130"/>
      <c r="K1000" s="1130"/>
      <c r="L1000" s="1130"/>
      <c r="M1000" s="1130"/>
      <c r="N1000" s="1130"/>
      <c r="O1000" s="1130"/>
      <c r="P1000" s="1130"/>
      <c r="Q1000" s="1130"/>
      <c r="R1000" s="1130"/>
      <c r="S1000" s="1130"/>
      <c r="T1000" s="1130"/>
      <c r="U1000" s="1130"/>
      <c r="V1000" s="1130"/>
      <c r="W1000" s="1130"/>
      <c r="X1000" s="1130"/>
      <c r="Y1000" s="1130"/>
      <c r="Z1000" s="1130"/>
    </row>
  </sheetData>
  <printOptions horizontalCentered="1"/>
  <pageMargins left="0.7" right="0.7" top="0.71" bottom="0.59" header="0.3" footer="0.16"/>
  <pageSetup paperSize="9" fitToHeight="10" orientation="landscape" r:id="rId1"/>
  <rowBreaks count="1" manualBreakCount="1">
    <brk id="35" max="10" man="1"/>
  </rowBreaks>
  <drawing r:id="rId2"/>
  <legacy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2"/>
  <dimension ref="A1:I11"/>
  <sheetViews>
    <sheetView workbookViewId="0"/>
  </sheetViews>
  <sheetFormatPr defaultRowHeight="13.2"/>
  <cols>
    <col min="2" max="2" width="9" bestFit="1" customWidth="1"/>
    <col min="3" max="3" width="29.109375" bestFit="1" customWidth="1"/>
    <col min="5" max="5" width="16" customWidth="1"/>
    <col min="6" max="6" width="12.6640625" customWidth="1"/>
    <col min="7" max="7" width="11.6640625" customWidth="1"/>
    <col min="8" max="8" width="16.5546875" bestFit="1" customWidth="1"/>
    <col min="9" max="9" width="16.88671875" customWidth="1"/>
  </cols>
  <sheetData>
    <row r="1" spans="1:9" ht="13.8" thickBot="1"/>
    <row r="2" spans="1:9" ht="20.399999999999999" thickBot="1">
      <c r="A2" s="1"/>
      <c r="B2" s="2344" t="s">
        <v>1164</v>
      </c>
      <c r="C2" s="2345"/>
      <c r="D2" s="2345"/>
      <c r="E2" s="2345"/>
      <c r="F2" s="2345"/>
      <c r="G2" s="529"/>
      <c r="H2" s="529"/>
      <c r="I2" s="530"/>
    </row>
    <row r="3" spans="1:9" ht="20.399999999999999" thickBot="1">
      <c r="A3" s="1"/>
      <c r="B3" s="2346" t="s">
        <v>859</v>
      </c>
      <c r="C3" s="2347"/>
      <c r="D3" s="2347"/>
      <c r="E3" s="2347"/>
      <c r="F3" s="2347"/>
      <c r="G3" s="529"/>
      <c r="H3" s="529"/>
      <c r="I3" s="530"/>
    </row>
    <row r="4" spans="1:9" ht="19.8">
      <c r="A4" s="1"/>
      <c r="B4" s="2348" t="s">
        <v>860</v>
      </c>
      <c r="C4" s="2350" t="s">
        <v>8</v>
      </c>
      <c r="D4" s="2350" t="s">
        <v>9</v>
      </c>
      <c r="E4" s="2350" t="s">
        <v>861</v>
      </c>
      <c r="F4" s="2350" t="s">
        <v>1181</v>
      </c>
      <c r="G4" s="2350"/>
      <c r="H4" s="779" t="s">
        <v>857</v>
      </c>
      <c r="I4" s="700" t="s">
        <v>17</v>
      </c>
    </row>
    <row r="5" spans="1:9" ht="39.6">
      <c r="A5" s="1"/>
      <c r="B5" s="2349"/>
      <c r="C5" s="2351"/>
      <c r="D5" s="2351"/>
      <c r="E5" s="2351"/>
      <c r="F5" s="780" t="s">
        <v>862</v>
      </c>
      <c r="G5" s="780" t="s">
        <v>863</v>
      </c>
      <c r="H5" s="780" t="s">
        <v>287</v>
      </c>
      <c r="I5" s="717"/>
    </row>
    <row r="6" spans="1:9" ht="19.2">
      <c r="A6" s="1"/>
      <c r="B6" s="794"/>
      <c r="C6" s="538" t="s">
        <v>1170</v>
      </c>
      <c r="D6" s="526"/>
      <c r="E6" s="526"/>
      <c r="F6" s="526"/>
      <c r="G6" s="528"/>
      <c r="H6" s="528"/>
      <c r="I6" s="524"/>
    </row>
    <row r="7" spans="1:9" ht="76.8">
      <c r="A7" s="1"/>
      <c r="B7" s="719">
        <v>1</v>
      </c>
      <c r="C7" s="525" t="s">
        <v>1182</v>
      </c>
      <c r="D7" s="528"/>
      <c r="E7" s="528">
        <v>1</v>
      </c>
      <c r="F7" s="528"/>
      <c r="G7" s="528"/>
      <c r="H7" s="767">
        <v>5000000</v>
      </c>
      <c r="I7" s="524"/>
    </row>
    <row r="8" spans="1:9" ht="57.6">
      <c r="A8" s="1"/>
      <c r="B8" s="719">
        <v>2</v>
      </c>
      <c r="C8" s="525" t="s">
        <v>1171</v>
      </c>
      <c r="D8" s="528"/>
      <c r="E8" s="528">
        <v>1</v>
      </c>
      <c r="F8" s="528"/>
      <c r="G8" s="528"/>
      <c r="H8" s="767">
        <v>50000000</v>
      </c>
      <c r="I8" s="524"/>
    </row>
    <row r="9" spans="1:9" ht="57.6">
      <c r="A9" s="1"/>
      <c r="B9" s="719">
        <v>3</v>
      </c>
      <c r="C9" s="525" t="s">
        <v>1172</v>
      </c>
      <c r="D9" s="526"/>
      <c r="E9" s="526">
        <v>1</v>
      </c>
      <c r="F9" s="526"/>
      <c r="G9" s="515"/>
      <c r="H9" s="767">
        <v>5000000</v>
      </c>
      <c r="I9" s="527"/>
    </row>
    <row r="10" spans="1:9" ht="76.8">
      <c r="B10" s="719">
        <v>4</v>
      </c>
      <c r="C10" s="525" t="s">
        <v>1173</v>
      </c>
      <c r="D10" s="317"/>
      <c r="E10" s="526">
        <v>1</v>
      </c>
      <c r="F10" s="317"/>
      <c r="G10" s="317"/>
      <c r="H10" s="767">
        <v>30000000</v>
      </c>
      <c r="I10" s="527"/>
    </row>
    <row r="11" spans="1:9" ht="19.8" thickBot="1">
      <c r="B11" s="789"/>
      <c r="C11" s="795" t="s">
        <v>439</v>
      </c>
      <c r="D11" s="790"/>
      <c r="E11" s="790"/>
      <c r="F11" s="790"/>
      <c r="G11" s="790"/>
      <c r="H11" s="796">
        <f>SUM(H7:H10)</f>
        <v>90000000</v>
      </c>
      <c r="I11" s="797"/>
    </row>
  </sheetData>
  <mergeCells count="7">
    <mergeCell ref="B2:F2"/>
    <mergeCell ref="B3:F3"/>
    <mergeCell ref="B4:B5"/>
    <mergeCell ref="C4:C5"/>
    <mergeCell ref="D4:D5"/>
    <mergeCell ref="E4:E5"/>
    <mergeCell ref="F4:G4"/>
  </mergeCells>
  <pageMargins left="0.7" right="0.7" top="0.75" bottom="0.75" header="0.3" footer="0.3"/>
  <pageSetup paperSize="9" scale="72"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3"/>
  <dimension ref="B1:G93"/>
  <sheetViews>
    <sheetView workbookViewId="0"/>
  </sheetViews>
  <sheetFormatPr defaultRowHeight="13.2"/>
  <cols>
    <col min="2" max="2" width="15.109375" bestFit="1" customWidth="1"/>
    <col min="3" max="3" width="43.33203125" customWidth="1"/>
    <col min="4" max="4" width="8.6640625" customWidth="1"/>
    <col min="5" max="5" width="11.6640625" bestFit="1" customWidth="1"/>
    <col min="6" max="6" width="28.44140625" customWidth="1"/>
    <col min="7" max="7" width="13.33203125" customWidth="1"/>
  </cols>
  <sheetData>
    <row r="1" spans="2:7" ht="29.25" customHeight="1">
      <c r="B1" s="531" t="s">
        <v>965</v>
      </c>
    </row>
    <row r="2" spans="2:7" ht="38.4">
      <c r="B2" s="514"/>
      <c r="C2" s="514"/>
      <c r="D2" s="514"/>
      <c r="E2" s="515" t="s">
        <v>865</v>
      </c>
      <c r="F2" s="515" t="s">
        <v>867</v>
      </c>
      <c r="G2" s="2384" t="s">
        <v>868</v>
      </c>
    </row>
    <row r="3" spans="2:7" ht="19.2">
      <c r="B3" s="516" t="s">
        <v>189</v>
      </c>
      <c r="C3" s="515" t="s">
        <v>487</v>
      </c>
      <c r="D3" s="516" t="s">
        <v>172</v>
      </c>
      <c r="E3" s="515" t="s">
        <v>866</v>
      </c>
      <c r="F3" s="515" t="s">
        <v>869</v>
      </c>
      <c r="G3" s="2385"/>
    </row>
    <row r="4" spans="2:7" ht="19.2">
      <c r="B4" s="515">
        <v>1</v>
      </c>
      <c r="C4" s="516" t="s">
        <v>870</v>
      </c>
      <c r="D4" s="514"/>
      <c r="E4" s="514"/>
      <c r="F4" s="514"/>
      <c r="G4" s="514"/>
    </row>
    <row r="5" spans="2:7" ht="19.2">
      <c r="B5" s="532">
        <v>1.1000000000000001</v>
      </c>
      <c r="C5" s="514" t="s">
        <v>871</v>
      </c>
      <c r="D5" s="514" t="s">
        <v>872</v>
      </c>
      <c r="E5" s="514"/>
      <c r="F5" s="514"/>
      <c r="G5" s="514"/>
    </row>
    <row r="6" spans="2:7" ht="19.2">
      <c r="B6" s="532">
        <v>1.2</v>
      </c>
      <c r="C6" s="514" t="s">
        <v>873</v>
      </c>
      <c r="D6" s="514" t="s">
        <v>872</v>
      </c>
      <c r="E6" s="514"/>
      <c r="F6" s="514"/>
      <c r="G6" s="514"/>
    </row>
    <row r="7" spans="2:7" ht="19.2">
      <c r="B7" s="2387">
        <v>1.3</v>
      </c>
      <c r="C7" s="514" t="s">
        <v>874</v>
      </c>
      <c r="D7" s="2386" t="s">
        <v>872</v>
      </c>
      <c r="E7" s="2388"/>
      <c r="F7" s="2388"/>
      <c r="G7" s="2388"/>
    </row>
    <row r="8" spans="2:7" ht="19.2">
      <c r="B8" s="2387"/>
      <c r="C8" s="514" t="s">
        <v>940</v>
      </c>
      <c r="D8" s="2386"/>
      <c r="E8" s="2388"/>
      <c r="F8" s="2388"/>
      <c r="G8" s="2388"/>
    </row>
    <row r="9" spans="2:7" ht="19.2">
      <c r="B9" s="2387">
        <v>1.4</v>
      </c>
      <c r="C9" s="514" t="s">
        <v>875</v>
      </c>
      <c r="D9" s="2386" t="s">
        <v>872</v>
      </c>
      <c r="E9" s="2388"/>
      <c r="F9" s="2388"/>
      <c r="G9" s="2388"/>
    </row>
    <row r="10" spans="2:7" ht="19.2">
      <c r="B10" s="2387"/>
      <c r="C10" s="514" t="s">
        <v>876</v>
      </c>
      <c r="D10" s="2386"/>
      <c r="E10" s="2388"/>
      <c r="F10" s="2388"/>
      <c r="G10" s="2388"/>
    </row>
    <row r="11" spans="2:7" ht="19.2">
      <c r="B11" s="2387"/>
      <c r="C11" s="514" t="s">
        <v>877</v>
      </c>
      <c r="D11" s="2386"/>
      <c r="E11" s="2388"/>
      <c r="F11" s="2388"/>
      <c r="G11" s="2388"/>
    </row>
    <row r="12" spans="2:7" ht="17.399999999999999" customHeight="1">
      <c r="B12" s="2387">
        <v>1.5</v>
      </c>
      <c r="C12" s="514" t="s">
        <v>878</v>
      </c>
      <c r="D12" s="2386" t="s">
        <v>872</v>
      </c>
      <c r="E12" s="2388"/>
      <c r="F12" s="2388"/>
      <c r="G12" s="2388"/>
    </row>
    <row r="13" spans="2:7" ht="19.2">
      <c r="B13" s="2387"/>
      <c r="C13" s="514" t="s">
        <v>879</v>
      </c>
      <c r="D13" s="2386"/>
      <c r="E13" s="2388"/>
      <c r="F13" s="2388"/>
      <c r="G13" s="2388"/>
    </row>
    <row r="14" spans="2:7" ht="19.2">
      <c r="B14" s="2387">
        <v>1.6</v>
      </c>
      <c r="C14" s="514" t="s">
        <v>878</v>
      </c>
      <c r="D14" s="2386" t="s">
        <v>872</v>
      </c>
      <c r="E14" s="2388"/>
      <c r="F14" s="2388"/>
      <c r="G14" s="2388"/>
    </row>
    <row r="15" spans="2:7" ht="19.2">
      <c r="B15" s="2387"/>
      <c r="C15" s="514" t="s">
        <v>880</v>
      </c>
      <c r="D15" s="2386"/>
      <c r="E15" s="2388"/>
      <c r="F15" s="2388"/>
      <c r="G15" s="2388"/>
    </row>
    <row r="16" spans="2:7" ht="19.2">
      <c r="B16" s="2387">
        <v>1.7</v>
      </c>
      <c r="C16" s="514" t="s">
        <v>881</v>
      </c>
      <c r="D16" s="2386" t="s">
        <v>882</v>
      </c>
      <c r="E16" s="2388"/>
      <c r="F16" s="2388"/>
      <c r="G16" s="2388"/>
    </row>
    <row r="17" spans="2:7" ht="38.4">
      <c r="B17" s="2387"/>
      <c r="C17" s="514" t="s">
        <v>941</v>
      </c>
      <c r="D17" s="2386"/>
      <c r="E17" s="2388"/>
      <c r="F17" s="2388"/>
      <c r="G17" s="2388"/>
    </row>
    <row r="18" spans="2:7" ht="21" customHeight="1">
      <c r="B18" s="532">
        <v>1.8</v>
      </c>
      <c r="C18" s="514" t="s">
        <v>883</v>
      </c>
      <c r="D18" s="517" t="s">
        <v>882</v>
      </c>
      <c r="E18" s="514"/>
      <c r="F18" s="514"/>
      <c r="G18" s="514"/>
    </row>
    <row r="19" spans="2:7" ht="19.2">
      <c r="B19" s="532">
        <v>1.9</v>
      </c>
      <c r="C19" s="514" t="s">
        <v>884</v>
      </c>
      <c r="D19" s="514" t="s">
        <v>882</v>
      </c>
      <c r="E19" s="514"/>
      <c r="F19" s="514"/>
      <c r="G19" s="514"/>
    </row>
    <row r="20" spans="2:7" ht="19.2">
      <c r="B20" s="534">
        <v>1.1000000000000001</v>
      </c>
      <c r="C20" s="514" t="s">
        <v>885</v>
      </c>
      <c r="D20" s="514" t="s">
        <v>882</v>
      </c>
      <c r="E20" s="514"/>
      <c r="F20" s="514"/>
      <c r="G20" s="514"/>
    </row>
    <row r="21" spans="2:7" ht="19.2">
      <c r="B21" s="514"/>
      <c r="C21" s="514"/>
      <c r="D21" s="514"/>
      <c r="E21" s="514"/>
      <c r="F21" s="514"/>
      <c r="G21" s="514"/>
    </row>
    <row r="22" spans="2:7" ht="19.2">
      <c r="B22" s="514"/>
      <c r="C22" s="516" t="s">
        <v>886</v>
      </c>
      <c r="D22" s="514"/>
      <c r="E22" s="514"/>
      <c r="F22" s="514"/>
      <c r="G22" s="514"/>
    </row>
    <row r="23" spans="2:7" ht="38.4">
      <c r="B23" s="515">
        <v>2</v>
      </c>
      <c r="C23" s="516" t="s">
        <v>942</v>
      </c>
      <c r="D23" s="514"/>
      <c r="E23" s="514"/>
      <c r="F23" s="514"/>
      <c r="G23" s="514"/>
    </row>
    <row r="24" spans="2:7" ht="16.2" customHeight="1">
      <c r="B24" s="514">
        <v>2.1</v>
      </c>
      <c r="C24" s="514" t="s">
        <v>887</v>
      </c>
      <c r="D24" s="514" t="s">
        <v>872</v>
      </c>
      <c r="E24" s="514"/>
      <c r="F24" s="514"/>
      <c r="G24" s="514"/>
    </row>
    <row r="25" spans="2:7" ht="19.2">
      <c r="B25" s="514">
        <v>2.2000000000000002</v>
      </c>
      <c r="C25" s="514" t="s">
        <v>888</v>
      </c>
      <c r="D25" s="514" t="s">
        <v>872</v>
      </c>
      <c r="E25" s="514"/>
      <c r="F25" s="514"/>
      <c r="G25" s="514"/>
    </row>
    <row r="26" spans="2:7" ht="16.2" customHeight="1">
      <c r="B26" s="514">
        <v>2.2999999999999998</v>
      </c>
      <c r="C26" s="514" t="s">
        <v>889</v>
      </c>
      <c r="D26" s="514" t="s">
        <v>872</v>
      </c>
      <c r="E26" s="514"/>
      <c r="F26" s="514"/>
      <c r="G26" s="514"/>
    </row>
    <row r="27" spans="2:7" ht="16.2" customHeight="1">
      <c r="B27" s="514">
        <v>2.4</v>
      </c>
      <c r="C27" s="514" t="s">
        <v>928</v>
      </c>
      <c r="D27" s="514" t="s">
        <v>872</v>
      </c>
      <c r="E27" s="514"/>
      <c r="F27" s="514"/>
      <c r="G27" s="514"/>
    </row>
    <row r="28" spans="2:7" ht="16.2" customHeight="1">
      <c r="B28" s="514">
        <v>2.5</v>
      </c>
      <c r="C28" s="514" t="s">
        <v>929</v>
      </c>
      <c r="D28" s="514" t="s">
        <v>872</v>
      </c>
      <c r="E28" s="514"/>
      <c r="F28" s="514"/>
      <c r="G28" s="514"/>
    </row>
    <row r="29" spans="2:7" ht="16.2" customHeight="1">
      <c r="B29" s="514">
        <v>2.6</v>
      </c>
      <c r="C29" s="514" t="s">
        <v>930</v>
      </c>
      <c r="D29" s="514" t="s">
        <v>872</v>
      </c>
      <c r="E29" s="514"/>
      <c r="F29" s="514"/>
      <c r="G29" s="514"/>
    </row>
    <row r="30" spans="2:7" ht="16.2" customHeight="1">
      <c r="B30" s="514">
        <v>2.7</v>
      </c>
      <c r="C30" s="514" t="s">
        <v>931</v>
      </c>
      <c r="D30" s="514" t="s">
        <v>872</v>
      </c>
      <c r="E30" s="514"/>
      <c r="F30" s="514"/>
      <c r="G30" s="514"/>
    </row>
    <row r="31" spans="2:7" ht="16.2" customHeight="1">
      <c r="B31" s="514">
        <v>2.8</v>
      </c>
      <c r="C31" s="514" t="s">
        <v>932</v>
      </c>
      <c r="D31" s="514" t="s">
        <v>872</v>
      </c>
      <c r="E31" s="514"/>
      <c r="F31" s="514"/>
      <c r="G31" s="514"/>
    </row>
    <row r="32" spans="2:7" ht="19.2">
      <c r="B32" s="514">
        <v>2.9</v>
      </c>
      <c r="C32" s="514" t="s">
        <v>943</v>
      </c>
      <c r="D32" s="514" t="s">
        <v>872</v>
      </c>
      <c r="E32" s="514"/>
      <c r="F32" s="514"/>
      <c r="G32" s="514"/>
    </row>
    <row r="33" spans="2:7" ht="19.2">
      <c r="B33" s="533">
        <v>2.1</v>
      </c>
      <c r="C33" s="514" t="s">
        <v>933</v>
      </c>
      <c r="D33" s="514" t="s">
        <v>872</v>
      </c>
      <c r="E33" s="514"/>
      <c r="F33" s="514"/>
      <c r="G33" s="514"/>
    </row>
    <row r="34" spans="2:7" ht="19.2">
      <c r="B34" s="514">
        <v>2.11</v>
      </c>
      <c r="C34" s="514" t="s">
        <v>934</v>
      </c>
      <c r="D34" s="514" t="s">
        <v>872</v>
      </c>
      <c r="E34" s="514"/>
      <c r="F34" s="514"/>
      <c r="G34" s="514"/>
    </row>
    <row r="35" spans="2:7" ht="17.399999999999999" customHeight="1">
      <c r="B35" s="514">
        <v>2.12</v>
      </c>
      <c r="C35" s="514" t="s">
        <v>935</v>
      </c>
      <c r="D35" s="514" t="s">
        <v>872</v>
      </c>
      <c r="E35" s="514"/>
      <c r="F35" s="514"/>
      <c r="G35" s="514"/>
    </row>
    <row r="36" spans="2:7" ht="16.2" customHeight="1">
      <c r="B36" s="514">
        <v>2.13</v>
      </c>
      <c r="C36" s="514" t="s">
        <v>936</v>
      </c>
      <c r="D36" s="514" t="s">
        <v>872</v>
      </c>
      <c r="E36" s="514"/>
      <c r="F36" s="514"/>
      <c r="G36" s="514"/>
    </row>
    <row r="37" spans="2:7" ht="19.2">
      <c r="B37" s="518"/>
      <c r="C37" s="514"/>
      <c r="D37" s="514"/>
      <c r="E37" s="514"/>
      <c r="F37" s="514"/>
      <c r="G37" s="514"/>
    </row>
    <row r="38" spans="2:7" ht="19.2">
      <c r="B38" s="515">
        <v>3</v>
      </c>
      <c r="C38" s="516" t="s">
        <v>944</v>
      </c>
      <c r="D38" s="514"/>
      <c r="E38" s="514"/>
      <c r="F38" s="514"/>
      <c r="G38" s="514"/>
    </row>
    <row r="39" spans="2:7" ht="19.2">
      <c r="B39" s="514">
        <v>3.1</v>
      </c>
      <c r="C39" s="514" t="s">
        <v>890</v>
      </c>
      <c r="D39" s="514" t="s">
        <v>872</v>
      </c>
      <c r="E39" s="514"/>
      <c r="F39" s="514"/>
      <c r="G39" s="514"/>
    </row>
    <row r="40" spans="2:7" ht="19.2">
      <c r="B40" s="514">
        <v>3.2</v>
      </c>
      <c r="C40" s="514" t="s">
        <v>891</v>
      </c>
      <c r="D40" s="514" t="s">
        <v>872</v>
      </c>
      <c r="E40" s="514"/>
      <c r="F40" s="514"/>
      <c r="G40" s="514"/>
    </row>
    <row r="41" spans="2:7" ht="19.2">
      <c r="B41" s="514">
        <v>3.3</v>
      </c>
      <c r="C41" s="514" t="s">
        <v>892</v>
      </c>
      <c r="D41" s="514" t="s">
        <v>872</v>
      </c>
      <c r="E41" s="514"/>
      <c r="F41" s="514"/>
      <c r="G41" s="514"/>
    </row>
    <row r="42" spans="2:7" ht="19.2">
      <c r="B42" s="514">
        <v>3.4</v>
      </c>
      <c r="C42" s="514" t="s">
        <v>893</v>
      </c>
      <c r="D42" s="514" t="s">
        <v>872</v>
      </c>
      <c r="E42" s="514"/>
      <c r="F42" s="514"/>
      <c r="G42" s="514"/>
    </row>
    <row r="43" spans="2:7" ht="19.2">
      <c r="B43" s="514">
        <v>3.5</v>
      </c>
      <c r="C43" s="514" t="s">
        <v>894</v>
      </c>
      <c r="D43" s="514" t="s">
        <v>872</v>
      </c>
      <c r="E43" s="514"/>
      <c r="F43" s="514"/>
      <c r="G43" s="514"/>
    </row>
    <row r="44" spans="2:7" ht="19.2">
      <c r="B44" s="514">
        <v>3.6</v>
      </c>
      <c r="C44" s="514" t="s">
        <v>945</v>
      </c>
      <c r="D44" s="514" t="s">
        <v>872</v>
      </c>
      <c r="E44" s="514"/>
      <c r="F44" s="514"/>
      <c r="G44" s="514"/>
    </row>
    <row r="45" spans="2:7" ht="16.2" customHeight="1">
      <c r="B45" s="514">
        <v>3.7</v>
      </c>
      <c r="C45" s="514" t="s">
        <v>895</v>
      </c>
      <c r="D45" s="514" t="s">
        <v>872</v>
      </c>
      <c r="E45" s="514"/>
      <c r="F45" s="514"/>
      <c r="G45" s="514"/>
    </row>
    <row r="46" spans="2:7" ht="19.2">
      <c r="B46" s="514">
        <v>3.8</v>
      </c>
      <c r="C46" s="514" t="s">
        <v>896</v>
      </c>
      <c r="D46" s="514" t="s">
        <v>872</v>
      </c>
      <c r="E46" s="514"/>
      <c r="F46" s="514"/>
      <c r="G46" s="514"/>
    </row>
    <row r="47" spans="2:7" ht="16.2" customHeight="1">
      <c r="B47" s="514">
        <v>3.9</v>
      </c>
      <c r="C47" s="514" t="s">
        <v>897</v>
      </c>
      <c r="D47" s="514" t="s">
        <v>872</v>
      </c>
      <c r="E47" s="514"/>
      <c r="F47" s="514"/>
      <c r="G47" s="514"/>
    </row>
    <row r="48" spans="2:7" ht="16.2" customHeight="1">
      <c r="B48" s="514"/>
      <c r="C48" s="516"/>
      <c r="D48" s="514"/>
      <c r="E48" s="514"/>
      <c r="F48" s="514"/>
      <c r="G48" s="514"/>
    </row>
    <row r="49" spans="2:7" ht="19.2">
      <c r="B49" s="515">
        <v>4</v>
      </c>
      <c r="C49" s="516" t="s">
        <v>898</v>
      </c>
      <c r="D49" s="514"/>
      <c r="E49" s="514"/>
      <c r="F49" s="514"/>
      <c r="G49" s="514"/>
    </row>
    <row r="50" spans="2:7" ht="16.2" customHeight="1">
      <c r="B50" s="514">
        <v>4.0999999999999996</v>
      </c>
      <c r="C50" s="514" t="s">
        <v>937</v>
      </c>
      <c r="D50" s="514" t="s">
        <v>872</v>
      </c>
      <c r="E50" s="514"/>
      <c r="F50" s="514"/>
      <c r="G50" s="514"/>
    </row>
    <row r="51" spans="2:7" ht="16.2" customHeight="1">
      <c r="B51" s="514">
        <v>4.2</v>
      </c>
      <c r="C51" s="514" t="s">
        <v>938</v>
      </c>
      <c r="D51" s="514" t="s">
        <v>872</v>
      </c>
      <c r="E51" s="514"/>
      <c r="F51" s="514"/>
      <c r="G51" s="514"/>
    </row>
    <row r="52" spans="2:7" ht="19.2">
      <c r="B52" s="514">
        <v>4.3</v>
      </c>
      <c r="C52" s="514" t="s">
        <v>939</v>
      </c>
      <c r="D52" s="514" t="s">
        <v>872</v>
      </c>
      <c r="E52" s="514"/>
      <c r="F52" s="514"/>
      <c r="G52" s="514"/>
    </row>
    <row r="53" spans="2:7" ht="19.2">
      <c r="B53" s="514">
        <v>4.4000000000000004</v>
      </c>
      <c r="C53" s="514" t="s">
        <v>946</v>
      </c>
      <c r="D53" s="514" t="s">
        <v>872</v>
      </c>
      <c r="E53" s="514"/>
      <c r="F53" s="514"/>
      <c r="G53" s="514"/>
    </row>
    <row r="54" spans="2:7" ht="57.6">
      <c r="B54" s="514">
        <v>4.5</v>
      </c>
      <c r="C54" s="514" t="s">
        <v>899</v>
      </c>
      <c r="D54" s="514" t="s">
        <v>872</v>
      </c>
      <c r="E54" s="514"/>
      <c r="F54" s="514"/>
      <c r="G54" s="514"/>
    </row>
    <row r="55" spans="2:7" ht="38.25" customHeight="1">
      <c r="B55" s="514">
        <v>4.5999999999999996</v>
      </c>
      <c r="C55" s="514" t="s">
        <v>947</v>
      </c>
      <c r="D55" s="514" t="s">
        <v>872</v>
      </c>
      <c r="E55" s="514"/>
      <c r="F55" s="514"/>
      <c r="G55" s="514"/>
    </row>
    <row r="56" spans="2:7" ht="19.2">
      <c r="B56" s="514">
        <v>4.7</v>
      </c>
      <c r="C56" s="514" t="s">
        <v>948</v>
      </c>
      <c r="D56" s="514" t="s">
        <v>872</v>
      </c>
      <c r="E56" s="514"/>
      <c r="F56" s="514"/>
      <c r="G56" s="514"/>
    </row>
    <row r="57" spans="2:7" ht="38.4">
      <c r="B57" s="515">
        <v>5</v>
      </c>
      <c r="C57" s="516" t="s">
        <v>956</v>
      </c>
      <c r="D57" s="514"/>
      <c r="E57" s="514"/>
      <c r="F57" s="514"/>
      <c r="G57" s="514"/>
    </row>
    <row r="58" spans="2:7" ht="19.2">
      <c r="B58" s="514">
        <v>5.0999999999999996</v>
      </c>
      <c r="C58" s="514" t="s">
        <v>900</v>
      </c>
      <c r="D58" s="514" t="s">
        <v>872</v>
      </c>
      <c r="E58" s="514"/>
      <c r="F58" s="514"/>
      <c r="G58" s="514"/>
    </row>
    <row r="59" spans="2:7" ht="19.2">
      <c r="B59" s="514">
        <v>5.2</v>
      </c>
      <c r="C59" s="514" t="s">
        <v>901</v>
      </c>
      <c r="D59" s="514" t="s">
        <v>872</v>
      </c>
      <c r="E59" s="514"/>
      <c r="F59" s="514"/>
      <c r="G59" s="514"/>
    </row>
    <row r="60" spans="2:7" ht="16.2" customHeight="1">
      <c r="B60" s="514">
        <v>5.3</v>
      </c>
      <c r="C60" s="514" t="s">
        <v>902</v>
      </c>
      <c r="D60" s="514" t="s">
        <v>872</v>
      </c>
      <c r="E60" s="514"/>
      <c r="F60" s="514"/>
      <c r="G60" s="514"/>
    </row>
    <row r="61" spans="2:7" ht="16.2" customHeight="1">
      <c r="B61" s="514">
        <v>5.4</v>
      </c>
      <c r="C61" s="514" t="s">
        <v>903</v>
      </c>
      <c r="D61" s="514" t="s">
        <v>872</v>
      </c>
      <c r="E61" s="514"/>
      <c r="F61" s="514"/>
      <c r="G61" s="514"/>
    </row>
    <row r="62" spans="2:7" ht="19.2">
      <c r="B62" s="514"/>
      <c r="C62" s="514"/>
      <c r="D62" s="514"/>
      <c r="E62" s="514"/>
      <c r="F62" s="514"/>
      <c r="G62" s="514"/>
    </row>
    <row r="63" spans="2:7" ht="19.2">
      <c r="B63" s="515">
        <v>6</v>
      </c>
      <c r="C63" s="516" t="s">
        <v>957</v>
      </c>
      <c r="D63" s="514"/>
      <c r="E63" s="514"/>
      <c r="F63" s="514"/>
      <c r="G63" s="514"/>
    </row>
    <row r="64" spans="2:7" ht="19.2">
      <c r="B64" s="514">
        <v>6.1</v>
      </c>
      <c r="C64" s="514" t="s">
        <v>904</v>
      </c>
      <c r="D64" s="514" t="s">
        <v>872</v>
      </c>
      <c r="E64" s="514"/>
      <c r="F64" s="514"/>
      <c r="G64" s="514"/>
    </row>
    <row r="65" spans="2:7" ht="16.2" customHeight="1">
      <c r="B65" s="514">
        <v>6.2</v>
      </c>
      <c r="C65" s="514" t="s">
        <v>905</v>
      </c>
      <c r="D65" s="514" t="s">
        <v>872</v>
      </c>
      <c r="E65" s="514"/>
      <c r="F65" s="514"/>
      <c r="G65" s="514"/>
    </row>
    <row r="66" spans="2:7" ht="16.2" customHeight="1">
      <c r="B66" s="514">
        <v>6.3</v>
      </c>
      <c r="C66" s="514" t="s">
        <v>906</v>
      </c>
      <c r="D66" s="514" t="s">
        <v>872</v>
      </c>
      <c r="E66" s="514"/>
      <c r="F66" s="514"/>
      <c r="G66" s="514"/>
    </row>
    <row r="67" spans="2:7" ht="16.2" customHeight="1">
      <c r="B67" s="514">
        <v>6.4</v>
      </c>
      <c r="C67" s="514" t="s">
        <v>907</v>
      </c>
      <c r="D67" s="514" t="s">
        <v>872</v>
      </c>
      <c r="E67" s="514"/>
      <c r="F67" s="514"/>
      <c r="G67" s="514"/>
    </row>
    <row r="68" spans="2:7" ht="19.2">
      <c r="B68" s="514">
        <v>6.5</v>
      </c>
      <c r="C68" s="514" t="s">
        <v>949</v>
      </c>
      <c r="D68" s="514" t="s">
        <v>908</v>
      </c>
      <c r="E68" s="514"/>
      <c r="F68" s="514"/>
      <c r="G68" s="514"/>
    </row>
    <row r="69" spans="2:7" ht="19.2">
      <c r="B69" s="514">
        <v>6.6</v>
      </c>
      <c r="C69" s="514" t="s">
        <v>950</v>
      </c>
      <c r="D69" s="514" t="s">
        <v>908</v>
      </c>
      <c r="E69" s="514"/>
      <c r="F69" s="514"/>
      <c r="G69" s="514"/>
    </row>
    <row r="70" spans="2:7" ht="19.2">
      <c r="B70" s="514">
        <v>6.7</v>
      </c>
      <c r="C70" s="514" t="s">
        <v>951</v>
      </c>
      <c r="D70" s="514" t="s">
        <v>908</v>
      </c>
      <c r="E70" s="514"/>
      <c r="F70" s="514"/>
      <c r="G70" s="514"/>
    </row>
    <row r="71" spans="2:7" ht="19.2">
      <c r="B71" s="514">
        <v>6.8</v>
      </c>
      <c r="C71" s="514" t="s">
        <v>909</v>
      </c>
      <c r="D71" s="514" t="s">
        <v>872</v>
      </c>
      <c r="E71" s="514"/>
      <c r="F71" s="514"/>
      <c r="G71" s="514"/>
    </row>
    <row r="72" spans="2:7" ht="19.2">
      <c r="B72" s="514">
        <v>6.9</v>
      </c>
      <c r="C72" s="514" t="s">
        <v>910</v>
      </c>
      <c r="D72" s="514" t="s">
        <v>872</v>
      </c>
      <c r="E72" s="514"/>
      <c r="F72" s="514"/>
      <c r="G72" s="514"/>
    </row>
    <row r="73" spans="2:7" ht="19.2">
      <c r="B73" s="515">
        <v>7</v>
      </c>
      <c r="C73" s="516" t="s">
        <v>911</v>
      </c>
      <c r="D73" s="514"/>
      <c r="E73" s="514"/>
      <c r="F73" s="514"/>
      <c r="G73" s="514"/>
    </row>
    <row r="74" spans="2:7" ht="19.2">
      <c r="B74" s="514">
        <v>7.1</v>
      </c>
      <c r="C74" s="514" t="s">
        <v>912</v>
      </c>
      <c r="D74" s="514" t="s">
        <v>872</v>
      </c>
      <c r="E74" s="514"/>
      <c r="F74" s="514"/>
      <c r="G74" s="514"/>
    </row>
    <row r="75" spans="2:7" ht="57.6">
      <c r="B75" s="514">
        <v>7.2</v>
      </c>
      <c r="C75" s="519" t="s">
        <v>952</v>
      </c>
      <c r="D75" s="514" t="s">
        <v>872</v>
      </c>
      <c r="E75" s="514"/>
      <c r="F75" s="514"/>
      <c r="G75" s="514"/>
    </row>
    <row r="76" spans="2:7" ht="19.2">
      <c r="B76" s="518"/>
      <c r="C76" s="518"/>
      <c r="D76" s="514"/>
      <c r="E76" s="514"/>
      <c r="F76" s="514"/>
      <c r="G76" s="514"/>
    </row>
    <row r="77" spans="2:7" ht="19.2">
      <c r="B77" s="515">
        <v>8</v>
      </c>
      <c r="C77" s="516" t="s">
        <v>953</v>
      </c>
      <c r="D77" s="514"/>
      <c r="E77" s="514"/>
      <c r="F77" s="514"/>
      <c r="G77" s="514"/>
    </row>
    <row r="78" spans="2:7" ht="16.2" customHeight="1">
      <c r="B78" s="535">
        <v>8.1</v>
      </c>
      <c r="C78" s="514" t="s">
        <v>913</v>
      </c>
      <c r="D78" s="514" t="s">
        <v>25</v>
      </c>
      <c r="E78" s="514"/>
      <c r="F78" s="514"/>
      <c r="G78" s="514"/>
    </row>
    <row r="79" spans="2:7" ht="16.2" customHeight="1">
      <c r="B79" s="514">
        <v>8.1999999999999993</v>
      </c>
      <c r="C79" s="514" t="s">
        <v>914</v>
      </c>
      <c r="D79" s="514" t="s">
        <v>25</v>
      </c>
      <c r="E79" s="514"/>
      <c r="F79" s="514"/>
      <c r="G79" s="514"/>
    </row>
    <row r="80" spans="2:7" ht="16.2" customHeight="1">
      <c r="B80" s="514">
        <v>8.3000000000000007</v>
      </c>
      <c r="C80" s="514" t="s">
        <v>915</v>
      </c>
      <c r="D80" s="514" t="s">
        <v>25</v>
      </c>
      <c r="E80" s="514"/>
      <c r="F80" s="514"/>
      <c r="G80" s="514"/>
    </row>
    <row r="81" spans="2:7" ht="19.2">
      <c r="B81" s="514">
        <v>8.4</v>
      </c>
      <c r="C81" s="514" t="s">
        <v>916</v>
      </c>
      <c r="D81" s="514" t="s">
        <v>25</v>
      </c>
      <c r="E81" s="514"/>
      <c r="F81" s="514"/>
      <c r="G81" s="514"/>
    </row>
    <row r="82" spans="2:7" ht="19.2">
      <c r="B82" s="514">
        <v>8.5</v>
      </c>
      <c r="C82" s="514" t="s">
        <v>917</v>
      </c>
      <c r="D82" s="514" t="s">
        <v>25</v>
      </c>
      <c r="E82" s="514"/>
      <c r="F82" s="514"/>
      <c r="G82" s="514"/>
    </row>
    <row r="83" spans="2:7" ht="19.2">
      <c r="B83" s="514">
        <v>8.6</v>
      </c>
      <c r="C83" s="514" t="s">
        <v>918</v>
      </c>
      <c r="D83" s="514" t="s">
        <v>25</v>
      </c>
      <c r="E83" s="514"/>
      <c r="F83" s="514"/>
      <c r="G83" s="514"/>
    </row>
    <row r="84" spans="2:7" ht="19.2">
      <c r="B84" s="514">
        <v>8.6999999999999993</v>
      </c>
      <c r="C84" s="514" t="s">
        <v>919</v>
      </c>
      <c r="D84" s="514" t="s">
        <v>47</v>
      </c>
      <c r="E84" s="514"/>
      <c r="F84" s="514"/>
      <c r="G84" s="514"/>
    </row>
    <row r="85" spans="2:7" ht="19.2">
      <c r="B85" s="514">
        <v>8.8000000000000007</v>
      </c>
      <c r="C85" s="514" t="s">
        <v>920</v>
      </c>
      <c r="D85" s="514" t="s">
        <v>47</v>
      </c>
      <c r="E85" s="514"/>
      <c r="F85" s="514"/>
      <c r="G85" s="514"/>
    </row>
    <row r="86" spans="2:7" ht="19.2">
      <c r="B86" s="514">
        <v>8.9</v>
      </c>
      <c r="C86" s="514" t="s">
        <v>921</v>
      </c>
      <c r="D86" s="514" t="s">
        <v>47</v>
      </c>
      <c r="E86" s="514"/>
      <c r="F86" s="514"/>
      <c r="G86" s="514"/>
    </row>
    <row r="87" spans="2:7" ht="16.2" customHeight="1">
      <c r="B87" s="533">
        <v>8.1</v>
      </c>
      <c r="C87" s="514" t="s">
        <v>922</v>
      </c>
      <c r="D87" s="514" t="s">
        <v>25</v>
      </c>
      <c r="E87" s="514"/>
      <c r="F87" s="514"/>
      <c r="G87" s="514"/>
    </row>
    <row r="88" spans="2:7" ht="16.2" customHeight="1">
      <c r="B88" s="514">
        <v>8.11</v>
      </c>
      <c r="C88" s="514" t="s">
        <v>923</v>
      </c>
      <c r="D88" s="514" t="s">
        <v>25</v>
      </c>
      <c r="E88" s="514"/>
      <c r="F88" s="514"/>
      <c r="G88" s="514"/>
    </row>
    <row r="89" spans="2:7" ht="35.4" customHeight="1">
      <c r="B89" s="514">
        <v>8.1199999999999992</v>
      </c>
      <c r="C89" s="514" t="s">
        <v>954</v>
      </c>
      <c r="D89" s="514" t="s">
        <v>25</v>
      </c>
      <c r="E89" s="514"/>
      <c r="F89" s="514"/>
      <c r="G89" s="514"/>
    </row>
    <row r="90" spans="2:7" ht="16.2" customHeight="1">
      <c r="B90" s="514">
        <v>8.1300000000000008</v>
      </c>
      <c r="C90" s="514" t="s">
        <v>924</v>
      </c>
      <c r="D90" s="514" t="s">
        <v>306</v>
      </c>
      <c r="E90" s="514"/>
      <c r="F90" s="514"/>
      <c r="G90" s="514"/>
    </row>
    <row r="91" spans="2:7" ht="16.2" customHeight="1">
      <c r="B91" s="514">
        <v>8.14</v>
      </c>
      <c r="C91" s="514" t="s">
        <v>925</v>
      </c>
      <c r="D91" s="514" t="s">
        <v>306</v>
      </c>
      <c r="E91" s="514"/>
      <c r="F91" s="514"/>
      <c r="G91" s="514"/>
    </row>
    <row r="92" spans="2:7" ht="19.2">
      <c r="B92" s="514">
        <v>8.15</v>
      </c>
      <c r="C92" s="514" t="s">
        <v>926</v>
      </c>
      <c r="D92" s="514" t="s">
        <v>306</v>
      </c>
      <c r="E92" s="514"/>
      <c r="F92" s="514"/>
      <c r="G92" s="514"/>
    </row>
    <row r="93" spans="2:7" ht="37.950000000000003" customHeight="1">
      <c r="B93" s="514">
        <v>8.1600000000000108</v>
      </c>
      <c r="C93" s="514" t="s">
        <v>927</v>
      </c>
      <c r="D93" s="514" t="s">
        <v>955</v>
      </c>
      <c r="E93" s="514"/>
      <c r="F93" s="514"/>
      <c r="G93" s="514"/>
    </row>
  </sheetData>
  <mergeCells count="26">
    <mergeCell ref="F14:F15"/>
    <mergeCell ref="G14:G15"/>
    <mergeCell ref="E16:E17"/>
    <mergeCell ref="F16:F17"/>
    <mergeCell ref="G16:G17"/>
    <mergeCell ref="B16:B17"/>
    <mergeCell ref="D16:D17"/>
    <mergeCell ref="B14:B15"/>
    <mergeCell ref="D14:D15"/>
    <mergeCell ref="E14:E15"/>
    <mergeCell ref="G2:G3"/>
    <mergeCell ref="D7:D8"/>
    <mergeCell ref="B9:B11"/>
    <mergeCell ref="D9:D11"/>
    <mergeCell ref="B12:B13"/>
    <mergeCell ref="D12:D13"/>
    <mergeCell ref="E12:E13"/>
    <mergeCell ref="F12:F13"/>
    <mergeCell ref="G12:G13"/>
    <mergeCell ref="E7:E8"/>
    <mergeCell ref="F7:F8"/>
    <mergeCell ref="G7:G8"/>
    <mergeCell ref="B7:B8"/>
    <mergeCell ref="E9:E11"/>
    <mergeCell ref="F9:F11"/>
    <mergeCell ref="G9:G11"/>
  </mergeCells>
  <printOptions horizontalCentered="1"/>
  <pageMargins left="0.7" right="0.7" top="0.75" bottom="0.75" header="0.3" footer="0.3"/>
  <pageSetup paperSize="9" scale="67" orientation="portrait" r:id="rId1"/>
  <headerFooter>
    <oddHeader>&amp;L&amp;"Gill Sans MT,Italic"&amp;9Rahughat Mangale Hydroelectric Project
Tundi Power Company Pvt. Ltd.&amp;R&amp;"Gill Sans MT,Italic"&amp;9Bidding Documents for Construction of Civil Works
Volume IV: Bill of Quantities</oddHeader>
    <oddFooter>&amp;L&amp;"Gill Sans MT,Italic"Company:
Seal:&amp;C&amp;"Gill Sans MT,Italic"Signature:
Name of Signatory:
Designation:&amp;R&amp;P of &amp;N</oddFooter>
  </headerFooter>
  <rowBreaks count="3" manualBreakCount="3">
    <brk id="21" min="1" max="6" man="1"/>
    <brk id="48" min="1" max="6" man="1"/>
    <brk id="72" min="1" max="6" man="1"/>
  </rowBreaks>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4"/>
  <dimension ref="A2:Q327"/>
  <sheetViews>
    <sheetView workbookViewId="0"/>
  </sheetViews>
  <sheetFormatPr defaultColWidth="9.109375" defaultRowHeight="13.8"/>
  <cols>
    <col min="1" max="1" width="9.109375" style="543"/>
    <col min="2" max="2" width="10.44140625" style="543" customWidth="1"/>
    <col min="3" max="3" width="73.33203125" style="543" customWidth="1"/>
    <col min="4" max="4" width="9.109375" style="543"/>
    <col min="5" max="5" width="10.5546875" style="543" customWidth="1"/>
    <col min="6" max="8" width="9.109375" style="543" customWidth="1"/>
    <col min="9" max="9" width="12.88671875" style="543" customWidth="1"/>
    <col min="10" max="10" width="12.33203125" style="543" customWidth="1"/>
    <col min="11" max="11" width="11.6640625" style="543" customWidth="1"/>
    <col min="12" max="12" width="18.44140625" style="543" customWidth="1"/>
    <col min="13" max="13" width="9.109375" style="543"/>
    <col min="14" max="14" width="12.44140625" style="543" hidden="1" customWidth="1"/>
    <col min="15" max="15" width="0" style="543" hidden="1" customWidth="1"/>
    <col min="16" max="16" width="15.6640625" style="543" hidden="1" customWidth="1"/>
    <col min="17" max="17" width="14.88671875" style="543" hidden="1" customWidth="1"/>
    <col min="18" max="18" width="0" style="543" hidden="1" customWidth="1"/>
    <col min="19" max="16384" width="9.109375" style="543"/>
  </cols>
  <sheetData>
    <row r="2" spans="1:10" ht="16.8">
      <c r="A2" s="539" t="s">
        <v>977</v>
      </c>
      <c r="B2" s="540"/>
      <c r="C2" s="541"/>
      <c r="D2" s="541"/>
      <c r="E2" s="541"/>
      <c r="F2" s="541"/>
      <c r="G2" s="541"/>
      <c r="H2" s="541"/>
      <c r="I2" s="541"/>
      <c r="J2" s="542"/>
    </row>
    <row r="4" spans="1:10" ht="41.4">
      <c r="A4" s="544" t="s">
        <v>7</v>
      </c>
      <c r="B4" s="544" t="s">
        <v>978</v>
      </c>
      <c r="C4" s="544" t="s">
        <v>979</v>
      </c>
      <c r="D4" s="544" t="s">
        <v>9</v>
      </c>
      <c r="E4" s="545" t="s">
        <v>980</v>
      </c>
      <c r="F4" s="545" t="s">
        <v>981</v>
      </c>
      <c r="G4" s="545" t="s">
        <v>982</v>
      </c>
      <c r="H4" s="545" t="s">
        <v>983</v>
      </c>
      <c r="I4" s="545" t="s">
        <v>984</v>
      </c>
      <c r="J4" s="545" t="s">
        <v>985</v>
      </c>
    </row>
    <row r="5" spans="1:10">
      <c r="A5" s="546" t="s">
        <v>173</v>
      </c>
      <c r="B5" s="546"/>
      <c r="C5" s="547" t="s">
        <v>986</v>
      </c>
      <c r="D5" s="547"/>
      <c r="E5" s="547"/>
      <c r="F5" s="547"/>
      <c r="G5" s="547"/>
      <c r="H5" s="547"/>
      <c r="I5" s="547"/>
      <c r="J5" s="547"/>
    </row>
    <row r="6" spans="1:10" ht="47.4" customHeight="1">
      <c r="A6" s="548">
        <v>1</v>
      </c>
      <c r="B6" s="548" t="e">
        <f>#REF!</f>
        <v>#REF!</v>
      </c>
      <c r="C6" s="549" t="e">
        <f>#REF!</f>
        <v>#REF!</v>
      </c>
      <c r="D6" s="548" t="e">
        <f>#REF!</f>
        <v>#REF!</v>
      </c>
      <c r="E6" s="550" t="e">
        <f>#REF!</f>
        <v>#REF!</v>
      </c>
      <c r="F6" s="550" t="e">
        <f t="shared" ref="F6:F17" si="0">ROUND(E6/exr,2)</f>
        <v>#REF!</v>
      </c>
      <c r="G6" s="551" t="e">
        <f>1-H6</f>
        <v>#REF!</v>
      </c>
      <c r="H6" s="551" t="e">
        <f>#REF!</f>
        <v>#REF!</v>
      </c>
      <c r="I6" s="550" t="e">
        <f>E6*G6</f>
        <v>#REF!</v>
      </c>
      <c r="J6" s="550" t="e">
        <f>F6*H6</f>
        <v>#REF!</v>
      </c>
    </row>
    <row r="7" spans="1:10" ht="47.4" customHeight="1">
      <c r="A7" s="548">
        <f>A6+1</f>
        <v>2</v>
      </c>
      <c r="B7" s="548" t="e">
        <f>#REF!</f>
        <v>#REF!</v>
      </c>
      <c r="C7" s="549" t="e">
        <f>#REF!</f>
        <v>#REF!</v>
      </c>
      <c r="D7" s="548" t="e">
        <f>#REF!</f>
        <v>#REF!</v>
      </c>
      <c r="E7" s="550" t="e">
        <f>#REF!</f>
        <v>#REF!</v>
      </c>
      <c r="F7" s="550" t="e">
        <f t="shared" si="0"/>
        <v>#REF!</v>
      </c>
      <c r="G7" s="551" t="e">
        <f t="shared" ref="G7:G17" si="1">1-H7</f>
        <v>#REF!</v>
      </c>
      <c r="H7" s="551" t="e">
        <f>#REF!</f>
        <v>#REF!</v>
      </c>
      <c r="I7" s="550" t="e">
        <f t="shared" ref="I7:J17" si="2">E7*G7</f>
        <v>#REF!</v>
      </c>
      <c r="J7" s="550" t="e">
        <f t="shared" si="2"/>
        <v>#REF!</v>
      </c>
    </row>
    <row r="8" spans="1:10" ht="24" customHeight="1">
      <c r="A8" s="548">
        <f t="shared" ref="A8:A16" si="3">A7+1</f>
        <v>3</v>
      </c>
      <c r="B8" s="548" t="e">
        <f>#REF!</f>
        <v>#REF!</v>
      </c>
      <c r="C8" s="549" t="e">
        <f>#REF!</f>
        <v>#REF!</v>
      </c>
      <c r="D8" s="548" t="e">
        <f>#REF!</f>
        <v>#REF!</v>
      </c>
      <c r="E8" s="550" t="e">
        <f>#REF!</f>
        <v>#REF!</v>
      </c>
      <c r="F8" s="550" t="e">
        <f t="shared" si="0"/>
        <v>#REF!</v>
      </c>
      <c r="G8" s="551" t="e">
        <f t="shared" si="1"/>
        <v>#REF!</v>
      </c>
      <c r="H8" s="551" t="e">
        <f>#REF!</f>
        <v>#REF!</v>
      </c>
      <c r="I8" s="550" t="e">
        <f t="shared" si="2"/>
        <v>#REF!</v>
      </c>
      <c r="J8" s="550" t="e">
        <f t="shared" si="2"/>
        <v>#REF!</v>
      </c>
    </row>
    <row r="9" spans="1:10">
      <c r="A9" s="548">
        <f t="shared" si="3"/>
        <v>4</v>
      </c>
      <c r="B9" s="548" t="e">
        <f>#REF!</f>
        <v>#REF!</v>
      </c>
      <c r="C9" s="549" t="e">
        <f>#REF!</f>
        <v>#REF!</v>
      </c>
      <c r="D9" s="548" t="e">
        <f>#REF!</f>
        <v>#REF!</v>
      </c>
      <c r="E9" s="550" t="e">
        <f>#REF!</f>
        <v>#REF!</v>
      </c>
      <c r="F9" s="550" t="e">
        <f t="shared" si="0"/>
        <v>#REF!</v>
      </c>
      <c r="G9" s="551" t="e">
        <f t="shared" si="1"/>
        <v>#REF!</v>
      </c>
      <c r="H9" s="551" t="e">
        <f>#REF!</f>
        <v>#REF!</v>
      </c>
      <c r="I9" s="550" t="e">
        <f t="shared" si="2"/>
        <v>#REF!</v>
      </c>
      <c r="J9" s="550" t="e">
        <f t="shared" si="2"/>
        <v>#REF!</v>
      </c>
    </row>
    <row r="10" spans="1:10">
      <c r="A10" s="548">
        <f t="shared" si="3"/>
        <v>5</v>
      </c>
      <c r="B10" s="548" t="e">
        <f>#REF!</f>
        <v>#REF!</v>
      </c>
      <c r="C10" s="549" t="e">
        <f>#REF!</f>
        <v>#REF!</v>
      </c>
      <c r="D10" s="548" t="e">
        <f>#REF!</f>
        <v>#REF!</v>
      </c>
      <c r="E10" s="550" t="e">
        <f>#REF!</f>
        <v>#REF!</v>
      </c>
      <c r="F10" s="550" t="e">
        <f t="shared" si="0"/>
        <v>#REF!</v>
      </c>
      <c r="G10" s="551" t="e">
        <f t="shared" si="1"/>
        <v>#REF!</v>
      </c>
      <c r="H10" s="551" t="e">
        <f>#REF!</f>
        <v>#REF!</v>
      </c>
      <c r="I10" s="550" t="e">
        <f t="shared" si="2"/>
        <v>#REF!</v>
      </c>
      <c r="J10" s="550" t="e">
        <f t="shared" si="2"/>
        <v>#REF!</v>
      </c>
    </row>
    <row r="11" spans="1:10">
      <c r="A11" s="548">
        <f t="shared" si="3"/>
        <v>6</v>
      </c>
      <c r="B11" s="548" t="e">
        <f>#REF!</f>
        <v>#REF!</v>
      </c>
      <c r="C11" s="549" t="e">
        <f>#REF!</f>
        <v>#REF!</v>
      </c>
      <c r="D11" s="548" t="e">
        <f>#REF!</f>
        <v>#REF!</v>
      </c>
      <c r="E11" s="550" t="e">
        <f>#REF!</f>
        <v>#REF!</v>
      </c>
      <c r="F11" s="550" t="e">
        <f t="shared" si="0"/>
        <v>#REF!</v>
      </c>
      <c r="G11" s="551" t="e">
        <f t="shared" si="1"/>
        <v>#REF!</v>
      </c>
      <c r="H11" s="551" t="e">
        <f>#REF!</f>
        <v>#REF!</v>
      </c>
      <c r="I11" s="550" t="e">
        <f t="shared" si="2"/>
        <v>#REF!</v>
      </c>
      <c r="J11" s="550" t="e">
        <f t="shared" si="2"/>
        <v>#REF!</v>
      </c>
    </row>
    <row r="12" spans="1:10">
      <c r="A12" s="548">
        <f t="shared" si="3"/>
        <v>7</v>
      </c>
      <c r="B12" s="548" t="e">
        <f>#REF!</f>
        <v>#REF!</v>
      </c>
      <c r="C12" s="549" t="e">
        <f>#REF!</f>
        <v>#REF!</v>
      </c>
      <c r="D12" s="548" t="e">
        <f>#REF!</f>
        <v>#REF!</v>
      </c>
      <c r="E12" s="550" t="e">
        <f>#REF!</f>
        <v>#REF!</v>
      </c>
      <c r="F12" s="550" t="e">
        <f t="shared" si="0"/>
        <v>#REF!</v>
      </c>
      <c r="G12" s="551" t="e">
        <f t="shared" si="1"/>
        <v>#REF!</v>
      </c>
      <c r="H12" s="551" t="e">
        <f>#REF!</f>
        <v>#REF!</v>
      </c>
      <c r="I12" s="550" t="e">
        <f t="shared" si="2"/>
        <v>#REF!</v>
      </c>
      <c r="J12" s="550" t="e">
        <f t="shared" si="2"/>
        <v>#REF!</v>
      </c>
    </row>
    <row r="13" spans="1:10">
      <c r="A13" s="548">
        <f t="shared" si="3"/>
        <v>8</v>
      </c>
      <c r="B13" s="548" t="e">
        <f>#REF!</f>
        <v>#REF!</v>
      </c>
      <c r="C13" s="549" t="e">
        <f>#REF!</f>
        <v>#REF!</v>
      </c>
      <c r="D13" s="548" t="e">
        <f>#REF!</f>
        <v>#REF!</v>
      </c>
      <c r="E13" s="550" t="e">
        <f>#REF!</f>
        <v>#REF!</v>
      </c>
      <c r="F13" s="550" t="e">
        <f t="shared" si="0"/>
        <v>#REF!</v>
      </c>
      <c r="G13" s="551" t="e">
        <f t="shared" si="1"/>
        <v>#REF!</v>
      </c>
      <c r="H13" s="551" t="e">
        <f>#REF!</f>
        <v>#REF!</v>
      </c>
      <c r="I13" s="550" t="e">
        <f t="shared" si="2"/>
        <v>#REF!</v>
      </c>
      <c r="J13" s="550" t="e">
        <f t="shared" si="2"/>
        <v>#REF!</v>
      </c>
    </row>
    <row r="14" spans="1:10">
      <c r="A14" s="548">
        <f t="shared" si="3"/>
        <v>9</v>
      </c>
      <c r="B14" s="548" t="e">
        <f>#REF!</f>
        <v>#REF!</v>
      </c>
      <c r="C14" s="549" t="e">
        <f>#REF!</f>
        <v>#REF!</v>
      </c>
      <c r="D14" s="548" t="e">
        <f>#REF!</f>
        <v>#REF!</v>
      </c>
      <c r="E14" s="550" t="e">
        <f>#REF!</f>
        <v>#REF!</v>
      </c>
      <c r="F14" s="550" t="e">
        <f t="shared" si="0"/>
        <v>#REF!</v>
      </c>
      <c r="G14" s="551" t="e">
        <f t="shared" si="1"/>
        <v>#REF!</v>
      </c>
      <c r="H14" s="551" t="e">
        <f>#REF!</f>
        <v>#REF!</v>
      </c>
      <c r="I14" s="550" t="e">
        <f t="shared" si="2"/>
        <v>#REF!</v>
      </c>
      <c r="J14" s="550" t="e">
        <f t="shared" si="2"/>
        <v>#REF!</v>
      </c>
    </row>
    <row r="15" spans="1:10">
      <c r="A15" s="548">
        <f t="shared" si="3"/>
        <v>10</v>
      </c>
      <c r="B15" s="548" t="e">
        <f>#REF!</f>
        <v>#REF!</v>
      </c>
      <c r="C15" s="549" t="e">
        <f>#REF!</f>
        <v>#REF!</v>
      </c>
      <c r="D15" s="548" t="e">
        <f>#REF!</f>
        <v>#REF!</v>
      </c>
      <c r="E15" s="550" t="e">
        <f>#REF!</f>
        <v>#REF!</v>
      </c>
      <c r="F15" s="550" t="e">
        <f t="shared" si="0"/>
        <v>#REF!</v>
      </c>
      <c r="G15" s="551" t="e">
        <f t="shared" si="1"/>
        <v>#REF!</v>
      </c>
      <c r="H15" s="551" t="e">
        <f>#REF!</f>
        <v>#REF!</v>
      </c>
      <c r="I15" s="550" t="e">
        <f t="shared" si="2"/>
        <v>#REF!</v>
      </c>
      <c r="J15" s="550" t="e">
        <f t="shared" si="2"/>
        <v>#REF!</v>
      </c>
    </row>
    <row r="16" spans="1:10">
      <c r="A16" s="548">
        <f t="shared" si="3"/>
        <v>11</v>
      </c>
      <c r="B16" s="548" t="e">
        <f>#REF!</f>
        <v>#REF!</v>
      </c>
      <c r="C16" s="549" t="e">
        <f>#REF!</f>
        <v>#REF!</v>
      </c>
      <c r="D16" s="548" t="e">
        <f>#REF!</f>
        <v>#REF!</v>
      </c>
      <c r="E16" s="550" t="e">
        <f>#REF!</f>
        <v>#REF!</v>
      </c>
      <c r="F16" s="550" t="e">
        <f t="shared" si="0"/>
        <v>#REF!</v>
      </c>
      <c r="G16" s="551" t="e">
        <f t="shared" si="1"/>
        <v>#REF!</v>
      </c>
      <c r="H16" s="551" t="e">
        <f>#REF!</f>
        <v>#REF!</v>
      </c>
      <c r="I16" s="550" t="e">
        <f t="shared" si="2"/>
        <v>#REF!</v>
      </c>
      <c r="J16" s="550" t="e">
        <f t="shared" si="2"/>
        <v>#REF!</v>
      </c>
    </row>
    <row r="17" spans="1:11">
      <c r="A17" s="548">
        <f>A16+1</f>
        <v>12</v>
      </c>
      <c r="B17" s="548" t="e">
        <f>#REF!</f>
        <v>#REF!</v>
      </c>
      <c r="C17" s="549" t="e">
        <f>#REF!</f>
        <v>#REF!</v>
      </c>
      <c r="D17" s="548" t="e">
        <f>#REF!</f>
        <v>#REF!</v>
      </c>
      <c r="E17" s="550" t="e">
        <f>#REF!</f>
        <v>#REF!</v>
      </c>
      <c r="F17" s="550" t="e">
        <f t="shared" si="0"/>
        <v>#REF!</v>
      </c>
      <c r="G17" s="551" t="e">
        <f t="shared" si="1"/>
        <v>#REF!</v>
      </c>
      <c r="H17" s="551" t="e">
        <f>#REF!</f>
        <v>#REF!</v>
      </c>
      <c r="I17" s="550" t="e">
        <f t="shared" si="2"/>
        <v>#REF!</v>
      </c>
      <c r="J17" s="550" t="e">
        <f t="shared" si="2"/>
        <v>#REF!</v>
      </c>
    </row>
    <row r="18" spans="1:11">
      <c r="A18" s="552"/>
      <c r="B18" s="552"/>
      <c r="C18" s="552"/>
      <c r="D18" s="552"/>
      <c r="E18" s="552"/>
      <c r="F18" s="552"/>
      <c r="G18" s="553"/>
      <c r="H18" s="553"/>
      <c r="I18" s="552"/>
      <c r="J18" s="552"/>
    </row>
    <row r="19" spans="1:11">
      <c r="A19" s="546" t="s">
        <v>243</v>
      </c>
      <c r="B19" s="546"/>
      <c r="C19" s="547" t="s">
        <v>987</v>
      </c>
      <c r="D19" s="547"/>
      <c r="E19" s="547"/>
      <c r="F19" s="547"/>
      <c r="G19" s="547"/>
      <c r="H19" s="547"/>
      <c r="I19" s="547"/>
      <c r="J19" s="547"/>
    </row>
    <row r="20" spans="1:11">
      <c r="A20" s="548">
        <f>A17+1</f>
        <v>13</v>
      </c>
      <c r="B20" s="548" t="e">
        <f>#REF!</f>
        <v>#REF!</v>
      </c>
      <c r="C20" s="549" t="e">
        <f>#REF!</f>
        <v>#REF!</v>
      </c>
      <c r="D20" s="548" t="e">
        <f>#REF!</f>
        <v>#REF!</v>
      </c>
      <c r="E20" s="550" t="e">
        <f>#REF!</f>
        <v>#REF!</v>
      </c>
      <c r="F20" s="550" t="e">
        <f t="shared" ref="F20:F37" si="4">ROUND(E20/exr,2)</f>
        <v>#REF!</v>
      </c>
      <c r="G20" s="551" t="e">
        <f t="shared" ref="G20:G41" si="5">1-H20</f>
        <v>#REF!</v>
      </c>
      <c r="H20" s="551" t="e">
        <f>#REF!</f>
        <v>#REF!</v>
      </c>
      <c r="I20" s="550" t="e">
        <f t="shared" ref="I20:J41" si="6">E20*G20</f>
        <v>#REF!</v>
      </c>
      <c r="J20" s="550" t="e">
        <f t="shared" si="6"/>
        <v>#REF!</v>
      </c>
    </row>
    <row r="21" spans="1:11">
      <c r="A21" s="548">
        <f>A20+1</f>
        <v>14</v>
      </c>
      <c r="B21" s="548" t="e">
        <f>#REF!</f>
        <v>#REF!</v>
      </c>
      <c r="C21" s="554" t="e">
        <f>#REF!</f>
        <v>#REF!</v>
      </c>
      <c r="D21" s="548" t="e">
        <f>#REF!</f>
        <v>#REF!</v>
      </c>
      <c r="E21" s="550" t="e">
        <f>#REF!</f>
        <v>#REF!</v>
      </c>
      <c r="F21" s="550" t="e">
        <f t="shared" si="4"/>
        <v>#REF!</v>
      </c>
      <c r="G21" s="551" t="e">
        <f t="shared" si="5"/>
        <v>#REF!</v>
      </c>
      <c r="H21" s="551" t="e">
        <f>#REF!</f>
        <v>#REF!</v>
      </c>
      <c r="I21" s="550" t="e">
        <f t="shared" si="6"/>
        <v>#REF!</v>
      </c>
      <c r="J21" s="550" t="e">
        <f t="shared" si="6"/>
        <v>#REF!</v>
      </c>
    </row>
    <row r="22" spans="1:11">
      <c r="A22" s="548">
        <f>A21+1</f>
        <v>15</v>
      </c>
      <c r="B22" s="548" t="e">
        <f>#REF!</f>
        <v>#REF!</v>
      </c>
      <c r="C22" s="549" t="e">
        <f>#REF!</f>
        <v>#REF!</v>
      </c>
      <c r="D22" s="548" t="e">
        <f>#REF!</f>
        <v>#REF!</v>
      </c>
      <c r="E22" s="550" t="e">
        <f>#REF!</f>
        <v>#REF!</v>
      </c>
      <c r="F22" s="550" t="e">
        <f t="shared" si="4"/>
        <v>#REF!</v>
      </c>
      <c r="G22" s="551" t="e">
        <f t="shared" si="5"/>
        <v>#REF!</v>
      </c>
      <c r="H22" s="551" t="e">
        <f>#REF!</f>
        <v>#REF!</v>
      </c>
      <c r="I22" s="550" t="e">
        <f t="shared" si="6"/>
        <v>#REF!</v>
      </c>
      <c r="J22" s="550" t="e">
        <f t="shared" si="6"/>
        <v>#REF!</v>
      </c>
    </row>
    <row r="23" spans="1:11">
      <c r="A23" s="548">
        <f t="shared" ref="A23:A41" si="7">A22+1</f>
        <v>16</v>
      </c>
      <c r="B23" s="548" t="e">
        <f>#REF!</f>
        <v>#REF!</v>
      </c>
      <c r="C23" s="554" t="e">
        <f>#REF!</f>
        <v>#REF!</v>
      </c>
      <c r="D23" s="548" t="e">
        <f>#REF!</f>
        <v>#REF!</v>
      </c>
      <c r="E23" s="550" t="e">
        <f>#REF!</f>
        <v>#REF!</v>
      </c>
      <c r="F23" s="550" t="e">
        <f t="shared" si="4"/>
        <v>#REF!</v>
      </c>
      <c r="G23" s="551" t="e">
        <f t="shared" si="5"/>
        <v>#REF!</v>
      </c>
      <c r="H23" s="551" t="e">
        <f>#REF!</f>
        <v>#REF!</v>
      </c>
      <c r="I23" s="550" t="e">
        <f t="shared" si="6"/>
        <v>#REF!</v>
      </c>
      <c r="J23" s="550" t="e">
        <f t="shared" si="6"/>
        <v>#REF!</v>
      </c>
    </row>
    <row r="24" spans="1:11">
      <c r="A24" s="548">
        <f t="shared" si="7"/>
        <v>17</v>
      </c>
      <c r="B24" s="548" t="e">
        <f>#REF!</f>
        <v>#REF!</v>
      </c>
      <c r="C24" s="549" t="e">
        <f>#REF!</f>
        <v>#REF!</v>
      </c>
      <c r="D24" s="548" t="e">
        <f>#REF!</f>
        <v>#REF!</v>
      </c>
      <c r="E24" s="550" t="e">
        <f>#REF!</f>
        <v>#REF!</v>
      </c>
      <c r="F24" s="550" t="e">
        <f t="shared" si="4"/>
        <v>#REF!</v>
      </c>
      <c r="G24" s="551" t="e">
        <f t="shared" si="5"/>
        <v>#REF!</v>
      </c>
      <c r="H24" s="551" t="e">
        <f>#REF!</f>
        <v>#REF!</v>
      </c>
      <c r="I24" s="550" t="e">
        <f t="shared" si="6"/>
        <v>#REF!</v>
      </c>
      <c r="J24" s="550" t="e">
        <f t="shared" si="6"/>
        <v>#REF!</v>
      </c>
    </row>
    <row r="25" spans="1:11">
      <c r="A25" s="548">
        <f t="shared" si="7"/>
        <v>18</v>
      </c>
      <c r="B25" s="548" t="e">
        <f>#REF!</f>
        <v>#REF!</v>
      </c>
      <c r="C25" s="554" t="e">
        <f>#REF!</f>
        <v>#REF!</v>
      </c>
      <c r="D25" s="548" t="e">
        <f>#REF!</f>
        <v>#REF!</v>
      </c>
      <c r="E25" s="550" t="e">
        <f>#REF!</f>
        <v>#REF!</v>
      </c>
      <c r="F25" s="550" t="e">
        <f t="shared" si="4"/>
        <v>#REF!</v>
      </c>
      <c r="G25" s="551" t="e">
        <f t="shared" si="5"/>
        <v>#REF!</v>
      </c>
      <c r="H25" s="551" t="e">
        <f>#REF!</f>
        <v>#REF!</v>
      </c>
      <c r="I25" s="550" t="e">
        <f t="shared" si="6"/>
        <v>#REF!</v>
      </c>
      <c r="J25" s="550" t="e">
        <f t="shared" si="6"/>
        <v>#REF!</v>
      </c>
      <c r="K25" s="555"/>
    </row>
    <row r="26" spans="1:11">
      <c r="A26" s="548">
        <f t="shared" si="7"/>
        <v>19</v>
      </c>
      <c r="B26" s="548" t="e">
        <f>#REF!</f>
        <v>#REF!</v>
      </c>
      <c r="C26" s="549" t="e">
        <f>#REF!</f>
        <v>#REF!</v>
      </c>
      <c r="D26" s="548" t="e">
        <f>#REF!</f>
        <v>#REF!</v>
      </c>
      <c r="E26" s="550" t="e">
        <f>#REF!</f>
        <v>#REF!</v>
      </c>
      <c r="F26" s="550" t="e">
        <f t="shared" si="4"/>
        <v>#REF!</v>
      </c>
      <c r="G26" s="551" t="e">
        <f t="shared" si="5"/>
        <v>#REF!</v>
      </c>
      <c r="H26" s="551" t="e">
        <f>#REF!</f>
        <v>#REF!</v>
      </c>
      <c r="I26" s="550" t="e">
        <f t="shared" si="6"/>
        <v>#REF!</v>
      </c>
      <c r="J26" s="550" t="e">
        <f t="shared" si="6"/>
        <v>#REF!</v>
      </c>
    </row>
    <row r="27" spans="1:11">
      <c r="A27" s="548">
        <f t="shared" si="7"/>
        <v>20</v>
      </c>
      <c r="B27" s="548" t="e">
        <f>#REF!</f>
        <v>#REF!</v>
      </c>
      <c r="C27" s="549" t="e">
        <f>#REF!</f>
        <v>#REF!</v>
      </c>
      <c r="D27" s="548" t="e">
        <f>#REF!</f>
        <v>#REF!</v>
      </c>
      <c r="E27" s="550" t="e">
        <f>#REF!</f>
        <v>#REF!</v>
      </c>
      <c r="F27" s="550" t="e">
        <f t="shared" si="4"/>
        <v>#REF!</v>
      </c>
      <c r="G27" s="551" t="e">
        <f t="shared" si="5"/>
        <v>#REF!</v>
      </c>
      <c r="H27" s="551" t="e">
        <f>#REF!</f>
        <v>#REF!</v>
      </c>
      <c r="I27" s="550" t="e">
        <f t="shared" si="6"/>
        <v>#REF!</v>
      </c>
      <c r="J27" s="550" t="e">
        <f t="shared" si="6"/>
        <v>#REF!</v>
      </c>
    </row>
    <row r="28" spans="1:11" ht="30.75" customHeight="1">
      <c r="A28" s="548">
        <f t="shared" si="7"/>
        <v>21</v>
      </c>
      <c r="B28" s="548" t="e">
        <f>#REF!</f>
        <v>#REF!</v>
      </c>
      <c r="C28" s="549" t="e">
        <f>#REF!</f>
        <v>#REF!</v>
      </c>
      <c r="D28" s="548" t="e">
        <f>#REF!</f>
        <v>#REF!</v>
      </c>
      <c r="E28" s="550" t="e">
        <f>#REF!</f>
        <v>#REF!</v>
      </c>
      <c r="F28" s="550" t="e">
        <f t="shared" si="4"/>
        <v>#REF!</v>
      </c>
      <c r="G28" s="551" t="e">
        <f t="shared" si="5"/>
        <v>#REF!</v>
      </c>
      <c r="H28" s="551" t="e">
        <f>#REF!</f>
        <v>#REF!</v>
      </c>
      <c r="I28" s="550" t="e">
        <f t="shared" si="6"/>
        <v>#REF!</v>
      </c>
      <c r="J28" s="550" t="e">
        <f t="shared" si="6"/>
        <v>#REF!</v>
      </c>
    </row>
    <row r="29" spans="1:11">
      <c r="A29" s="548">
        <f t="shared" si="7"/>
        <v>22</v>
      </c>
      <c r="B29" s="548" t="e">
        <f>#REF!</f>
        <v>#REF!</v>
      </c>
      <c r="C29" s="549" t="e">
        <f>#REF!</f>
        <v>#REF!</v>
      </c>
      <c r="D29" s="548" t="e">
        <f>#REF!</f>
        <v>#REF!</v>
      </c>
      <c r="E29" s="550" t="e">
        <f>#REF!</f>
        <v>#REF!</v>
      </c>
      <c r="F29" s="550" t="e">
        <f t="shared" si="4"/>
        <v>#REF!</v>
      </c>
      <c r="G29" s="551" t="e">
        <f t="shared" si="5"/>
        <v>#REF!</v>
      </c>
      <c r="H29" s="551" t="e">
        <f>#REF!</f>
        <v>#REF!</v>
      </c>
      <c r="I29" s="550" t="e">
        <f t="shared" si="6"/>
        <v>#REF!</v>
      </c>
      <c r="J29" s="550" t="e">
        <f t="shared" si="6"/>
        <v>#REF!</v>
      </c>
    </row>
    <row r="30" spans="1:11">
      <c r="A30" s="548">
        <f t="shared" si="7"/>
        <v>23</v>
      </c>
      <c r="B30" s="548" t="e">
        <f>#REF!</f>
        <v>#REF!</v>
      </c>
      <c r="C30" s="549" t="e">
        <f>#REF!</f>
        <v>#REF!</v>
      </c>
      <c r="D30" s="548" t="e">
        <f>#REF!</f>
        <v>#REF!</v>
      </c>
      <c r="E30" s="550" t="e">
        <f>#REF!</f>
        <v>#REF!</v>
      </c>
      <c r="F30" s="550" t="e">
        <f t="shared" si="4"/>
        <v>#REF!</v>
      </c>
      <c r="G30" s="551" t="e">
        <f t="shared" si="5"/>
        <v>#REF!</v>
      </c>
      <c r="H30" s="551" t="e">
        <f>#REF!</f>
        <v>#REF!</v>
      </c>
      <c r="I30" s="550" t="e">
        <f t="shared" si="6"/>
        <v>#REF!</v>
      </c>
      <c r="J30" s="550" t="e">
        <f t="shared" si="6"/>
        <v>#REF!</v>
      </c>
    </row>
    <row r="31" spans="1:11">
      <c r="A31" s="548">
        <f t="shared" si="7"/>
        <v>24</v>
      </c>
      <c r="B31" s="548" t="e">
        <f>#REF!</f>
        <v>#REF!</v>
      </c>
      <c r="C31" s="549" t="e">
        <f>#REF!</f>
        <v>#REF!</v>
      </c>
      <c r="D31" s="548" t="e">
        <f>#REF!</f>
        <v>#REF!</v>
      </c>
      <c r="E31" s="550" t="e">
        <f>#REF!</f>
        <v>#REF!</v>
      </c>
      <c r="F31" s="550" t="e">
        <f t="shared" si="4"/>
        <v>#REF!</v>
      </c>
      <c r="G31" s="551" t="e">
        <f t="shared" si="5"/>
        <v>#REF!</v>
      </c>
      <c r="H31" s="551" t="e">
        <f>#REF!</f>
        <v>#REF!</v>
      </c>
      <c r="I31" s="550" t="e">
        <f t="shared" si="6"/>
        <v>#REF!</v>
      </c>
      <c r="J31" s="550" t="e">
        <f t="shared" si="6"/>
        <v>#REF!</v>
      </c>
    </row>
    <row r="32" spans="1:11">
      <c r="A32" s="548">
        <f t="shared" si="7"/>
        <v>25</v>
      </c>
      <c r="B32" s="548" t="e">
        <f>#REF!</f>
        <v>#REF!</v>
      </c>
      <c r="C32" s="549" t="e">
        <f>#REF!</f>
        <v>#REF!</v>
      </c>
      <c r="D32" s="548" t="e">
        <f>#REF!</f>
        <v>#REF!</v>
      </c>
      <c r="E32" s="550" t="e">
        <f>#REF!</f>
        <v>#REF!</v>
      </c>
      <c r="F32" s="550" t="e">
        <f t="shared" si="4"/>
        <v>#REF!</v>
      </c>
      <c r="G32" s="551" t="e">
        <f t="shared" si="5"/>
        <v>#REF!</v>
      </c>
      <c r="H32" s="551" t="e">
        <f>#REF!</f>
        <v>#REF!</v>
      </c>
      <c r="I32" s="550" t="e">
        <f t="shared" si="6"/>
        <v>#REF!</v>
      </c>
      <c r="J32" s="550" t="e">
        <f t="shared" si="6"/>
        <v>#REF!</v>
      </c>
    </row>
    <row r="33" spans="1:11" ht="156" customHeight="1">
      <c r="A33" s="548">
        <f t="shared" si="7"/>
        <v>26</v>
      </c>
      <c r="B33" s="548" t="e">
        <f>#REF!</f>
        <v>#REF!</v>
      </c>
      <c r="C33" s="549" t="e">
        <f>#REF!</f>
        <v>#REF!</v>
      </c>
      <c r="D33" s="548" t="e">
        <f>#REF!</f>
        <v>#REF!</v>
      </c>
      <c r="E33" s="556" t="e">
        <f>#REF!</f>
        <v>#REF!</v>
      </c>
      <c r="F33" s="550"/>
      <c r="G33" s="551" t="e">
        <f t="shared" si="5"/>
        <v>#REF!</v>
      </c>
      <c r="H33" s="551" t="e">
        <f>#REF!</f>
        <v>#REF!</v>
      </c>
      <c r="I33" s="550"/>
      <c r="J33" s="550"/>
    </row>
    <row r="34" spans="1:11">
      <c r="A34" s="548">
        <f t="shared" si="7"/>
        <v>27</v>
      </c>
      <c r="B34" s="548" t="e">
        <f>#REF!</f>
        <v>#REF!</v>
      </c>
      <c r="C34" s="549" t="e">
        <f>#REF!</f>
        <v>#REF!</v>
      </c>
      <c r="D34" s="548" t="e">
        <f>#REF!</f>
        <v>#REF!</v>
      </c>
      <c r="E34" s="550" t="e">
        <f>#REF!</f>
        <v>#REF!</v>
      </c>
      <c r="F34" s="550" t="e">
        <f t="shared" si="4"/>
        <v>#REF!</v>
      </c>
      <c r="G34" s="551" t="e">
        <f t="shared" si="5"/>
        <v>#REF!</v>
      </c>
      <c r="H34" s="551" t="e">
        <f>#REF!</f>
        <v>#REF!</v>
      </c>
      <c r="I34" s="550" t="e">
        <f t="shared" si="6"/>
        <v>#REF!</v>
      </c>
      <c r="J34" s="550" t="e">
        <f t="shared" si="6"/>
        <v>#REF!</v>
      </c>
    </row>
    <row r="35" spans="1:11">
      <c r="A35" s="548">
        <f t="shared" si="7"/>
        <v>28</v>
      </c>
      <c r="B35" s="548" t="e">
        <f>#REF!</f>
        <v>#REF!</v>
      </c>
      <c r="C35" s="549" t="e">
        <f>#REF!</f>
        <v>#REF!</v>
      </c>
      <c r="D35" s="548" t="e">
        <f>#REF!</f>
        <v>#REF!</v>
      </c>
      <c r="E35" s="550" t="e">
        <f>#REF!</f>
        <v>#REF!</v>
      </c>
      <c r="F35" s="550" t="e">
        <f t="shared" si="4"/>
        <v>#REF!</v>
      </c>
      <c r="G35" s="551" t="e">
        <f t="shared" si="5"/>
        <v>#REF!</v>
      </c>
      <c r="H35" s="551" t="e">
        <f>#REF!</f>
        <v>#REF!</v>
      </c>
      <c r="I35" s="550" t="e">
        <f t="shared" si="6"/>
        <v>#REF!</v>
      </c>
      <c r="J35" s="550" t="e">
        <f t="shared" si="6"/>
        <v>#REF!</v>
      </c>
    </row>
    <row r="36" spans="1:11">
      <c r="A36" s="548">
        <f t="shared" si="7"/>
        <v>29</v>
      </c>
      <c r="B36" s="548" t="e">
        <f>#REF!</f>
        <v>#REF!</v>
      </c>
      <c r="C36" s="549" t="e">
        <f>#REF!</f>
        <v>#REF!</v>
      </c>
      <c r="D36" s="548" t="e">
        <f>#REF!</f>
        <v>#REF!</v>
      </c>
      <c r="E36" s="550" t="e">
        <f>#REF!</f>
        <v>#REF!</v>
      </c>
      <c r="F36" s="550" t="e">
        <f t="shared" si="4"/>
        <v>#REF!</v>
      </c>
      <c r="G36" s="551" t="e">
        <f t="shared" si="5"/>
        <v>#REF!</v>
      </c>
      <c r="H36" s="551" t="e">
        <f>#REF!</f>
        <v>#REF!</v>
      </c>
      <c r="I36" s="550" t="e">
        <f t="shared" si="6"/>
        <v>#REF!</v>
      </c>
      <c r="J36" s="550" t="e">
        <f t="shared" si="6"/>
        <v>#REF!</v>
      </c>
    </row>
    <row r="37" spans="1:11">
      <c r="A37" s="548">
        <f t="shared" si="7"/>
        <v>30</v>
      </c>
      <c r="B37" s="548" t="e">
        <f>#REF!</f>
        <v>#REF!</v>
      </c>
      <c r="C37" s="549" t="e">
        <f>#REF!</f>
        <v>#REF!</v>
      </c>
      <c r="D37" s="548" t="e">
        <f>#REF!</f>
        <v>#REF!</v>
      </c>
      <c r="E37" s="550" t="e">
        <f>#REF!</f>
        <v>#REF!</v>
      </c>
      <c r="F37" s="550" t="e">
        <f t="shared" si="4"/>
        <v>#REF!</v>
      </c>
      <c r="G37" s="551" t="e">
        <f t="shared" si="5"/>
        <v>#REF!</v>
      </c>
      <c r="H37" s="551" t="e">
        <f>#REF!</f>
        <v>#REF!</v>
      </c>
      <c r="I37" s="550" t="e">
        <f t="shared" si="6"/>
        <v>#REF!</v>
      </c>
      <c r="J37" s="550" t="e">
        <f t="shared" si="6"/>
        <v>#REF!</v>
      </c>
    </row>
    <row r="38" spans="1:11">
      <c r="A38" s="548">
        <f t="shared" si="7"/>
        <v>31</v>
      </c>
      <c r="B38" s="548" t="e">
        <f>#REF!</f>
        <v>#REF!</v>
      </c>
      <c r="C38" s="549" t="e">
        <f>#REF!</f>
        <v>#REF!</v>
      </c>
      <c r="D38" s="548" t="e">
        <f>#REF!</f>
        <v>#REF!</v>
      </c>
      <c r="E38" s="556" t="e">
        <f>#REF!</f>
        <v>#REF!</v>
      </c>
      <c r="F38" s="550"/>
      <c r="G38" s="551" t="e">
        <f>1-H38</f>
        <v>#REF!</v>
      </c>
      <c r="H38" s="551" t="e">
        <f>#REF!</f>
        <v>#REF!</v>
      </c>
      <c r="I38" s="550"/>
      <c r="J38" s="550"/>
      <c r="K38" s="555"/>
    </row>
    <row r="39" spans="1:11">
      <c r="A39" s="548">
        <f t="shared" si="7"/>
        <v>32</v>
      </c>
      <c r="B39" s="548" t="e">
        <f>#REF!</f>
        <v>#REF!</v>
      </c>
      <c r="C39" s="549" t="e">
        <f>#REF!</f>
        <v>#REF!</v>
      </c>
      <c r="D39" s="548" t="e">
        <f>#REF!</f>
        <v>#REF!</v>
      </c>
      <c r="E39" s="550" t="e">
        <f>#REF!</f>
        <v>#REF!</v>
      </c>
      <c r="F39" s="550" t="e">
        <f>ROUND(E39/exr,2)</f>
        <v>#REF!</v>
      </c>
      <c r="G39" s="551" t="e">
        <f t="shared" si="5"/>
        <v>#REF!</v>
      </c>
      <c r="H39" s="551" t="e">
        <f>#REF!</f>
        <v>#REF!</v>
      </c>
      <c r="I39" s="550" t="e">
        <f t="shared" si="6"/>
        <v>#REF!</v>
      </c>
      <c r="J39" s="550" t="e">
        <f t="shared" si="6"/>
        <v>#REF!</v>
      </c>
      <c r="K39" s="555"/>
    </row>
    <row r="40" spans="1:11">
      <c r="A40" s="548">
        <f t="shared" si="7"/>
        <v>33</v>
      </c>
      <c r="B40" s="548" t="e">
        <f>#REF!</f>
        <v>#REF!</v>
      </c>
      <c r="C40" s="549" t="e">
        <f>#REF!</f>
        <v>#REF!</v>
      </c>
      <c r="D40" s="548" t="e">
        <f>#REF!</f>
        <v>#REF!</v>
      </c>
      <c r="E40" s="550" t="e">
        <f>#REF!</f>
        <v>#REF!</v>
      </c>
      <c r="F40" s="550" t="e">
        <f>ROUND(E40/exr,2)</f>
        <v>#REF!</v>
      </c>
      <c r="G40" s="551" t="e">
        <f t="shared" si="5"/>
        <v>#REF!</v>
      </c>
      <c r="H40" s="551" t="e">
        <f>#REF!</f>
        <v>#REF!</v>
      </c>
      <c r="I40" s="550" t="e">
        <f t="shared" si="6"/>
        <v>#REF!</v>
      </c>
      <c r="J40" s="550" t="e">
        <f t="shared" si="6"/>
        <v>#REF!</v>
      </c>
    </row>
    <row r="41" spans="1:11">
      <c r="A41" s="548">
        <f t="shared" si="7"/>
        <v>34</v>
      </c>
      <c r="B41" s="548" t="e">
        <f>#REF!</f>
        <v>#REF!</v>
      </c>
      <c r="C41" s="549" t="e">
        <f>#REF!</f>
        <v>#REF!</v>
      </c>
      <c r="D41" s="548" t="e">
        <f>#REF!</f>
        <v>#REF!</v>
      </c>
      <c r="E41" s="550" t="e">
        <f>#REF!</f>
        <v>#REF!</v>
      </c>
      <c r="F41" s="550" t="e">
        <f>ROUND(E41/exr,2)</f>
        <v>#REF!</v>
      </c>
      <c r="G41" s="551" t="e">
        <f t="shared" si="5"/>
        <v>#REF!</v>
      </c>
      <c r="H41" s="551" t="e">
        <f>#REF!</f>
        <v>#REF!</v>
      </c>
      <c r="I41" s="550" t="e">
        <f t="shared" si="6"/>
        <v>#REF!</v>
      </c>
      <c r="J41" s="550" t="e">
        <f t="shared" si="6"/>
        <v>#REF!</v>
      </c>
    </row>
    <row r="42" spans="1:11">
      <c r="A42" s="552"/>
      <c r="B42" s="552"/>
      <c r="C42" s="552"/>
      <c r="D42" s="552"/>
      <c r="E42" s="552"/>
      <c r="F42" s="552"/>
      <c r="G42" s="551"/>
      <c r="H42" s="551"/>
      <c r="I42" s="552"/>
      <c r="J42" s="552"/>
    </row>
    <row r="43" spans="1:11">
      <c r="A43" s="546" t="s">
        <v>244</v>
      </c>
      <c r="B43" s="546"/>
      <c r="C43" s="547" t="s">
        <v>988</v>
      </c>
      <c r="D43" s="547"/>
      <c r="E43" s="547"/>
      <c r="F43" s="547"/>
      <c r="G43" s="547"/>
      <c r="H43" s="547"/>
      <c r="I43" s="547"/>
      <c r="J43" s="547"/>
    </row>
    <row r="44" spans="1:11">
      <c r="A44" s="548">
        <f>A41+1</f>
        <v>35</v>
      </c>
      <c r="B44" s="548" t="e">
        <f>#REF!</f>
        <v>#REF!</v>
      </c>
      <c r="C44" s="549" t="e">
        <f>#REF!</f>
        <v>#REF!</v>
      </c>
      <c r="D44" s="548" t="e">
        <f>#REF!</f>
        <v>#REF!</v>
      </c>
      <c r="E44" s="550" t="e">
        <f>#REF!</f>
        <v>#REF!</v>
      </c>
      <c r="F44" s="550" t="e">
        <f t="shared" ref="F44:F52" si="8">ROUND(E44/exr,2)</f>
        <v>#REF!</v>
      </c>
      <c r="G44" s="551" t="e">
        <f t="shared" ref="G44:G52" si="9">1-H44</f>
        <v>#REF!</v>
      </c>
      <c r="H44" s="551" t="e">
        <f>#REF!</f>
        <v>#REF!</v>
      </c>
      <c r="I44" s="550" t="e">
        <f t="shared" ref="I44:J52" si="10">E44*G44</f>
        <v>#REF!</v>
      </c>
      <c r="J44" s="550" t="e">
        <f t="shared" si="10"/>
        <v>#REF!</v>
      </c>
    </row>
    <row r="45" spans="1:11">
      <c r="A45" s="548">
        <f>A44+1</f>
        <v>36</v>
      </c>
      <c r="B45" s="548" t="e">
        <f>#REF!</f>
        <v>#REF!</v>
      </c>
      <c r="C45" s="549" t="e">
        <f>#REF!</f>
        <v>#REF!</v>
      </c>
      <c r="D45" s="548" t="e">
        <f>#REF!</f>
        <v>#REF!</v>
      </c>
      <c r="E45" s="550" t="e">
        <f>#REF!</f>
        <v>#REF!</v>
      </c>
      <c r="F45" s="550" t="e">
        <f t="shared" si="8"/>
        <v>#REF!</v>
      </c>
      <c r="G45" s="551" t="e">
        <f t="shared" si="9"/>
        <v>#REF!</v>
      </c>
      <c r="H45" s="551" t="e">
        <f>#REF!</f>
        <v>#REF!</v>
      </c>
      <c r="I45" s="550" t="e">
        <f t="shared" si="10"/>
        <v>#REF!</v>
      </c>
      <c r="J45" s="550" t="e">
        <f t="shared" si="10"/>
        <v>#REF!</v>
      </c>
    </row>
    <row r="46" spans="1:11">
      <c r="A46" s="548">
        <f t="shared" ref="A46:A52" si="11">A45+1</f>
        <v>37</v>
      </c>
      <c r="B46" s="548" t="e">
        <f>#REF!</f>
        <v>#REF!</v>
      </c>
      <c r="C46" s="549" t="e">
        <f>#REF!</f>
        <v>#REF!</v>
      </c>
      <c r="D46" s="548" t="e">
        <f>#REF!</f>
        <v>#REF!</v>
      </c>
      <c r="E46" s="550" t="e">
        <f>#REF!</f>
        <v>#REF!</v>
      </c>
      <c r="F46" s="550" t="e">
        <f t="shared" si="8"/>
        <v>#REF!</v>
      </c>
      <c r="G46" s="551" t="e">
        <f t="shared" si="9"/>
        <v>#REF!</v>
      </c>
      <c r="H46" s="551" t="e">
        <f>#REF!</f>
        <v>#REF!</v>
      </c>
      <c r="I46" s="550" t="e">
        <f t="shared" si="10"/>
        <v>#REF!</v>
      </c>
      <c r="J46" s="550" t="e">
        <f t="shared" si="10"/>
        <v>#REF!</v>
      </c>
    </row>
    <row r="47" spans="1:11">
      <c r="A47" s="548">
        <f t="shared" si="11"/>
        <v>38</v>
      </c>
      <c r="B47" s="548" t="e">
        <f>#REF!</f>
        <v>#REF!</v>
      </c>
      <c r="C47" s="549" t="e">
        <f>#REF!</f>
        <v>#REF!</v>
      </c>
      <c r="D47" s="548" t="e">
        <f>#REF!</f>
        <v>#REF!</v>
      </c>
      <c r="E47" s="550" t="e">
        <f>#REF!</f>
        <v>#REF!</v>
      </c>
      <c r="F47" s="550" t="e">
        <f t="shared" si="8"/>
        <v>#REF!</v>
      </c>
      <c r="G47" s="551" t="e">
        <f t="shared" si="9"/>
        <v>#REF!</v>
      </c>
      <c r="H47" s="551" t="e">
        <f>#REF!</f>
        <v>#REF!</v>
      </c>
      <c r="I47" s="550" t="e">
        <f t="shared" si="10"/>
        <v>#REF!</v>
      </c>
      <c r="J47" s="550" t="e">
        <f t="shared" si="10"/>
        <v>#REF!</v>
      </c>
    </row>
    <row r="48" spans="1:11">
      <c r="A48" s="548">
        <f t="shared" si="11"/>
        <v>39</v>
      </c>
      <c r="B48" s="548" t="e">
        <f>#REF!</f>
        <v>#REF!</v>
      </c>
      <c r="C48" s="554" t="e">
        <f>#REF!</f>
        <v>#REF!</v>
      </c>
      <c r="D48" s="548" t="e">
        <f>#REF!</f>
        <v>#REF!</v>
      </c>
      <c r="E48" s="550" t="e">
        <f>#REF!</f>
        <v>#REF!</v>
      </c>
      <c r="F48" s="550" t="e">
        <f t="shared" si="8"/>
        <v>#REF!</v>
      </c>
      <c r="G48" s="551" t="e">
        <f t="shared" si="9"/>
        <v>#REF!</v>
      </c>
      <c r="H48" s="551" t="e">
        <f>#REF!</f>
        <v>#REF!</v>
      </c>
      <c r="I48" s="550" t="e">
        <f t="shared" si="10"/>
        <v>#REF!</v>
      </c>
      <c r="J48" s="550" t="e">
        <f t="shared" si="10"/>
        <v>#REF!</v>
      </c>
    </row>
    <row r="49" spans="1:12">
      <c r="A49" s="548">
        <f t="shared" si="11"/>
        <v>40</v>
      </c>
      <c r="B49" s="548" t="e">
        <f>#REF!</f>
        <v>#REF!</v>
      </c>
      <c r="C49" s="549" t="e">
        <f>#REF!</f>
        <v>#REF!</v>
      </c>
      <c r="D49" s="548" t="e">
        <f>#REF!</f>
        <v>#REF!</v>
      </c>
      <c r="E49" s="550" t="e">
        <f>#REF!</f>
        <v>#REF!</v>
      </c>
      <c r="F49" s="550" t="e">
        <f t="shared" si="8"/>
        <v>#REF!</v>
      </c>
      <c r="G49" s="551" t="e">
        <f t="shared" si="9"/>
        <v>#REF!</v>
      </c>
      <c r="H49" s="551" t="e">
        <f>#REF!</f>
        <v>#REF!</v>
      </c>
      <c r="I49" s="550" t="e">
        <f t="shared" si="10"/>
        <v>#REF!</v>
      </c>
      <c r="J49" s="550" t="e">
        <f t="shared" si="10"/>
        <v>#REF!</v>
      </c>
    </row>
    <row r="50" spans="1:12" ht="33" customHeight="1">
      <c r="A50" s="548">
        <f t="shared" si="11"/>
        <v>41</v>
      </c>
      <c r="B50" s="548" t="e">
        <f>#REF!</f>
        <v>#REF!</v>
      </c>
      <c r="C50" s="549" t="e">
        <f>#REF!</f>
        <v>#REF!</v>
      </c>
      <c r="D50" s="548" t="e">
        <f>#REF!</f>
        <v>#REF!</v>
      </c>
      <c r="E50" s="550" t="e">
        <f>#REF!</f>
        <v>#REF!</v>
      </c>
      <c r="F50" s="550" t="e">
        <f t="shared" si="8"/>
        <v>#REF!</v>
      </c>
      <c r="G50" s="551" t="e">
        <f t="shared" si="9"/>
        <v>#REF!</v>
      </c>
      <c r="H50" s="551" t="e">
        <f>#REF!</f>
        <v>#REF!</v>
      </c>
      <c r="I50" s="550" t="e">
        <f t="shared" si="10"/>
        <v>#REF!</v>
      </c>
      <c r="J50" s="550" t="e">
        <f t="shared" si="10"/>
        <v>#REF!</v>
      </c>
    </row>
    <row r="51" spans="1:12">
      <c r="A51" s="548">
        <f t="shared" si="11"/>
        <v>42</v>
      </c>
      <c r="B51" s="548" t="e">
        <f>#REF!</f>
        <v>#REF!</v>
      </c>
      <c r="C51" s="549" t="e">
        <f>#REF!</f>
        <v>#REF!</v>
      </c>
      <c r="D51" s="548" t="e">
        <f>#REF!</f>
        <v>#REF!</v>
      </c>
      <c r="E51" s="550" t="e">
        <f>#REF!</f>
        <v>#REF!</v>
      </c>
      <c r="F51" s="550" t="e">
        <f t="shared" si="8"/>
        <v>#REF!</v>
      </c>
      <c r="G51" s="551" t="e">
        <f t="shared" si="9"/>
        <v>#REF!</v>
      </c>
      <c r="H51" s="551" t="e">
        <f>#REF!</f>
        <v>#REF!</v>
      </c>
      <c r="I51" s="550" t="e">
        <f t="shared" si="10"/>
        <v>#REF!</v>
      </c>
      <c r="J51" s="550" t="e">
        <f t="shared" si="10"/>
        <v>#REF!</v>
      </c>
    </row>
    <row r="52" spans="1:12">
      <c r="A52" s="548">
        <f t="shared" si="11"/>
        <v>43</v>
      </c>
      <c r="B52" s="548">
        <v>9</v>
      </c>
      <c r="C52" s="557" t="e">
        <f>#REF!</f>
        <v>#REF!</v>
      </c>
      <c r="D52" s="548" t="e">
        <f>#REF!</f>
        <v>#REF!</v>
      </c>
      <c r="E52" s="550" t="e">
        <f>#REF!</f>
        <v>#REF!</v>
      </c>
      <c r="F52" s="550" t="e">
        <f t="shared" si="8"/>
        <v>#REF!</v>
      </c>
      <c r="G52" s="551" t="e">
        <f t="shared" si="9"/>
        <v>#REF!</v>
      </c>
      <c r="H52" s="551" t="e">
        <f>#REF!</f>
        <v>#REF!</v>
      </c>
      <c r="I52" s="550" t="e">
        <f t="shared" si="10"/>
        <v>#REF!</v>
      </c>
      <c r="J52" s="550" t="e">
        <f t="shared" si="10"/>
        <v>#REF!</v>
      </c>
    </row>
    <row r="53" spans="1:12">
      <c r="A53" s="552"/>
      <c r="B53" s="552"/>
      <c r="C53" s="552"/>
      <c r="D53" s="552"/>
      <c r="E53" s="552"/>
      <c r="F53" s="552"/>
      <c r="G53" s="551"/>
      <c r="H53" s="551"/>
      <c r="I53" s="552"/>
      <c r="J53" s="552"/>
    </row>
    <row r="54" spans="1:12">
      <c r="A54" s="546" t="s">
        <v>245</v>
      </c>
      <c r="B54" s="546"/>
      <c r="C54" s="547" t="s">
        <v>989</v>
      </c>
      <c r="D54" s="547"/>
      <c r="E54" s="547"/>
      <c r="F54" s="547"/>
      <c r="G54" s="547"/>
      <c r="H54" s="547"/>
      <c r="I54" s="547"/>
      <c r="J54" s="547"/>
    </row>
    <row r="55" spans="1:12">
      <c r="A55" s="548">
        <f>A51+1</f>
        <v>43</v>
      </c>
      <c r="B55" s="548" t="e">
        <f>#REF!</f>
        <v>#REF!</v>
      </c>
      <c r="C55" s="554" t="e">
        <f>#REF!</f>
        <v>#REF!</v>
      </c>
      <c r="D55" s="548" t="e">
        <f>#REF!</f>
        <v>#REF!</v>
      </c>
      <c r="E55" s="550" t="e">
        <f>#REF!</f>
        <v>#REF!</v>
      </c>
      <c r="F55" s="550" t="e">
        <f>ROUND(E55/exr,2)</f>
        <v>#REF!</v>
      </c>
      <c r="G55" s="551" t="e">
        <f t="shared" ref="G55:G121" si="12">1-H55</f>
        <v>#REF!</v>
      </c>
      <c r="H55" s="551" t="e">
        <f>#REF!</f>
        <v>#REF!</v>
      </c>
      <c r="I55" s="550" t="e">
        <f t="shared" ref="I55:J58" si="13">E55*G55</f>
        <v>#REF!</v>
      </c>
      <c r="J55" s="550" t="e">
        <f t="shared" si="13"/>
        <v>#REF!</v>
      </c>
    </row>
    <row r="56" spans="1:12">
      <c r="A56" s="548">
        <f>A55+1</f>
        <v>44</v>
      </c>
      <c r="B56" s="548" t="e">
        <f>#REF!</f>
        <v>#REF!</v>
      </c>
      <c r="C56" s="554" t="e">
        <f>#REF!</f>
        <v>#REF!</v>
      </c>
      <c r="D56" s="548" t="e">
        <f>#REF!</f>
        <v>#REF!</v>
      </c>
      <c r="E56" s="550" t="e">
        <f>#REF!</f>
        <v>#REF!</v>
      </c>
      <c r="F56" s="550" t="e">
        <f>ROUND(E56/exr,2)</f>
        <v>#REF!</v>
      </c>
      <c r="G56" s="551" t="e">
        <f t="shared" si="12"/>
        <v>#REF!</v>
      </c>
      <c r="H56" s="551" t="e">
        <f>#REF!</f>
        <v>#REF!</v>
      </c>
      <c r="I56" s="550" t="e">
        <f t="shared" si="13"/>
        <v>#REF!</v>
      </c>
      <c r="J56" s="550" t="e">
        <f t="shared" si="13"/>
        <v>#REF!</v>
      </c>
    </row>
    <row r="57" spans="1:12">
      <c r="A57" s="548">
        <f>A56+1</f>
        <v>45</v>
      </c>
      <c r="B57" s="548" t="e">
        <f>#REF!</f>
        <v>#REF!</v>
      </c>
      <c r="C57" s="554" t="e">
        <f>#REF!</f>
        <v>#REF!</v>
      </c>
      <c r="D57" s="548" t="e">
        <f>#REF!</f>
        <v>#REF!</v>
      </c>
      <c r="E57" s="550" t="e">
        <f>#REF!</f>
        <v>#REF!</v>
      </c>
      <c r="F57" s="550" t="e">
        <f>ROUND(E57/exr,2)</f>
        <v>#REF!</v>
      </c>
      <c r="G57" s="551" t="e">
        <f t="shared" si="12"/>
        <v>#REF!</v>
      </c>
      <c r="H57" s="551" t="e">
        <f>#REF!</f>
        <v>#REF!</v>
      </c>
      <c r="I57" s="550" t="e">
        <f t="shared" si="13"/>
        <v>#REF!</v>
      </c>
      <c r="J57" s="550" t="e">
        <f t="shared" si="13"/>
        <v>#REF!</v>
      </c>
    </row>
    <row r="58" spans="1:12">
      <c r="A58" s="548">
        <f>A57+1</f>
        <v>46</v>
      </c>
      <c r="B58" s="548" t="e">
        <f>#REF!</f>
        <v>#REF!</v>
      </c>
      <c r="C58" s="554" t="e">
        <f>#REF!</f>
        <v>#REF!</v>
      </c>
      <c r="D58" s="548" t="e">
        <f>#REF!</f>
        <v>#REF!</v>
      </c>
      <c r="E58" s="550" t="e">
        <f>#REF!</f>
        <v>#REF!</v>
      </c>
      <c r="F58" s="550" t="e">
        <f>ROUND(E58/exr,2)</f>
        <v>#REF!</v>
      </c>
      <c r="G58" s="551">
        <f t="shared" si="12"/>
        <v>1</v>
      </c>
      <c r="H58" s="551"/>
      <c r="I58" s="550" t="e">
        <f t="shared" si="13"/>
        <v>#REF!</v>
      </c>
      <c r="J58" s="550" t="e">
        <f t="shared" si="13"/>
        <v>#REF!</v>
      </c>
    </row>
    <row r="59" spans="1:12" ht="146.25" customHeight="1">
      <c r="A59" s="548">
        <f>A58+1</f>
        <v>47</v>
      </c>
      <c r="B59" s="548" t="e">
        <f>#REF!</f>
        <v>#REF!</v>
      </c>
      <c r="C59" s="554" t="e">
        <f>#REF!</f>
        <v>#REF!</v>
      </c>
      <c r="D59" s="548" t="e">
        <f>#REF!</f>
        <v>#REF!</v>
      </c>
      <c r="E59" s="556" t="e">
        <f>#REF!</f>
        <v>#REF!</v>
      </c>
      <c r="F59" s="550"/>
      <c r="G59" s="551"/>
      <c r="H59" s="551"/>
      <c r="I59" s="550"/>
      <c r="J59" s="550"/>
    </row>
    <row r="60" spans="1:12" ht="15.75" customHeight="1">
      <c r="A60" s="548"/>
      <c r="B60" s="548"/>
      <c r="C60" s="558" t="s">
        <v>990</v>
      </c>
      <c r="D60" s="548" t="e">
        <f>D59</f>
        <v>#REF!</v>
      </c>
      <c r="E60" s="556" t="e">
        <f>ROUND(110%*E58,2)</f>
        <v>#REF!</v>
      </c>
      <c r="F60" s="550" t="e">
        <f t="shared" ref="F60:F74" si="14">ROUND(E60/exr,2)</f>
        <v>#REF!</v>
      </c>
      <c r="G60" s="551" t="e">
        <f t="shared" si="12"/>
        <v>#REF!</v>
      </c>
      <c r="H60" s="551" t="e">
        <f>AVERAGE(H56:H58)</f>
        <v>#REF!</v>
      </c>
      <c r="I60" s="550" t="e">
        <f t="shared" ref="I60:J75" si="15">E60*G60</f>
        <v>#REF!</v>
      </c>
      <c r="J60" s="550" t="e">
        <f t="shared" si="15"/>
        <v>#REF!</v>
      </c>
      <c r="L60" s="559"/>
    </row>
    <row r="61" spans="1:12" ht="15.75" customHeight="1">
      <c r="A61" s="548"/>
      <c r="B61" s="548"/>
      <c r="C61" s="558" t="s">
        <v>991</v>
      </c>
      <c r="D61" s="548" t="e">
        <f t="shared" ref="D61:D71" si="16">D60</f>
        <v>#REF!</v>
      </c>
      <c r="E61" s="556" t="e">
        <f>ROUND(110%*E60,2)</f>
        <v>#REF!</v>
      </c>
      <c r="F61" s="550" t="e">
        <f t="shared" si="14"/>
        <v>#REF!</v>
      </c>
      <c r="G61" s="551" t="e">
        <f t="shared" si="12"/>
        <v>#REF!</v>
      </c>
      <c r="H61" s="551" t="e">
        <f>H60</f>
        <v>#REF!</v>
      </c>
      <c r="I61" s="550" t="e">
        <f t="shared" si="15"/>
        <v>#REF!</v>
      </c>
      <c r="J61" s="550" t="e">
        <f t="shared" si="15"/>
        <v>#REF!</v>
      </c>
      <c r="L61" s="559"/>
    </row>
    <row r="62" spans="1:12" ht="15.75" customHeight="1">
      <c r="A62" s="548"/>
      <c r="B62" s="548"/>
      <c r="C62" s="558" t="s">
        <v>992</v>
      </c>
      <c r="D62" s="548" t="e">
        <f t="shared" si="16"/>
        <v>#REF!</v>
      </c>
      <c r="E62" s="556" t="e">
        <f t="shared" ref="E62:E71" si="17">ROUND(110%*E61,2)</f>
        <v>#REF!</v>
      </c>
      <c r="F62" s="550" t="e">
        <f t="shared" si="14"/>
        <v>#REF!</v>
      </c>
      <c r="G62" s="551" t="e">
        <f t="shared" si="12"/>
        <v>#REF!</v>
      </c>
      <c r="H62" s="551" t="e">
        <f t="shared" ref="H62:H71" si="18">H61</f>
        <v>#REF!</v>
      </c>
      <c r="I62" s="550" t="e">
        <f t="shared" si="15"/>
        <v>#REF!</v>
      </c>
      <c r="J62" s="550" t="e">
        <f t="shared" si="15"/>
        <v>#REF!</v>
      </c>
      <c r="L62" s="559"/>
    </row>
    <row r="63" spans="1:12" ht="15.75" customHeight="1">
      <c r="A63" s="548"/>
      <c r="B63" s="548"/>
      <c r="C63" s="558" t="s">
        <v>993</v>
      </c>
      <c r="D63" s="548" t="e">
        <f t="shared" si="16"/>
        <v>#REF!</v>
      </c>
      <c r="E63" s="556" t="e">
        <f t="shared" si="17"/>
        <v>#REF!</v>
      </c>
      <c r="F63" s="550" t="e">
        <f t="shared" si="14"/>
        <v>#REF!</v>
      </c>
      <c r="G63" s="551" t="e">
        <f t="shared" si="12"/>
        <v>#REF!</v>
      </c>
      <c r="H63" s="551" t="e">
        <f t="shared" si="18"/>
        <v>#REF!</v>
      </c>
      <c r="I63" s="550" t="e">
        <f t="shared" si="15"/>
        <v>#REF!</v>
      </c>
      <c r="J63" s="550" t="e">
        <f t="shared" si="15"/>
        <v>#REF!</v>
      </c>
      <c r="L63" s="559"/>
    </row>
    <row r="64" spans="1:12" ht="15.75" customHeight="1">
      <c r="A64" s="548"/>
      <c r="B64" s="548"/>
      <c r="C64" s="558" t="s">
        <v>994</v>
      </c>
      <c r="D64" s="548" t="e">
        <f t="shared" si="16"/>
        <v>#REF!</v>
      </c>
      <c r="E64" s="556" t="e">
        <f t="shared" si="17"/>
        <v>#REF!</v>
      </c>
      <c r="F64" s="550" t="e">
        <f t="shared" si="14"/>
        <v>#REF!</v>
      </c>
      <c r="G64" s="551" t="e">
        <f t="shared" si="12"/>
        <v>#REF!</v>
      </c>
      <c r="H64" s="551" t="e">
        <f t="shared" si="18"/>
        <v>#REF!</v>
      </c>
      <c r="I64" s="550" t="e">
        <f t="shared" si="15"/>
        <v>#REF!</v>
      </c>
      <c r="J64" s="550" t="e">
        <f t="shared" si="15"/>
        <v>#REF!</v>
      </c>
      <c r="L64" s="559"/>
    </row>
    <row r="65" spans="1:12" ht="15.75" customHeight="1">
      <c r="A65" s="548"/>
      <c r="B65" s="548"/>
      <c r="C65" s="558" t="s">
        <v>995</v>
      </c>
      <c r="D65" s="548" t="e">
        <f t="shared" si="16"/>
        <v>#REF!</v>
      </c>
      <c r="E65" s="556" t="e">
        <f t="shared" si="17"/>
        <v>#REF!</v>
      </c>
      <c r="F65" s="550" t="e">
        <f t="shared" si="14"/>
        <v>#REF!</v>
      </c>
      <c r="G65" s="551" t="e">
        <f t="shared" si="12"/>
        <v>#REF!</v>
      </c>
      <c r="H65" s="551" t="e">
        <f t="shared" si="18"/>
        <v>#REF!</v>
      </c>
      <c r="I65" s="550" t="e">
        <f t="shared" si="15"/>
        <v>#REF!</v>
      </c>
      <c r="J65" s="550" t="e">
        <f t="shared" si="15"/>
        <v>#REF!</v>
      </c>
      <c r="L65" s="559"/>
    </row>
    <row r="66" spans="1:12" ht="15.75" customHeight="1">
      <c r="A66" s="548"/>
      <c r="B66" s="548"/>
      <c r="C66" s="558" t="s">
        <v>996</v>
      </c>
      <c r="D66" s="548" t="e">
        <f t="shared" si="16"/>
        <v>#REF!</v>
      </c>
      <c r="E66" s="556" t="e">
        <f t="shared" si="17"/>
        <v>#REF!</v>
      </c>
      <c r="F66" s="550" t="e">
        <f t="shared" si="14"/>
        <v>#REF!</v>
      </c>
      <c r="G66" s="551" t="e">
        <f t="shared" si="12"/>
        <v>#REF!</v>
      </c>
      <c r="H66" s="551" t="e">
        <f t="shared" si="18"/>
        <v>#REF!</v>
      </c>
      <c r="I66" s="550" t="e">
        <f t="shared" si="15"/>
        <v>#REF!</v>
      </c>
      <c r="J66" s="550" t="e">
        <f t="shared" si="15"/>
        <v>#REF!</v>
      </c>
      <c r="L66" s="559"/>
    </row>
    <row r="67" spans="1:12" ht="15.75" customHeight="1">
      <c r="A67" s="548"/>
      <c r="B67" s="548"/>
      <c r="C67" s="558" t="s">
        <v>997</v>
      </c>
      <c r="D67" s="548" t="e">
        <f t="shared" si="16"/>
        <v>#REF!</v>
      </c>
      <c r="E67" s="556" t="e">
        <f t="shared" si="17"/>
        <v>#REF!</v>
      </c>
      <c r="F67" s="550" t="e">
        <f t="shared" si="14"/>
        <v>#REF!</v>
      </c>
      <c r="G67" s="551" t="e">
        <f t="shared" si="12"/>
        <v>#REF!</v>
      </c>
      <c r="H67" s="551" t="e">
        <f t="shared" si="18"/>
        <v>#REF!</v>
      </c>
      <c r="I67" s="550" t="e">
        <f t="shared" si="15"/>
        <v>#REF!</v>
      </c>
      <c r="J67" s="550" t="e">
        <f t="shared" si="15"/>
        <v>#REF!</v>
      </c>
      <c r="L67" s="559"/>
    </row>
    <row r="68" spans="1:12" ht="15.75" customHeight="1">
      <c r="A68" s="548"/>
      <c r="B68" s="548"/>
      <c r="C68" s="558" t="s">
        <v>998</v>
      </c>
      <c r="D68" s="548" t="e">
        <f t="shared" si="16"/>
        <v>#REF!</v>
      </c>
      <c r="E68" s="556" t="e">
        <f t="shared" si="17"/>
        <v>#REF!</v>
      </c>
      <c r="F68" s="550" t="e">
        <f t="shared" si="14"/>
        <v>#REF!</v>
      </c>
      <c r="G68" s="551" t="e">
        <f t="shared" si="12"/>
        <v>#REF!</v>
      </c>
      <c r="H68" s="551" t="e">
        <f t="shared" si="18"/>
        <v>#REF!</v>
      </c>
      <c r="I68" s="550" t="e">
        <f t="shared" si="15"/>
        <v>#REF!</v>
      </c>
      <c r="J68" s="550" t="e">
        <f t="shared" si="15"/>
        <v>#REF!</v>
      </c>
      <c r="L68" s="559"/>
    </row>
    <row r="69" spans="1:12" ht="15.75" customHeight="1">
      <c r="A69" s="548"/>
      <c r="B69" s="548"/>
      <c r="C69" s="558" t="s">
        <v>999</v>
      </c>
      <c r="D69" s="548" t="e">
        <f t="shared" si="16"/>
        <v>#REF!</v>
      </c>
      <c r="E69" s="556" t="e">
        <f t="shared" si="17"/>
        <v>#REF!</v>
      </c>
      <c r="F69" s="550" t="e">
        <f t="shared" si="14"/>
        <v>#REF!</v>
      </c>
      <c r="G69" s="551" t="e">
        <f t="shared" si="12"/>
        <v>#REF!</v>
      </c>
      <c r="H69" s="551" t="e">
        <f t="shared" si="18"/>
        <v>#REF!</v>
      </c>
      <c r="I69" s="550" t="e">
        <f t="shared" si="15"/>
        <v>#REF!</v>
      </c>
      <c r="J69" s="550" t="e">
        <f t="shared" si="15"/>
        <v>#REF!</v>
      </c>
      <c r="L69" s="559"/>
    </row>
    <row r="70" spans="1:12" ht="15.75" customHeight="1">
      <c r="A70" s="548"/>
      <c r="B70" s="548"/>
      <c r="C70" s="558" t="s">
        <v>1000</v>
      </c>
      <c r="D70" s="548" t="e">
        <f t="shared" si="16"/>
        <v>#REF!</v>
      </c>
      <c r="E70" s="556" t="e">
        <f t="shared" si="17"/>
        <v>#REF!</v>
      </c>
      <c r="F70" s="550" t="e">
        <f t="shared" si="14"/>
        <v>#REF!</v>
      </c>
      <c r="G70" s="551" t="e">
        <f t="shared" si="12"/>
        <v>#REF!</v>
      </c>
      <c r="H70" s="551" t="e">
        <f t="shared" si="18"/>
        <v>#REF!</v>
      </c>
      <c r="I70" s="550" t="e">
        <f t="shared" si="15"/>
        <v>#REF!</v>
      </c>
      <c r="J70" s="550" t="e">
        <f t="shared" si="15"/>
        <v>#REF!</v>
      </c>
      <c r="L70" s="559"/>
    </row>
    <row r="71" spans="1:12" ht="15.75" customHeight="1">
      <c r="A71" s="548"/>
      <c r="B71" s="548"/>
      <c r="C71" s="558" t="s">
        <v>1001</v>
      </c>
      <c r="D71" s="548" t="e">
        <f t="shared" si="16"/>
        <v>#REF!</v>
      </c>
      <c r="E71" s="556" t="e">
        <f t="shared" si="17"/>
        <v>#REF!</v>
      </c>
      <c r="F71" s="550" t="e">
        <f t="shared" si="14"/>
        <v>#REF!</v>
      </c>
      <c r="G71" s="551" t="e">
        <f t="shared" si="12"/>
        <v>#REF!</v>
      </c>
      <c r="H71" s="551" t="e">
        <f t="shared" si="18"/>
        <v>#REF!</v>
      </c>
      <c r="I71" s="550" t="e">
        <f t="shared" si="15"/>
        <v>#REF!</v>
      </c>
      <c r="J71" s="550" t="e">
        <f t="shared" si="15"/>
        <v>#REF!</v>
      </c>
      <c r="L71" s="559"/>
    </row>
    <row r="72" spans="1:12">
      <c r="A72" s="548">
        <f>A59+1</f>
        <v>48</v>
      </c>
      <c r="B72" s="548" t="e">
        <f>#REF!</f>
        <v>#REF!</v>
      </c>
      <c r="C72" s="557" t="e">
        <f>#REF!</f>
        <v>#REF!</v>
      </c>
      <c r="D72" s="548" t="e">
        <f>#REF!</f>
        <v>#REF!</v>
      </c>
      <c r="E72" s="556" t="e">
        <f>#REF!</f>
        <v>#REF!</v>
      </c>
      <c r="F72" s="550" t="e">
        <f t="shared" si="14"/>
        <v>#REF!</v>
      </c>
      <c r="G72" s="551" t="e">
        <f t="shared" si="12"/>
        <v>#REF!</v>
      </c>
      <c r="H72" s="551" t="e">
        <f>#REF!</f>
        <v>#REF!</v>
      </c>
      <c r="I72" s="550" t="e">
        <f>E72*G72</f>
        <v>#REF!</v>
      </c>
      <c r="J72" s="550" t="e">
        <f t="shared" si="15"/>
        <v>#REF!</v>
      </c>
    </row>
    <row r="73" spans="1:12">
      <c r="A73" s="548">
        <f>A72+1</f>
        <v>49</v>
      </c>
      <c r="B73" s="548" t="e">
        <f>#REF!</f>
        <v>#REF!</v>
      </c>
      <c r="C73" s="557" t="e">
        <f>#REF!</f>
        <v>#REF!</v>
      </c>
      <c r="D73" s="548" t="e">
        <f>#REF!</f>
        <v>#REF!</v>
      </c>
      <c r="E73" s="556" t="e">
        <f>#REF!</f>
        <v>#REF!</v>
      </c>
      <c r="F73" s="550" t="e">
        <f t="shared" si="14"/>
        <v>#REF!</v>
      </c>
      <c r="G73" s="551" t="e">
        <f t="shared" si="12"/>
        <v>#REF!</v>
      </c>
      <c r="H73" s="551" t="e">
        <f>#REF!</f>
        <v>#REF!</v>
      </c>
      <c r="I73" s="550" t="e">
        <f>E73*G73</f>
        <v>#REF!</v>
      </c>
      <c r="J73" s="550" t="e">
        <f t="shared" si="15"/>
        <v>#REF!</v>
      </c>
    </row>
    <row r="74" spans="1:12">
      <c r="A74" s="548">
        <f>A73+1</f>
        <v>50</v>
      </c>
      <c r="B74" s="548" t="e">
        <f>#REF!</f>
        <v>#REF!</v>
      </c>
      <c r="C74" s="557" t="e">
        <f>#REF!</f>
        <v>#REF!</v>
      </c>
      <c r="D74" s="548" t="e">
        <f>#REF!</f>
        <v>#REF!</v>
      </c>
      <c r="E74" s="556" t="e">
        <f>#REF!</f>
        <v>#REF!</v>
      </c>
      <c r="F74" s="550" t="e">
        <f t="shared" si="14"/>
        <v>#REF!</v>
      </c>
      <c r="G74" s="551" t="e">
        <f t="shared" si="12"/>
        <v>#REF!</v>
      </c>
      <c r="H74" s="551" t="e">
        <f>#REF!</f>
        <v>#REF!</v>
      </c>
      <c r="I74" s="550" t="e">
        <f>E74*G74</f>
        <v>#REF!</v>
      </c>
      <c r="J74" s="550" t="e">
        <f t="shared" si="15"/>
        <v>#REF!</v>
      </c>
    </row>
    <row r="75" spans="1:12">
      <c r="A75" s="548">
        <f>A74+1</f>
        <v>51</v>
      </c>
      <c r="B75" s="548" t="e">
        <f>#REF!</f>
        <v>#REF!</v>
      </c>
      <c r="C75" s="557" t="e">
        <f>#REF!</f>
        <v>#REF!</v>
      </c>
      <c r="D75" s="548" t="e">
        <f>#REF!</f>
        <v>#REF!</v>
      </c>
      <c r="E75" s="556" t="e">
        <f>#REF!</f>
        <v>#REF!</v>
      </c>
      <c r="F75" s="550"/>
      <c r="G75" s="551">
        <f t="shared" si="12"/>
        <v>1</v>
      </c>
      <c r="H75" s="551"/>
      <c r="I75" s="550"/>
      <c r="J75" s="550">
        <f t="shared" si="15"/>
        <v>0</v>
      </c>
    </row>
    <row r="76" spans="1:12" ht="15.75" customHeight="1">
      <c r="A76" s="548"/>
      <c r="B76" s="548"/>
      <c r="C76" s="560" t="s">
        <v>990</v>
      </c>
      <c r="D76" s="548" t="e">
        <f>D75</f>
        <v>#REF!</v>
      </c>
      <c r="E76" s="556" t="e">
        <f>ROUND(110%*E74,2)</f>
        <v>#REF!</v>
      </c>
      <c r="F76" s="550" t="e">
        <f>ROUND(E76/exr,2)</f>
        <v>#REF!</v>
      </c>
      <c r="G76" s="551" t="e">
        <f>1-H76</f>
        <v>#REF!</v>
      </c>
      <c r="H76" s="551" t="e">
        <f>AVERAGE(H72:H74)</f>
        <v>#REF!</v>
      </c>
      <c r="I76" s="550" t="e">
        <f t="shared" ref="I76:J91" si="19">E76*G76</f>
        <v>#REF!</v>
      </c>
      <c r="J76" s="550" t="e">
        <f t="shared" si="19"/>
        <v>#REF!</v>
      </c>
    </row>
    <row r="77" spans="1:12" ht="15.75" customHeight="1">
      <c r="A77" s="548"/>
      <c r="B77" s="548"/>
      <c r="C77" s="560" t="s">
        <v>991</v>
      </c>
      <c r="D77" s="548" t="e">
        <f t="shared" ref="D77:D87" si="20">D76</f>
        <v>#REF!</v>
      </c>
      <c r="E77" s="556" t="e">
        <f>ROUND(110%*E76,2)</f>
        <v>#REF!</v>
      </c>
      <c r="F77" s="550" t="e">
        <f t="shared" ref="F77:F87" si="21">ROUND(E77/exr,2)</f>
        <v>#REF!</v>
      </c>
      <c r="G77" s="551" t="e">
        <f t="shared" ref="G77:G87" si="22">1-H77</f>
        <v>#REF!</v>
      </c>
      <c r="H77" s="551" t="e">
        <f>H76</f>
        <v>#REF!</v>
      </c>
      <c r="I77" s="550" t="e">
        <f t="shared" si="19"/>
        <v>#REF!</v>
      </c>
      <c r="J77" s="550" t="e">
        <f t="shared" si="19"/>
        <v>#REF!</v>
      </c>
    </row>
    <row r="78" spans="1:12" ht="15.75" customHeight="1">
      <c r="A78" s="548"/>
      <c r="B78" s="548"/>
      <c r="C78" s="560" t="s">
        <v>992</v>
      </c>
      <c r="D78" s="548" t="e">
        <f t="shared" si="20"/>
        <v>#REF!</v>
      </c>
      <c r="E78" s="556" t="e">
        <f t="shared" ref="E78:E87" si="23">ROUND(110%*E77,2)</f>
        <v>#REF!</v>
      </c>
      <c r="F78" s="550" t="e">
        <f t="shared" si="21"/>
        <v>#REF!</v>
      </c>
      <c r="G78" s="551" t="e">
        <f t="shared" si="22"/>
        <v>#REF!</v>
      </c>
      <c r="H78" s="551" t="e">
        <f t="shared" ref="H78:H87" si="24">H77</f>
        <v>#REF!</v>
      </c>
      <c r="I78" s="550" t="e">
        <f t="shared" si="19"/>
        <v>#REF!</v>
      </c>
      <c r="J78" s="550" t="e">
        <f t="shared" si="19"/>
        <v>#REF!</v>
      </c>
    </row>
    <row r="79" spans="1:12" ht="15.75" customHeight="1">
      <c r="A79" s="548"/>
      <c r="B79" s="548"/>
      <c r="C79" s="560" t="s">
        <v>993</v>
      </c>
      <c r="D79" s="548" t="e">
        <f t="shared" si="20"/>
        <v>#REF!</v>
      </c>
      <c r="E79" s="556" t="e">
        <f t="shared" si="23"/>
        <v>#REF!</v>
      </c>
      <c r="F79" s="550" t="e">
        <f t="shared" si="21"/>
        <v>#REF!</v>
      </c>
      <c r="G79" s="551" t="e">
        <f t="shared" si="22"/>
        <v>#REF!</v>
      </c>
      <c r="H79" s="551" t="e">
        <f t="shared" si="24"/>
        <v>#REF!</v>
      </c>
      <c r="I79" s="550" t="e">
        <f t="shared" si="19"/>
        <v>#REF!</v>
      </c>
      <c r="J79" s="550" t="e">
        <f t="shared" si="19"/>
        <v>#REF!</v>
      </c>
    </row>
    <row r="80" spans="1:12" ht="15.75" customHeight="1">
      <c r="A80" s="548"/>
      <c r="B80" s="548"/>
      <c r="C80" s="560" t="s">
        <v>994</v>
      </c>
      <c r="D80" s="548" t="e">
        <f t="shared" si="20"/>
        <v>#REF!</v>
      </c>
      <c r="E80" s="556" t="e">
        <f t="shared" si="23"/>
        <v>#REF!</v>
      </c>
      <c r="F80" s="550" t="e">
        <f t="shared" si="21"/>
        <v>#REF!</v>
      </c>
      <c r="G80" s="551" t="e">
        <f t="shared" si="22"/>
        <v>#REF!</v>
      </c>
      <c r="H80" s="551" t="e">
        <f t="shared" si="24"/>
        <v>#REF!</v>
      </c>
      <c r="I80" s="550" t="e">
        <f t="shared" si="19"/>
        <v>#REF!</v>
      </c>
      <c r="J80" s="550" t="e">
        <f t="shared" si="19"/>
        <v>#REF!</v>
      </c>
    </row>
    <row r="81" spans="1:10" ht="15.75" customHeight="1">
      <c r="A81" s="548"/>
      <c r="B81" s="548"/>
      <c r="C81" s="560" t="s">
        <v>995</v>
      </c>
      <c r="D81" s="548" t="e">
        <f t="shared" si="20"/>
        <v>#REF!</v>
      </c>
      <c r="E81" s="556" t="e">
        <f t="shared" si="23"/>
        <v>#REF!</v>
      </c>
      <c r="F81" s="550" t="e">
        <f t="shared" si="21"/>
        <v>#REF!</v>
      </c>
      <c r="G81" s="551" t="e">
        <f t="shared" si="22"/>
        <v>#REF!</v>
      </c>
      <c r="H81" s="551" t="e">
        <f t="shared" si="24"/>
        <v>#REF!</v>
      </c>
      <c r="I81" s="550" t="e">
        <f t="shared" si="19"/>
        <v>#REF!</v>
      </c>
      <c r="J81" s="550" t="e">
        <f t="shared" si="19"/>
        <v>#REF!</v>
      </c>
    </row>
    <row r="82" spans="1:10" ht="15.75" customHeight="1">
      <c r="A82" s="548"/>
      <c r="B82" s="548"/>
      <c r="C82" s="560" t="s">
        <v>996</v>
      </c>
      <c r="D82" s="548" t="e">
        <f t="shared" si="20"/>
        <v>#REF!</v>
      </c>
      <c r="E82" s="556" t="e">
        <f t="shared" si="23"/>
        <v>#REF!</v>
      </c>
      <c r="F82" s="550" t="e">
        <f t="shared" si="21"/>
        <v>#REF!</v>
      </c>
      <c r="G82" s="551" t="e">
        <f t="shared" si="22"/>
        <v>#REF!</v>
      </c>
      <c r="H82" s="551" t="e">
        <f t="shared" si="24"/>
        <v>#REF!</v>
      </c>
      <c r="I82" s="550" t="e">
        <f t="shared" si="19"/>
        <v>#REF!</v>
      </c>
      <c r="J82" s="550" t="e">
        <f t="shared" si="19"/>
        <v>#REF!</v>
      </c>
    </row>
    <row r="83" spans="1:10" ht="15.75" customHeight="1">
      <c r="A83" s="548"/>
      <c r="B83" s="548"/>
      <c r="C83" s="560" t="s">
        <v>997</v>
      </c>
      <c r="D83" s="548" t="e">
        <f t="shared" si="20"/>
        <v>#REF!</v>
      </c>
      <c r="E83" s="556" t="e">
        <f t="shared" si="23"/>
        <v>#REF!</v>
      </c>
      <c r="F83" s="550" t="e">
        <f t="shared" si="21"/>
        <v>#REF!</v>
      </c>
      <c r="G83" s="551" t="e">
        <f t="shared" si="22"/>
        <v>#REF!</v>
      </c>
      <c r="H83" s="551" t="e">
        <f t="shared" si="24"/>
        <v>#REF!</v>
      </c>
      <c r="I83" s="550" t="e">
        <f t="shared" si="19"/>
        <v>#REF!</v>
      </c>
      <c r="J83" s="550" t="e">
        <f t="shared" si="19"/>
        <v>#REF!</v>
      </c>
    </row>
    <row r="84" spans="1:10" ht="15.75" customHeight="1">
      <c r="A84" s="548"/>
      <c r="B84" s="548"/>
      <c r="C84" s="560" t="s">
        <v>998</v>
      </c>
      <c r="D84" s="548" t="e">
        <f t="shared" si="20"/>
        <v>#REF!</v>
      </c>
      <c r="E84" s="556" t="e">
        <f t="shared" si="23"/>
        <v>#REF!</v>
      </c>
      <c r="F84" s="550" t="e">
        <f t="shared" si="21"/>
        <v>#REF!</v>
      </c>
      <c r="G84" s="551" t="e">
        <f t="shared" si="22"/>
        <v>#REF!</v>
      </c>
      <c r="H84" s="551" t="e">
        <f t="shared" si="24"/>
        <v>#REF!</v>
      </c>
      <c r="I84" s="550" t="e">
        <f t="shared" si="19"/>
        <v>#REF!</v>
      </c>
      <c r="J84" s="550" t="e">
        <f t="shared" si="19"/>
        <v>#REF!</v>
      </c>
    </row>
    <row r="85" spans="1:10" ht="15.75" customHeight="1">
      <c r="A85" s="548"/>
      <c r="B85" s="548"/>
      <c r="C85" s="560" t="s">
        <v>999</v>
      </c>
      <c r="D85" s="548" t="e">
        <f t="shared" si="20"/>
        <v>#REF!</v>
      </c>
      <c r="E85" s="556" t="e">
        <f t="shared" si="23"/>
        <v>#REF!</v>
      </c>
      <c r="F85" s="550" t="e">
        <f t="shared" si="21"/>
        <v>#REF!</v>
      </c>
      <c r="G85" s="551" t="e">
        <f t="shared" si="22"/>
        <v>#REF!</v>
      </c>
      <c r="H85" s="551" t="e">
        <f t="shared" si="24"/>
        <v>#REF!</v>
      </c>
      <c r="I85" s="550" t="e">
        <f t="shared" si="19"/>
        <v>#REF!</v>
      </c>
      <c r="J85" s="550" t="e">
        <f t="shared" si="19"/>
        <v>#REF!</v>
      </c>
    </row>
    <row r="86" spans="1:10" ht="15.75" customHeight="1">
      <c r="A86" s="548"/>
      <c r="B86" s="548"/>
      <c r="C86" s="560" t="s">
        <v>1000</v>
      </c>
      <c r="D86" s="548" t="e">
        <f t="shared" si="20"/>
        <v>#REF!</v>
      </c>
      <c r="E86" s="556" t="e">
        <f t="shared" si="23"/>
        <v>#REF!</v>
      </c>
      <c r="F86" s="550" t="e">
        <f t="shared" si="21"/>
        <v>#REF!</v>
      </c>
      <c r="G86" s="551" t="e">
        <f t="shared" si="22"/>
        <v>#REF!</v>
      </c>
      <c r="H86" s="551" t="e">
        <f t="shared" si="24"/>
        <v>#REF!</v>
      </c>
      <c r="I86" s="550" t="e">
        <f t="shared" si="19"/>
        <v>#REF!</v>
      </c>
      <c r="J86" s="550" t="e">
        <f t="shared" si="19"/>
        <v>#REF!</v>
      </c>
    </row>
    <row r="87" spans="1:10" ht="15.75" customHeight="1">
      <c r="A87" s="548"/>
      <c r="B87" s="548"/>
      <c r="C87" s="560" t="s">
        <v>1001</v>
      </c>
      <c r="D87" s="548" t="e">
        <f t="shared" si="20"/>
        <v>#REF!</v>
      </c>
      <c r="E87" s="556" t="e">
        <f t="shared" si="23"/>
        <v>#REF!</v>
      </c>
      <c r="F87" s="550" t="e">
        <f t="shared" si="21"/>
        <v>#REF!</v>
      </c>
      <c r="G87" s="551" t="e">
        <f t="shared" si="22"/>
        <v>#REF!</v>
      </c>
      <c r="H87" s="551" t="e">
        <f t="shared" si="24"/>
        <v>#REF!</v>
      </c>
      <c r="I87" s="550" t="e">
        <f t="shared" si="19"/>
        <v>#REF!</v>
      </c>
      <c r="J87" s="550" t="e">
        <f t="shared" si="19"/>
        <v>#REF!</v>
      </c>
    </row>
    <row r="88" spans="1:10">
      <c r="A88" s="548">
        <f>A75+1</f>
        <v>52</v>
      </c>
      <c r="B88" s="548" t="e">
        <f>#REF!</f>
        <v>#REF!</v>
      </c>
      <c r="C88" s="557" t="e">
        <f>#REF!</f>
        <v>#REF!</v>
      </c>
      <c r="D88" s="548" t="e">
        <f>#REF!</f>
        <v>#REF!</v>
      </c>
      <c r="E88" s="556" t="e">
        <f>#REF!</f>
        <v>#REF!</v>
      </c>
      <c r="F88" s="550" t="e">
        <f>ROUND(E88/exr,2)</f>
        <v>#REF!</v>
      </c>
      <c r="G88" s="551" t="e">
        <f t="shared" si="12"/>
        <v>#REF!</v>
      </c>
      <c r="H88" s="551" t="e">
        <f>#REF!</f>
        <v>#REF!</v>
      </c>
      <c r="I88" s="550" t="e">
        <f>E88*G88</f>
        <v>#REF!</v>
      </c>
      <c r="J88" s="550" t="e">
        <f t="shared" si="19"/>
        <v>#REF!</v>
      </c>
    </row>
    <row r="89" spans="1:10">
      <c r="A89" s="548">
        <f>A88+1</f>
        <v>53</v>
      </c>
      <c r="B89" s="548" t="e">
        <f>#REF!</f>
        <v>#REF!</v>
      </c>
      <c r="C89" s="557" t="e">
        <f>#REF!</f>
        <v>#REF!</v>
      </c>
      <c r="D89" s="548" t="e">
        <f>#REF!</f>
        <v>#REF!</v>
      </c>
      <c r="E89" s="556" t="e">
        <f>#REF!</f>
        <v>#REF!</v>
      </c>
      <c r="F89" s="550" t="e">
        <f>ROUND(E89/exr,2)</f>
        <v>#REF!</v>
      </c>
      <c r="G89" s="551" t="e">
        <f t="shared" si="12"/>
        <v>#REF!</v>
      </c>
      <c r="H89" s="551" t="e">
        <f>#REF!</f>
        <v>#REF!</v>
      </c>
      <c r="I89" s="550" t="e">
        <f>E89*G89</f>
        <v>#REF!</v>
      </c>
      <c r="J89" s="550" t="e">
        <f t="shared" si="19"/>
        <v>#REF!</v>
      </c>
    </row>
    <row r="90" spans="1:10">
      <c r="A90" s="548">
        <f>A89+1</f>
        <v>54</v>
      </c>
      <c r="B90" s="548" t="e">
        <f>#REF!</f>
        <v>#REF!</v>
      </c>
      <c r="C90" s="557" t="e">
        <f>#REF!</f>
        <v>#REF!</v>
      </c>
      <c r="D90" s="548" t="e">
        <f>#REF!</f>
        <v>#REF!</v>
      </c>
      <c r="E90" s="556" t="e">
        <f>#REF!</f>
        <v>#REF!</v>
      </c>
      <c r="F90" s="550" t="e">
        <f>ROUND(E90/exr,2)</f>
        <v>#REF!</v>
      </c>
      <c r="G90" s="551" t="e">
        <f t="shared" si="12"/>
        <v>#REF!</v>
      </c>
      <c r="H90" s="551" t="e">
        <f>#REF!</f>
        <v>#REF!</v>
      </c>
      <c r="I90" s="550" t="e">
        <f>E90*G90</f>
        <v>#REF!</v>
      </c>
      <c r="J90" s="550" t="e">
        <f t="shared" si="19"/>
        <v>#REF!</v>
      </c>
    </row>
    <row r="91" spans="1:10">
      <c r="A91" s="548">
        <f>A90+1</f>
        <v>55</v>
      </c>
      <c r="B91" s="548" t="e">
        <f>#REF!</f>
        <v>#REF!</v>
      </c>
      <c r="C91" s="557" t="e">
        <f>#REF!</f>
        <v>#REF!</v>
      </c>
      <c r="D91" s="548" t="e">
        <f>#REF!</f>
        <v>#REF!</v>
      </c>
      <c r="E91" s="556" t="e">
        <f>#REF!</f>
        <v>#REF!</v>
      </c>
      <c r="F91" s="550"/>
      <c r="G91" s="551">
        <f t="shared" si="12"/>
        <v>1</v>
      </c>
      <c r="H91" s="551"/>
      <c r="I91" s="550"/>
      <c r="J91" s="550">
        <f t="shared" si="19"/>
        <v>0</v>
      </c>
    </row>
    <row r="92" spans="1:10" ht="15.75" customHeight="1">
      <c r="A92" s="548"/>
      <c r="B92" s="548"/>
      <c r="C92" s="560" t="s">
        <v>990</v>
      </c>
      <c r="D92" s="548" t="e">
        <f>D91</f>
        <v>#REF!</v>
      </c>
      <c r="E92" s="556" t="e">
        <f>ROUND(110%*E90,2)</f>
        <v>#REF!</v>
      </c>
      <c r="F92" s="550" t="e">
        <f t="shared" ref="F92:F103" si="25">ROUND(E92/exr,2)</f>
        <v>#REF!</v>
      </c>
      <c r="G92" s="551" t="e">
        <f t="shared" si="12"/>
        <v>#REF!</v>
      </c>
      <c r="H92" s="551" t="e">
        <f>AVERAGE(H88:H90)</f>
        <v>#REF!</v>
      </c>
      <c r="I92" s="550" t="e">
        <f t="shared" ref="I92:J107" si="26">E92*G92</f>
        <v>#REF!</v>
      </c>
      <c r="J92" s="550" t="e">
        <f t="shared" si="26"/>
        <v>#REF!</v>
      </c>
    </row>
    <row r="93" spans="1:10" ht="15.75" customHeight="1">
      <c r="A93" s="548"/>
      <c r="B93" s="548"/>
      <c r="C93" s="560" t="s">
        <v>991</v>
      </c>
      <c r="D93" s="548" t="e">
        <f t="shared" ref="D93:D103" si="27">D92</f>
        <v>#REF!</v>
      </c>
      <c r="E93" s="556" t="e">
        <f>ROUND(110%*E92,2)</f>
        <v>#REF!</v>
      </c>
      <c r="F93" s="550" t="e">
        <f t="shared" si="25"/>
        <v>#REF!</v>
      </c>
      <c r="G93" s="551" t="e">
        <f t="shared" si="12"/>
        <v>#REF!</v>
      </c>
      <c r="H93" s="551" t="e">
        <f>H92</f>
        <v>#REF!</v>
      </c>
      <c r="I93" s="550" t="e">
        <f t="shared" si="26"/>
        <v>#REF!</v>
      </c>
      <c r="J93" s="550" t="e">
        <f t="shared" si="26"/>
        <v>#REF!</v>
      </c>
    </row>
    <row r="94" spans="1:10" ht="15.75" customHeight="1">
      <c r="A94" s="548"/>
      <c r="B94" s="548"/>
      <c r="C94" s="560" t="s">
        <v>992</v>
      </c>
      <c r="D94" s="548" t="e">
        <f t="shared" si="27"/>
        <v>#REF!</v>
      </c>
      <c r="E94" s="556" t="e">
        <f t="shared" ref="E94:E103" si="28">ROUND(110%*E93,2)</f>
        <v>#REF!</v>
      </c>
      <c r="F94" s="550" t="e">
        <f t="shared" si="25"/>
        <v>#REF!</v>
      </c>
      <c r="G94" s="551" t="e">
        <f t="shared" si="12"/>
        <v>#REF!</v>
      </c>
      <c r="H94" s="551" t="e">
        <f t="shared" ref="H94:H103" si="29">H93</f>
        <v>#REF!</v>
      </c>
      <c r="I94" s="550" t="e">
        <f t="shared" si="26"/>
        <v>#REF!</v>
      </c>
      <c r="J94" s="550" t="e">
        <f t="shared" si="26"/>
        <v>#REF!</v>
      </c>
    </row>
    <row r="95" spans="1:10" ht="15.75" customHeight="1">
      <c r="A95" s="548"/>
      <c r="B95" s="548"/>
      <c r="C95" s="560" t="s">
        <v>993</v>
      </c>
      <c r="D95" s="548" t="e">
        <f t="shared" si="27"/>
        <v>#REF!</v>
      </c>
      <c r="E95" s="556" t="e">
        <f t="shared" si="28"/>
        <v>#REF!</v>
      </c>
      <c r="F95" s="550" t="e">
        <f t="shared" si="25"/>
        <v>#REF!</v>
      </c>
      <c r="G95" s="551" t="e">
        <f t="shared" si="12"/>
        <v>#REF!</v>
      </c>
      <c r="H95" s="551" t="e">
        <f t="shared" si="29"/>
        <v>#REF!</v>
      </c>
      <c r="I95" s="550" t="e">
        <f t="shared" si="26"/>
        <v>#REF!</v>
      </c>
      <c r="J95" s="550" t="e">
        <f t="shared" si="26"/>
        <v>#REF!</v>
      </c>
    </row>
    <row r="96" spans="1:10" ht="15.75" customHeight="1">
      <c r="A96" s="548"/>
      <c r="B96" s="548"/>
      <c r="C96" s="560" t="s">
        <v>994</v>
      </c>
      <c r="D96" s="548" t="e">
        <f t="shared" si="27"/>
        <v>#REF!</v>
      </c>
      <c r="E96" s="556" t="e">
        <f t="shared" si="28"/>
        <v>#REF!</v>
      </c>
      <c r="F96" s="550" t="e">
        <f t="shared" si="25"/>
        <v>#REF!</v>
      </c>
      <c r="G96" s="551" t="e">
        <f t="shared" si="12"/>
        <v>#REF!</v>
      </c>
      <c r="H96" s="551" t="e">
        <f t="shared" si="29"/>
        <v>#REF!</v>
      </c>
      <c r="I96" s="550" t="e">
        <f t="shared" si="26"/>
        <v>#REF!</v>
      </c>
      <c r="J96" s="550" t="e">
        <f t="shared" si="26"/>
        <v>#REF!</v>
      </c>
    </row>
    <row r="97" spans="1:10" ht="15.75" customHeight="1">
      <c r="A97" s="548"/>
      <c r="B97" s="548"/>
      <c r="C97" s="560" t="s">
        <v>995</v>
      </c>
      <c r="D97" s="548" t="e">
        <f t="shared" si="27"/>
        <v>#REF!</v>
      </c>
      <c r="E97" s="556" t="e">
        <f t="shared" si="28"/>
        <v>#REF!</v>
      </c>
      <c r="F97" s="550" t="e">
        <f t="shared" si="25"/>
        <v>#REF!</v>
      </c>
      <c r="G97" s="551" t="e">
        <f t="shared" si="12"/>
        <v>#REF!</v>
      </c>
      <c r="H97" s="551" t="e">
        <f t="shared" si="29"/>
        <v>#REF!</v>
      </c>
      <c r="I97" s="550" t="e">
        <f t="shared" si="26"/>
        <v>#REF!</v>
      </c>
      <c r="J97" s="550" t="e">
        <f t="shared" si="26"/>
        <v>#REF!</v>
      </c>
    </row>
    <row r="98" spans="1:10" ht="15.75" customHeight="1">
      <c r="A98" s="548"/>
      <c r="B98" s="548"/>
      <c r="C98" s="560" t="s">
        <v>996</v>
      </c>
      <c r="D98" s="548" t="e">
        <f t="shared" si="27"/>
        <v>#REF!</v>
      </c>
      <c r="E98" s="556" t="e">
        <f t="shared" si="28"/>
        <v>#REF!</v>
      </c>
      <c r="F98" s="550" t="e">
        <f t="shared" si="25"/>
        <v>#REF!</v>
      </c>
      <c r="G98" s="551" t="e">
        <f t="shared" si="12"/>
        <v>#REF!</v>
      </c>
      <c r="H98" s="551" t="e">
        <f t="shared" si="29"/>
        <v>#REF!</v>
      </c>
      <c r="I98" s="550" t="e">
        <f t="shared" si="26"/>
        <v>#REF!</v>
      </c>
      <c r="J98" s="550" t="e">
        <f t="shared" si="26"/>
        <v>#REF!</v>
      </c>
    </row>
    <row r="99" spans="1:10" ht="15.75" customHeight="1">
      <c r="A99" s="548"/>
      <c r="B99" s="548"/>
      <c r="C99" s="560" t="s">
        <v>997</v>
      </c>
      <c r="D99" s="548" t="e">
        <f t="shared" si="27"/>
        <v>#REF!</v>
      </c>
      <c r="E99" s="556" t="e">
        <f t="shared" si="28"/>
        <v>#REF!</v>
      </c>
      <c r="F99" s="550" t="e">
        <f t="shared" si="25"/>
        <v>#REF!</v>
      </c>
      <c r="G99" s="551" t="e">
        <f t="shared" si="12"/>
        <v>#REF!</v>
      </c>
      <c r="H99" s="551" t="e">
        <f t="shared" si="29"/>
        <v>#REF!</v>
      </c>
      <c r="I99" s="550" t="e">
        <f t="shared" si="26"/>
        <v>#REF!</v>
      </c>
      <c r="J99" s="550" t="e">
        <f t="shared" si="26"/>
        <v>#REF!</v>
      </c>
    </row>
    <row r="100" spans="1:10" ht="15.75" customHeight="1">
      <c r="A100" s="548"/>
      <c r="B100" s="548"/>
      <c r="C100" s="560" t="s">
        <v>998</v>
      </c>
      <c r="D100" s="548" t="e">
        <f t="shared" si="27"/>
        <v>#REF!</v>
      </c>
      <c r="E100" s="556" t="e">
        <f t="shared" si="28"/>
        <v>#REF!</v>
      </c>
      <c r="F100" s="550" t="e">
        <f t="shared" si="25"/>
        <v>#REF!</v>
      </c>
      <c r="G100" s="551" t="e">
        <f t="shared" si="12"/>
        <v>#REF!</v>
      </c>
      <c r="H100" s="551" t="e">
        <f t="shared" si="29"/>
        <v>#REF!</v>
      </c>
      <c r="I100" s="550" t="e">
        <f t="shared" si="26"/>
        <v>#REF!</v>
      </c>
      <c r="J100" s="550" t="e">
        <f t="shared" si="26"/>
        <v>#REF!</v>
      </c>
    </row>
    <row r="101" spans="1:10" ht="15.75" customHeight="1">
      <c r="A101" s="548"/>
      <c r="B101" s="548"/>
      <c r="C101" s="560" t="s">
        <v>999</v>
      </c>
      <c r="D101" s="548" t="e">
        <f t="shared" si="27"/>
        <v>#REF!</v>
      </c>
      <c r="E101" s="556" t="e">
        <f t="shared" si="28"/>
        <v>#REF!</v>
      </c>
      <c r="F101" s="550" t="e">
        <f t="shared" si="25"/>
        <v>#REF!</v>
      </c>
      <c r="G101" s="551" t="e">
        <f t="shared" si="12"/>
        <v>#REF!</v>
      </c>
      <c r="H101" s="551" t="e">
        <f t="shared" si="29"/>
        <v>#REF!</v>
      </c>
      <c r="I101" s="550" t="e">
        <f t="shared" si="26"/>
        <v>#REF!</v>
      </c>
      <c r="J101" s="550" t="e">
        <f t="shared" si="26"/>
        <v>#REF!</v>
      </c>
    </row>
    <row r="102" spans="1:10" ht="15.75" customHeight="1">
      <c r="A102" s="548"/>
      <c r="B102" s="548"/>
      <c r="C102" s="560" t="s">
        <v>1000</v>
      </c>
      <c r="D102" s="548" t="e">
        <f t="shared" si="27"/>
        <v>#REF!</v>
      </c>
      <c r="E102" s="556" t="e">
        <f t="shared" si="28"/>
        <v>#REF!</v>
      </c>
      <c r="F102" s="550" t="e">
        <f t="shared" si="25"/>
        <v>#REF!</v>
      </c>
      <c r="G102" s="551" t="e">
        <f t="shared" si="12"/>
        <v>#REF!</v>
      </c>
      <c r="H102" s="551" t="e">
        <f t="shared" si="29"/>
        <v>#REF!</v>
      </c>
      <c r="I102" s="550" t="e">
        <f t="shared" si="26"/>
        <v>#REF!</v>
      </c>
      <c r="J102" s="550" t="e">
        <f t="shared" si="26"/>
        <v>#REF!</v>
      </c>
    </row>
    <row r="103" spans="1:10" ht="15.75" customHeight="1">
      <c r="A103" s="548"/>
      <c r="B103" s="548"/>
      <c r="C103" s="560" t="s">
        <v>1001</v>
      </c>
      <c r="D103" s="548" t="e">
        <f t="shared" si="27"/>
        <v>#REF!</v>
      </c>
      <c r="E103" s="556" t="e">
        <f t="shared" si="28"/>
        <v>#REF!</v>
      </c>
      <c r="F103" s="550" t="e">
        <f t="shared" si="25"/>
        <v>#REF!</v>
      </c>
      <c r="G103" s="551" t="e">
        <f t="shared" si="12"/>
        <v>#REF!</v>
      </c>
      <c r="H103" s="551" t="e">
        <f t="shared" si="29"/>
        <v>#REF!</v>
      </c>
      <c r="I103" s="550" t="e">
        <f t="shared" si="26"/>
        <v>#REF!</v>
      </c>
      <c r="J103" s="550" t="e">
        <f t="shared" si="26"/>
        <v>#REF!</v>
      </c>
    </row>
    <row r="104" spans="1:10">
      <c r="A104" s="548">
        <f>A91+1</f>
        <v>56</v>
      </c>
      <c r="B104" s="548" t="e">
        <f>#REF!</f>
        <v>#REF!</v>
      </c>
      <c r="C104" s="557" t="e">
        <f>#REF!</f>
        <v>#REF!</v>
      </c>
      <c r="D104" s="548" t="e">
        <f>#REF!</f>
        <v>#REF!</v>
      </c>
      <c r="E104" s="556" t="e">
        <f>#REF!</f>
        <v>#REF!</v>
      </c>
      <c r="F104" s="550" t="e">
        <f>ROUND(E104/exr,2)</f>
        <v>#REF!</v>
      </c>
      <c r="G104" s="551" t="e">
        <f t="shared" si="12"/>
        <v>#REF!</v>
      </c>
      <c r="H104" s="551" t="e">
        <f>#REF!</f>
        <v>#REF!</v>
      </c>
      <c r="I104" s="550" t="e">
        <f>E104*G104</f>
        <v>#REF!</v>
      </c>
      <c r="J104" s="550" t="e">
        <f t="shared" si="26"/>
        <v>#REF!</v>
      </c>
    </row>
    <row r="105" spans="1:10">
      <c r="A105" s="548">
        <f>A104+1</f>
        <v>57</v>
      </c>
      <c r="B105" s="548" t="e">
        <f>#REF!</f>
        <v>#REF!</v>
      </c>
      <c r="C105" s="557" t="e">
        <f>#REF!</f>
        <v>#REF!</v>
      </c>
      <c r="D105" s="548" t="e">
        <f>#REF!</f>
        <v>#REF!</v>
      </c>
      <c r="E105" s="556" t="e">
        <f>#REF!</f>
        <v>#REF!</v>
      </c>
      <c r="F105" s="550" t="e">
        <f>ROUND(E105/exr,2)</f>
        <v>#REF!</v>
      </c>
      <c r="G105" s="551" t="e">
        <f t="shared" si="12"/>
        <v>#REF!</v>
      </c>
      <c r="H105" s="551" t="e">
        <f>#REF!</f>
        <v>#REF!</v>
      </c>
      <c r="I105" s="550" t="e">
        <f>E105*G105</f>
        <v>#REF!</v>
      </c>
      <c r="J105" s="550" t="e">
        <f t="shared" si="26"/>
        <v>#REF!</v>
      </c>
    </row>
    <row r="106" spans="1:10">
      <c r="A106" s="548">
        <f>A105+1</f>
        <v>58</v>
      </c>
      <c r="B106" s="548" t="e">
        <f>#REF!</f>
        <v>#REF!</v>
      </c>
      <c r="C106" s="557" t="e">
        <f>#REF!</f>
        <v>#REF!</v>
      </c>
      <c r="D106" s="548" t="e">
        <f>#REF!</f>
        <v>#REF!</v>
      </c>
      <c r="E106" s="556" t="e">
        <f>#REF!</f>
        <v>#REF!</v>
      </c>
      <c r="F106" s="550" t="e">
        <f>ROUND(E106/exr,2)</f>
        <v>#REF!</v>
      </c>
      <c r="G106" s="551" t="e">
        <f t="shared" si="12"/>
        <v>#REF!</v>
      </c>
      <c r="H106" s="551" t="e">
        <f>#REF!</f>
        <v>#REF!</v>
      </c>
      <c r="I106" s="550" t="e">
        <f>E106*G106</f>
        <v>#REF!</v>
      </c>
      <c r="J106" s="550" t="e">
        <f t="shared" si="26"/>
        <v>#REF!</v>
      </c>
    </row>
    <row r="107" spans="1:10">
      <c r="A107" s="548">
        <f>A106+1</f>
        <v>59</v>
      </c>
      <c r="B107" s="548" t="e">
        <f>#REF!</f>
        <v>#REF!</v>
      </c>
      <c r="C107" s="557" t="e">
        <f>#REF!</f>
        <v>#REF!</v>
      </c>
      <c r="D107" s="548" t="e">
        <f>#REF!</f>
        <v>#REF!</v>
      </c>
      <c r="E107" s="556" t="e">
        <f>#REF!</f>
        <v>#REF!</v>
      </c>
      <c r="F107" s="550"/>
      <c r="G107" s="551">
        <f t="shared" si="12"/>
        <v>1</v>
      </c>
      <c r="H107" s="551"/>
      <c r="I107" s="550"/>
      <c r="J107" s="550">
        <f t="shared" si="26"/>
        <v>0</v>
      </c>
    </row>
    <row r="108" spans="1:10" ht="15.75" customHeight="1">
      <c r="A108" s="548"/>
      <c r="B108" s="548"/>
      <c r="C108" s="560" t="s">
        <v>990</v>
      </c>
      <c r="D108" s="548" t="e">
        <f>D107</f>
        <v>#REF!</v>
      </c>
      <c r="E108" s="556" t="e">
        <f>ROUND(110%*E106,2)</f>
        <v>#REF!</v>
      </c>
      <c r="F108" s="550" t="e">
        <f t="shared" ref="F108:F119" si="30">ROUND(E108/exr,2)</f>
        <v>#REF!</v>
      </c>
      <c r="G108" s="551" t="e">
        <f t="shared" si="12"/>
        <v>#REF!</v>
      </c>
      <c r="H108" s="551" t="e">
        <f>AVERAGE(H104:H106)</f>
        <v>#REF!</v>
      </c>
      <c r="I108" s="550" t="e">
        <f t="shared" ref="I108:J119" si="31">E108*G108</f>
        <v>#REF!</v>
      </c>
      <c r="J108" s="550" t="e">
        <f t="shared" si="31"/>
        <v>#REF!</v>
      </c>
    </row>
    <row r="109" spans="1:10" ht="15.75" customHeight="1">
      <c r="A109" s="548"/>
      <c r="B109" s="548"/>
      <c r="C109" s="560" t="s">
        <v>991</v>
      </c>
      <c r="D109" s="548" t="e">
        <f t="shared" ref="D109:D119" si="32">D108</f>
        <v>#REF!</v>
      </c>
      <c r="E109" s="556" t="e">
        <f>ROUND(110%*E108,2)</f>
        <v>#REF!</v>
      </c>
      <c r="F109" s="550" t="e">
        <f t="shared" si="30"/>
        <v>#REF!</v>
      </c>
      <c r="G109" s="551" t="e">
        <f t="shared" si="12"/>
        <v>#REF!</v>
      </c>
      <c r="H109" s="551" t="e">
        <f>H108</f>
        <v>#REF!</v>
      </c>
      <c r="I109" s="550" t="e">
        <f t="shared" si="31"/>
        <v>#REF!</v>
      </c>
      <c r="J109" s="550" t="e">
        <f t="shared" si="31"/>
        <v>#REF!</v>
      </c>
    </row>
    <row r="110" spans="1:10" ht="15.75" customHeight="1">
      <c r="A110" s="548"/>
      <c r="B110" s="548"/>
      <c r="C110" s="560" t="s">
        <v>992</v>
      </c>
      <c r="D110" s="548" t="e">
        <f t="shared" si="32"/>
        <v>#REF!</v>
      </c>
      <c r="E110" s="556" t="e">
        <f t="shared" ref="E110:E119" si="33">ROUND(110%*E109,2)</f>
        <v>#REF!</v>
      </c>
      <c r="F110" s="550" t="e">
        <f t="shared" si="30"/>
        <v>#REF!</v>
      </c>
      <c r="G110" s="551" t="e">
        <f t="shared" si="12"/>
        <v>#REF!</v>
      </c>
      <c r="H110" s="551" t="e">
        <f t="shared" ref="H110:H119" si="34">H109</f>
        <v>#REF!</v>
      </c>
      <c r="I110" s="550" t="e">
        <f t="shared" si="31"/>
        <v>#REF!</v>
      </c>
      <c r="J110" s="550" t="e">
        <f t="shared" si="31"/>
        <v>#REF!</v>
      </c>
    </row>
    <row r="111" spans="1:10" ht="15.75" customHeight="1">
      <c r="A111" s="548"/>
      <c r="B111" s="548"/>
      <c r="C111" s="560" t="s">
        <v>993</v>
      </c>
      <c r="D111" s="548" t="e">
        <f t="shared" si="32"/>
        <v>#REF!</v>
      </c>
      <c r="E111" s="556" t="e">
        <f t="shared" si="33"/>
        <v>#REF!</v>
      </c>
      <c r="F111" s="550" t="e">
        <f t="shared" si="30"/>
        <v>#REF!</v>
      </c>
      <c r="G111" s="551" t="e">
        <f t="shared" si="12"/>
        <v>#REF!</v>
      </c>
      <c r="H111" s="551" t="e">
        <f t="shared" si="34"/>
        <v>#REF!</v>
      </c>
      <c r="I111" s="550" t="e">
        <f t="shared" si="31"/>
        <v>#REF!</v>
      </c>
      <c r="J111" s="550" t="e">
        <f t="shared" si="31"/>
        <v>#REF!</v>
      </c>
    </row>
    <row r="112" spans="1:10" ht="15.75" customHeight="1">
      <c r="A112" s="548"/>
      <c r="B112" s="548"/>
      <c r="C112" s="560" t="s">
        <v>994</v>
      </c>
      <c r="D112" s="548" t="e">
        <f t="shared" si="32"/>
        <v>#REF!</v>
      </c>
      <c r="E112" s="556" t="e">
        <f t="shared" si="33"/>
        <v>#REF!</v>
      </c>
      <c r="F112" s="550" t="e">
        <f t="shared" si="30"/>
        <v>#REF!</v>
      </c>
      <c r="G112" s="551" t="e">
        <f t="shared" si="12"/>
        <v>#REF!</v>
      </c>
      <c r="H112" s="551" t="e">
        <f t="shared" si="34"/>
        <v>#REF!</v>
      </c>
      <c r="I112" s="550" t="e">
        <f t="shared" si="31"/>
        <v>#REF!</v>
      </c>
      <c r="J112" s="550" t="e">
        <f t="shared" si="31"/>
        <v>#REF!</v>
      </c>
    </row>
    <row r="113" spans="1:12" ht="15.75" customHeight="1">
      <c r="A113" s="548"/>
      <c r="B113" s="548"/>
      <c r="C113" s="560" t="s">
        <v>995</v>
      </c>
      <c r="D113" s="548" t="e">
        <f t="shared" si="32"/>
        <v>#REF!</v>
      </c>
      <c r="E113" s="556" t="e">
        <f t="shared" si="33"/>
        <v>#REF!</v>
      </c>
      <c r="F113" s="550" t="e">
        <f t="shared" si="30"/>
        <v>#REF!</v>
      </c>
      <c r="G113" s="551" t="e">
        <f t="shared" si="12"/>
        <v>#REF!</v>
      </c>
      <c r="H113" s="551" t="e">
        <f t="shared" si="34"/>
        <v>#REF!</v>
      </c>
      <c r="I113" s="550" t="e">
        <f t="shared" si="31"/>
        <v>#REF!</v>
      </c>
      <c r="J113" s="550" t="e">
        <f t="shared" si="31"/>
        <v>#REF!</v>
      </c>
    </row>
    <row r="114" spans="1:12" ht="15.75" customHeight="1">
      <c r="A114" s="548"/>
      <c r="B114" s="548"/>
      <c r="C114" s="560" t="s">
        <v>996</v>
      </c>
      <c r="D114" s="548" t="e">
        <f t="shared" si="32"/>
        <v>#REF!</v>
      </c>
      <c r="E114" s="556" t="e">
        <f t="shared" si="33"/>
        <v>#REF!</v>
      </c>
      <c r="F114" s="550" t="e">
        <f t="shared" si="30"/>
        <v>#REF!</v>
      </c>
      <c r="G114" s="551" t="e">
        <f t="shared" si="12"/>
        <v>#REF!</v>
      </c>
      <c r="H114" s="551" t="e">
        <f t="shared" si="34"/>
        <v>#REF!</v>
      </c>
      <c r="I114" s="550" t="e">
        <f t="shared" si="31"/>
        <v>#REF!</v>
      </c>
      <c r="J114" s="550" t="e">
        <f t="shared" si="31"/>
        <v>#REF!</v>
      </c>
    </row>
    <row r="115" spans="1:12" ht="15.75" customHeight="1">
      <c r="A115" s="548"/>
      <c r="B115" s="548"/>
      <c r="C115" s="560" t="s">
        <v>997</v>
      </c>
      <c r="D115" s="548" t="e">
        <f t="shared" si="32"/>
        <v>#REF!</v>
      </c>
      <c r="E115" s="556" t="e">
        <f t="shared" si="33"/>
        <v>#REF!</v>
      </c>
      <c r="F115" s="550" t="e">
        <f t="shared" si="30"/>
        <v>#REF!</v>
      </c>
      <c r="G115" s="551" t="e">
        <f t="shared" si="12"/>
        <v>#REF!</v>
      </c>
      <c r="H115" s="551" t="e">
        <f t="shared" si="34"/>
        <v>#REF!</v>
      </c>
      <c r="I115" s="550" t="e">
        <f t="shared" si="31"/>
        <v>#REF!</v>
      </c>
      <c r="J115" s="550" t="e">
        <f t="shared" si="31"/>
        <v>#REF!</v>
      </c>
    </row>
    <row r="116" spans="1:12" ht="15.75" customHeight="1">
      <c r="A116" s="548"/>
      <c r="B116" s="548"/>
      <c r="C116" s="560" t="s">
        <v>998</v>
      </c>
      <c r="D116" s="548" t="e">
        <f t="shared" si="32"/>
        <v>#REF!</v>
      </c>
      <c r="E116" s="556" t="e">
        <f t="shared" si="33"/>
        <v>#REF!</v>
      </c>
      <c r="F116" s="550" t="e">
        <f t="shared" si="30"/>
        <v>#REF!</v>
      </c>
      <c r="G116" s="551" t="e">
        <f t="shared" si="12"/>
        <v>#REF!</v>
      </c>
      <c r="H116" s="551" t="e">
        <f t="shared" si="34"/>
        <v>#REF!</v>
      </c>
      <c r="I116" s="550" t="e">
        <f t="shared" si="31"/>
        <v>#REF!</v>
      </c>
      <c r="J116" s="550" t="e">
        <f t="shared" si="31"/>
        <v>#REF!</v>
      </c>
    </row>
    <row r="117" spans="1:12" ht="15.75" customHeight="1">
      <c r="A117" s="548"/>
      <c r="B117" s="548"/>
      <c r="C117" s="560" t="s">
        <v>999</v>
      </c>
      <c r="D117" s="548" t="e">
        <f t="shared" si="32"/>
        <v>#REF!</v>
      </c>
      <c r="E117" s="556" t="e">
        <f t="shared" si="33"/>
        <v>#REF!</v>
      </c>
      <c r="F117" s="550" t="e">
        <f t="shared" si="30"/>
        <v>#REF!</v>
      </c>
      <c r="G117" s="551" t="e">
        <f t="shared" si="12"/>
        <v>#REF!</v>
      </c>
      <c r="H117" s="551" t="e">
        <f t="shared" si="34"/>
        <v>#REF!</v>
      </c>
      <c r="I117" s="550" t="e">
        <f t="shared" si="31"/>
        <v>#REF!</v>
      </c>
      <c r="J117" s="550" t="e">
        <f t="shared" si="31"/>
        <v>#REF!</v>
      </c>
    </row>
    <row r="118" spans="1:12" ht="15.75" customHeight="1">
      <c r="A118" s="548"/>
      <c r="B118" s="548"/>
      <c r="C118" s="560" t="s">
        <v>1000</v>
      </c>
      <c r="D118" s="548" t="e">
        <f t="shared" si="32"/>
        <v>#REF!</v>
      </c>
      <c r="E118" s="556" t="e">
        <f t="shared" si="33"/>
        <v>#REF!</v>
      </c>
      <c r="F118" s="550" t="e">
        <f t="shared" si="30"/>
        <v>#REF!</v>
      </c>
      <c r="G118" s="551" t="e">
        <f t="shared" si="12"/>
        <v>#REF!</v>
      </c>
      <c r="H118" s="551" t="e">
        <f t="shared" si="34"/>
        <v>#REF!</v>
      </c>
      <c r="I118" s="550" t="e">
        <f t="shared" si="31"/>
        <v>#REF!</v>
      </c>
      <c r="J118" s="550" t="e">
        <f t="shared" si="31"/>
        <v>#REF!</v>
      </c>
      <c r="K118" s="543" t="e">
        <f>Summary!E25\</f>
        <v>#NAME?</v>
      </c>
    </row>
    <row r="119" spans="1:12" ht="15.75" customHeight="1">
      <c r="A119" s="548"/>
      <c r="B119" s="548"/>
      <c r="C119" s="560" t="s">
        <v>1001</v>
      </c>
      <c r="D119" s="548" t="e">
        <f t="shared" si="32"/>
        <v>#REF!</v>
      </c>
      <c r="E119" s="556" t="e">
        <f t="shared" si="33"/>
        <v>#REF!</v>
      </c>
      <c r="F119" s="550" t="e">
        <f t="shared" si="30"/>
        <v>#REF!</v>
      </c>
      <c r="G119" s="551" t="e">
        <f t="shared" si="12"/>
        <v>#REF!</v>
      </c>
      <c r="H119" s="551" t="e">
        <f t="shared" si="34"/>
        <v>#REF!</v>
      </c>
      <c r="I119" s="550" t="e">
        <f t="shared" si="31"/>
        <v>#REF!</v>
      </c>
      <c r="J119" s="550" t="e">
        <f t="shared" si="31"/>
        <v>#REF!</v>
      </c>
    </row>
    <row r="120" spans="1:12">
      <c r="A120" s="548">
        <f>A107+1</f>
        <v>60</v>
      </c>
      <c r="B120" s="548" t="e">
        <f>#REF!</f>
        <v>#REF!</v>
      </c>
      <c r="C120" s="549" t="e">
        <f>#REF!</f>
        <v>#REF!</v>
      </c>
      <c r="D120" s="548" t="e">
        <f>#REF!</f>
        <v>#REF!</v>
      </c>
      <c r="E120" s="550" t="e">
        <f>#REF!</f>
        <v>#REF!</v>
      </c>
      <c r="F120" s="550" t="e">
        <f>ROUND(E120/exr,2)</f>
        <v>#REF!</v>
      </c>
      <c r="G120" s="551" t="e">
        <f t="shared" si="12"/>
        <v>#REF!</v>
      </c>
      <c r="H120" s="551" t="e">
        <f>#REF!</f>
        <v>#REF!</v>
      </c>
      <c r="I120" s="550" t="e">
        <f>E120*G120</f>
        <v>#REF!</v>
      </c>
      <c r="J120" s="550" t="e">
        <f>F120*H120</f>
        <v>#REF!</v>
      </c>
    </row>
    <row r="121" spans="1:12">
      <c r="A121" s="548">
        <f>A120+1</f>
        <v>61</v>
      </c>
      <c r="B121" s="548" t="e">
        <f>#REF!</f>
        <v>#REF!</v>
      </c>
      <c r="C121" s="549" t="e">
        <f>#REF!</f>
        <v>#REF!</v>
      </c>
      <c r="D121" s="548" t="e">
        <f>#REF!</f>
        <v>#REF!</v>
      </c>
      <c r="E121" s="550" t="e">
        <f>#REF!</f>
        <v>#REF!</v>
      </c>
      <c r="F121" s="550" t="e">
        <f>ROUND(E121/exr,2)</f>
        <v>#REF!</v>
      </c>
      <c r="G121" s="551" t="e">
        <f t="shared" si="12"/>
        <v>#REF!</v>
      </c>
      <c r="H121" s="551" t="e">
        <f>#REF!</f>
        <v>#REF!</v>
      </c>
      <c r="I121" s="550" t="e">
        <f>E121*G121</f>
        <v>#REF!</v>
      </c>
      <c r="J121" s="550" t="e">
        <f>F121*H121</f>
        <v>#REF!</v>
      </c>
    </row>
    <row r="122" spans="1:12">
      <c r="A122" s="552"/>
      <c r="B122" s="552"/>
      <c r="C122" s="552"/>
      <c r="D122" s="552"/>
      <c r="E122" s="552"/>
      <c r="F122" s="552"/>
      <c r="G122" s="551"/>
      <c r="H122" s="551"/>
      <c r="I122" s="552"/>
      <c r="J122" s="552"/>
    </row>
    <row r="123" spans="1:12">
      <c r="A123" s="546" t="s">
        <v>246</v>
      </c>
      <c r="B123" s="546"/>
      <c r="C123" s="547" t="s">
        <v>1002</v>
      </c>
      <c r="D123" s="547"/>
      <c r="E123" s="547"/>
      <c r="F123" s="547"/>
      <c r="G123" s="547"/>
      <c r="H123" s="547"/>
      <c r="I123" s="547"/>
      <c r="J123" s="547"/>
    </row>
    <row r="124" spans="1:12" ht="31.5" customHeight="1">
      <c r="A124" s="548">
        <f>A121+1</f>
        <v>62</v>
      </c>
      <c r="B124" s="548">
        <v>1</v>
      </c>
      <c r="C124" s="554" t="e">
        <f>#REF!</f>
        <v>#REF!</v>
      </c>
      <c r="D124" s="548" t="e">
        <f>#REF!</f>
        <v>#REF!</v>
      </c>
      <c r="E124" s="550" t="e">
        <f>#REF!</f>
        <v>#REF!</v>
      </c>
      <c r="F124" s="550" t="e">
        <f t="shared" ref="F124:F140" si="35">ROUND(E124/exr,2)</f>
        <v>#REF!</v>
      </c>
      <c r="G124" s="551" t="e">
        <f t="shared" ref="G124:G140" si="36">1-H124</f>
        <v>#REF!</v>
      </c>
      <c r="H124" s="551" t="e">
        <f>#REF!</f>
        <v>#REF!</v>
      </c>
      <c r="I124" s="550" t="e">
        <f t="shared" ref="I124:J138" si="37">E124*G124</f>
        <v>#REF!</v>
      </c>
      <c r="J124" s="550" t="e">
        <f t="shared" si="37"/>
        <v>#REF!</v>
      </c>
    </row>
    <row r="125" spans="1:12" ht="31.5" customHeight="1">
      <c r="A125" s="548">
        <f>A124+1</f>
        <v>63</v>
      </c>
      <c r="B125" s="548">
        <v>2</v>
      </c>
      <c r="C125" s="554" t="e">
        <f>#REF!</f>
        <v>#REF!</v>
      </c>
      <c r="D125" s="548" t="e">
        <f>#REF!</f>
        <v>#REF!</v>
      </c>
      <c r="E125" s="550" t="e">
        <f>#REF!</f>
        <v>#REF!</v>
      </c>
      <c r="F125" s="550" t="e">
        <f t="shared" si="35"/>
        <v>#REF!</v>
      </c>
      <c r="G125" s="551" t="e">
        <f t="shared" si="36"/>
        <v>#REF!</v>
      </c>
      <c r="H125" s="551" t="e">
        <f>#REF!</f>
        <v>#REF!</v>
      </c>
      <c r="I125" s="550" t="e">
        <f t="shared" si="37"/>
        <v>#REF!</v>
      </c>
      <c r="J125" s="550" t="e">
        <f t="shared" si="37"/>
        <v>#REF!</v>
      </c>
      <c r="K125" s="555" t="e">
        <f>AVERAGE(E125,E126)</f>
        <v>#REF!</v>
      </c>
      <c r="L125" s="543">
        <v>10900</v>
      </c>
    </row>
    <row r="126" spans="1:12" ht="31.5" customHeight="1">
      <c r="A126" s="548">
        <f t="shared" ref="A126:A140" si="38">A125+1</f>
        <v>64</v>
      </c>
      <c r="B126" s="548">
        <v>3</v>
      </c>
      <c r="C126" s="549" t="e">
        <f>#REF!</f>
        <v>#REF!</v>
      </c>
      <c r="D126" s="548" t="e">
        <f>#REF!</f>
        <v>#REF!</v>
      </c>
      <c r="E126" s="550" t="e">
        <f>#REF!</f>
        <v>#REF!</v>
      </c>
      <c r="F126" s="550" t="e">
        <f t="shared" si="35"/>
        <v>#REF!</v>
      </c>
      <c r="G126" s="551" t="e">
        <f t="shared" si="36"/>
        <v>#REF!</v>
      </c>
      <c r="H126" s="551" t="e">
        <f>#REF!</f>
        <v>#REF!</v>
      </c>
      <c r="I126" s="550" t="e">
        <f t="shared" si="37"/>
        <v>#REF!</v>
      </c>
      <c r="J126" s="550" t="e">
        <f t="shared" si="37"/>
        <v>#REF!</v>
      </c>
    </row>
    <row r="127" spans="1:12" ht="31.5" customHeight="1">
      <c r="A127" s="548">
        <f t="shared" si="38"/>
        <v>65</v>
      </c>
      <c r="B127" s="548">
        <v>4</v>
      </c>
      <c r="C127" s="554" t="e">
        <f>#REF!</f>
        <v>#REF!</v>
      </c>
      <c r="D127" s="548" t="e">
        <f>#REF!</f>
        <v>#REF!</v>
      </c>
      <c r="E127" s="550" t="e">
        <f>#REF!</f>
        <v>#REF!</v>
      </c>
      <c r="F127" s="550" t="e">
        <f t="shared" si="35"/>
        <v>#REF!</v>
      </c>
      <c r="G127" s="551" t="e">
        <f t="shared" si="36"/>
        <v>#REF!</v>
      </c>
      <c r="H127" s="551" t="e">
        <f>#REF!</f>
        <v>#REF!</v>
      </c>
      <c r="I127" s="550" t="e">
        <f t="shared" si="37"/>
        <v>#REF!</v>
      </c>
      <c r="J127" s="550" t="e">
        <f t="shared" si="37"/>
        <v>#REF!</v>
      </c>
      <c r="K127" s="555" t="e">
        <f>AVERAGE(E127,E128,E129,E130)</f>
        <v>#REF!</v>
      </c>
      <c r="L127" s="543">
        <v>11900</v>
      </c>
    </row>
    <row r="128" spans="1:12" ht="31.5" customHeight="1">
      <c r="A128" s="548">
        <f t="shared" si="38"/>
        <v>66</v>
      </c>
      <c r="B128" s="548">
        <v>5</v>
      </c>
      <c r="C128" s="549" t="e">
        <f>#REF!</f>
        <v>#REF!</v>
      </c>
      <c r="D128" s="548" t="e">
        <f>#REF!</f>
        <v>#REF!</v>
      </c>
      <c r="E128" s="550" t="e">
        <f>#REF!</f>
        <v>#REF!</v>
      </c>
      <c r="F128" s="550" t="e">
        <f t="shared" si="35"/>
        <v>#REF!</v>
      </c>
      <c r="G128" s="551" t="e">
        <f t="shared" si="36"/>
        <v>#REF!</v>
      </c>
      <c r="H128" s="551" t="e">
        <f>#REF!</f>
        <v>#REF!</v>
      </c>
      <c r="I128" s="550" t="e">
        <f t="shared" si="37"/>
        <v>#REF!</v>
      </c>
      <c r="J128" s="550" t="e">
        <f t="shared" si="37"/>
        <v>#REF!</v>
      </c>
    </row>
    <row r="129" spans="1:12" ht="31.5" customHeight="1">
      <c r="A129" s="548">
        <f t="shared" si="38"/>
        <v>67</v>
      </c>
      <c r="B129" s="548">
        <v>6</v>
      </c>
      <c r="C129" s="549" t="e">
        <f>#REF!</f>
        <v>#REF!</v>
      </c>
      <c r="D129" s="548" t="e">
        <f>#REF!</f>
        <v>#REF!</v>
      </c>
      <c r="E129" s="550" t="e">
        <f>#REF!</f>
        <v>#REF!</v>
      </c>
      <c r="F129" s="550" t="e">
        <f t="shared" si="35"/>
        <v>#REF!</v>
      </c>
      <c r="G129" s="551" t="e">
        <f t="shared" si="36"/>
        <v>#REF!</v>
      </c>
      <c r="H129" s="551" t="e">
        <f>#REF!</f>
        <v>#REF!</v>
      </c>
      <c r="I129" s="550" t="e">
        <f t="shared" si="37"/>
        <v>#REF!</v>
      </c>
      <c r="J129" s="550" t="e">
        <f t="shared" si="37"/>
        <v>#REF!</v>
      </c>
    </row>
    <row r="130" spans="1:12" ht="31.5" customHeight="1">
      <c r="A130" s="548">
        <f t="shared" si="38"/>
        <v>68</v>
      </c>
      <c r="B130" s="548">
        <v>7</v>
      </c>
      <c r="C130" s="549" t="e">
        <f>#REF!</f>
        <v>#REF!</v>
      </c>
      <c r="D130" s="548" t="e">
        <f>#REF!</f>
        <v>#REF!</v>
      </c>
      <c r="E130" s="550" t="e">
        <f>#REF!</f>
        <v>#REF!</v>
      </c>
      <c r="F130" s="550" t="e">
        <f t="shared" si="35"/>
        <v>#REF!</v>
      </c>
      <c r="G130" s="551" t="e">
        <f t="shared" si="36"/>
        <v>#REF!</v>
      </c>
      <c r="H130" s="551" t="e">
        <f>#REF!</f>
        <v>#REF!</v>
      </c>
      <c r="I130" s="550" t="e">
        <f t="shared" si="37"/>
        <v>#REF!</v>
      </c>
      <c r="J130" s="550" t="e">
        <f t="shared" si="37"/>
        <v>#REF!</v>
      </c>
    </row>
    <row r="131" spans="1:12" ht="31.5" customHeight="1">
      <c r="A131" s="548">
        <f t="shared" si="38"/>
        <v>69</v>
      </c>
      <c r="B131" s="548">
        <v>8</v>
      </c>
      <c r="C131" s="549" t="e">
        <f>#REF!</f>
        <v>#REF!</v>
      </c>
      <c r="D131" s="548" t="e">
        <f>#REF!</f>
        <v>#REF!</v>
      </c>
      <c r="E131" s="550" t="e">
        <f>#REF!</f>
        <v>#REF!</v>
      </c>
      <c r="F131" s="550" t="e">
        <f t="shared" si="35"/>
        <v>#REF!</v>
      </c>
      <c r="G131" s="551" t="e">
        <f t="shared" si="36"/>
        <v>#REF!</v>
      </c>
      <c r="H131" s="551" t="e">
        <f>#REF!</f>
        <v>#REF!</v>
      </c>
      <c r="I131" s="550" t="e">
        <f t="shared" si="37"/>
        <v>#REF!</v>
      </c>
      <c r="J131" s="550" t="e">
        <f t="shared" si="37"/>
        <v>#REF!</v>
      </c>
      <c r="K131" s="555" t="e">
        <f>AVERAGE(E131,E132,E133,E134,E135,E136)</f>
        <v>#REF!</v>
      </c>
      <c r="L131" s="543">
        <v>12900</v>
      </c>
    </row>
    <row r="132" spans="1:12" ht="31.5" customHeight="1">
      <c r="A132" s="548">
        <f t="shared" si="38"/>
        <v>70</v>
      </c>
      <c r="B132" s="548">
        <v>9</v>
      </c>
      <c r="C132" s="549" t="e">
        <f>#REF!</f>
        <v>#REF!</v>
      </c>
      <c r="D132" s="548" t="e">
        <f>#REF!</f>
        <v>#REF!</v>
      </c>
      <c r="E132" s="550" t="e">
        <f>#REF!</f>
        <v>#REF!</v>
      </c>
      <c r="F132" s="550" t="e">
        <f t="shared" si="35"/>
        <v>#REF!</v>
      </c>
      <c r="G132" s="551" t="e">
        <f t="shared" si="36"/>
        <v>#REF!</v>
      </c>
      <c r="H132" s="551" t="e">
        <f>#REF!</f>
        <v>#REF!</v>
      </c>
      <c r="I132" s="550" t="e">
        <f t="shared" si="37"/>
        <v>#REF!</v>
      </c>
      <c r="J132" s="550" t="e">
        <f t="shared" si="37"/>
        <v>#REF!</v>
      </c>
    </row>
    <row r="133" spans="1:12" ht="31.5" customHeight="1">
      <c r="A133" s="548">
        <f t="shared" si="38"/>
        <v>71</v>
      </c>
      <c r="B133" s="548">
        <v>10</v>
      </c>
      <c r="C133" s="549" t="e">
        <f>#REF!</f>
        <v>#REF!</v>
      </c>
      <c r="D133" s="548" t="e">
        <f>#REF!</f>
        <v>#REF!</v>
      </c>
      <c r="E133" s="550" t="e">
        <f>#REF!</f>
        <v>#REF!</v>
      </c>
      <c r="F133" s="550" t="e">
        <f t="shared" si="35"/>
        <v>#REF!</v>
      </c>
      <c r="G133" s="551" t="e">
        <f t="shared" si="36"/>
        <v>#REF!</v>
      </c>
      <c r="H133" s="551" t="e">
        <f>#REF!</f>
        <v>#REF!</v>
      </c>
      <c r="I133" s="550" t="e">
        <f t="shared" si="37"/>
        <v>#REF!</v>
      </c>
      <c r="J133" s="550" t="e">
        <f t="shared" si="37"/>
        <v>#REF!</v>
      </c>
    </row>
    <row r="134" spans="1:12" ht="31.5" customHeight="1">
      <c r="A134" s="548">
        <f t="shared" si="38"/>
        <v>72</v>
      </c>
      <c r="B134" s="548">
        <v>11</v>
      </c>
      <c r="C134" s="549" t="e">
        <f>#REF!</f>
        <v>#REF!</v>
      </c>
      <c r="D134" s="548" t="e">
        <f>#REF!</f>
        <v>#REF!</v>
      </c>
      <c r="E134" s="550" t="e">
        <f>#REF!</f>
        <v>#REF!</v>
      </c>
      <c r="F134" s="550" t="e">
        <f t="shared" si="35"/>
        <v>#REF!</v>
      </c>
      <c r="G134" s="551" t="e">
        <f t="shared" si="36"/>
        <v>#REF!</v>
      </c>
      <c r="H134" s="551" t="e">
        <f>#REF!</f>
        <v>#REF!</v>
      </c>
      <c r="I134" s="550" t="e">
        <f t="shared" si="37"/>
        <v>#REF!</v>
      </c>
      <c r="J134" s="550" t="e">
        <f t="shared" si="37"/>
        <v>#REF!</v>
      </c>
    </row>
    <row r="135" spans="1:12" ht="31.5" customHeight="1">
      <c r="A135" s="548">
        <f t="shared" si="38"/>
        <v>73</v>
      </c>
      <c r="B135" s="548">
        <v>12</v>
      </c>
      <c r="C135" s="554" t="e">
        <f>#REF!</f>
        <v>#REF!</v>
      </c>
      <c r="D135" s="548" t="e">
        <f>#REF!</f>
        <v>#REF!</v>
      </c>
      <c r="E135" s="550" t="e">
        <f>#REF!</f>
        <v>#REF!</v>
      </c>
      <c r="F135" s="550" t="e">
        <f t="shared" si="35"/>
        <v>#REF!</v>
      </c>
      <c r="G135" s="551" t="e">
        <f t="shared" si="36"/>
        <v>#REF!</v>
      </c>
      <c r="H135" s="551" t="e">
        <f>#REF!</f>
        <v>#REF!</v>
      </c>
      <c r="I135" s="550" t="e">
        <f>E135*G135</f>
        <v>#REF!</v>
      </c>
      <c r="J135" s="550" t="e">
        <f>F135*H135</f>
        <v>#REF!</v>
      </c>
    </row>
    <row r="136" spans="1:12" ht="31.5" customHeight="1">
      <c r="A136" s="548">
        <f t="shared" si="38"/>
        <v>74</v>
      </c>
      <c r="B136" s="548">
        <v>13</v>
      </c>
      <c r="C136" s="549" t="e">
        <f>#REF!</f>
        <v>#REF!</v>
      </c>
      <c r="D136" s="548" t="e">
        <f>#REF!</f>
        <v>#REF!</v>
      </c>
      <c r="E136" s="550" t="e">
        <f>#REF!</f>
        <v>#REF!</v>
      </c>
      <c r="F136" s="550" t="e">
        <f t="shared" si="35"/>
        <v>#REF!</v>
      </c>
      <c r="G136" s="551" t="e">
        <f t="shared" si="36"/>
        <v>#REF!</v>
      </c>
      <c r="H136" s="551" t="e">
        <f>#REF!</f>
        <v>#REF!</v>
      </c>
      <c r="I136" s="550" t="e">
        <f>E136*G136</f>
        <v>#REF!</v>
      </c>
      <c r="J136" s="550" t="e">
        <f>F136*H136</f>
        <v>#REF!</v>
      </c>
    </row>
    <row r="137" spans="1:12" ht="33.75" customHeight="1">
      <c r="A137" s="548">
        <f t="shared" si="38"/>
        <v>75</v>
      </c>
      <c r="B137" s="548">
        <v>14</v>
      </c>
      <c r="C137" s="549" t="e">
        <f>#REF!</f>
        <v>#REF!</v>
      </c>
      <c r="D137" s="548" t="e">
        <f>#REF!</f>
        <v>#REF!</v>
      </c>
      <c r="E137" s="550" t="e">
        <f>#REF!</f>
        <v>#REF!</v>
      </c>
      <c r="F137" s="550" t="e">
        <f t="shared" si="35"/>
        <v>#REF!</v>
      </c>
      <c r="G137" s="551" t="e">
        <f t="shared" si="36"/>
        <v>#REF!</v>
      </c>
      <c r="H137" s="551" t="e">
        <f>#REF!</f>
        <v>#REF!</v>
      </c>
      <c r="I137" s="550" t="e">
        <f t="shared" si="37"/>
        <v>#REF!</v>
      </c>
      <c r="J137" s="550" t="e">
        <f t="shared" si="37"/>
        <v>#REF!</v>
      </c>
      <c r="K137" s="555" t="e">
        <f>AVERAGE(E137,E138,E139,E140)</f>
        <v>#REF!</v>
      </c>
    </row>
    <row r="138" spans="1:12" ht="32.25" customHeight="1">
      <c r="A138" s="548">
        <f t="shared" si="38"/>
        <v>76</v>
      </c>
      <c r="B138" s="548">
        <v>15</v>
      </c>
      <c r="C138" s="549" t="e">
        <f>#REF!</f>
        <v>#REF!</v>
      </c>
      <c r="D138" s="548" t="e">
        <f>#REF!</f>
        <v>#REF!</v>
      </c>
      <c r="E138" s="550" t="e">
        <f>#REF!</f>
        <v>#REF!</v>
      </c>
      <c r="F138" s="550" t="e">
        <f t="shared" si="35"/>
        <v>#REF!</v>
      </c>
      <c r="G138" s="551" t="e">
        <f t="shared" si="36"/>
        <v>#REF!</v>
      </c>
      <c r="H138" s="551" t="e">
        <f>#REF!</f>
        <v>#REF!</v>
      </c>
      <c r="I138" s="550" t="e">
        <f t="shared" si="37"/>
        <v>#REF!</v>
      </c>
      <c r="J138" s="550" t="e">
        <f t="shared" si="37"/>
        <v>#REF!</v>
      </c>
    </row>
    <row r="139" spans="1:12">
      <c r="A139" s="548">
        <f t="shared" si="38"/>
        <v>77</v>
      </c>
      <c r="B139" s="548">
        <v>16</v>
      </c>
      <c r="C139" s="549" t="e">
        <f>#REF!</f>
        <v>#REF!</v>
      </c>
      <c r="D139" s="548" t="e">
        <f>#REF!</f>
        <v>#REF!</v>
      </c>
      <c r="E139" s="550" t="e">
        <f>#REF!</f>
        <v>#REF!</v>
      </c>
      <c r="F139" s="550" t="e">
        <f t="shared" si="35"/>
        <v>#REF!</v>
      </c>
      <c r="G139" s="551" t="e">
        <f t="shared" si="36"/>
        <v>#REF!</v>
      </c>
      <c r="H139" s="551" t="e">
        <f>#REF!</f>
        <v>#REF!</v>
      </c>
      <c r="I139" s="550" t="e">
        <f>E139*G139</f>
        <v>#REF!</v>
      </c>
      <c r="J139" s="550" t="e">
        <f>F139*H139</f>
        <v>#REF!</v>
      </c>
    </row>
    <row r="140" spans="1:12" ht="32.25" customHeight="1">
      <c r="A140" s="548">
        <f t="shared" si="38"/>
        <v>78</v>
      </c>
      <c r="B140" s="548">
        <v>17</v>
      </c>
      <c r="C140" s="549" t="e">
        <f>#REF!</f>
        <v>#REF!</v>
      </c>
      <c r="D140" s="548" t="e">
        <f>#REF!</f>
        <v>#REF!</v>
      </c>
      <c r="E140" s="550" t="e">
        <f>#REF!</f>
        <v>#REF!</v>
      </c>
      <c r="F140" s="550" t="e">
        <f t="shared" si="35"/>
        <v>#REF!</v>
      </c>
      <c r="G140" s="551" t="e">
        <f t="shared" si="36"/>
        <v>#REF!</v>
      </c>
      <c r="H140" s="551" t="e">
        <f>#REF!</f>
        <v>#REF!</v>
      </c>
      <c r="I140" s="550" t="e">
        <f>E140*G140</f>
        <v>#REF!</v>
      </c>
      <c r="J140" s="550" t="e">
        <f>F140*H140</f>
        <v>#REF!</v>
      </c>
    </row>
    <row r="141" spans="1:12">
      <c r="A141" s="552"/>
      <c r="B141" s="552"/>
      <c r="C141" s="552"/>
      <c r="D141" s="552"/>
      <c r="E141" s="552"/>
      <c r="F141" s="552"/>
      <c r="G141" s="551"/>
      <c r="H141" s="551"/>
      <c r="I141" s="552"/>
      <c r="J141" s="552"/>
    </row>
    <row r="142" spans="1:12">
      <c r="A142" s="546" t="s">
        <v>177</v>
      </c>
      <c r="B142" s="546"/>
      <c r="C142" s="547" t="s">
        <v>1003</v>
      </c>
      <c r="D142" s="547"/>
      <c r="E142" s="547"/>
      <c r="F142" s="547"/>
      <c r="G142" s="547"/>
      <c r="H142" s="547"/>
      <c r="I142" s="547"/>
      <c r="J142" s="547"/>
    </row>
    <row r="143" spans="1:12">
      <c r="A143" s="548">
        <f>A140+1</f>
        <v>79</v>
      </c>
      <c r="B143" s="548" t="e">
        <f>#REF!</f>
        <v>#REF!</v>
      </c>
      <c r="C143" s="554" t="e">
        <f>#REF!</f>
        <v>#REF!</v>
      </c>
      <c r="D143" s="548" t="e">
        <f>#REF!</f>
        <v>#REF!</v>
      </c>
      <c r="E143" s="550" t="e">
        <f>#REF!</f>
        <v>#REF!</v>
      </c>
      <c r="F143" s="550" t="e">
        <f>ROUND(E143/exr,2)</f>
        <v>#REF!</v>
      </c>
      <c r="G143" s="551" t="e">
        <f>1-H143</f>
        <v>#REF!</v>
      </c>
      <c r="H143" s="551" t="e">
        <f>#REF!</f>
        <v>#REF!</v>
      </c>
      <c r="I143" s="550" t="e">
        <f t="shared" ref="I143:J145" si="39">E143*G143</f>
        <v>#REF!</v>
      </c>
      <c r="J143" s="550" t="e">
        <f t="shared" si="39"/>
        <v>#REF!</v>
      </c>
      <c r="K143" s="555" t="e">
        <f>AVERAGE(E143,E144,E145)</f>
        <v>#REF!</v>
      </c>
    </row>
    <row r="144" spans="1:12">
      <c r="A144" s="548">
        <f>A143+1</f>
        <v>80</v>
      </c>
      <c r="B144" s="548" t="e">
        <f>#REF!</f>
        <v>#REF!</v>
      </c>
      <c r="C144" s="554" t="e">
        <f>#REF!</f>
        <v>#REF!</v>
      </c>
      <c r="D144" s="548" t="e">
        <f>#REF!</f>
        <v>#REF!</v>
      </c>
      <c r="E144" s="550" t="e">
        <f>#REF!</f>
        <v>#REF!</v>
      </c>
      <c r="F144" s="550" t="e">
        <f>ROUND(E144/exr,2)</f>
        <v>#REF!</v>
      </c>
      <c r="G144" s="551" t="e">
        <f>1-H144</f>
        <v>#REF!</v>
      </c>
      <c r="H144" s="551" t="e">
        <f>#REF!</f>
        <v>#REF!</v>
      </c>
      <c r="I144" s="550" t="e">
        <f t="shared" si="39"/>
        <v>#REF!</v>
      </c>
      <c r="J144" s="550" t="e">
        <f t="shared" si="39"/>
        <v>#REF!</v>
      </c>
    </row>
    <row r="145" spans="1:10">
      <c r="A145" s="548">
        <f>A144+1</f>
        <v>81</v>
      </c>
      <c r="B145" s="548" t="e">
        <f>#REF!</f>
        <v>#REF!</v>
      </c>
      <c r="C145" s="554" t="e">
        <f>#REF!</f>
        <v>#REF!</v>
      </c>
      <c r="D145" s="548" t="e">
        <f>#REF!</f>
        <v>#REF!</v>
      </c>
      <c r="E145" s="550" t="e">
        <f>#REF!</f>
        <v>#REF!</v>
      </c>
      <c r="F145" s="550" t="e">
        <f>ROUND(E145/exr,2)</f>
        <v>#REF!</v>
      </c>
      <c r="G145" s="551" t="e">
        <f>1-H145</f>
        <v>#REF!</v>
      </c>
      <c r="H145" s="551" t="e">
        <f>#REF!</f>
        <v>#REF!</v>
      </c>
      <c r="I145" s="550" t="e">
        <f t="shared" si="39"/>
        <v>#REF!</v>
      </c>
      <c r="J145" s="550" t="e">
        <f t="shared" si="39"/>
        <v>#REF!</v>
      </c>
    </row>
    <row r="146" spans="1:10">
      <c r="A146" s="548"/>
      <c r="B146" s="548"/>
      <c r="C146" s="549"/>
      <c r="D146" s="548"/>
      <c r="E146" s="550"/>
      <c r="F146" s="550"/>
      <c r="G146" s="551"/>
      <c r="H146" s="551"/>
      <c r="I146" s="550"/>
      <c r="J146" s="550"/>
    </row>
    <row r="147" spans="1:10">
      <c r="A147" s="546" t="s">
        <v>178</v>
      </c>
      <c r="B147" s="546"/>
      <c r="C147" s="547" t="s">
        <v>1004</v>
      </c>
      <c r="D147" s="547"/>
      <c r="E147" s="547"/>
      <c r="F147" s="547"/>
      <c r="G147" s="547"/>
      <c r="H147" s="547"/>
      <c r="I147" s="547"/>
      <c r="J147" s="547"/>
    </row>
    <row r="148" spans="1:10">
      <c r="A148" s="548">
        <f>A145+1</f>
        <v>82</v>
      </c>
      <c r="B148" s="548" t="e">
        <f>#REF!</f>
        <v>#REF!</v>
      </c>
      <c r="C148" s="549" t="e">
        <f>#REF!</f>
        <v>#REF!</v>
      </c>
      <c r="D148" s="548" t="e">
        <f>#REF!</f>
        <v>#REF!</v>
      </c>
      <c r="E148" s="550" t="e">
        <f>#REF!</f>
        <v>#REF!</v>
      </c>
      <c r="F148" s="550" t="e">
        <f t="shared" ref="F148:F153" si="40">ROUND(E148/exr,2)</f>
        <v>#REF!</v>
      </c>
      <c r="G148" s="551" t="e">
        <f t="shared" ref="G148:G153" si="41">1-H148</f>
        <v>#REF!</v>
      </c>
      <c r="H148" s="551" t="e">
        <f>#REF!</f>
        <v>#REF!</v>
      </c>
      <c r="I148" s="550" t="e">
        <f t="shared" ref="I148:J153" si="42">E148*G148</f>
        <v>#REF!</v>
      </c>
      <c r="J148" s="550" t="e">
        <f t="shared" si="42"/>
        <v>#REF!</v>
      </c>
    </row>
    <row r="149" spans="1:10">
      <c r="A149" s="548">
        <f>A148+1</f>
        <v>83</v>
      </c>
      <c r="B149" s="548" t="e">
        <f>#REF!</f>
        <v>#REF!</v>
      </c>
      <c r="C149" s="554" t="e">
        <f>#REF!</f>
        <v>#REF!</v>
      </c>
      <c r="D149" s="548" t="e">
        <f>#REF!</f>
        <v>#REF!</v>
      </c>
      <c r="E149" s="550" t="e">
        <f>#REF!</f>
        <v>#REF!</v>
      </c>
      <c r="F149" s="550" t="e">
        <f t="shared" si="40"/>
        <v>#REF!</v>
      </c>
      <c r="G149" s="551" t="e">
        <f t="shared" si="41"/>
        <v>#REF!</v>
      </c>
      <c r="H149" s="551" t="e">
        <f>#REF!</f>
        <v>#REF!</v>
      </c>
      <c r="I149" s="550" t="e">
        <f t="shared" si="42"/>
        <v>#REF!</v>
      </c>
      <c r="J149" s="550" t="e">
        <f t="shared" si="42"/>
        <v>#REF!</v>
      </c>
    </row>
    <row r="150" spans="1:10">
      <c r="A150" s="548">
        <f>A149+1</f>
        <v>84</v>
      </c>
      <c r="B150" s="548" t="e">
        <f>#REF!</f>
        <v>#REF!</v>
      </c>
      <c r="C150" s="549" t="e">
        <f>#REF!</f>
        <v>#REF!</v>
      </c>
      <c r="D150" s="548" t="e">
        <f>#REF!</f>
        <v>#REF!</v>
      </c>
      <c r="E150" s="550" t="e">
        <f>#REF!</f>
        <v>#REF!</v>
      </c>
      <c r="F150" s="550" t="e">
        <f t="shared" si="40"/>
        <v>#REF!</v>
      </c>
      <c r="G150" s="551" t="e">
        <f t="shared" si="41"/>
        <v>#REF!</v>
      </c>
      <c r="H150" s="551" t="e">
        <f>#REF!</f>
        <v>#REF!</v>
      </c>
      <c r="I150" s="550" t="e">
        <f t="shared" si="42"/>
        <v>#REF!</v>
      </c>
      <c r="J150" s="550" t="e">
        <f t="shared" si="42"/>
        <v>#REF!</v>
      </c>
    </row>
    <row r="151" spans="1:10">
      <c r="A151" s="548">
        <f>A150+1</f>
        <v>85</v>
      </c>
      <c r="B151" s="548" t="e">
        <f>#REF!</f>
        <v>#REF!</v>
      </c>
      <c r="C151" s="549" t="e">
        <f>#REF!</f>
        <v>#REF!</v>
      </c>
      <c r="D151" s="548" t="e">
        <f>#REF!</f>
        <v>#REF!</v>
      </c>
      <c r="E151" s="550" t="e">
        <f>#REF!</f>
        <v>#REF!</v>
      </c>
      <c r="F151" s="550" t="e">
        <f t="shared" si="40"/>
        <v>#REF!</v>
      </c>
      <c r="G151" s="551" t="e">
        <f t="shared" si="41"/>
        <v>#REF!</v>
      </c>
      <c r="H151" s="551" t="e">
        <f>#REF!</f>
        <v>#REF!</v>
      </c>
      <c r="I151" s="550" t="e">
        <f t="shared" si="42"/>
        <v>#REF!</v>
      </c>
      <c r="J151" s="550" t="e">
        <f t="shared" si="42"/>
        <v>#REF!</v>
      </c>
    </row>
    <row r="152" spans="1:10">
      <c r="A152" s="548">
        <f>A151+1</f>
        <v>86</v>
      </c>
      <c r="B152" s="548" t="e">
        <f>#REF!</f>
        <v>#REF!</v>
      </c>
      <c r="C152" s="549" t="e">
        <f>#REF!</f>
        <v>#REF!</v>
      </c>
      <c r="D152" s="548" t="e">
        <f>#REF!</f>
        <v>#REF!</v>
      </c>
      <c r="E152" s="550" t="e">
        <f>#REF!</f>
        <v>#REF!</v>
      </c>
      <c r="F152" s="550" t="e">
        <f t="shared" si="40"/>
        <v>#REF!</v>
      </c>
      <c r="G152" s="551" t="e">
        <f t="shared" si="41"/>
        <v>#REF!</v>
      </c>
      <c r="H152" s="551" t="e">
        <f>#REF!</f>
        <v>#REF!</v>
      </c>
      <c r="I152" s="550" t="e">
        <f t="shared" si="42"/>
        <v>#REF!</v>
      </c>
      <c r="J152" s="550" t="e">
        <f t="shared" si="42"/>
        <v>#REF!</v>
      </c>
    </row>
    <row r="153" spans="1:10">
      <c r="A153" s="548">
        <f>A152+1</f>
        <v>87</v>
      </c>
      <c r="B153" s="548" t="e">
        <f>#REF!</f>
        <v>#REF!</v>
      </c>
      <c r="C153" s="549" t="e">
        <f>#REF!</f>
        <v>#REF!</v>
      </c>
      <c r="D153" s="548" t="e">
        <f>#REF!</f>
        <v>#REF!</v>
      </c>
      <c r="E153" s="550" t="e">
        <f>#REF!</f>
        <v>#REF!</v>
      </c>
      <c r="F153" s="550" t="e">
        <f t="shared" si="40"/>
        <v>#REF!</v>
      </c>
      <c r="G153" s="551" t="e">
        <f t="shared" si="41"/>
        <v>#REF!</v>
      </c>
      <c r="H153" s="551" t="e">
        <f>#REF!</f>
        <v>#REF!</v>
      </c>
      <c r="I153" s="550" t="e">
        <f t="shared" si="42"/>
        <v>#REF!</v>
      </c>
      <c r="J153" s="550" t="e">
        <f t="shared" si="42"/>
        <v>#REF!</v>
      </c>
    </row>
    <row r="154" spans="1:10">
      <c r="A154" s="548"/>
      <c r="B154" s="548"/>
      <c r="C154" s="549"/>
      <c r="D154" s="548"/>
      <c r="E154" s="550"/>
      <c r="F154" s="550"/>
      <c r="G154" s="551"/>
      <c r="H154" s="551"/>
      <c r="I154" s="550"/>
      <c r="J154" s="550"/>
    </row>
    <row r="155" spans="1:10">
      <c r="A155" s="546" t="s">
        <v>165</v>
      </c>
      <c r="B155" s="546"/>
      <c r="C155" s="547" t="s">
        <v>1005</v>
      </c>
      <c r="D155" s="547"/>
      <c r="E155" s="547"/>
      <c r="F155" s="547"/>
      <c r="G155" s="547"/>
      <c r="H155" s="547"/>
      <c r="I155" s="547"/>
      <c r="J155" s="547"/>
    </row>
    <row r="156" spans="1:10">
      <c r="A156" s="548">
        <f>A153+1</f>
        <v>88</v>
      </c>
      <c r="B156" s="548" t="e">
        <f>#REF!</f>
        <v>#REF!</v>
      </c>
      <c r="C156" s="549" t="e">
        <f>#REF!</f>
        <v>#REF!</v>
      </c>
      <c r="D156" s="548" t="e">
        <f>#REF!</f>
        <v>#REF!</v>
      </c>
      <c r="E156" s="550" t="e">
        <f>#REF!</f>
        <v>#REF!</v>
      </c>
      <c r="F156" s="550" t="e">
        <f t="shared" ref="F156:F163" si="43">ROUND(E156/exr,2)</f>
        <v>#REF!</v>
      </c>
      <c r="G156" s="551" t="e">
        <f t="shared" ref="G156:G163" si="44">1-H156</f>
        <v>#REF!</v>
      </c>
      <c r="H156" s="551" t="e">
        <f>#REF!</f>
        <v>#REF!</v>
      </c>
      <c r="I156" s="550" t="e">
        <f t="shared" ref="I156:J163" si="45">E156*G156</f>
        <v>#REF!</v>
      </c>
      <c r="J156" s="550" t="e">
        <f t="shared" si="45"/>
        <v>#REF!</v>
      </c>
    </row>
    <row r="157" spans="1:10">
      <c r="A157" s="548">
        <f>A156+1</f>
        <v>89</v>
      </c>
      <c r="B157" s="548" t="e">
        <f>#REF!</f>
        <v>#REF!</v>
      </c>
      <c r="C157" s="549" t="e">
        <f>#REF!</f>
        <v>#REF!</v>
      </c>
      <c r="D157" s="548" t="e">
        <f>#REF!</f>
        <v>#REF!</v>
      </c>
      <c r="E157" s="550" t="e">
        <f>#REF!</f>
        <v>#REF!</v>
      </c>
      <c r="F157" s="550" t="e">
        <f t="shared" si="43"/>
        <v>#REF!</v>
      </c>
      <c r="G157" s="551" t="e">
        <f t="shared" si="44"/>
        <v>#REF!</v>
      </c>
      <c r="H157" s="551" t="e">
        <f>#REF!</f>
        <v>#REF!</v>
      </c>
      <c r="I157" s="550" t="e">
        <f t="shared" si="45"/>
        <v>#REF!</v>
      </c>
      <c r="J157" s="550" t="e">
        <f t="shared" si="45"/>
        <v>#REF!</v>
      </c>
    </row>
    <row r="158" spans="1:10">
      <c r="A158" s="548">
        <f t="shared" ref="A158:A163" si="46">A157+1</f>
        <v>90</v>
      </c>
      <c r="B158" s="548" t="e">
        <f>#REF!</f>
        <v>#REF!</v>
      </c>
      <c r="C158" s="554" t="e">
        <f>#REF!</f>
        <v>#REF!</v>
      </c>
      <c r="D158" s="548" t="e">
        <f>#REF!</f>
        <v>#REF!</v>
      </c>
      <c r="E158" s="550" t="e">
        <f>#REF!</f>
        <v>#REF!</v>
      </c>
      <c r="F158" s="550" t="e">
        <f t="shared" si="43"/>
        <v>#REF!</v>
      </c>
      <c r="G158" s="551" t="e">
        <f t="shared" si="44"/>
        <v>#REF!</v>
      </c>
      <c r="H158" s="551" t="e">
        <f>#REF!</f>
        <v>#REF!</v>
      </c>
      <c r="I158" s="550" t="e">
        <f t="shared" si="45"/>
        <v>#REF!</v>
      </c>
      <c r="J158" s="550" t="e">
        <f t="shared" si="45"/>
        <v>#REF!</v>
      </c>
    </row>
    <row r="159" spans="1:10">
      <c r="A159" s="548">
        <f t="shared" si="46"/>
        <v>91</v>
      </c>
      <c r="B159" s="548" t="e">
        <f>#REF!</f>
        <v>#REF!</v>
      </c>
      <c r="C159" s="549" t="e">
        <f>#REF!</f>
        <v>#REF!</v>
      </c>
      <c r="D159" s="548" t="e">
        <f>#REF!</f>
        <v>#REF!</v>
      </c>
      <c r="E159" s="550" t="e">
        <f>#REF!</f>
        <v>#REF!</v>
      </c>
      <c r="F159" s="550" t="e">
        <f t="shared" si="43"/>
        <v>#REF!</v>
      </c>
      <c r="G159" s="551" t="e">
        <f t="shared" si="44"/>
        <v>#REF!</v>
      </c>
      <c r="H159" s="551" t="e">
        <f>#REF!</f>
        <v>#REF!</v>
      </c>
      <c r="I159" s="550" t="e">
        <f t="shared" si="45"/>
        <v>#REF!</v>
      </c>
      <c r="J159" s="550" t="e">
        <f t="shared" si="45"/>
        <v>#REF!</v>
      </c>
    </row>
    <row r="160" spans="1:10">
      <c r="A160" s="548">
        <f t="shared" si="46"/>
        <v>92</v>
      </c>
      <c r="B160" s="548" t="e">
        <f>#REF!</f>
        <v>#REF!</v>
      </c>
      <c r="C160" s="549" t="e">
        <f>#REF!</f>
        <v>#REF!</v>
      </c>
      <c r="D160" s="548" t="e">
        <f>#REF!</f>
        <v>#REF!</v>
      </c>
      <c r="E160" s="550" t="e">
        <f>#REF!</f>
        <v>#REF!</v>
      </c>
      <c r="F160" s="550" t="e">
        <f t="shared" si="43"/>
        <v>#REF!</v>
      </c>
      <c r="G160" s="551" t="e">
        <f t="shared" si="44"/>
        <v>#REF!</v>
      </c>
      <c r="H160" s="551" t="e">
        <f>#REF!</f>
        <v>#REF!</v>
      </c>
      <c r="I160" s="550" t="e">
        <f t="shared" si="45"/>
        <v>#REF!</v>
      </c>
      <c r="J160" s="550" t="e">
        <f t="shared" si="45"/>
        <v>#REF!</v>
      </c>
    </row>
    <row r="161" spans="1:10">
      <c r="A161" s="548">
        <f t="shared" si="46"/>
        <v>93</v>
      </c>
      <c r="B161" s="548" t="e">
        <f>#REF!</f>
        <v>#REF!</v>
      </c>
      <c r="C161" s="549" t="e">
        <f>#REF!</f>
        <v>#REF!</v>
      </c>
      <c r="D161" s="548" t="e">
        <f>#REF!</f>
        <v>#REF!</v>
      </c>
      <c r="E161" s="550" t="e">
        <f>#REF!</f>
        <v>#REF!</v>
      </c>
      <c r="F161" s="550" t="e">
        <f t="shared" si="43"/>
        <v>#REF!</v>
      </c>
      <c r="G161" s="551" t="e">
        <f t="shared" si="44"/>
        <v>#REF!</v>
      </c>
      <c r="H161" s="551" t="e">
        <f>#REF!</f>
        <v>#REF!</v>
      </c>
      <c r="I161" s="550" t="e">
        <f t="shared" si="45"/>
        <v>#REF!</v>
      </c>
      <c r="J161" s="550" t="e">
        <f t="shared" si="45"/>
        <v>#REF!</v>
      </c>
    </row>
    <row r="162" spans="1:10">
      <c r="A162" s="548">
        <f t="shared" si="46"/>
        <v>94</v>
      </c>
      <c r="B162" s="548" t="e">
        <f>#REF!</f>
        <v>#REF!</v>
      </c>
      <c r="C162" s="549" t="e">
        <f>#REF!</f>
        <v>#REF!</v>
      </c>
      <c r="D162" s="548" t="e">
        <f>#REF!</f>
        <v>#REF!</v>
      </c>
      <c r="E162" s="550" t="e">
        <f>#REF!</f>
        <v>#REF!</v>
      </c>
      <c r="F162" s="550" t="e">
        <f t="shared" si="43"/>
        <v>#REF!</v>
      </c>
      <c r="G162" s="551" t="e">
        <f t="shared" si="44"/>
        <v>#REF!</v>
      </c>
      <c r="H162" s="551" t="e">
        <f>#REF!</f>
        <v>#REF!</v>
      </c>
      <c r="I162" s="550" t="e">
        <f t="shared" si="45"/>
        <v>#REF!</v>
      </c>
      <c r="J162" s="550" t="e">
        <f t="shared" si="45"/>
        <v>#REF!</v>
      </c>
    </row>
    <row r="163" spans="1:10">
      <c r="A163" s="548">
        <f t="shared" si="46"/>
        <v>95</v>
      </c>
      <c r="B163" s="548" t="e">
        <f>#REF!</f>
        <v>#REF!</v>
      </c>
      <c r="C163" s="549" t="e">
        <f>#REF!</f>
        <v>#REF!</v>
      </c>
      <c r="D163" s="548" t="e">
        <f>#REF!</f>
        <v>#REF!</v>
      </c>
      <c r="E163" s="550" t="e">
        <f>#REF!</f>
        <v>#REF!</v>
      </c>
      <c r="F163" s="550" t="e">
        <f t="shared" si="43"/>
        <v>#REF!</v>
      </c>
      <c r="G163" s="551" t="e">
        <f t="shared" si="44"/>
        <v>#REF!</v>
      </c>
      <c r="H163" s="551" t="e">
        <f>#REF!</f>
        <v>#REF!</v>
      </c>
      <c r="I163" s="550" t="e">
        <f t="shared" si="45"/>
        <v>#REF!</v>
      </c>
      <c r="J163" s="550" t="e">
        <f t="shared" si="45"/>
        <v>#REF!</v>
      </c>
    </row>
    <row r="164" spans="1:10">
      <c r="A164" s="548"/>
      <c r="B164" s="548"/>
      <c r="C164" s="549"/>
      <c r="D164" s="548"/>
      <c r="E164" s="550"/>
      <c r="F164" s="550"/>
      <c r="G164" s="551"/>
      <c r="H164" s="551"/>
      <c r="I164" s="550"/>
      <c r="J164" s="550"/>
    </row>
    <row r="165" spans="1:10">
      <c r="A165" s="546" t="s">
        <v>789</v>
      </c>
      <c r="B165" s="546"/>
      <c r="C165" s="547" t="s">
        <v>1006</v>
      </c>
      <c r="D165" s="547"/>
      <c r="E165" s="547"/>
      <c r="F165" s="547"/>
      <c r="G165" s="547"/>
      <c r="H165" s="547"/>
      <c r="I165" s="547"/>
      <c r="J165" s="547"/>
    </row>
    <row r="166" spans="1:10">
      <c r="A166" s="548">
        <f>A163+1</f>
        <v>96</v>
      </c>
      <c r="B166" s="548" t="e">
        <f>#REF!</f>
        <v>#REF!</v>
      </c>
      <c r="C166" s="549" t="e">
        <f>#REF!</f>
        <v>#REF!</v>
      </c>
      <c r="D166" s="548" t="e">
        <f>#REF!</f>
        <v>#REF!</v>
      </c>
      <c r="E166" s="550" t="e">
        <f>#REF!</f>
        <v>#REF!</v>
      </c>
      <c r="F166" s="550" t="e">
        <f t="shared" ref="F166:F175" si="47">ROUND(E166/exr,2)</f>
        <v>#REF!</v>
      </c>
      <c r="G166" s="551" t="e">
        <f t="shared" ref="G166:G175" si="48">1-H166</f>
        <v>#REF!</v>
      </c>
      <c r="H166" s="551" t="e">
        <f>#REF!</f>
        <v>#REF!</v>
      </c>
      <c r="I166" s="550" t="e">
        <f t="shared" ref="I166:J175" si="49">E166*G166</f>
        <v>#REF!</v>
      </c>
      <c r="J166" s="550" t="e">
        <f t="shared" si="49"/>
        <v>#REF!</v>
      </c>
    </row>
    <row r="167" spans="1:10">
      <c r="A167" s="548">
        <f>A166+1</f>
        <v>97</v>
      </c>
      <c r="B167" s="548" t="e">
        <f>#REF!</f>
        <v>#REF!</v>
      </c>
      <c r="C167" s="549" t="e">
        <f>#REF!</f>
        <v>#REF!</v>
      </c>
      <c r="D167" s="548" t="e">
        <f>#REF!</f>
        <v>#REF!</v>
      </c>
      <c r="E167" s="550" t="e">
        <f>#REF!</f>
        <v>#REF!</v>
      </c>
      <c r="F167" s="550" t="e">
        <f t="shared" si="47"/>
        <v>#REF!</v>
      </c>
      <c r="G167" s="551" t="e">
        <f t="shared" si="48"/>
        <v>#REF!</v>
      </c>
      <c r="H167" s="551" t="e">
        <f>#REF!</f>
        <v>#REF!</v>
      </c>
      <c r="I167" s="550" t="e">
        <f t="shared" si="49"/>
        <v>#REF!</v>
      </c>
      <c r="J167" s="550" t="e">
        <f t="shared" si="49"/>
        <v>#REF!</v>
      </c>
    </row>
    <row r="168" spans="1:10">
      <c r="A168" s="548">
        <f t="shared" ref="A168:A175" si="50">A167+1</f>
        <v>98</v>
      </c>
      <c r="B168" s="548" t="e">
        <f>#REF!</f>
        <v>#REF!</v>
      </c>
      <c r="C168" s="554" t="e">
        <f>#REF!</f>
        <v>#REF!</v>
      </c>
      <c r="D168" s="548" t="e">
        <f>#REF!</f>
        <v>#REF!</v>
      </c>
      <c r="E168" s="550" t="e">
        <f>#REF!</f>
        <v>#REF!</v>
      </c>
      <c r="F168" s="550" t="e">
        <f t="shared" si="47"/>
        <v>#REF!</v>
      </c>
      <c r="G168" s="551" t="e">
        <f t="shared" si="48"/>
        <v>#REF!</v>
      </c>
      <c r="H168" s="551" t="e">
        <f>#REF!</f>
        <v>#REF!</v>
      </c>
      <c r="I168" s="550" t="e">
        <f t="shared" si="49"/>
        <v>#REF!</v>
      </c>
      <c r="J168" s="550" t="e">
        <f t="shared" si="49"/>
        <v>#REF!</v>
      </c>
    </row>
    <row r="169" spans="1:10">
      <c r="A169" s="548">
        <f t="shared" si="50"/>
        <v>99</v>
      </c>
      <c r="B169" s="548" t="e">
        <f>#REF!</f>
        <v>#REF!</v>
      </c>
      <c r="C169" s="549" t="e">
        <f>#REF!</f>
        <v>#REF!</v>
      </c>
      <c r="D169" s="548" t="e">
        <f>#REF!</f>
        <v>#REF!</v>
      </c>
      <c r="E169" s="550" t="e">
        <f>#REF!</f>
        <v>#REF!</v>
      </c>
      <c r="F169" s="550" t="e">
        <f t="shared" si="47"/>
        <v>#REF!</v>
      </c>
      <c r="G169" s="551" t="e">
        <f t="shared" si="48"/>
        <v>#REF!</v>
      </c>
      <c r="H169" s="551" t="e">
        <f>#REF!</f>
        <v>#REF!</v>
      </c>
      <c r="I169" s="550" t="e">
        <f t="shared" si="49"/>
        <v>#REF!</v>
      </c>
      <c r="J169" s="550" t="e">
        <f t="shared" si="49"/>
        <v>#REF!</v>
      </c>
    </row>
    <row r="170" spans="1:10">
      <c r="A170" s="548">
        <f t="shared" si="50"/>
        <v>100</v>
      </c>
      <c r="B170" s="548" t="e">
        <f>#REF!</f>
        <v>#REF!</v>
      </c>
      <c r="C170" s="549" t="e">
        <f>#REF!</f>
        <v>#REF!</v>
      </c>
      <c r="D170" s="548" t="e">
        <f>#REF!</f>
        <v>#REF!</v>
      </c>
      <c r="E170" s="550" t="e">
        <f>#REF!</f>
        <v>#REF!</v>
      </c>
      <c r="F170" s="550" t="e">
        <f t="shared" si="47"/>
        <v>#REF!</v>
      </c>
      <c r="G170" s="551" t="e">
        <f t="shared" si="48"/>
        <v>#REF!</v>
      </c>
      <c r="H170" s="551" t="e">
        <f>#REF!</f>
        <v>#REF!</v>
      </c>
      <c r="I170" s="550" t="e">
        <f t="shared" si="49"/>
        <v>#REF!</v>
      </c>
      <c r="J170" s="550" t="e">
        <f t="shared" si="49"/>
        <v>#REF!</v>
      </c>
    </row>
    <row r="171" spans="1:10">
      <c r="A171" s="548">
        <f t="shared" si="50"/>
        <v>101</v>
      </c>
      <c r="B171" s="548" t="e">
        <f>#REF!</f>
        <v>#REF!</v>
      </c>
      <c r="C171" s="549" t="e">
        <f>#REF!</f>
        <v>#REF!</v>
      </c>
      <c r="D171" s="548" t="e">
        <f>#REF!</f>
        <v>#REF!</v>
      </c>
      <c r="E171" s="550" t="e">
        <f>#REF!</f>
        <v>#REF!</v>
      </c>
      <c r="F171" s="550" t="e">
        <f t="shared" si="47"/>
        <v>#REF!</v>
      </c>
      <c r="G171" s="551" t="e">
        <f t="shared" si="48"/>
        <v>#REF!</v>
      </c>
      <c r="H171" s="551" t="e">
        <f>#REF!</f>
        <v>#REF!</v>
      </c>
      <c r="I171" s="550" t="e">
        <f t="shared" si="49"/>
        <v>#REF!</v>
      </c>
      <c r="J171" s="550" t="e">
        <f t="shared" si="49"/>
        <v>#REF!</v>
      </c>
    </row>
    <row r="172" spans="1:10">
      <c r="A172" s="548">
        <f t="shared" si="50"/>
        <v>102</v>
      </c>
      <c r="B172" s="548" t="e">
        <f>#REF!</f>
        <v>#REF!</v>
      </c>
      <c r="C172" s="549" t="e">
        <f>#REF!</f>
        <v>#REF!</v>
      </c>
      <c r="D172" s="548" t="e">
        <f>#REF!</f>
        <v>#REF!</v>
      </c>
      <c r="E172" s="550" t="e">
        <f>#REF!</f>
        <v>#REF!</v>
      </c>
      <c r="F172" s="550" t="e">
        <f t="shared" si="47"/>
        <v>#REF!</v>
      </c>
      <c r="G172" s="551" t="e">
        <f t="shared" si="48"/>
        <v>#REF!</v>
      </c>
      <c r="H172" s="551" t="e">
        <f>#REF!</f>
        <v>#REF!</v>
      </c>
      <c r="I172" s="550" t="e">
        <f t="shared" si="49"/>
        <v>#REF!</v>
      </c>
      <c r="J172" s="550" t="e">
        <f t="shared" si="49"/>
        <v>#REF!</v>
      </c>
    </row>
    <row r="173" spans="1:10">
      <c r="A173" s="548">
        <f t="shared" si="50"/>
        <v>103</v>
      </c>
      <c r="B173" s="548" t="e">
        <f>#REF!</f>
        <v>#REF!</v>
      </c>
      <c r="C173" s="549" t="e">
        <f>#REF!</f>
        <v>#REF!</v>
      </c>
      <c r="D173" s="548" t="e">
        <f>#REF!</f>
        <v>#REF!</v>
      </c>
      <c r="E173" s="550" t="e">
        <f>#REF!</f>
        <v>#REF!</v>
      </c>
      <c r="F173" s="550" t="e">
        <f t="shared" si="47"/>
        <v>#REF!</v>
      </c>
      <c r="G173" s="551" t="e">
        <f t="shared" si="48"/>
        <v>#REF!</v>
      </c>
      <c r="H173" s="551" t="e">
        <f>#REF!</f>
        <v>#REF!</v>
      </c>
      <c r="I173" s="550" t="e">
        <f t="shared" si="49"/>
        <v>#REF!</v>
      </c>
      <c r="J173" s="550" t="e">
        <f t="shared" si="49"/>
        <v>#REF!</v>
      </c>
    </row>
    <row r="174" spans="1:10">
      <c r="A174" s="548">
        <f t="shared" si="50"/>
        <v>104</v>
      </c>
      <c r="B174" s="548" t="e">
        <f>#REF!</f>
        <v>#REF!</v>
      </c>
      <c r="C174" s="549" t="e">
        <f>#REF!</f>
        <v>#REF!</v>
      </c>
      <c r="D174" s="548" t="e">
        <f>#REF!</f>
        <v>#REF!</v>
      </c>
      <c r="E174" s="550" t="e">
        <f>#REF!</f>
        <v>#REF!</v>
      </c>
      <c r="F174" s="550" t="e">
        <f t="shared" si="47"/>
        <v>#REF!</v>
      </c>
      <c r="G174" s="551" t="e">
        <f t="shared" si="48"/>
        <v>#REF!</v>
      </c>
      <c r="H174" s="551" t="e">
        <f>#REF!</f>
        <v>#REF!</v>
      </c>
      <c r="I174" s="550" t="e">
        <f t="shared" si="49"/>
        <v>#REF!</v>
      </c>
      <c r="J174" s="550" t="e">
        <f t="shared" si="49"/>
        <v>#REF!</v>
      </c>
    </row>
    <row r="175" spans="1:10">
      <c r="A175" s="548">
        <f t="shared" si="50"/>
        <v>105</v>
      </c>
      <c r="B175" s="548" t="e">
        <f>#REF!</f>
        <v>#REF!</v>
      </c>
      <c r="C175" s="549" t="e">
        <f>#REF!</f>
        <v>#REF!</v>
      </c>
      <c r="D175" s="548" t="e">
        <f>#REF!</f>
        <v>#REF!</v>
      </c>
      <c r="E175" s="550" t="e">
        <f>#REF!</f>
        <v>#REF!</v>
      </c>
      <c r="F175" s="550" t="e">
        <f t="shared" si="47"/>
        <v>#REF!</v>
      </c>
      <c r="G175" s="551" t="e">
        <f t="shared" si="48"/>
        <v>#REF!</v>
      </c>
      <c r="H175" s="551" t="e">
        <f>#REF!</f>
        <v>#REF!</v>
      </c>
      <c r="I175" s="550" t="e">
        <f t="shared" si="49"/>
        <v>#REF!</v>
      </c>
      <c r="J175" s="550" t="e">
        <f t="shared" si="49"/>
        <v>#REF!</v>
      </c>
    </row>
    <row r="176" spans="1:10">
      <c r="A176" s="548"/>
      <c r="B176" s="548"/>
      <c r="C176" s="549"/>
      <c r="D176" s="548"/>
      <c r="E176" s="550"/>
      <c r="F176" s="550"/>
      <c r="G176" s="551"/>
      <c r="H176" s="551"/>
      <c r="I176" s="550"/>
      <c r="J176" s="550"/>
    </row>
    <row r="177" spans="1:10">
      <c r="A177" s="546" t="s">
        <v>1007</v>
      </c>
      <c r="B177" s="546"/>
      <c r="C177" s="547" t="s">
        <v>1008</v>
      </c>
      <c r="D177" s="547"/>
      <c r="E177" s="547"/>
      <c r="F177" s="547"/>
      <c r="G177" s="547"/>
      <c r="H177" s="547"/>
      <c r="I177" s="547"/>
      <c r="J177" s="547"/>
    </row>
    <row r="178" spans="1:10">
      <c r="A178" s="548">
        <f>A175+1</f>
        <v>106</v>
      </c>
      <c r="B178" s="548" t="e">
        <f>#REF!</f>
        <v>#REF!</v>
      </c>
      <c r="C178" s="549" t="e">
        <f>#REF!</f>
        <v>#REF!</v>
      </c>
      <c r="D178" s="548" t="e">
        <f>#REF!</f>
        <v>#REF!</v>
      </c>
      <c r="E178" s="550" t="e">
        <f>#REF!</f>
        <v>#REF!</v>
      </c>
      <c r="F178" s="550" t="e">
        <f>ROUND(E178/exr,2)</f>
        <v>#REF!</v>
      </c>
      <c r="G178" s="551" t="e">
        <f>1-H178</f>
        <v>#REF!</v>
      </c>
      <c r="H178" s="551" t="e">
        <f>#REF!</f>
        <v>#REF!</v>
      </c>
      <c r="I178" s="550" t="e">
        <f t="shared" ref="I178:J182" si="51">E178*G178</f>
        <v>#REF!</v>
      </c>
      <c r="J178" s="550" t="e">
        <f t="shared" si="51"/>
        <v>#REF!</v>
      </c>
    </row>
    <row r="179" spans="1:10">
      <c r="A179" s="548">
        <f>A178+1</f>
        <v>107</v>
      </c>
      <c r="B179" s="548" t="e">
        <f>#REF!</f>
        <v>#REF!</v>
      </c>
      <c r="C179" s="549" t="e">
        <f>#REF!</f>
        <v>#REF!</v>
      </c>
      <c r="D179" s="548" t="e">
        <f>#REF!</f>
        <v>#REF!</v>
      </c>
      <c r="E179" s="550" t="e">
        <f>#REF!</f>
        <v>#REF!</v>
      </c>
      <c r="F179" s="550" t="e">
        <f>ROUND(E179/exr,2)</f>
        <v>#REF!</v>
      </c>
      <c r="G179" s="551" t="e">
        <f>1-H179</f>
        <v>#REF!</v>
      </c>
      <c r="H179" s="551" t="e">
        <f>#REF!</f>
        <v>#REF!</v>
      </c>
      <c r="I179" s="550" t="e">
        <f t="shared" si="51"/>
        <v>#REF!</v>
      </c>
      <c r="J179" s="550" t="e">
        <f t="shared" si="51"/>
        <v>#REF!</v>
      </c>
    </row>
    <row r="180" spans="1:10">
      <c r="A180" s="548">
        <f>A179+1</f>
        <v>108</v>
      </c>
      <c r="B180" s="548" t="e">
        <f>#REF!</f>
        <v>#REF!</v>
      </c>
      <c r="C180" s="549" t="e">
        <f>#REF!</f>
        <v>#REF!</v>
      </c>
      <c r="D180" s="548" t="e">
        <f>#REF!</f>
        <v>#REF!</v>
      </c>
      <c r="E180" s="550" t="e">
        <f>#REF!</f>
        <v>#REF!</v>
      </c>
      <c r="F180" s="550" t="e">
        <f>ROUND(E180/exr,2)</f>
        <v>#REF!</v>
      </c>
      <c r="G180" s="551" t="e">
        <f>1-H180</f>
        <v>#REF!</v>
      </c>
      <c r="H180" s="551" t="e">
        <f>#REF!</f>
        <v>#REF!</v>
      </c>
      <c r="I180" s="550" t="e">
        <f t="shared" si="51"/>
        <v>#REF!</v>
      </c>
      <c r="J180" s="550" t="e">
        <f t="shared" si="51"/>
        <v>#REF!</v>
      </c>
    </row>
    <row r="181" spans="1:10">
      <c r="A181" s="548">
        <f>A180+1</f>
        <v>109</v>
      </c>
      <c r="B181" s="548" t="e">
        <f>#REF!</f>
        <v>#REF!</v>
      </c>
      <c r="C181" s="549" t="e">
        <f>#REF!</f>
        <v>#REF!</v>
      </c>
      <c r="D181" s="548" t="e">
        <f>#REF!</f>
        <v>#REF!</v>
      </c>
      <c r="E181" s="550" t="e">
        <f>#REF!</f>
        <v>#REF!</v>
      </c>
      <c r="F181" s="550" t="e">
        <f>ROUND(E181/exr,2)</f>
        <v>#REF!</v>
      </c>
      <c r="G181" s="551" t="e">
        <f>1-H181</f>
        <v>#REF!</v>
      </c>
      <c r="H181" s="551" t="e">
        <f>#REF!</f>
        <v>#REF!</v>
      </c>
      <c r="I181" s="550" t="e">
        <f t="shared" si="51"/>
        <v>#REF!</v>
      </c>
      <c r="J181" s="550" t="e">
        <f t="shared" si="51"/>
        <v>#REF!</v>
      </c>
    </row>
    <row r="182" spans="1:10">
      <c r="A182" s="548">
        <f>A181+1</f>
        <v>110</v>
      </c>
      <c r="B182" s="548" t="e">
        <f>#REF!</f>
        <v>#REF!</v>
      </c>
      <c r="C182" s="549" t="e">
        <f>#REF!</f>
        <v>#REF!</v>
      </c>
      <c r="D182" s="548" t="e">
        <f>#REF!</f>
        <v>#REF!</v>
      </c>
      <c r="E182" s="550" t="e">
        <f>#REF!</f>
        <v>#REF!</v>
      </c>
      <c r="F182" s="550" t="e">
        <f>ROUND(E182/exr,2)</f>
        <v>#REF!</v>
      </c>
      <c r="G182" s="551" t="e">
        <f>1-H182</f>
        <v>#REF!</v>
      </c>
      <c r="H182" s="551" t="e">
        <f>#REF!</f>
        <v>#REF!</v>
      </c>
      <c r="I182" s="550" t="e">
        <f t="shared" si="51"/>
        <v>#REF!</v>
      </c>
      <c r="J182" s="550" t="e">
        <f t="shared" si="51"/>
        <v>#REF!</v>
      </c>
    </row>
    <row r="183" spans="1:10">
      <c r="A183" s="548"/>
      <c r="B183" s="548"/>
      <c r="C183" s="549"/>
      <c r="D183" s="548"/>
      <c r="E183" s="550"/>
      <c r="F183" s="550"/>
      <c r="G183" s="551"/>
      <c r="H183" s="551"/>
      <c r="I183" s="550"/>
      <c r="J183" s="550"/>
    </row>
    <row r="184" spans="1:10" hidden="1">
      <c r="A184" s="546" t="s">
        <v>1009</v>
      </c>
      <c r="B184" s="546"/>
      <c r="C184" s="547" t="s">
        <v>1010</v>
      </c>
      <c r="D184" s="547"/>
      <c r="E184" s="547"/>
      <c r="F184" s="547"/>
      <c r="G184" s="547"/>
      <c r="H184" s="547"/>
      <c r="I184" s="547"/>
      <c r="J184" s="547"/>
    </row>
    <row r="185" spans="1:10" hidden="1">
      <c r="A185" s="548">
        <f>A182+1</f>
        <v>111</v>
      </c>
      <c r="B185" s="548" t="e">
        <f>#REF!</f>
        <v>#REF!</v>
      </c>
      <c r="C185" s="549" t="e">
        <f>#REF!</f>
        <v>#REF!</v>
      </c>
      <c r="D185" s="548" t="e">
        <f>#REF!</f>
        <v>#REF!</v>
      </c>
      <c r="E185" s="550" t="e">
        <f>#REF!</f>
        <v>#REF!</v>
      </c>
      <c r="F185" s="550" t="e">
        <f>ROUND(E185/exr,2)</f>
        <v>#REF!</v>
      </c>
      <c r="G185" s="551" t="e">
        <f>1-H185</f>
        <v>#REF!</v>
      </c>
      <c r="H185" s="551" t="e">
        <f>#REF!</f>
        <v>#REF!</v>
      </c>
      <c r="I185" s="550" t="e">
        <f>E185*G185</f>
        <v>#REF!</v>
      </c>
      <c r="J185" s="550" t="e">
        <f>F185*H185</f>
        <v>#REF!</v>
      </c>
    </row>
    <row r="186" spans="1:10" hidden="1">
      <c r="A186" s="548"/>
      <c r="B186" s="548"/>
      <c r="C186" s="549"/>
      <c r="D186" s="548"/>
      <c r="E186" s="550"/>
      <c r="F186" s="550"/>
      <c r="G186" s="551"/>
      <c r="H186" s="551"/>
      <c r="I186" s="550"/>
      <c r="J186" s="550"/>
    </row>
    <row r="187" spans="1:10">
      <c r="A187" s="546" t="s">
        <v>788</v>
      </c>
      <c r="B187" s="546"/>
      <c r="C187" s="547" t="s">
        <v>1011</v>
      </c>
      <c r="D187" s="547"/>
      <c r="E187" s="547"/>
      <c r="F187" s="547"/>
      <c r="G187" s="547"/>
      <c r="H187" s="547"/>
      <c r="I187" s="547"/>
      <c r="J187" s="547"/>
    </row>
    <row r="188" spans="1:10">
      <c r="A188" s="548">
        <f>A182+1</f>
        <v>111</v>
      </c>
      <c r="B188" s="548" t="e">
        <f>#REF!</f>
        <v>#REF!</v>
      </c>
      <c r="C188" s="554" t="e">
        <f>#REF!</f>
        <v>#REF!</v>
      </c>
      <c r="D188" s="548" t="e">
        <f>#REF!</f>
        <v>#REF!</v>
      </c>
      <c r="E188" s="550" t="e">
        <f>#REF!</f>
        <v>#REF!</v>
      </c>
      <c r="F188" s="550" t="e">
        <f>ROUND(E188/exr,2)</f>
        <v>#REF!</v>
      </c>
      <c r="G188" s="551" t="e">
        <f>1-H188</f>
        <v>#REF!</v>
      </c>
      <c r="H188" s="551" t="e">
        <f>#REF!</f>
        <v>#REF!</v>
      </c>
      <c r="I188" s="550" t="e">
        <f t="shared" ref="I188:J192" si="52">E188*G188</f>
        <v>#REF!</v>
      </c>
      <c r="J188" s="550" t="e">
        <f t="shared" si="52"/>
        <v>#REF!</v>
      </c>
    </row>
    <row r="189" spans="1:10">
      <c r="A189" s="548">
        <f>A188+1</f>
        <v>112</v>
      </c>
      <c r="B189" s="548" t="e">
        <f>#REF!</f>
        <v>#REF!</v>
      </c>
      <c r="C189" s="554" t="e">
        <f>#REF!</f>
        <v>#REF!</v>
      </c>
      <c r="D189" s="548" t="e">
        <f>#REF!</f>
        <v>#REF!</v>
      </c>
      <c r="E189" s="550" t="e">
        <f>#REF!</f>
        <v>#REF!</v>
      </c>
      <c r="F189" s="550" t="e">
        <f>ROUND(E189/exr,2)</f>
        <v>#REF!</v>
      </c>
      <c r="G189" s="551" t="e">
        <f>1-H189</f>
        <v>#REF!</v>
      </c>
      <c r="H189" s="551" t="e">
        <f>#REF!</f>
        <v>#REF!</v>
      </c>
      <c r="I189" s="550" t="e">
        <f t="shared" si="52"/>
        <v>#REF!</v>
      </c>
      <c r="J189" s="550" t="e">
        <f t="shared" si="52"/>
        <v>#REF!</v>
      </c>
    </row>
    <row r="190" spans="1:10">
      <c r="A190" s="548">
        <f>A189+1</f>
        <v>113</v>
      </c>
      <c r="B190" s="548" t="e">
        <f>#REF!</f>
        <v>#REF!</v>
      </c>
      <c r="C190" s="549" t="e">
        <f>#REF!</f>
        <v>#REF!</v>
      </c>
      <c r="D190" s="548" t="e">
        <f>#REF!</f>
        <v>#REF!</v>
      </c>
      <c r="E190" s="550" t="e">
        <f>#REF!</f>
        <v>#REF!</v>
      </c>
      <c r="F190" s="550" t="e">
        <f>ROUND(E190/exr,2)</f>
        <v>#REF!</v>
      </c>
      <c r="G190" s="551" t="e">
        <f>1-H190</f>
        <v>#REF!</v>
      </c>
      <c r="H190" s="551" t="e">
        <f>#REF!</f>
        <v>#REF!</v>
      </c>
      <c r="I190" s="550" t="e">
        <f t="shared" si="52"/>
        <v>#REF!</v>
      </c>
      <c r="J190" s="550" t="e">
        <f t="shared" si="52"/>
        <v>#REF!</v>
      </c>
    </row>
    <row r="191" spans="1:10">
      <c r="A191" s="548">
        <f>A190+1</f>
        <v>114</v>
      </c>
      <c r="B191" s="548" t="e">
        <f>#REF!</f>
        <v>#REF!</v>
      </c>
      <c r="C191" s="549" t="e">
        <f>#REF!</f>
        <v>#REF!</v>
      </c>
      <c r="D191" s="548" t="e">
        <f>#REF!</f>
        <v>#REF!</v>
      </c>
      <c r="E191" s="550" t="e">
        <f>#REF!</f>
        <v>#REF!</v>
      </c>
      <c r="F191" s="550" t="e">
        <f>ROUND(E191/exr,2)</f>
        <v>#REF!</v>
      </c>
      <c r="G191" s="551" t="e">
        <f>1-H191</f>
        <v>#REF!</v>
      </c>
      <c r="H191" s="551" t="e">
        <f>#REF!</f>
        <v>#REF!</v>
      </c>
      <c r="I191" s="550" t="e">
        <f t="shared" si="52"/>
        <v>#REF!</v>
      </c>
      <c r="J191" s="550" t="e">
        <f t="shared" si="52"/>
        <v>#REF!</v>
      </c>
    </row>
    <row r="192" spans="1:10">
      <c r="A192" s="548">
        <f>A191+1</f>
        <v>115</v>
      </c>
      <c r="B192" s="548" t="e">
        <f>#REF!</f>
        <v>#REF!</v>
      </c>
      <c r="C192" s="549" t="e">
        <f>#REF!</f>
        <v>#REF!</v>
      </c>
      <c r="D192" s="548" t="e">
        <f>#REF!</f>
        <v>#REF!</v>
      </c>
      <c r="E192" s="550" t="e">
        <f>#REF!</f>
        <v>#REF!</v>
      </c>
      <c r="F192" s="550" t="e">
        <f>ROUND(E192/exr,2)</f>
        <v>#REF!</v>
      </c>
      <c r="G192" s="551" t="e">
        <f>1-H192</f>
        <v>#REF!</v>
      </c>
      <c r="H192" s="551" t="e">
        <f>#REF!</f>
        <v>#REF!</v>
      </c>
      <c r="I192" s="550" t="e">
        <f t="shared" si="52"/>
        <v>#REF!</v>
      </c>
      <c r="J192" s="550" t="e">
        <f t="shared" si="52"/>
        <v>#REF!</v>
      </c>
    </row>
    <row r="193" spans="1:10">
      <c r="A193" s="548"/>
      <c r="B193" s="548"/>
      <c r="C193" s="549"/>
      <c r="D193" s="548"/>
      <c r="E193" s="550"/>
      <c r="F193" s="550"/>
      <c r="G193" s="551"/>
      <c r="H193" s="551"/>
      <c r="I193" s="550"/>
      <c r="J193" s="550"/>
    </row>
    <row r="194" spans="1:10">
      <c r="A194" s="546" t="s">
        <v>1012</v>
      </c>
      <c r="B194" s="546"/>
      <c r="C194" s="547" t="s">
        <v>1013</v>
      </c>
      <c r="D194" s="547"/>
      <c r="E194" s="547"/>
      <c r="F194" s="547"/>
      <c r="G194" s="547"/>
      <c r="H194" s="547"/>
      <c r="I194" s="547"/>
      <c r="J194" s="547"/>
    </row>
    <row r="195" spans="1:10">
      <c r="A195" s="548">
        <f>A192+1</f>
        <v>116</v>
      </c>
      <c r="B195" s="548" t="e">
        <f>#REF!</f>
        <v>#REF!</v>
      </c>
      <c r="C195" s="554" t="e">
        <f>#REF!</f>
        <v>#REF!</v>
      </c>
      <c r="D195" s="548" t="e">
        <f>#REF!</f>
        <v>#REF!</v>
      </c>
      <c r="E195" s="550" t="e">
        <f>#REF!</f>
        <v>#REF!</v>
      </c>
      <c r="F195" s="550" t="e">
        <f>ROUND(E195/exr,2)</f>
        <v>#REF!</v>
      </c>
      <c r="G195" s="551" t="e">
        <f>1-H195</f>
        <v>#REF!</v>
      </c>
      <c r="H195" s="551" t="e">
        <f>#REF!</f>
        <v>#REF!</v>
      </c>
      <c r="I195" s="550" t="e">
        <f>E195*G195</f>
        <v>#REF!</v>
      </c>
      <c r="J195" s="550" t="e">
        <f>F195*H195</f>
        <v>#REF!</v>
      </c>
    </row>
    <row r="196" spans="1:10">
      <c r="A196" s="548"/>
      <c r="B196" s="548"/>
      <c r="C196" s="549"/>
      <c r="D196" s="548"/>
      <c r="E196" s="550"/>
      <c r="F196" s="550"/>
      <c r="G196" s="551"/>
      <c r="H196" s="551"/>
      <c r="I196" s="550"/>
      <c r="J196" s="550"/>
    </row>
    <row r="197" spans="1:10">
      <c r="A197" s="546" t="s">
        <v>1014</v>
      </c>
      <c r="B197" s="546"/>
      <c r="C197" s="547" t="s">
        <v>1015</v>
      </c>
      <c r="D197" s="547"/>
      <c r="E197" s="547"/>
      <c r="F197" s="547"/>
      <c r="G197" s="547"/>
      <c r="H197" s="547"/>
      <c r="I197" s="547"/>
      <c r="J197" s="547"/>
    </row>
    <row r="198" spans="1:10">
      <c r="A198" s="548">
        <f>A195+1</f>
        <v>117</v>
      </c>
      <c r="B198" s="548" t="e">
        <f>#REF!</f>
        <v>#REF!</v>
      </c>
      <c r="C198" s="549" t="e">
        <f>#REF!</f>
        <v>#REF!</v>
      </c>
      <c r="D198" s="548" t="e">
        <f>#REF!</f>
        <v>#REF!</v>
      </c>
      <c r="E198" s="550" t="e">
        <f>#REF!</f>
        <v>#REF!</v>
      </c>
      <c r="F198" s="550" t="e">
        <f>ROUND(E198/exr,2)</f>
        <v>#REF!</v>
      </c>
      <c r="G198" s="551" t="e">
        <f>1-H198</f>
        <v>#REF!</v>
      </c>
      <c r="H198" s="551" t="e">
        <f>#REF!</f>
        <v>#REF!</v>
      </c>
      <c r="I198" s="550" t="e">
        <f t="shared" ref="I198:J200" si="53">E198*G198</f>
        <v>#REF!</v>
      </c>
      <c r="J198" s="550" t="e">
        <f t="shared" si="53"/>
        <v>#REF!</v>
      </c>
    </row>
    <row r="199" spans="1:10">
      <c r="A199" s="548">
        <f>A198+1</f>
        <v>118</v>
      </c>
      <c r="B199" s="548" t="e">
        <f>#REF!</f>
        <v>#REF!</v>
      </c>
      <c r="C199" s="549" t="e">
        <f>#REF!</f>
        <v>#REF!</v>
      </c>
      <c r="D199" s="548" t="e">
        <f>#REF!</f>
        <v>#REF!</v>
      </c>
      <c r="E199" s="550" t="e">
        <f>#REF!</f>
        <v>#REF!</v>
      </c>
      <c r="F199" s="550" t="e">
        <f>ROUND(E199/exr,2)</f>
        <v>#REF!</v>
      </c>
      <c r="G199" s="551" t="e">
        <f>1-H199</f>
        <v>#REF!</v>
      </c>
      <c r="H199" s="551" t="e">
        <f>#REF!</f>
        <v>#REF!</v>
      </c>
      <c r="I199" s="550" t="e">
        <f t="shared" si="53"/>
        <v>#REF!</v>
      </c>
      <c r="J199" s="550" t="e">
        <f t="shared" si="53"/>
        <v>#REF!</v>
      </c>
    </row>
    <row r="200" spans="1:10">
      <c r="A200" s="548">
        <f>A199+1</f>
        <v>119</v>
      </c>
      <c r="B200" s="548" t="e">
        <f>#REF!</f>
        <v>#REF!</v>
      </c>
      <c r="C200" s="549" t="e">
        <f>#REF!</f>
        <v>#REF!</v>
      </c>
      <c r="D200" s="548" t="e">
        <f>#REF!</f>
        <v>#REF!</v>
      </c>
      <c r="E200" s="550" t="e">
        <f>#REF!</f>
        <v>#REF!</v>
      </c>
      <c r="F200" s="550" t="e">
        <f>ROUND(E200/exr,2)</f>
        <v>#REF!</v>
      </c>
      <c r="G200" s="551" t="e">
        <f>1-H200</f>
        <v>#REF!</v>
      </c>
      <c r="H200" s="551" t="e">
        <f>#REF!</f>
        <v>#REF!</v>
      </c>
      <c r="I200" s="550" t="e">
        <f t="shared" si="53"/>
        <v>#REF!</v>
      </c>
      <c r="J200" s="550" t="e">
        <f t="shared" si="53"/>
        <v>#REF!</v>
      </c>
    </row>
    <row r="201" spans="1:10">
      <c r="A201" s="548"/>
      <c r="B201" s="548"/>
      <c r="C201" s="549"/>
      <c r="D201" s="548"/>
      <c r="E201" s="550"/>
      <c r="F201" s="550"/>
      <c r="G201" s="551"/>
      <c r="H201" s="551"/>
      <c r="I201" s="550"/>
      <c r="J201" s="550"/>
    </row>
    <row r="202" spans="1:10">
      <c r="A202" s="546" t="s">
        <v>1016</v>
      </c>
      <c r="B202" s="546"/>
      <c r="C202" s="547" t="s">
        <v>1017</v>
      </c>
      <c r="D202" s="547"/>
      <c r="E202" s="547"/>
      <c r="F202" s="547"/>
      <c r="G202" s="547"/>
      <c r="H202" s="547"/>
      <c r="I202" s="547"/>
      <c r="J202" s="547"/>
    </row>
    <row r="203" spans="1:10">
      <c r="A203" s="548">
        <f>A200+1</f>
        <v>120</v>
      </c>
      <c r="B203" s="548" t="e">
        <f>#REF!</f>
        <v>#REF!</v>
      </c>
      <c r="C203" s="554" t="e">
        <f>#REF!</f>
        <v>#REF!</v>
      </c>
      <c r="D203" s="548" t="e">
        <f>#REF!</f>
        <v>#REF!</v>
      </c>
      <c r="E203" s="550" t="e">
        <f>#REF!</f>
        <v>#REF!</v>
      </c>
      <c r="F203" s="550" t="e">
        <f>ROUND(E203/exr,2)</f>
        <v>#REF!</v>
      </c>
      <c r="G203" s="551" t="e">
        <f>1-H203</f>
        <v>#REF!</v>
      </c>
      <c r="H203" s="551" t="e">
        <f>#REF!</f>
        <v>#REF!</v>
      </c>
      <c r="I203" s="550" t="e">
        <f t="shared" ref="I203:J205" si="54">E203*G203</f>
        <v>#REF!</v>
      </c>
      <c r="J203" s="550" t="e">
        <f t="shared" si="54"/>
        <v>#REF!</v>
      </c>
    </row>
    <row r="204" spans="1:10">
      <c r="A204" s="548">
        <f>A203+1</f>
        <v>121</v>
      </c>
      <c r="B204" s="548" t="e">
        <f>#REF!</f>
        <v>#REF!</v>
      </c>
      <c r="C204" s="554" t="e">
        <f>#REF!</f>
        <v>#REF!</v>
      </c>
      <c r="D204" s="548" t="e">
        <f>#REF!</f>
        <v>#REF!</v>
      </c>
      <c r="E204" s="550" t="e">
        <f>#REF!</f>
        <v>#REF!</v>
      </c>
      <c r="F204" s="550" t="e">
        <f>ROUND(E204/exr,2)</f>
        <v>#REF!</v>
      </c>
      <c r="G204" s="551" t="e">
        <f>1-H204</f>
        <v>#REF!</v>
      </c>
      <c r="H204" s="551" t="e">
        <f>#REF!</f>
        <v>#REF!</v>
      </c>
      <c r="I204" s="550" t="e">
        <f t="shared" si="54"/>
        <v>#REF!</v>
      </c>
      <c r="J204" s="550" t="e">
        <f t="shared" si="54"/>
        <v>#REF!</v>
      </c>
    </row>
    <row r="205" spans="1:10">
      <c r="A205" s="548">
        <f>A204+1</f>
        <v>122</v>
      </c>
      <c r="B205" s="548" t="e">
        <f>#REF!</f>
        <v>#REF!</v>
      </c>
      <c r="C205" s="554" t="e">
        <f>#REF!</f>
        <v>#REF!</v>
      </c>
      <c r="D205" s="548" t="e">
        <f>#REF!</f>
        <v>#REF!</v>
      </c>
      <c r="E205" s="550" t="e">
        <f>#REF!</f>
        <v>#REF!</v>
      </c>
      <c r="F205" s="550" t="e">
        <f>ROUND(E205/exr,2)</f>
        <v>#REF!</v>
      </c>
      <c r="G205" s="551" t="e">
        <f>1-H205</f>
        <v>#REF!</v>
      </c>
      <c r="H205" s="551" t="e">
        <f>#REF!</f>
        <v>#REF!</v>
      </c>
      <c r="I205" s="550" t="e">
        <f t="shared" si="54"/>
        <v>#REF!</v>
      </c>
      <c r="J205" s="550" t="e">
        <f t="shared" si="54"/>
        <v>#REF!</v>
      </c>
    </row>
    <row r="206" spans="1:10">
      <c r="A206" s="548"/>
      <c r="B206" s="548"/>
      <c r="C206" s="549"/>
      <c r="D206" s="548"/>
      <c r="E206" s="550"/>
      <c r="F206" s="550"/>
      <c r="G206" s="551"/>
      <c r="H206" s="551"/>
      <c r="I206" s="550"/>
      <c r="J206" s="550"/>
    </row>
    <row r="207" spans="1:10">
      <c r="A207" s="546" t="s">
        <v>1018</v>
      </c>
      <c r="B207" s="546"/>
      <c r="C207" s="547" t="s">
        <v>1019</v>
      </c>
      <c r="D207" s="547"/>
      <c r="E207" s="547"/>
      <c r="F207" s="547"/>
      <c r="G207" s="547"/>
      <c r="H207" s="547"/>
      <c r="I207" s="547"/>
      <c r="J207" s="547"/>
    </row>
    <row r="208" spans="1:10">
      <c r="A208" s="548">
        <f>A205+1</f>
        <v>123</v>
      </c>
      <c r="B208" s="548" t="e">
        <f>#REF!</f>
        <v>#REF!</v>
      </c>
      <c r="C208" s="549" t="e">
        <f>#REF!</f>
        <v>#REF!</v>
      </c>
      <c r="D208" s="548" t="e">
        <f>#REF!</f>
        <v>#REF!</v>
      </c>
      <c r="E208" s="550" t="e">
        <f>#REF!</f>
        <v>#REF!</v>
      </c>
      <c r="F208" s="550" t="e">
        <f>ROUND(E208/exr,2)</f>
        <v>#REF!</v>
      </c>
      <c r="G208" s="551" t="e">
        <f>1-H208</f>
        <v>#REF!</v>
      </c>
      <c r="H208" s="551" t="e">
        <f>#REF!</f>
        <v>#REF!</v>
      </c>
      <c r="I208" s="550" t="e">
        <f t="shared" ref="I208:J211" si="55">E208*G208</f>
        <v>#REF!</v>
      </c>
      <c r="J208" s="550" t="e">
        <f t="shared" si="55"/>
        <v>#REF!</v>
      </c>
    </row>
    <row r="209" spans="1:11">
      <c r="A209" s="548">
        <f>A208+1</f>
        <v>124</v>
      </c>
      <c r="B209" s="548" t="e">
        <f>#REF!</f>
        <v>#REF!</v>
      </c>
      <c r="C209" s="549" t="e">
        <f>#REF!</f>
        <v>#REF!</v>
      </c>
      <c r="D209" s="548" t="e">
        <f>#REF!</f>
        <v>#REF!</v>
      </c>
      <c r="E209" s="550" t="e">
        <f>#REF!</f>
        <v>#REF!</v>
      </c>
      <c r="F209" s="550" t="e">
        <f>ROUND(E209/exr,2)</f>
        <v>#REF!</v>
      </c>
      <c r="G209" s="551" t="e">
        <f>1-H209</f>
        <v>#REF!</v>
      </c>
      <c r="H209" s="551" t="e">
        <f>#REF!</f>
        <v>#REF!</v>
      </c>
      <c r="I209" s="550" t="e">
        <f t="shared" si="55"/>
        <v>#REF!</v>
      </c>
      <c r="J209" s="550" t="e">
        <f t="shared" si="55"/>
        <v>#REF!</v>
      </c>
    </row>
    <row r="210" spans="1:11">
      <c r="A210" s="548">
        <f>A209+1</f>
        <v>125</v>
      </c>
      <c r="B210" s="548" t="e">
        <f>#REF!</f>
        <v>#REF!</v>
      </c>
      <c r="C210" s="549" t="e">
        <f>#REF!</f>
        <v>#REF!</v>
      </c>
      <c r="D210" s="548" t="e">
        <f>#REF!</f>
        <v>#REF!</v>
      </c>
      <c r="E210" s="550" t="e">
        <f>#REF!</f>
        <v>#REF!</v>
      </c>
      <c r="F210" s="550" t="e">
        <f>ROUND(E210/exr,2)</f>
        <v>#REF!</v>
      </c>
      <c r="G210" s="551" t="e">
        <f>1-H210</f>
        <v>#REF!</v>
      </c>
      <c r="H210" s="551" t="e">
        <f>#REF!</f>
        <v>#REF!</v>
      </c>
      <c r="I210" s="550" t="e">
        <f t="shared" si="55"/>
        <v>#REF!</v>
      </c>
      <c r="J210" s="550" t="e">
        <f t="shared" si="55"/>
        <v>#REF!</v>
      </c>
    </row>
    <row r="211" spans="1:11">
      <c r="A211" s="548">
        <f>A210+1</f>
        <v>126</v>
      </c>
      <c r="B211" s="548" t="e">
        <f>#REF!</f>
        <v>#REF!</v>
      </c>
      <c r="C211" s="557" t="e">
        <f>#REF!</f>
        <v>#REF!</v>
      </c>
      <c r="D211" s="548" t="e">
        <f>#REF!</f>
        <v>#REF!</v>
      </c>
      <c r="E211" s="550" t="e">
        <f>#REF!</f>
        <v>#REF!</v>
      </c>
      <c r="F211" s="550" t="e">
        <f>ROUND(E211/exr,2)</f>
        <v>#REF!</v>
      </c>
      <c r="G211" s="551" t="e">
        <f>1-H211</f>
        <v>#REF!</v>
      </c>
      <c r="H211" s="551" t="e">
        <f>#REF!</f>
        <v>#REF!</v>
      </c>
      <c r="I211" s="550" t="e">
        <f t="shared" si="55"/>
        <v>#REF!</v>
      </c>
      <c r="J211" s="550" t="e">
        <f t="shared" si="55"/>
        <v>#REF!</v>
      </c>
    </row>
    <row r="212" spans="1:11">
      <c r="A212" s="548"/>
      <c r="B212" s="548"/>
      <c r="C212" s="549"/>
      <c r="D212" s="548"/>
      <c r="E212" s="550"/>
      <c r="F212" s="550"/>
      <c r="G212" s="551"/>
      <c r="H212" s="551"/>
      <c r="I212" s="550"/>
      <c r="J212" s="550"/>
    </row>
    <row r="213" spans="1:11">
      <c r="A213" s="546" t="s">
        <v>1020</v>
      </c>
      <c r="B213" s="546"/>
      <c r="C213" s="547" t="s">
        <v>1021</v>
      </c>
      <c r="D213" s="547"/>
      <c r="E213" s="547"/>
      <c r="F213" s="547"/>
      <c r="G213" s="547"/>
      <c r="H213" s="547"/>
      <c r="I213" s="547"/>
      <c r="J213" s="547"/>
    </row>
    <row r="214" spans="1:11">
      <c r="A214" s="548">
        <f>A211+1</f>
        <v>127</v>
      </c>
      <c r="B214" s="548" t="e">
        <f>#REF!</f>
        <v>#REF!</v>
      </c>
      <c r="C214" s="549" t="e">
        <f>#REF!</f>
        <v>#REF!</v>
      </c>
      <c r="D214" s="548" t="e">
        <f>#REF!</f>
        <v>#REF!</v>
      </c>
      <c r="E214" s="550" t="e">
        <f>#REF!</f>
        <v>#REF!</v>
      </c>
      <c r="F214" s="550" t="e">
        <f>ROUND(E214/exr,2)</f>
        <v>#REF!</v>
      </c>
      <c r="G214" s="551" t="e">
        <f>1-H214</f>
        <v>#REF!</v>
      </c>
      <c r="H214" s="551" t="e">
        <f>#REF!</f>
        <v>#REF!</v>
      </c>
      <c r="I214" s="550" t="e">
        <f>E214*G214</f>
        <v>#REF!</v>
      </c>
      <c r="J214" s="550" t="e">
        <f>F214*H214</f>
        <v>#REF!</v>
      </c>
    </row>
    <row r="215" spans="1:11">
      <c r="A215" s="548">
        <f>A214+1</f>
        <v>128</v>
      </c>
      <c r="B215" s="548" t="e">
        <f>#REF!</f>
        <v>#REF!</v>
      </c>
      <c r="C215" s="549" t="e">
        <f>#REF!</f>
        <v>#REF!</v>
      </c>
      <c r="D215" s="548" t="e">
        <f>#REF!</f>
        <v>#REF!</v>
      </c>
      <c r="E215" s="550" t="e">
        <f>#REF!</f>
        <v>#REF!</v>
      </c>
      <c r="F215" s="550" t="e">
        <f>ROUND(E215/exr,2)</f>
        <v>#REF!</v>
      </c>
      <c r="G215" s="551" t="e">
        <f>1-H215</f>
        <v>#REF!</v>
      </c>
      <c r="H215" s="551" t="e">
        <f>#REF!</f>
        <v>#REF!</v>
      </c>
      <c r="I215" s="550" t="e">
        <f>E215*G215</f>
        <v>#REF!</v>
      </c>
      <c r="J215" s="550" t="e">
        <f>F215*H215</f>
        <v>#REF!</v>
      </c>
    </row>
    <row r="216" spans="1:11">
      <c r="A216" s="548"/>
      <c r="B216" s="548"/>
      <c r="C216" s="549"/>
      <c r="D216" s="548"/>
      <c r="E216" s="550"/>
      <c r="F216" s="550"/>
      <c r="G216" s="551"/>
      <c r="H216" s="551"/>
      <c r="I216" s="550"/>
      <c r="J216" s="550"/>
    </row>
    <row r="217" spans="1:11">
      <c r="A217" s="546" t="s">
        <v>1022</v>
      </c>
      <c r="B217" s="546"/>
      <c r="C217" s="547" t="s">
        <v>1023</v>
      </c>
      <c r="D217" s="547"/>
      <c r="E217" s="547"/>
      <c r="F217" s="547"/>
      <c r="G217" s="547"/>
      <c r="H217" s="547"/>
      <c r="I217" s="547"/>
      <c r="J217" s="547"/>
    </row>
    <row r="218" spans="1:11">
      <c r="A218" s="548">
        <f>A215+1</f>
        <v>129</v>
      </c>
      <c r="B218" s="548" t="e">
        <f>#REF!</f>
        <v>#REF!</v>
      </c>
      <c r="C218" s="554" t="e">
        <f>#REF!</f>
        <v>#REF!</v>
      </c>
      <c r="D218" s="548" t="e">
        <f>#REF!</f>
        <v>#REF!</v>
      </c>
      <c r="E218" s="550" t="e">
        <f>#REF!</f>
        <v>#REF!</v>
      </c>
      <c r="F218" s="550" t="e">
        <f t="shared" ref="F218:F274" si="56">ROUND(E218/exr,2)</f>
        <v>#REF!</v>
      </c>
      <c r="G218" s="551" t="e">
        <f t="shared" ref="G218:G274" si="57">1-H218</f>
        <v>#REF!</v>
      </c>
      <c r="H218" s="551" t="e">
        <f>#REF!</f>
        <v>#REF!</v>
      </c>
      <c r="I218" s="550" t="e">
        <f t="shared" ref="I218:J251" si="58">E218*G218</f>
        <v>#REF!</v>
      </c>
      <c r="J218" s="550" t="e">
        <f t="shared" si="58"/>
        <v>#REF!</v>
      </c>
      <c r="K218" s="555" t="e">
        <f>AVERAGE(E218,E219)</f>
        <v>#REF!</v>
      </c>
    </row>
    <row r="219" spans="1:11">
      <c r="A219" s="548">
        <f>A218+1</f>
        <v>130</v>
      </c>
      <c r="B219" s="548" t="e">
        <f>#REF!</f>
        <v>#REF!</v>
      </c>
      <c r="C219" s="554" t="e">
        <f>#REF!</f>
        <v>#REF!</v>
      </c>
      <c r="D219" s="548" t="e">
        <f>#REF!</f>
        <v>#REF!</v>
      </c>
      <c r="E219" s="550" t="e">
        <f>#REF!</f>
        <v>#REF!</v>
      </c>
      <c r="F219" s="550" t="e">
        <f t="shared" si="56"/>
        <v>#REF!</v>
      </c>
      <c r="G219" s="551" t="e">
        <f t="shared" si="57"/>
        <v>#REF!</v>
      </c>
      <c r="H219" s="551" t="e">
        <f>#REF!</f>
        <v>#REF!</v>
      </c>
      <c r="I219" s="550" t="e">
        <f t="shared" si="58"/>
        <v>#REF!</v>
      </c>
      <c r="J219" s="550" t="e">
        <f t="shared" si="58"/>
        <v>#REF!</v>
      </c>
    </row>
    <row r="220" spans="1:11">
      <c r="A220" s="548">
        <f t="shared" ref="A220:A250" si="59">A219+1</f>
        <v>131</v>
      </c>
      <c r="B220" s="548" t="e">
        <f>#REF!</f>
        <v>#REF!</v>
      </c>
      <c r="C220" s="549" t="e">
        <f>#REF!</f>
        <v>#REF!</v>
      </c>
      <c r="D220" s="548" t="e">
        <f>#REF!</f>
        <v>#REF!</v>
      </c>
      <c r="E220" s="550" t="e">
        <f>#REF!</f>
        <v>#REF!</v>
      </c>
      <c r="F220" s="550" t="e">
        <f t="shared" si="56"/>
        <v>#REF!</v>
      </c>
      <c r="G220" s="551" t="e">
        <f t="shared" si="57"/>
        <v>#REF!</v>
      </c>
      <c r="H220" s="551" t="e">
        <f>#REF!</f>
        <v>#REF!</v>
      </c>
      <c r="I220" s="550" t="e">
        <f t="shared" si="58"/>
        <v>#REF!</v>
      </c>
      <c r="J220" s="550" t="e">
        <f t="shared" si="58"/>
        <v>#REF!</v>
      </c>
      <c r="K220" s="555" t="e">
        <f>1.5%*K218</f>
        <v>#REF!</v>
      </c>
    </row>
    <row r="221" spans="1:11">
      <c r="A221" s="548">
        <f t="shared" si="59"/>
        <v>132</v>
      </c>
      <c r="B221" s="548" t="e">
        <f>#REF!</f>
        <v>#REF!</v>
      </c>
      <c r="C221" s="554" t="e">
        <f>#REF!</f>
        <v>#REF!</v>
      </c>
      <c r="D221" s="548" t="e">
        <f>#REF!</f>
        <v>#REF!</v>
      </c>
      <c r="E221" s="550"/>
      <c r="F221" s="550"/>
      <c r="G221" s="551"/>
      <c r="H221" s="551"/>
      <c r="I221" s="550"/>
      <c r="J221" s="550"/>
      <c r="K221" s="555" t="e">
        <f>K218+K220</f>
        <v>#REF!</v>
      </c>
    </row>
    <row r="222" spans="1:11">
      <c r="A222" s="548"/>
      <c r="B222" s="548"/>
      <c r="C222" s="554" t="s">
        <v>1024</v>
      </c>
      <c r="D222" s="548" t="s">
        <v>19</v>
      </c>
      <c r="E222" s="550" t="e">
        <f>#REF!</f>
        <v>#REF!</v>
      </c>
      <c r="F222" s="550" t="e">
        <f t="shared" si="56"/>
        <v>#REF!</v>
      </c>
      <c r="G222" s="551" t="e">
        <f t="shared" si="57"/>
        <v>#REF!</v>
      </c>
      <c r="H222" s="551" t="e">
        <f>#REF!</f>
        <v>#REF!</v>
      </c>
      <c r="I222" s="550" t="e">
        <f t="shared" si="58"/>
        <v>#REF!</v>
      </c>
      <c r="J222" s="550" t="e">
        <f t="shared" si="58"/>
        <v>#REF!</v>
      </c>
    </row>
    <row r="223" spans="1:11">
      <c r="A223" s="548"/>
      <c r="B223" s="548"/>
      <c r="C223" s="554" t="s">
        <v>1025</v>
      </c>
      <c r="D223" s="548" t="s">
        <v>19</v>
      </c>
      <c r="E223" s="550" t="e">
        <f>#REF!</f>
        <v>#REF!</v>
      </c>
      <c r="F223" s="550" t="e">
        <f t="shared" si="56"/>
        <v>#REF!</v>
      </c>
      <c r="G223" s="551" t="e">
        <f t="shared" si="57"/>
        <v>#REF!</v>
      </c>
      <c r="H223" s="551" t="e">
        <f>#REF!</f>
        <v>#REF!</v>
      </c>
      <c r="I223" s="550" t="e">
        <f t="shared" si="58"/>
        <v>#REF!</v>
      </c>
      <c r="J223" s="550" t="e">
        <f t="shared" si="58"/>
        <v>#REF!</v>
      </c>
    </row>
    <row r="224" spans="1:11">
      <c r="A224" s="548">
        <f>A221+1</f>
        <v>133</v>
      </c>
      <c r="B224" s="548" t="e">
        <f>#REF!</f>
        <v>#REF!</v>
      </c>
      <c r="C224" s="554" t="e">
        <f>#REF!</f>
        <v>#REF!</v>
      </c>
      <c r="D224" s="548" t="e">
        <f>#REF!</f>
        <v>#REF!</v>
      </c>
      <c r="E224" s="550"/>
      <c r="F224" s="550"/>
      <c r="G224" s="551"/>
      <c r="H224" s="551"/>
      <c r="I224" s="550"/>
      <c r="J224" s="550"/>
    </row>
    <row r="225" spans="1:17">
      <c r="A225" s="548"/>
      <c r="B225" s="548"/>
      <c r="C225" s="554" t="s">
        <v>1025</v>
      </c>
      <c r="D225" s="548" t="s">
        <v>19</v>
      </c>
      <c r="E225" s="550" t="e">
        <f>#REF!</f>
        <v>#REF!</v>
      </c>
      <c r="F225" s="550" t="e">
        <f t="shared" si="56"/>
        <v>#REF!</v>
      </c>
      <c r="G225" s="551">
        <f t="shared" si="57"/>
        <v>0.51</v>
      </c>
      <c r="H225" s="551">
        <v>0.49</v>
      </c>
      <c r="I225" s="550" t="e">
        <f t="shared" si="58"/>
        <v>#REF!</v>
      </c>
      <c r="J225" s="550" t="e">
        <f t="shared" si="58"/>
        <v>#REF!</v>
      </c>
    </row>
    <row r="226" spans="1:17">
      <c r="A226" s="548"/>
      <c r="B226" s="548"/>
      <c r="C226" s="554" t="s">
        <v>1026</v>
      </c>
      <c r="D226" s="548" t="s">
        <v>19</v>
      </c>
      <c r="E226" s="550" t="e">
        <f>#REF!</f>
        <v>#REF!</v>
      </c>
      <c r="F226" s="550" t="e">
        <f t="shared" si="56"/>
        <v>#REF!</v>
      </c>
      <c r="G226" s="551">
        <f t="shared" si="57"/>
        <v>0.51</v>
      </c>
      <c r="H226" s="551">
        <v>0.49</v>
      </c>
      <c r="I226" s="550" t="e">
        <f t="shared" si="58"/>
        <v>#REF!</v>
      </c>
      <c r="J226" s="550" t="e">
        <f t="shared" si="58"/>
        <v>#REF!</v>
      </c>
    </row>
    <row r="227" spans="1:17">
      <c r="A227" s="548"/>
      <c r="B227" s="548"/>
      <c r="C227" s="554" t="s">
        <v>1027</v>
      </c>
      <c r="D227" s="548" t="s">
        <v>19</v>
      </c>
      <c r="E227" s="550" t="e">
        <f>#REF!</f>
        <v>#REF!</v>
      </c>
      <c r="F227" s="550" t="e">
        <f t="shared" si="56"/>
        <v>#REF!</v>
      </c>
      <c r="G227" s="551" t="e">
        <f t="shared" si="57"/>
        <v>#REF!</v>
      </c>
      <c r="H227" s="551" t="e">
        <f>#REF!</f>
        <v>#REF!</v>
      </c>
      <c r="I227" s="550" t="e">
        <f t="shared" si="58"/>
        <v>#REF!</v>
      </c>
      <c r="J227" s="550" t="e">
        <f t="shared" si="58"/>
        <v>#REF!</v>
      </c>
    </row>
    <row r="228" spans="1:17" ht="14.4" thickBot="1">
      <c r="A228" s="548">
        <f>A224+1</f>
        <v>134</v>
      </c>
      <c r="B228" s="548" t="e">
        <f>#REF!</f>
        <v>#REF!</v>
      </c>
      <c r="C228" s="549" t="e">
        <f>#REF!</f>
        <v>#REF!</v>
      </c>
      <c r="D228" s="548" t="e">
        <f>#REF!</f>
        <v>#REF!</v>
      </c>
      <c r="E228" s="550" t="e">
        <f>#REF!</f>
        <v>#REF!</v>
      </c>
      <c r="F228" s="550" t="e">
        <f t="shared" si="56"/>
        <v>#REF!</v>
      </c>
      <c r="G228" s="551" t="e">
        <f t="shared" si="57"/>
        <v>#REF!</v>
      </c>
      <c r="H228" s="551" t="e">
        <f>#REF!</f>
        <v>#REF!</v>
      </c>
      <c r="I228" s="550" t="e">
        <f t="shared" si="58"/>
        <v>#REF!</v>
      </c>
      <c r="J228" s="550" t="e">
        <f t="shared" si="58"/>
        <v>#REF!</v>
      </c>
      <c r="N228" s="561" t="s">
        <v>1028</v>
      </c>
      <c r="O228" s="561" t="s">
        <v>172</v>
      </c>
      <c r="P228" s="561" t="s">
        <v>1029</v>
      </c>
      <c r="Q228" s="552" t="s">
        <v>1030</v>
      </c>
    </row>
    <row r="229" spans="1:17" ht="18.75" customHeight="1" thickBot="1">
      <c r="A229" s="548">
        <f t="shared" si="59"/>
        <v>135</v>
      </c>
      <c r="B229" s="548" t="e">
        <f>#REF!</f>
        <v>#REF!</v>
      </c>
      <c r="C229" s="549" t="e">
        <f>#REF!</f>
        <v>#REF!</v>
      </c>
      <c r="D229" s="548" t="e">
        <f>#REF!</f>
        <v>#REF!</v>
      </c>
      <c r="E229" s="550" t="e">
        <f>#REF!</f>
        <v>#REF!</v>
      </c>
      <c r="F229" s="550" t="e">
        <f t="shared" si="56"/>
        <v>#REF!</v>
      </c>
      <c r="G229" s="551" t="e">
        <f t="shared" si="57"/>
        <v>#REF!</v>
      </c>
      <c r="H229" s="551" t="e">
        <f>#REF!</f>
        <v>#REF!</v>
      </c>
      <c r="I229" s="550" t="e">
        <f t="shared" si="58"/>
        <v>#REF!</v>
      </c>
      <c r="J229" s="550" t="e">
        <f t="shared" si="58"/>
        <v>#REF!</v>
      </c>
      <c r="N229" s="562" t="s">
        <v>1031</v>
      </c>
      <c r="O229" s="563" t="s">
        <v>21</v>
      </c>
      <c r="P229" s="564">
        <v>33353.5</v>
      </c>
      <c r="Q229" s="565">
        <v>19280.22</v>
      </c>
    </row>
    <row r="230" spans="1:17" ht="16.5" customHeight="1" thickBot="1">
      <c r="A230" s="548">
        <f t="shared" si="59"/>
        <v>136</v>
      </c>
      <c r="B230" s="548" t="e">
        <f>#REF!</f>
        <v>#REF!</v>
      </c>
      <c r="C230" s="554" t="e">
        <f>#REF!</f>
        <v>#REF!</v>
      </c>
      <c r="D230" s="548" t="e">
        <f>#REF!</f>
        <v>#REF!</v>
      </c>
      <c r="E230" s="550" t="e">
        <f>#REF!</f>
        <v>#REF!</v>
      </c>
      <c r="F230" s="550" t="e">
        <f t="shared" si="56"/>
        <v>#REF!</v>
      </c>
      <c r="G230" s="551" t="e">
        <f t="shared" si="57"/>
        <v>#REF!</v>
      </c>
      <c r="H230" s="551" t="e">
        <f>#REF!</f>
        <v>#REF!</v>
      </c>
      <c r="I230" s="550" t="e">
        <f t="shared" si="58"/>
        <v>#REF!</v>
      </c>
      <c r="J230" s="550" t="e">
        <f t="shared" si="58"/>
        <v>#REF!</v>
      </c>
      <c r="N230" s="566" t="s">
        <v>1032</v>
      </c>
      <c r="O230" s="567" t="s">
        <v>21</v>
      </c>
      <c r="P230" s="568">
        <v>39966</v>
      </c>
      <c r="Q230" s="569">
        <v>23308.9</v>
      </c>
    </row>
    <row r="231" spans="1:17">
      <c r="A231" s="548">
        <f t="shared" si="59"/>
        <v>137</v>
      </c>
      <c r="B231" s="548" t="e">
        <f>#REF!</f>
        <v>#REF!</v>
      </c>
      <c r="C231" s="549" t="e">
        <f>CONCATENATE("Grouted ",#REF!)</f>
        <v>#REF!</v>
      </c>
      <c r="D231" s="548" t="e">
        <f>#REF!</f>
        <v>#REF!</v>
      </c>
      <c r="E231" s="550" t="e">
        <f>#REF!</f>
        <v>#REF!</v>
      </c>
      <c r="F231" s="550" t="e">
        <f t="shared" si="56"/>
        <v>#REF!</v>
      </c>
      <c r="G231" s="551" t="e">
        <f t="shared" si="57"/>
        <v>#REF!</v>
      </c>
      <c r="H231" s="551" t="e">
        <f>#REF!</f>
        <v>#REF!</v>
      </c>
      <c r="I231" s="550" t="e">
        <f t="shared" si="58"/>
        <v>#REF!</v>
      </c>
      <c r="J231" s="550" t="e">
        <f t="shared" si="58"/>
        <v>#REF!</v>
      </c>
    </row>
    <row r="232" spans="1:17">
      <c r="A232" s="548">
        <f t="shared" si="59"/>
        <v>138</v>
      </c>
      <c r="B232" s="548" t="e">
        <f>#REF!</f>
        <v>#REF!</v>
      </c>
      <c r="C232" s="549" t="e">
        <f>CONCATENATE("Grouted ",#REF!)</f>
        <v>#REF!</v>
      </c>
      <c r="D232" s="548" t="e">
        <f>#REF!</f>
        <v>#REF!</v>
      </c>
      <c r="E232" s="550" t="e">
        <f>#REF!</f>
        <v>#REF!</v>
      </c>
      <c r="F232" s="550" t="e">
        <f t="shared" si="56"/>
        <v>#REF!</v>
      </c>
      <c r="G232" s="551" t="e">
        <f t="shared" si="57"/>
        <v>#REF!</v>
      </c>
      <c r="H232" s="551" t="e">
        <f>#REF!</f>
        <v>#REF!</v>
      </c>
      <c r="I232" s="550" t="e">
        <f t="shared" si="58"/>
        <v>#REF!</v>
      </c>
      <c r="J232" s="550" t="e">
        <f t="shared" si="58"/>
        <v>#REF!</v>
      </c>
    </row>
    <row r="233" spans="1:17">
      <c r="A233" s="548">
        <f>A232+1</f>
        <v>139</v>
      </c>
      <c r="B233" s="548" t="e">
        <f>#REF!</f>
        <v>#REF!</v>
      </c>
      <c r="C233" s="549" t="e">
        <f>CONCATENATE("Grouted ",#REF!)</f>
        <v>#REF!</v>
      </c>
      <c r="D233" s="548" t="e">
        <f>#REF!</f>
        <v>#REF!</v>
      </c>
      <c r="E233" s="550" t="e">
        <f>#REF!</f>
        <v>#REF!</v>
      </c>
      <c r="F233" s="550" t="e">
        <f t="shared" si="56"/>
        <v>#REF!</v>
      </c>
      <c r="G233" s="551" t="e">
        <f t="shared" si="57"/>
        <v>#REF!</v>
      </c>
      <c r="H233" s="551" t="e">
        <f>#REF!</f>
        <v>#REF!</v>
      </c>
      <c r="I233" s="550" t="e">
        <f t="shared" si="58"/>
        <v>#REF!</v>
      </c>
      <c r="J233" s="550" t="e">
        <f t="shared" si="58"/>
        <v>#REF!</v>
      </c>
    </row>
    <row r="234" spans="1:17">
      <c r="A234" s="548">
        <f t="shared" si="59"/>
        <v>140</v>
      </c>
      <c r="B234" s="548" t="e">
        <f>#REF!</f>
        <v>#REF!</v>
      </c>
      <c r="C234" s="549" t="e">
        <f>CONCATENATE("Grouted ",#REF!)</f>
        <v>#REF!</v>
      </c>
      <c r="D234" s="548" t="e">
        <f>#REF!</f>
        <v>#REF!</v>
      </c>
      <c r="E234" s="550" t="e">
        <f>#REF!</f>
        <v>#REF!</v>
      </c>
      <c r="F234" s="550" t="e">
        <f>ROUND(E234/exr,2)</f>
        <v>#REF!</v>
      </c>
      <c r="G234" s="551" t="e">
        <f>1-H234</f>
        <v>#REF!</v>
      </c>
      <c r="H234" s="551" t="e">
        <f>#REF!</f>
        <v>#REF!</v>
      </c>
      <c r="I234" s="550" t="e">
        <f>E234*G234</f>
        <v>#REF!</v>
      </c>
      <c r="J234" s="550" t="e">
        <f>F234*H234</f>
        <v>#REF!</v>
      </c>
    </row>
    <row r="235" spans="1:17">
      <c r="A235" s="548">
        <f t="shared" si="59"/>
        <v>141</v>
      </c>
      <c r="B235" s="548" t="e">
        <f>#REF!</f>
        <v>#REF!</v>
      </c>
      <c r="C235" s="549" t="e">
        <f>CONCATENATE("Grouted ",#REF!)</f>
        <v>#REF!</v>
      </c>
      <c r="D235" s="548" t="e">
        <f>#REF!</f>
        <v>#REF!</v>
      </c>
      <c r="E235" s="550" t="e">
        <f>#REF!</f>
        <v>#REF!</v>
      </c>
      <c r="F235" s="550" t="e">
        <f>ROUND(E235/exr,2)</f>
        <v>#REF!</v>
      </c>
      <c r="G235" s="551" t="e">
        <f>1-H235</f>
        <v>#REF!</v>
      </c>
      <c r="H235" s="551" t="e">
        <f>#REF!</f>
        <v>#REF!</v>
      </c>
      <c r="I235" s="550" t="e">
        <f>E235*G235</f>
        <v>#REF!</v>
      </c>
      <c r="J235" s="550" t="e">
        <f>F235*H235</f>
        <v>#REF!</v>
      </c>
    </row>
    <row r="236" spans="1:17">
      <c r="A236" s="548">
        <f t="shared" si="59"/>
        <v>142</v>
      </c>
      <c r="B236" s="548" t="e">
        <f>#REF!</f>
        <v>#REF!</v>
      </c>
      <c r="C236" s="554" t="e">
        <f>CONCATENATE("Grouted ",#REF!)</f>
        <v>#REF!</v>
      </c>
      <c r="D236" s="548" t="e">
        <f>#REF!</f>
        <v>#REF!</v>
      </c>
      <c r="E236" s="550" t="e">
        <f>#REF!</f>
        <v>#REF!</v>
      </c>
      <c r="F236" s="550" t="e">
        <f t="shared" si="56"/>
        <v>#REF!</v>
      </c>
      <c r="G236" s="551" t="e">
        <f t="shared" si="57"/>
        <v>#REF!</v>
      </c>
      <c r="H236" s="551" t="e">
        <f>#REF!</f>
        <v>#REF!</v>
      </c>
      <c r="I236" s="550" t="e">
        <f t="shared" si="58"/>
        <v>#REF!</v>
      </c>
      <c r="J236" s="550" t="e">
        <f t="shared" si="58"/>
        <v>#REF!</v>
      </c>
    </row>
    <row r="237" spans="1:17">
      <c r="A237" s="548">
        <f t="shared" si="59"/>
        <v>143</v>
      </c>
      <c r="B237" s="548" t="e">
        <f>#REF!</f>
        <v>#REF!</v>
      </c>
      <c r="C237" s="549" t="e">
        <f>CONCATENATE("Grouted ",#REF!)</f>
        <v>#REF!</v>
      </c>
      <c r="D237" s="548" t="e">
        <f>#REF!</f>
        <v>#REF!</v>
      </c>
      <c r="E237" s="550" t="e">
        <f>#REF!</f>
        <v>#REF!</v>
      </c>
      <c r="F237" s="550" t="e">
        <f t="shared" si="56"/>
        <v>#REF!</v>
      </c>
      <c r="G237" s="551" t="e">
        <f t="shared" si="57"/>
        <v>#REF!</v>
      </c>
      <c r="H237" s="551" t="e">
        <f>#REF!</f>
        <v>#REF!</v>
      </c>
      <c r="I237" s="550" t="e">
        <f t="shared" si="58"/>
        <v>#REF!</v>
      </c>
      <c r="J237" s="550" t="e">
        <f t="shared" si="58"/>
        <v>#REF!</v>
      </c>
    </row>
    <row r="238" spans="1:17">
      <c r="A238" s="548">
        <f t="shared" si="59"/>
        <v>144</v>
      </c>
      <c r="B238" s="548" t="e">
        <f>#REF!</f>
        <v>#REF!</v>
      </c>
      <c r="C238" s="549" t="e">
        <f>CONCATENATE("Grouted ",#REF!)</f>
        <v>#REF!</v>
      </c>
      <c r="D238" s="548" t="e">
        <f>#REF!</f>
        <v>#REF!</v>
      </c>
      <c r="E238" s="550" t="e">
        <f>#REF!</f>
        <v>#REF!</v>
      </c>
      <c r="F238" s="550" t="e">
        <f t="shared" si="56"/>
        <v>#REF!</v>
      </c>
      <c r="G238" s="551" t="e">
        <f t="shared" si="57"/>
        <v>#REF!</v>
      </c>
      <c r="H238" s="551" t="e">
        <f>#REF!</f>
        <v>#REF!</v>
      </c>
      <c r="I238" s="550" t="e">
        <f t="shared" si="58"/>
        <v>#REF!</v>
      </c>
      <c r="J238" s="550" t="e">
        <f t="shared" si="58"/>
        <v>#REF!</v>
      </c>
    </row>
    <row r="239" spans="1:17">
      <c r="A239" s="548">
        <f t="shared" si="59"/>
        <v>145</v>
      </c>
      <c r="B239" s="548" t="e">
        <f>#REF!</f>
        <v>#REF!</v>
      </c>
      <c r="C239" s="549" t="e">
        <f>CONCATENATE("Grouted ",#REF!)</f>
        <v>#REF!</v>
      </c>
      <c r="D239" s="548" t="e">
        <f>#REF!</f>
        <v>#REF!</v>
      </c>
      <c r="E239" s="550" t="e">
        <f>#REF!</f>
        <v>#REF!</v>
      </c>
      <c r="F239" s="550" t="e">
        <f t="shared" si="56"/>
        <v>#REF!</v>
      </c>
      <c r="G239" s="551" t="e">
        <f t="shared" si="57"/>
        <v>#REF!</v>
      </c>
      <c r="H239" s="551" t="e">
        <f>#REF!</f>
        <v>#REF!</v>
      </c>
      <c r="I239" s="550" t="e">
        <f t="shared" si="58"/>
        <v>#REF!</v>
      </c>
      <c r="J239" s="550" t="e">
        <f t="shared" si="58"/>
        <v>#REF!</v>
      </c>
    </row>
    <row r="240" spans="1:17">
      <c r="A240" s="548">
        <f t="shared" si="59"/>
        <v>146</v>
      </c>
      <c r="B240" s="548" t="e">
        <f>#REF!</f>
        <v>#REF!</v>
      </c>
      <c r="C240" s="549" t="e">
        <f>CONCATENATE("Grouted ",#REF!)</f>
        <v>#REF!</v>
      </c>
      <c r="D240" s="548" t="e">
        <f>#REF!</f>
        <v>#REF!</v>
      </c>
      <c r="E240" s="550" t="e">
        <f>#REF!</f>
        <v>#REF!</v>
      </c>
      <c r="F240" s="550" t="e">
        <f t="shared" si="56"/>
        <v>#REF!</v>
      </c>
      <c r="G240" s="551" t="e">
        <f t="shared" si="57"/>
        <v>#REF!</v>
      </c>
      <c r="H240" s="551" t="e">
        <f>#REF!</f>
        <v>#REF!</v>
      </c>
      <c r="I240" s="550" t="e">
        <f t="shared" si="58"/>
        <v>#REF!</v>
      </c>
      <c r="J240" s="550" t="e">
        <f t="shared" si="58"/>
        <v>#REF!</v>
      </c>
    </row>
    <row r="241" spans="1:12">
      <c r="A241" s="548">
        <f t="shared" si="59"/>
        <v>147</v>
      </c>
      <c r="B241" s="548" t="e">
        <f>#REF!</f>
        <v>#REF!</v>
      </c>
      <c r="C241" s="549" t="e">
        <f>CONCATENATE("Grouted ",#REF!)</f>
        <v>#REF!</v>
      </c>
      <c r="D241" s="548" t="e">
        <f>#REF!</f>
        <v>#REF!</v>
      </c>
      <c r="E241" s="550" t="e">
        <f>#REF!</f>
        <v>#REF!</v>
      </c>
      <c r="F241" s="550" t="e">
        <f t="shared" si="56"/>
        <v>#REF!</v>
      </c>
      <c r="G241" s="551" t="e">
        <f t="shared" si="57"/>
        <v>#REF!</v>
      </c>
      <c r="H241" s="551" t="e">
        <f>#REF!</f>
        <v>#REF!</v>
      </c>
      <c r="I241" s="550" t="e">
        <f t="shared" si="58"/>
        <v>#REF!</v>
      </c>
      <c r="J241" s="550" t="e">
        <f t="shared" si="58"/>
        <v>#REF!</v>
      </c>
    </row>
    <row r="242" spans="1:12">
      <c r="A242" s="548">
        <f t="shared" si="59"/>
        <v>148</v>
      </c>
      <c r="B242" s="548" t="e">
        <f>#REF!</f>
        <v>#REF!</v>
      </c>
      <c r="C242" s="549" t="e">
        <f>CONCATENATE("Grouted ",#REF!)</f>
        <v>#REF!</v>
      </c>
      <c r="D242" s="548" t="e">
        <f>#REF!</f>
        <v>#REF!</v>
      </c>
      <c r="E242" s="550" t="e">
        <f>#REF!</f>
        <v>#REF!</v>
      </c>
      <c r="F242" s="550" t="e">
        <f t="shared" si="56"/>
        <v>#REF!</v>
      </c>
      <c r="G242" s="551" t="e">
        <f t="shared" si="57"/>
        <v>#REF!</v>
      </c>
      <c r="H242" s="551" t="e">
        <f>#REF!</f>
        <v>#REF!</v>
      </c>
      <c r="I242" s="550" t="e">
        <f t="shared" si="58"/>
        <v>#REF!</v>
      </c>
      <c r="J242" s="550" t="e">
        <f t="shared" si="58"/>
        <v>#REF!</v>
      </c>
    </row>
    <row r="243" spans="1:12">
      <c r="A243" s="548">
        <f t="shared" si="59"/>
        <v>149</v>
      </c>
      <c r="B243" s="548" t="e">
        <f>#REF!</f>
        <v>#REF!</v>
      </c>
      <c r="C243" s="549" t="e">
        <f>CONCATENATE("Grouted ",#REF!)</f>
        <v>#REF!</v>
      </c>
      <c r="D243" s="548" t="e">
        <f>#REF!</f>
        <v>#REF!</v>
      </c>
      <c r="E243" s="550" t="e">
        <f>#REF!</f>
        <v>#REF!</v>
      </c>
      <c r="F243" s="550" t="e">
        <f t="shared" si="56"/>
        <v>#REF!</v>
      </c>
      <c r="G243" s="551" t="e">
        <f t="shared" si="57"/>
        <v>#REF!</v>
      </c>
      <c r="H243" s="551" t="e">
        <f>#REF!</f>
        <v>#REF!</v>
      </c>
      <c r="I243" s="550" t="e">
        <f t="shared" si="58"/>
        <v>#REF!</v>
      </c>
      <c r="J243" s="550" t="e">
        <f t="shared" si="58"/>
        <v>#REF!</v>
      </c>
    </row>
    <row r="244" spans="1:12">
      <c r="A244" s="548">
        <f t="shared" si="59"/>
        <v>150</v>
      </c>
      <c r="B244" s="548" t="e">
        <f>#REF!</f>
        <v>#REF!</v>
      </c>
      <c r="C244" s="549" t="e">
        <f>CONCATENATE("Grouted ",#REF!)</f>
        <v>#REF!</v>
      </c>
      <c r="D244" s="548" t="e">
        <f>#REF!</f>
        <v>#REF!</v>
      </c>
      <c r="E244" s="550" t="e">
        <f>#REF!</f>
        <v>#REF!</v>
      </c>
      <c r="F244" s="550" t="e">
        <f t="shared" si="56"/>
        <v>#REF!</v>
      </c>
      <c r="G244" s="551" t="e">
        <f t="shared" si="57"/>
        <v>#REF!</v>
      </c>
      <c r="H244" s="551" t="e">
        <f>#REF!</f>
        <v>#REF!</v>
      </c>
      <c r="I244" s="550" t="e">
        <f t="shared" si="58"/>
        <v>#REF!</v>
      </c>
      <c r="J244" s="550" t="e">
        <f t="shared" si="58"/>
        <v>#REF!</v>
      </c>
    </row>
    <row r="245" spans="1:12">
      <c r="A245" s="548">
        <f t="shared" si="59"/>
        <v>151</v>
      </c>
      <c r="B245" s="548" t="e">
        <f>#REF!</f>
        <v>#REF!</v>
      </c>
      <c r="C245" s="549" t="e">
        <f>CONCATENATE("Grouted ",#REF!)</f>
        <v>#REF!</v>
      </c>
      <c r="D245" s="548" t="e">
        <f>#REF!</f>
        <v>#REF!</v>
      </c>
      <c r="E245" s="550" t="e">
        <f>#REF!</f>
        <v>#REF!</v>
      </c>
      <c r="F245" s="550" t="e">
        <f t="shared" si="56"/>
        <v>#REF!</v>
      </c>
      <c r="G245" s="551" t="e">
        <f t="shared" si="57"/>
        <v>#REF!</v>
      </c>
      <c r="H245" s="551" t="e">
        <f>#REF!</f>
        <v>#REF!</v>
      </c>
      <c r="I245" s="550" t="e">
        <f t="shared" si="58"/>
        <v>#REF!</v>
      </c>
      <c r="J245" s="550" t="e">
        <f t="shared" si="58"/>
        <v>#REF!</v>
      </c>
    </row>
    <row r="246" spans="1:12">
      <c r="A246" s="548">
        <f t="shared" si="59"/>
        <v>152</v>
      </c>
      <c r="B246" s="548" t="e">
        <f>#REF!</f>
        <v>#REF!</v>
      </c>
      <c r="C246" s="549" t="e">
        <f>CONCATENATE("Grouted ",#REF!)</f>
        <v>#REF!</v>
      </c>
      <c r="D246" s="548" t="e">
        <f>#REF!</f>
        <v>#REF!</v>
      </c>
      <c r="E246" s="550" t="e">
        <f>#REF!</f>
        <v>#REF!</v>
      </c>
      <c r="F246" s="550" t="e">
        <f t="shared" si="56"/>
        <v>#REF!</v>
      </c>
      <c r="G246" s="551" t="e">
        <f t="shared" si="57"/>
        <v>#REF!</v>
      </c>
      <c r="H246" s="551" t="e">
        <f>#REF!</f>
        <v>#REF!</v>
      </c>
      <c r="I246" s="550" t="e">
        <f t="shared" si="58"/>
        <v>#REF!</v>
      </c>
      <c r="J246" s="550" t="e">
        <f t="shared" si="58"/>
        <v>#REF!</v>
      </c>
    </row>
    <row r="247" spans="1:12">
      <c r="A247" s="548">
        <f t="shared" si="59"/>
        <v>153</v>
      </c>
      <c r="B247" s="548" t="e">
        <f>#REF!</f>
        <v>#REF!</v>
      </c>
      <c r="C247" s="549" t="e">
        <f>CONCATENATE("Grouted ",#REF!)</f>
        <v>#REF!</v>
      </c>
      <c r="D247" s="548" t="e">
        <f>#REF!</f>
        <v>#REF!</v>
      </c>
      <c r="E247" s="550" t="e">
        <f>#REF!</f>
        <v>#REF!</v>
      </c>
      <c r="F247" s="550" t="e">
        <f t="shared" si="56"/>
        <v>#REF!</v>
      </c>
      <c r="G247" s="551" t="e">
        <f t="shared" si="57"/>
        <v>#REF!</v>
      </c>
      <c r="H247" s="551" t="e">
        <f>#REF!</f>
        <v>#REF!</v>
      </c>
      <c r="I247" s="550" t="e">
        <f t="shared" si="58"/>
        <v>#REF!</v>
      </c>
      <c r="J247" s="550" t="e">
        <f t="shared" si="58"/>
        <v>#REF!</v>
      </c>
    </row>
    <row r="248" spans="1:12">
      <c r="A248" s="548">
        <f t="shared" si="59"/>
        <v>154</v>
      </c>
      <c r="B248" s="548" t="e">
        <f>#REF!</f>
        <v>#REF!</v>
      </c>
      <c r="C248" s="549" t="e">
        <f>CONCATENATE("Grouted ",#REF!)</f>
        <v>#REF!</v>
      </c>
      <c r="D248" s="548" t="e">
        <f>#REF!</f>
        <v>#REF!</v>
      </c>
      <c r="E248" s="550" t="e">
        <f>#REF!</f>
        <v>#REF!</v>
      </c>
      <c r="F248" s="550" t="e">
        <f t="shared" si="56"/>
        <v>#REF!</v>
      </c>
      <c r="G248" s="551" t="e">
        <f t="shared" si="57"/>
        <v>#REF!</v>
      </c>
      <c r="H248" s="551" t="e">
        <f>#REF!</f>
        <v>#REF!</v>
      </c>
      <c r="I248" s="550" t="e">
        <f t="shared" si="58"/>
        <v>#REF!</v>
      </c>
      <c r="J248" s="550" t="e">
        <f t="shared" si="58"/>
        <v>#REF!</v>
      </c>
    </row>
    <row r="249" spans="1:12">
      <c r="A249" s="548">
        <f t="shared" si="59"/>
        <v>155</v>
      </c>
      <c r="B249" s="548" t="e">
        <f>#REF!</f>
        <v>#REF!</v>
      </c>
      <c r="C249" s="549" t="e">
        <f>CONCATENATE("Grouted ",#REF!)</f>
        <v>#REF!</v>
      </c>
      <c r="D249" s="548" t="e">
        <f>#REF!</f>
        <v>#REF!</v>
      </c>
      <c r="E249" s="550" t="e">
        <f>#REF!</f>
        <v>#REF!</v>
      </c>
      <c r="F249" s="550" t="e">
        <f t="shared" si="56"/>
        <v>#REF!</v>
      </c>
      <c r="G249" s="551" t="e">
        <f t="shared" si="57"/>
        <v>#REF!</v>
      </c>
      <c r="H249" s="551" t="e">
        <f>#REF!</f>
        <v>#REF!</v>
      </c>
      <c r="I249" s="550" t="e">
        <f t="shared" si="58"/>
        <v>#REF!</v>
      </c>
      <c r="J249" s="550" t="e">
        <f t="shared" si="58"/>
        <v>#REF!</v>
      </c>
    </row>
    <row r="250" spans="1:12">
      <c r="A250" s="548">
        <f t="shared" si="59"/>
        <v>156</v>
      </c>
      <c r="B250" s="548" t="e">
        <f>#REF!</f>
        <v>#REF!</v>
      </c>
      <c r="C250" s="570" t="e">
        <f>#REF!</f>
        <v>#REF!</v>
      </c>
      <c r="D250" s="548" t="e">
        <f>#REF!</f>
        <v>#REF!</v>
      </c>
      <c r="E250" s="550" t="e">
        <f>#REF!</f>
        <v>#REF!</v>
      </c>
      <c r="F250" s="550" t="e">
        <f t="shared" si="56"/>
        <v>#REF!</v>
      </c>
      <c r="G250" s="551" t="e">
        <f t="shared" si="57"/>
        <v>#REF!</v>
      </c>
      <c r="H250" s="551" t="e">
        <f>#REF!</f>
        <v>#REF!</v>
      </c>
      <c r="I250" s="550" t="e">
        <f t="shared" si="58"/>
        <v>#REF!</v>
      </c>
      <c r="J250" s="550" t="e">
        <f t="shared" si="58"/>
        <v>#REF!</v>
      </c>
      <c r="L250" s="555"/>
    </row>
    <row r="251" spans="1:12">
      <c r="A251" s="548">
        <f>A250+1</f>
        <v>157</v>
      </c>
      <c r="B251" s="548" t="e">
        <f>#REF!</f>
        <v>#REF!</v>
      </c>
      <c r="C251" s="570" t="e">
        <f>#REF!</f>
        <v>#REF!</v>
      </c>
      <c r="D251" s="548" t="e">
        <f>#REF!</f>
        <v>#REF!</v>
      </c>
      <c r="E251" s="550" t="e">
        <f>#REF!</f>
        <v>#REF!</v>
      </c>
      <c r="F251" s="550" t="e">
        <f t="shared" si="56"/>
        <v>#REF!</v>
      </c>
      <c r="G251" s="551" t="e">
        <f t="shared" si="57"/>
        <v>#REF!</v>
      </c>
      <c r="H251" s="551" t="e">
        <f>#REF!</f>
        <v>#REF!</v>
      </c>
      <c r="I251" s="550" t="e">
        <f t="shared" si="58"/>
        <v>#REF!</v>
      </c>
      <c r="J251" s="550" t="e">
        <f t="shared" si="58"/>
        <v>#REF!</v>
      </c>
    </row>
    <row r="252" spans="1:12">
      <c r="A252" s="548">
        <f>A251+1</f>
        <v>158</v>
      </c>
      <c r="B252" s="548" t="e">
        <f>#REF!</f>
        <v>#REF!</v>
      </c>
      <c r="C252" s="570" t="e">
        <f>#REF!</f>
        <v>#REF!</v>
      </c>
      <c r="D252" s="548" t="e">
        <f>#REF!</f>
        <v>#REF!</v>
      </c>
      <c r="E252" s="550" t="e">
        <f>#REF!</f>
        <v>#REF!</v>
      </c>
      <c r="F252" s="550" t="e">
        <f t="shared" si="56"/>
        <v>#REF!</v>
      </c>
      <c r="G252" s="551" t="e">
        <f t="shared" si="57"/>
        <v>#REF!</v>
      </c>
      <c r="H252" s="551" t="e">
        <f>#REF!</f>
        <v>#REF!</v>
      </c>
      <c r="I252" s="550" t="e">
        <f t="shared" ref="I252:J274" si="60">E252*G252</f>
        <v>#REF!</v>
      </c>
      <c r="J252" s="550" t="e">
        <f t="shared" si="60"/>
        <v>#REF!</v>
      </c>
    </row>
    <row r="253" spans="1:12">
      <c r="A253" s="548">
        <f t="shared" ref="A253:A274" si="61">A252+1</f>
        <v>159</v>
      </c>
      <c r="B253" s="548">
        <v>31</v>
      </c>
      <c r="C253" s="570" t="e">
        <f>#REF!</f>
        <v>#REF!</v>
      </c>
      <c r="D253" s="548" t="s">
        <v>19</v>
      </c>
      <c r="E253" s="550" t="e">
        <f>#REF!</f>
        <v>#REF!</v>
      </c>
      <c r="F253" s="550" t="e">
        <f t="shared" si="56"/>
        <v>#REF!</v>
      </c>
      <c r="G253" s="551" t="e">
        <f t="shared" si="57"/>
        <v>#REF!</v>
      </c>
      <c r="H253" s="551" t="e">
        <f>#REF!</f>
        <v>#REF!</v>
      </c>
      <c r="I253" s="550" t="e">
        <f t="shared" si="60"/>
        <v>#REF!</v>
      </c>
      <c r="J253" s="550" t="e">
        <f t="shared" si="60"/>
        <v>#REF!</v>
      </c>
    </row>
    <row r="254" spans="1:12">
      <c r="A254" s="548">
        <f t="shared" si="61"/>
        <v>160</v>
      </c>
      <c r="B254" s="548">
        <v>32</v>
      </c>
      <c r="C254" s="570" t="e">
        <f>#REF!</f>
        <v>#REF!</v>
      </c>
      <c r="D254" s="548" t="s">
        <v>19</v>
      </c>
      <c r="E254" s="550" t="e">
        <f>#REF!</f>
        <v>#REF!</v>
      </c>
      <c r="F254" s="550" t="e">
        <f t="shared" si="56"/>
        <v>#REF!</v>
      </c>
      <c r="G254" s="551" t="e">
        <f t="shared" si="57"/>
        <v>#REF!</v>
      </c>
      <c r="H254" s="551" t="e">
        <f>#REF!</f>
        <v>#REF!</v>
      </c>
      <c r="I254" s="550" t="e">
        <f t="shared" si="60"/>
        <v>#REF!</v>
      </c>
      <c r="J254" s="550" t="e">
        <f t="shared" si="60"/>
        <v>#REF!</v>
      </c>
    </row>
    <row r="255" spans="1:12">
      <c r="A255" s="548">
        <f t="shared" si="61"/>
        <v>161</v>
      </c>
      <c r="B255" s="548">
        <v>34</v>
      </c>
      <c r="C255" s="557" t="e">
        <f>#REF!</f>
        <v>#REF!</v>
      </c>
      <c r="D255" s="548" t="e">
        <f>#REF!</f>
        <v>#REF!</v>
      </c>
      <c r="E255" s="550" t="e">
        <f>#REF!</f>
        <v>#REF!</v>
      </c>
      <c r="F255" s="550" t="e">
        <f t="shared" si="56"/>
        <v>#REF!</v>
      </c>
      <c r="G255" s="551" t="e">
        <f t="shared" si="57"/>
        <v>#REF!</v>
      </c>
      <c r="H255" s="551" t="e">
        <f>#REF!</f>
        <v>#REF!</v>
      </c>
      <c r="I255" s="550" t="e">
        <f t="shared" si="60"/>
        <v>#REF!</v>
      </c>
      <c r="J255" s="550" t="e">
        <f t="shared" si="60"/>
        <v>#REF!</v>
      </c>
    </row>
    <row r="256" spans="1:12">
      <c r="A256" s="548">
        <f t="shared" si="61"/>
        <v>162</v>
      </c>
      <c r="B256" s="548">
        <v>35</v>
      </c>
      <c r="C256" s="570" t="e">
        <f>#REF!</f>
        <v>#REF!</v>
      </c>
      <c r="D256" s="548" t="e">
        <f>#REF!</f>
        <v>#REF!</v>
      </c>
      <c r="E256" s="550" t="e">
        <f>#REF!</f>
        <v>#REF!</v>
      </c>
      <c r="F256" s="550" t="e">
        <f t="shared" si="56"/>
        <v>#REF!</v>
      </c>
      <c r="G256" s="551" t="e">
        <f t="shared" si="57"/>
        <v>#REF!</v>
      </c>
      <c r="H256" s="551" t="e">
        <f>#REF!</f>
        <v>#REF!</v>
      </c>
      <c r="I256" s="550" t="e">
        <f t="shared" si="60"/>
        <v>#REF!</v>
      </c>
      <c r="J256" s="550" t="e">
        <f t="shared" si="60"/>
        <v>#REF!</v>
      </c>
    </row>
    <row r="257" spans="1:10">
      <c r="A257" s="548">
        <f t="shared" si="61"/>
        <v>163</v>
      </c>
      <c r="B257" s="548">
        <v>36</v>
      </c>
      <c r="C257" s="570" t="e">
        <f>#REF!</f>
        <v>#REF!</v>
      </c>
      <c r="D257" s="548" t="e">
        <f>#REF!</f>
        <v>#REF!</v>
      </c>
      <c r="E257" s="550" t="e">
        <f>#REF!</f>
        <v>#REF!</v>
      </c>
      <c r="F257" s="550" t="e">
        <f t="shared" si="56"/>
        <v>#REF!</v>
      </c>
      <c r="G257" s="551" t="e">
        <f t="shared" si="57"/>
        <v>#REF!</v>
      </c>
      <c r="H257" s="551" t="e">
        <f>#REF!</f>
        <v>#REF!</v>
      </c>
      <c r="I257" s="550" t="e">
        <f t="shared" si="60"/>
        <v>#REF!</v>
      </c>
      <c r="J257" s="550" t="e">
        <f t="shared" si="60"/>
        <v>#REF!</v>
      </c>
    </row>
    <row r="258" spans="1:10">
      <c r="A258" s="548">
        <f t="shared" si="61"/>
        <v>164</v>
      </c>
      <c r="B258" s="548">
        <v>38</v>
      </c>
      <c r="C258" s="570" t="e">
        <f>#REF!</f>
        <v>#REF!</v>
      </c>
      <c r="D258" s="548" t="e">
        <f>#REF!</f>
        <v>#REF!</v>
      </c>
      <c r="E258" s="550" t="e">
        <f>#REF!</f>
        <v>#REF!</v>
      </c>
      <c r="F258" s="550" t="e">
        <f t="shared" si="56"/>
        <v>#REF!</v>
      </c>
      <c r="G258" s="551" t="e">
        <f t="shared" si="57"/>
        <v>#REF!</v>
      </c>
      <c r="H258" s="551" t="e">
        <f>#REF!</f>
        <v>#REF!</v>
      </c>
      <c r="I258" s="550" t="e">
        <f t="shared" si="60"/>
        <v>#REF!</v>
      </c>
      <c r="J258" s="550" t="e">
        <f t="shared" si="60"/>
        <v>#REF!</v>
      </c>
    </row>
    <row r="259" spans="1:10">
      <c r="A259" s="548">
        <f t="shared" si="61"/>
        <v>165</v>
      </c>
      <c r="B259" s="548">
        <v>39</v>
      </c>
      <c r="C259" s="570" t="e">
        <f>#REF!</f>
        <v>#REF!</v>
      </c>
      <c r="D259" s="548" t="e">
        <f>#REF!</f>
        <v>#REF!</v>
      </c>
      <c r="E259" s="550" t="e">
        <f>#REF!</f>
        <v>#REF!</v>
      </c>
      <c r="F259" s="550" t="e">
        <f t="shared" si="56"/>
        <v>#REF!</v>
      </c>
      <c r="G259" s="551" t="e">
        <f t="shared" si="57"/>
        <v>#REF!</v>
      </c>
      <c r="H259" s="551" t="e">
        <f>#REF!</f>
        <v>#REF!</v>
      </c>
      <c r="I259" s="550" t="e">
        <f t="shared" si="60"/>
        <v>#REF!</v>
      </c>
      <c r="J259" s="550" t="e">
        <f t="shared" si="60"/>
        <v>#REF!</v>
      </c>
    </row>
    <row r="260" spans="1:10">
      <c r="A260" s="548">
        <f t="shared" si="61"/>
        <v>166</v>
      </c>
      <c r="B260" s="548">
        <v>40</v>
      </c>
      <c r="C260" s="570" t="e">
        <f>#REF!</f>
        <v>#REF!</v>
      </c>
      <c r="D260" s="548" t="e">
        <f>#REF!</f>
        <v>#REF!</v>
      </c>
      <c r="E260" s="550" t="e">
        <f>#REF!</f>
        <v>#REF!</v>
      </c>
      <c r="F260" s="550" t="e">
        <f t="shared" si="56"/>
        <v>#REF!</v>
      </c>
      <c r="G260" s="551" t="e">
        <f t="shared" si="57"/>
        <v>#REF!</v>
      </c>
      <c r="H260" s="551" t="e">
        <f>#REF!</f>
        <v>#REF!</v>
      </c>
      <c r="I260" s="550" t="e">
        <f t="shared" si="60"/>
        <v>#REF!</v>
      </c>
      <c r="J260" s="550" t="e">
        <f t="shared" si="60"/>
        <v>#REF!</v>
      </c>
    </row>
    <row r="261" spans="1:10">
      <c r="A261" s="548">
        <f t="shared" si="61"/>
        <v>167</v>
      </c>
      <c r="B261" s="548">
        <v>41</v>
      </c>
      <c r="C261" s="570" t="e">
        <f>#REF!</f>
        <v>#REF!</v>
      </c>
      <c r="D261" s="548" t="e">
        <f>#REF!</f>
        <v>#REF!</v>
      </c>
      <c r="E261" s="550" t="e">
        <f>#REF!</f>
        <v>#REF!</v>
      </c>
      <c r="F261" s="550" t="e">
        <f t="shared" si="56"/>
        <v>#REF!</v>
      </c>
      <c r="G261" s="551" t="e">
        <f t="shared" si="57"/>
        <v>#REF!</v>
      </c>
      <c r="H261" s="551" t="e">
        <f>#REF!</f>
        <v>#REF!</v>
      </c>
      <c r="I261" s="550" t="e">
        <f t="shared" si="60"/>
        <v>#REF!</v>
      </c>
      <c r="J261" s="550" t="e">
        <f t="shared" si="60"/>
        <v>#REF!</v>
      </c>
    </row>
    <row r="262" spans="1:10">
      <c r="A262" s="548">
        <f t="shared" si="61"/>
        <v>168</v>
      </c>
      <c r="B262" s="548">
        <v>42</v>
      </c>
      <c r="C262" s="570" t="e">
        <f>#REF!</f>
        <v>#REF!</v>
      </c>
      <c r="D262" s="548" t="e">
        <f>#REF!</f>
        <v>#REF!</v>
      </c>
      <c r="E262" s="550" t="e">
        <f>#REF!</f>
        <v>#REF!</v>
      </c>
      <c r="F262" s="550" t="e">
        <f t="shared" si="56"/>
        <v>#REF!</v>
      </c>
      <c r="G262" s="551" t="e">
        <f t="shared" si="57"/>
        <v>#REF!</v>
      </c>
      <c r="H262" s="551" t="e">
        <f>#REF!</f>
        <v>#REF!</v>
      </c>
      <c r="I262" s="550" t="e">
        <f t="shared" si="60"/>
        <v>#REF!</v>
      </c>
      <c r="J262" s="550" t="e">
        <f t="shared" si="60"/>
        <v>#REF!</v>
      </c>
    </row>
    <row r="263" spans="1:10">
      <c r="A263" s="548">
        <f t="shared" si="61"/>
        <v>169</v>
      </c>
      <c r="B263" s="548">
        <v>43</v>
      </c>
      <c r="C263" s="570" t="e">
        <f>#REF!</f>
        <v>#REF!</v>
      </c>
      <c r="D263" s="548" t="e">
        <f>#REF!</f>
        <v>#REF!</v>
      </c>
      <c r="E263" s="550" t="e">
        <f>#REF!</f>
        <v>#REF!</v>
      </c>
      <c r="F263" s="550" t="e">
        <f t="shared" si="56"/>
        <v>#REF!</v>
      </c>
      <c r="G263" s="551" t="e">
        <f t="shared" si="57"/>
        <v>#REF!</v>
      </c>
      <c r="H263" s="551" t="e">
        <f>#REF!</f>
        <v>#REF!</v>
      </c>
      <c r="I263" s="550" t="e">
        <f t="shared" si="60"/>
        <v>#REF!</v>
      </c>
      <c r="J263" s="550" t="e">
        <f t="shared" si="60"/>
        <v>#REF!</v>
      </c>
    </row>
    <row r="264" spans="1:10">
      <c r="A264" s="548">
        <f t="shared" si="61"/>
        <v>170</v>
      </c>
      <c r="B264" s="548">
        <v>44</v>
      </c>
      <c r="C264" s="570" t="e">
        <f>#REF!</f>
        <v>#REF!</v>
      </c>
      <c r="D264" s="548" t="e">
        <f>#REF!</f>
        <v>#REF!</v>
      </c>
      <c r="E264" s="550" t="e">
        <f>#REF!</f>
        <v>#REF!</v>
      </c>
      <c r="F264" s="550" t="e">
        <f t="shared" si="56"/>
        <v>#REF!</v>
      </c>
      <c r="G264" s="551" t="e">
        <f t="shared" si="57"/>
        <v>#REF!</v>
      </c>
      <c r="H264" s="551" t="e">
        <f>#REF!</f>
        <v>#REF!</v>
      </c>
      <c r="I264" s="550" t="e">
        <f t="shared" si="60"/>
        <v>#REF!</v>
      </c>
      <c r="J264" s="550" t="e">
        <f t="shared" si="60"/>
        <v>#REF!</v>
      </c>
    </row>
    <row r="265" spans="1:10">
      <c r="A265" s="548">
        <f t="shared" si="61"/>
        <v>171</v>
      </c>
      <c r="B265" s="548">
        <v>45</v>
      </c>
      <c r="C265" s="570" t="e">
        <f>#REF!</f>
        <v>#REF!</v>
      </c>
      <c r="D265" s="548" t="e">
        <f>#REF!</f>
        <v>#REF!</v>
      </c>
      <c r="E265" s="550" t="e">
        <f>#REF!</f>
        <v>#REF!</v>
      </c>
      <c r="F265" s="550" t="e">
        <f t="shared" si="56"/>
        <v>#REF!</v>
      </c>
      <c r="G265" s="551" t="e">
        <f t="shared" si="57"/>
        <v>#REF!</v>
      </c>
      <c r="H265" s="551" t="e">
        <f>#REF!</f>
        <v>#REF!</v>
      </c>
      <c r="I265" s="550" t="e">
        <f t="shared" si="60"/>
        <v>#REF!</v>
      </c>
      <c r="J265" s="550" t="e">
        <f t="shared" si="60"/>
        <v>#REF!</v>
      </c>
    </row>
    <row r="266" spans="1:10">
      <c r="A266" s="548">
        <f>A265+1</f>
        <v>172</v>
      </c>
      <c r="B266" s="548">
        <v>46</v>
      </c>
      <c r="C266" s="570" t="e">
        <f>#REF!</f>
        <v>#REF!</v>
      </c>
      <c r="D266" s="548" t="e">
        <f>#REF!</f>
        <v>#REF!</v>
      </c>
      <c r="E266" s="550" t="e">
        <f>#REF!</f>
        <v>#REF!</v>
      </c>
      <c r="F266" s="550" t="e">
        <f t="shared" si="56"/>
        <v>#REF!</v>
      </c>
      <c r="G266" s="551" t="e">
        <f t="shared" si="57"/>
        <v>#REF!</v>
      </c>
      <c r="H266" s="551" t="e">
        <f>#REF!</f>
        <v>#REF!</v>
      </c>
      <c r="I266" s="550" t="e">
        <f t="shared" si="60"/>
        <v>#REF!</v>
      </c>
      <c r="J266" s="550" t="e">
        <f t="shared" si="60"/>
        <v>#REF!</v>
      </c>
    </row>
    <row r="267" spans="1:10">
      <c r="A267" s="548">
        <f t="shared" ref="A267:A273" si="62">A266+1</f>
        <v>173</v>
      </c>
      <c r="B267" s="548">
        <v>47</v>
      </c>
      <c r="C267" s="571" t="e">
        <f>#REF!</f>
        <v>#REF!</v>
      </c>
      <c r="D267" s="548" t="e">
        <f>#REF!</f>
        <v>#REF!</v>
      </c>
      <c r="E267" s="550" t="e">
        <f>#REF!</f>
        <v>#REF!</v>
      </c>
      <c r="F267" s="550" t="e">
        <f t="shared" si="56"/>
        <v>#REF!</v>
      </c>
      <c r="G267" s="551" t="e">
        <f t="shared" si="57"/>
        <v>#REF!</v>
      </c>
      <c r="H267" s="551" t="e">
        <f>#REF!</f>
        <v>#REF!</v>
      </c>
      <c r="I267" s="550" t="e">
        <f t="shared" si="60"/>
        <v>#REF!</v>
      </c>
      <c r="J267" s="550" t="e">
        <f t="shared" si="60"/>
        <v>#REF!</v>
      </c>
    </row>
    <row r="268" spans="1:10">
      <c r="A268" s="548">
        <f t="shared" si="62"/>
        <v>174</v>
      </c>
      <c r="B268" s="548">
        <v>48</v>
      </c>
      <c r="C268" s="570" t="e">
        <f>#REF!</f>
        <v>#REF!</v>
      </c>
      <c r="D268" s="548" t="e">
        <f>#REF!</f>
        <v>#REF!</v>
      </c>
      <c r="E268" s="550" t="e">
        <f>#REF!</f>
        <v>#REF!</v>
      </c>
      <c r="F268" s="550" t="e">
        <f t="shared" si="56"/>
        <v>#REF!</v>
      </c>
      <c r="G268" s="551" t="e">
        <f t="shared" si="57"/>
        <v>#REF!</v>
      </c>
      <c r="H268" s="551" t="e">
        <f>#REF!</f>
        <v>#REF!</v>
      </c>
      <c r="I268" s="550" t="e">
        <f t="shared" si="60"/>
        <v>#REF!</v>
      </c>
      <c r="J268" s="550" t="e">
        <f t="shared" si="60"/>
        <v>#REF!</v>
      </c>
    </row>
    <row r="269" spans="1:10">
      <c r="A269" s="548">
        <f t="shared" si="62"/>
        <v>175</v>
      </c>
      <c r="B269" s="548">
        <v>49</v>
      </c>
      <c r="C269" s="570" t="e">
        <f>#REF!</f>
        <v>#REF!</v>
      </c>
      <c r="D269" s="548" t="e">
        <f>#REF!</f>
        <v>#REF!</v>
      </c>
      <c r="E269" s="550" t="e">
        <f>#REF!</f>
        <v>#REF!</v>
      </c>
      <c r="F269" s="550" t="e">
        <f t="shared" si="56"/>
        <v>#REF!</v>
      </c>
      <c r="G269" s="551" t="e">
        <f t="shared" si="57"/>
        <v>#REF!</v>
      </c>
      <c r="H269" s="551" t="e">
        <f>#REF!</f>
        <v>#REF!</v>
      </c>
      <c r="I269" s="550" t="e">
        <f t="shared" si="60"/>
        <v>#REF!</v>
      </c>
      <c r="J269" s="550" t="e">
        <f t="shared" si="60"/>
        <v>#REF!</v>
      </c>
    </row>
    <row r="270" spans="1:10">
      <c r="A270" s="548">
        <f t="shared" si="62"/>
        <v>176</v>
      </c>
      <c r="B270" s="548">
        <v>50</v>
      </c>
      <c r="C270" s="570" t="e">
        <f>#REF!</f>
        <v>#REF!</v>
      </c>
      <c r="D270" s="548" t="e">
        <f>#REF!</f>
        <v>#REF!</v>
      </c>
      <c r="E270" s="550" t="e">
        <f>#REF!</f>
        <v>#REF!</v>
      </c>
      <c r="F270" s="550" t="e">
        <f t="shared" si="56"/>
        <v>#REF!</v>
      </c>
      <c r="G270" s="551" t="e">
        <f t="shared" si="57"/>
        <v>#REF!</v>
      </c>
      <c r="H270" s="551" t="e">
        <f>#REF!</f>
        <v>#REF!</v>
      </c>
      <c r="I270" s="550" t="e">
        <f t="shared" si="60"/>
        <v>#REF!</v>
      </c>
      <c r="J270" s="550" t="e">
        <f t="shared" si="60"/>
        <v>#REF!</v>
      </c>
    </row>
    <row r="271" spans="1:10">
      <c r="A271" s="548">
        <f t="shared" si="62"/>
        <v>177</v>
      </c>
      <c r="B271" s="548">
        <v>51</v>
      </c>
      <c r="C271" s="570" t="e">
        <f>#REF!</f>
        <v>#REF!</v>
      </c>
      <c r="D271" s="548" t="e">
        <f>#REF!</f>
        <v>#REF!</v>
      </c>
      <c r="E271" s="550" t="e">
        <f>#REF!</f>
        <v>#REF!</v>
      </c>
      <c r="F271" s="550" t="e">
        <f t="shared" si="56"/>
        <v>#REF!</v>
      </c>
      <c r="G271" s="551" t="e">
        <f t="shared" si="57"/>
        <v>#REF!</v>
      </c>
      <c r="H271" s="551" t="e">
        <f>#REF!</f>
        <v>#REF!</v>
      </c>
      <c r="I271" s="550" t="e">
        <f t="shared" si="60"/>
        <v>#REF!</v>
      </c>
      <c r="J271" s="550" t="e">
        <f t="shared" si="60"/>
        <v>#REF!</v>
      </c>
    </row>
    <row r="272" spans="1:10">
      <c r="A272" s="548">
        <f t="shared" si="62"/>
        <v>178</v>
      </c>
      <c r="B272" s="548">
        <v>52</v>
      </c>
      <c r="C272" s="570" t="e">
        <f>#REF!</f>
        <v>#REF!</v>
      </c>
      <c r="D272" s="548" t="e">
        <f>#REF!</f>
        <v>#REF!</v>
      </c>
      <c r="E272" s="550" t="e">
        <f>#REF!</f>
        <v>#REF!</v>
      </c>
      <c r="F272" s="550" t="e">
        <f t="shared" si="56"/>
        <v>#REF!</v>
      </c>
      <c r="G272" s="551" t="e">
        <f t="shared" si="57"/>
        <v>#REF!</v>
      </c>
      <c r="H272" s="551" t="e">
        <f>#REF!</f>
        <v>#REF!</v>
      </c>
      <c r="I272" s="550" t="e">
        <f t="shared" si="60"/>
        <v>#REF!</v>
      </c>
      <c r="J272" s="550" t="e">
        <f t="shared" si="60"/>
        <v>#REF!</v>
      </c>
    </row>
    <row r="273" spans="1:10">
      <c r="A273" s="548">
        <f t="shared" si="62"/>
        <v>179</v>
      </c>
      <c r="B273" s="548">
        <v>53</v>
      </c>
      <c r="C273" s="570" t="e">
        <f>#REF!</f>
        <v>#REF!</v>
      </c>
      <c r="D273" s="548" t="e">
        <f>#REF!</f>
        <v>#REF!</v>
      </c>
      <c r="E273" s="550" t="e">
        <f>#REF!</f>
        <v>#REF!</v>
      </c>
      <c r="F273" s="550" t="e">
        <f t="shared" si="56"/>
        <v>#REF!</v>
      </c>
      <c r="G273" s="551" t="e">
        <f t="shared" si="57"/>
        <v>#REF!</v>
      </c>
      <c r="H273" s="551" t="e">
        <f>#REF!</f>
        <v>#REF!</v>
      </c>
      <c r="I273" s="550" t="e">
        <f t="shared" si="60"/>
        <v>#REF!</v>
      </c>
      <c r="J273" s="550" t="e">
        <f t="shared" si="60"/>
        <v>#REF!</v>
      </c>
    </row>
    <row r="274" spans="1:10">
      <c r="A274" s="548">
        <f t="shared" si="61"/>
        <v>180</v>
      </c>
      <c r="B274" s="548">
        <v>54</v>
      </c>
      <c r="C274" s="570" t="e">
        <f>#REF!</f>
        <v>#REF!</v>
      </c>
      <c r="D274" s="548" t="e">
        <f>#REF!</f>
        <v>#REF!</v>
      </c>
      <c r="E274" s="550" t="e">
        <f>#REF!</f>
        <v>#REF!</v>
      </c>
      <c r="F274" s="550" t="e">
        <f t="shared" si="56"/>
        <v>#REF!</v>
      </c>
      <c r="G274" s="551" t="e">
        <f t="shared" si="57"/>
        <v>#REF!</v>
      </c>
      <c r="H274" s="551" t="e">
        <f>#REF!</f>
        <v>#REF!</v>
      </c>
      <c r="I274" s="550" t="e">
        <f t="shared" si="60"/>
        <v>#REF!</v>
      </c>
      <c r="J274" s="550" t="e">
        <f t="shared" si="60"/>
        <v>#REF!</v>
      </c>
    </row>
    <row r="275" spans="1:10">
      <c r="A275" s="548"/>
      <c r="B275" s="548"/>
      <c r="C275" s="549"/>
      <c r="D275" s="548"/>
      <c r="E275" s="550"/>
      <c r="F275" s="550"/>
      <c r="G275" s="551"/>
      <c r="H275" s="551"/>
      <c r="I275" s="550"/>
      <c r="J275" s="550"/>
    </row>
    <row r="276" spans="1:10">
      <c r="A276" s="546" t="s">
        <v>1033</v>
      </c>
      <c r="B276" s="546"/>
      <c r="C276" s="547" t="s">
        <v>1034</v>
      </c>
      <c r="D276" s="547"/>
      <c r="E276" s="547"/>
      <c r="F276" s="547"/>
      <c r="G276" s="547"/>
      <c r="H276" s="547"/>
      <c r="I276" s="547"/>
      <c r="J276" s="547"/>
    </row>
    <row r="277" spans="1:10">
      <c r="A277" s="548">
        <f>A274+1</f>
        <v>181</v>
      </c>
      <c r="B277" s="548" t="e">
        <f>#REF!</f>
        <v>#REF!</v>
      </c>
      <c r="C277" s="557" t="e">
        <f>#REF!</f>
        <v>#REF!</v>
      </c>
      <c r="D277" s="548" t="e">
        <f>#REF!</f>
        <v>#REF!</v>
      </c>
      <c r="E277" s="550" t="e">
        <f>#REF!</f>
        <v>#REF!</v>
      </c>
      <c r="F277" s="550" t="e">
        <f t="shared" ref="F277:F282" si="63">ROUND(E277/exr,2)</f>
        <v>#REF!</v>
      </c>
      <c r="G277" s="551" t="e">
        <f t="shared" ref="G277:G289" si="64">1-H277</f>
        <v>#REF!</v>
      </c>
      <c r="H277" s="551" t="e">
        <f>#REF!</f>
        <v>#REF!</v>
      </c>
      <c r="I277" s="550" t="e">
        <f t="shared" ref="I277:J289" si="65">E277*G277</f>
        <v>#REF!</v>
      </c>
      <c r="J277" s="550" t="e">
        <f t="shared" si="65"/>
        <v>#REF!</v>
      </c>
    </row>
    <row r="278" spans="1:10">
      <c r="A278" s="548">
        <f t="shared" ref="A278:A289" si="66">A277+1</f>
        <v>182</v>
      </c>
      <c r="B278" s="548" t="e">
        <f>#REF!</f>
        <v>#REF!</v>
      </c>
      <c r="C278" s="557" t="e">
        <f>#REF!</f>
        <v>#REF!</v>
      </c>
      <c r="D278" s="548" t="e">
        <f>#REF!</f>
        <v>#REF!</v>
      </c>
      <c r="E278" s="550" t="e">
        <f>#REF!</f>
        <v>#REF!</v>
      </c>
      <c r="F278" s="550" t="e">
        <f t="shared" si="63"/>
        <v>#REF!</v>
      </c>
      <c r="G278" s="551" t="e">
        <f t="shared" si="64"/>
        <v>#REF!</v>
      </c>
      <c r="H278" s="551" t="e">
        <f>#REF!</f>
        <v>#REF!</v>
      </c>
      <c r="I278" s="550" t="e">
        <f t="shared" si="65"/>
        <v>#REF!</v>
      </c>
      <c r="J278" s="550" t="e">
        <f t="shared" si="65"/>
        <v>#REF!</v>
      </c>
    </row>
    <row r="279" spans="1:10">
      <c r="A279" s="548">
        <f t="shared" si="66"/>
        <v>183</v>
      </c>
      <c r="B279" s="548" t="e">
        <f>#REF!</f>
        <v>#REF!</v>
      </c>
      <c r="C279" s="557" t="e">
        <f>#REF!</f>
        <v>#REF!</v>
      </c>
      <c r="D279" s="548" t="e">
        <f>#REF!</f>
        <v>#REF!</v>
      </c>
      <c r="E279" s="550" t="e">
        <f>#REF!</f>
        <v>#REF!</v>
      </c>
      <c r="F279" s="550" t="e">
        <f t="shared" si="63"/>
        <v>#REF!</v>
      </c>
      <c r="G279" s="551" t="e">
        <f t="shared" si="64"/>
        <v>#REF!</v>
      </c>
      <c r="H279" s="551" t="e">
        <f>#REF!</f>
        <v>#REF!</v>
      </c>
      <c r="I279" s="550" t="e">
        <f t="shared" si="65"/>
        <v>#REF!</v>
      </c>
      <c r="J279" s="550" t="e">
        <f t="shared" si="65"/>
        <v>#REF!</v>
      </c>
    </row>
    <row r="280" spans="1:10">
      <c r="A280" s="548">
        <f t="shared" si="66"/>
        <v>184</v>
      </c>
      <c r="B280" s="548" t="e">
        <f>#REF!</f>
        <v>#REF!</v>
      </c>
      <c r="C280" s="557" t="e">
        <f>#REF!</f>
        <v>#REF!</v>
      </c>
      <c r="D280" s="548" t="e">
        <f>#REF!</f>
        <v>#REF!</v>
      </c>
      <c r="E280" s="550" t="e">
        <f>#REF!</f>
        <v>#REF!</v>
      </c>
      <c r="F280" s="550" t="e">
        <f t="shared" si="63"/>
        <v>#REF!</v>
      </c>
      <c r="G280" s="551" t="e">
        <f t="shared" si="64"/>
        <v>#REF!</v>
      </c>
      <c r="H280" s="551" t="e">
        <f>#REF!</f>
        <v>#REF!</v>
      </c>
      <c r="I280" s="550" t="e">
        <f t="shared" si="65"/>
        <v>#REF!</v>
      </c>
      <c r="J280" s="550" t="e">
        <f t="shared" si="65"/>
        <v>#REF!</v>
      </c>
    </row>
    <row r="281" spans="1:10">
      <c r="A281" s="548">
        <f t="shared" si="66"/>
        <v>185</v>
      </c>
      <c r="B281" s="548" t="e">
        <f>#REF!</f>
        <v>#REF!</v>
      </c>
      <c r="C281" s="557" t="e">
        <f>#REF!</f>
        <v>#REF!</v>
      </c>
      <c r="D281" s="548" t="e">
        <f>#REF!</f>
        <v>#REF!</v>
      </c>
      <c r="E281" s="550" t="e">
        <f>#REF!</f>
        <v>#REF!</v>
      </c>
      <c r="F281" s="550" t="e">
        <f t="shared" si="63"/>
        <v>#REF!</v>
      </c>
      <c r="G281" s="551" t="e">
        <f t="shared" si="64"/>
        <v>#REF!</v>
      </c>
      <c r="H281" s="551" t="e">
        <f>#REF!</f>
        <v>#REF!</v>
      </c>
      <c r="I281" s="550" t="e">
        <f t="shared" si="65"/>
        <v>#REF!</v>
      </c>
      <c r="J281" s="550" t="e">
        <f t="shared" si="65"/>
        <v>#REF!</v>
      </c>
    </row>
    <row r="282" spans="1:10">
      <c r="A282" s="548">
        <f t="shared" si="66"/>
        <v>186</v>
      </c>
      <c r="B282" s="548" t="e">
        <f>#REF!</f>
        <v>#REF!</v>
      </c>
      <c r="C282" s="557" t="e">
        <f>#REF!</f>
        <v>#REF!</v>
      </c>
      <c r="D282" s="548" t="e">
        <f>#REF!</f>
        <v>#REF!</v>
      </c>
      <c r="E282" s="550" t="e">
        <f>#REF!</f>
        <v>#REF!</v>
      </c>
      <c r="F282" s="550" t="e">
        <f t="shared" si="63"/>
        <v>#REF!</v>
      </c>
      <c r="G282" s="551" t="e">
        <f t="shared" si="64"/>
        <v>#REF!</v>
      </c>
      <c r="H282" s="551" t="e">
        <f>#REF!</f>
        <v>#REF!</v>
      </c>
      <c r="I282" s="550" t="e">
        <f t="shared" si="65"/>
        <v>#REF!</v>
      </c>
      <c r="J282" s="550" t="e">
        <f t="shared" si="65"/>
        <v>#REF!</v>
      </c>
    </row>
    <row r="283" spans="1:10">
      <c r="A283" s="548">
        <f t="shared" si="66"/>
        <v>187</v>
      </c>
      <c r="B283" s="548" t="e">
        <f>#REF!</f>
        <v>#REF!</v>
      </c>
      <c r="C283" s="570" t="e">
        <f>#REF!</f>
        <v>#REF!</v>
      </c>
      <c r="D283" s="548" t="e">
        <f>#REF!</f>
        <v>#REF!</v>
      </c>
      <c r="E283" s="550" t="e">
        <f>#REF!</f>
        <v>#REF!</v>
      </c>
      <c r="F283" s="550" t="e">
        <f t="shared" ref="F283:F289" si="67">ROUND(E283/exr,2)</f>
        <v>#REF!</v>
      </c>
      <c r="G283" s="551" t="e">
        <f t="shared" si="64"/>
        <v>#REF!</v>
      </c>
      <c r="H283" s="551" t="e">
        <f>#REF!</f>
        <v>#REF!</v>
      </c>
      <c r="I283" s="550" t="e">
        <f t="shared" si="65"/>
        <v>#REF!</v>
      </c>
      <c r="J283" s="550" t="e">
        <f t="shared" si="65"/>
        <v>#REF!</v>
      </c>
    </row>
    <row r="284" spans="1:10">
      <c r="A284" s="548">
        <f t="shared" si="66"/>
        <v>188</v>
      </c>
      <c r="B284" s="548" t="e">
        <f>#REF!</f>
        <v>#REF!</v>
      </c>
      <c r="C284" s="557" t="e">
        <f>#REF!</f>
        <v>#REF!</v>
      </c>
      <c r="D284" s="548" t="e">
        <f>#REF!</f>
        <v>#REF!</v>
      </c>
      <c r="E284" s="550" t="e">
        <f>#REF!</f>
        <v>#REF!</v>
      </c>
      <c r="F284" s="550" t="e">
        <f t="shared" si="67"/>
        <v>#REF!</v>
      </c>
      <c r="G284" s="551" t="e">
        <f t="shared" si="64"/>
        <v>#REF!</v>
      </c>
      <c r="H284" s="551" t="e">
        <f>#REF!</f>
        <v>#REF!</v>
      </c>
      <c r="I284" s="550" t="e">
        <f t="shared" si="65"/>
        <v>#REF!</v>
      </c>
      <c r="J284" s="550" t="e">
        <f t="shared" si="65"/>
        <v>#REF!</v>
      </c>
    </row>
    <row r="285" spans="1:10">
      <c r="A285" s="548">
        <f t="shared" si="66"/>
        <v>189</v>
      </c>
      <c r="B285" s="548" t="e">
        <f>#REF!</f>
        <v>#REF!</v>
      </c>
      <c r="C285" s="570" t="e">
        <f>#REF!</f>
        <v>#REF!</v>
      </c>
      <c r="D285" s="548" t="e">
        <f>#REF!</f>
        <v>#REF!</v>
      </c>
      <c r="E285" s="550" t="e">
        <f>#REF!</f>
        <v>#REF!</v>
      </c>
      <c r="F285" s="550" t="e">
        <f t="shared" si="67"/>
        <v>#REF!</v>
      </c>
      <c r="G285" s="551" t="e">
        <f t="shared" si="64"/>
        <v>#REF!</v>
      </c>
      <c r="H285" s="551" t="e">
        <f>#REF!</f>
        <v>#REF!</v>
      </c>
      <c r="I285" s="550" t="e">
        <f t="shared" si="65"/>
        <v>#REF!</v>
      </c>
      <c r="J285" s="550" t="e">
        <f t="shared" si="65"/>
        <v>#REF!</v>
      </c>
    </row>
    <row r="286" spans="1:10">
      <c r="A286" s="548">
        <f t="shared" si="66"/>
        <v>190</v>
      </c>
      <c r="B286" s="548" t="e">
        <f>#REF!</f>
        <v>#REF!</v>
      </c>
      <c r="C286" s="557" t="e">
        <f>#REF!</f>
        <v>#REF!</v>
      </c>
      <c r="D286" s="548" t="e">
        <f>#REF!</f>
        <v>#REF!</v>
      </c>
      <c r="E286" s="550" t="e">
        <f>#REF!</f>
        <v>#REF!</v>
      </c>
      <c r="F286" s="550" t="e">
        <f t="shared" si="67"/>
        <v>#REF!</v>
      </c>
      <c r="G286" s="551" t="e">
        <f t="shared" si="64"/>
        <v>#REF!</v>
      </c>
      <c r="H286" s="551" t="e">
        <f>#REF!</f>
        <v>#REF!</v>
      </c>
      <c r="I286" s="550" t="e">
        <f t="shared" si="65"/>
        <v>#REF!</v>
      </c>
      <c r="J286" s="550" t="e">
        <f t="shared" si="65"/>
        <v>#REF!</v>
      </c>
    </row>
    <row r="287" spans="1:10">
      <c r="A287" s="548">
        <f t="shared" si="66"/>
        <v>191</v>
      </c>
      <c r="B287" s="548" t="e">
        <f>#REF!</f>
        <v>#REF!</v>
      </c>
      <c r="C287" s="557" t="e">
        <f>#REF!</f>
        <v>#REF!</v>
      </c>
      <c r="D287" s="548" t="e">
        <f>#REF!</f>
        <v>#REF!</v>
      </c>
      <c r="E287" s="550" t="e">
        <f>#REF!</f>
        <v>#REF!</v>
      </c>
      <c r="F287" s="550" t="e">
        <f t="shared" si="67"/>
        <v>#REF!</v>
      </c>
      <c r="G287" s="551" t="e">
        <f t="shared" si="64"/>
        <v>#REF!</v>
      </c>
      <c r="H287" s="551" t="e">
        <f>#REF!</f>
        <v>#REF!</v>
      </c>
      <c r="I287" s="550" t="e">
        <f t="shared" si="65"/>
        <v>#REF!</v>
      </c>
      <c r="J287" s="550" t="e">
        <f t="shared" si="65"/>
        <v>#REF!</v>
      </c>
    </row>
    <row r="288" spans="1:10">
      <c r="A288" s="548">
        <f t="shared" si="66"/>
        <v>192</v>
      </c>
      <c r="B288" s="548" t="e">
        <f>#REF!</f>
        <v>#REF!</v>
      </c>
      <c r="C288" s="557" t="e">
        <f>#REF!</f>
        <v>#REF!</v>
      </c>
      <c r="D288" s="548" t="e">
        <f>#REF!</f>
        <v>#REF!</v>
      </c>
      <c r="E288" s="550" t="e">
        <f>#REF!</f>
        <v>#REF!</v>
      </c>
      <c r="F288" s="550" t="e">
        <f t="shared" si="67"/>
        <v>#REF!</v>
      </c>
      <c r="G288" s="551" t="e">
        <f t="shared" si="64"/>
        <v>#REF!</v>
      </c>
      <c r="H288" s="551" t="e">
        <f>#REF!</f>
        <v>#REF!</v>
      </c>
      <c r="I288" s="550" t="e">
        <f t="shared" si="65"/>
        <v>#REF!</v>
      </c>
      <c r="J288" s="550" t="e">
        <f t="shared" si="65"/>
        <v>#REF!</v>
      </c>
    </row>
    <row r="289" spans="1:10">
      <c r="A289" s="548">
        <f t="shared" si="66"/>
        <v>193</v>
      </c>
      <c r="B289" s="548" t="e">
        <f>#REF!</f>
        <v>#REF!</v>
      </c>
      <c r="C289" s="557" t="e">
        <f>#REF!</f>
        <v>#REF!</v>
      </c>
      <c r="D289" s="548" t="e">
        <f>#REF!</f>
        <v>#REF!</v>
      </c>
      <c r="E289" s="550" t="e">
        <f>#REF!</f>
        <v>#REF!</v>
      </c>
      <c r="F289" s="550" t="e">
        <f t="shared" si="67"/>
        <v>#REF!</v>
      </c>
      <c r="G289" s="551" t="e">
        <f t="shared" si="64"/>
        <v>#REF!</v>
      </c>
      <c r="H289" s="551" t="e">
        <f>#REF!</f>
        <v>#REF!</v>
      </c>
      <c r="I289" s="550" t="e">
        <f t="shared" si="65"/>
        <v>#REF!</v>
      </c>
      <c r="J289" s="550" t="e">
        <f t="shared" si="65"/>
        <v>#REF!</v>
      </c>
    </row>
    <row r="290" spans="1:10">
      <c r="A290" s="548"/>
      <c r="B290" s="548"/>
      <c r="C290" s="557"/>
      <c r="D290" s="548"/>
      <c r="E290" s="550"/>
      <c r="F290" s="550"/>
      <c r="G290" s="551"/>
      <c r="H290" s="551"/>
      <c r="I290" s="550"/>
      <c r="J290" s="550"/>
    </row>
    <row r="291" spans="1:10">
      <c r="A291" s="546" t="s">
        <v>1035</v>
      </c>
      <c r="B291" s="546"/>
      <c r="C291" s="547" t="s">
        <v>1036</v>
      </c>
      <c r="D291" s="547"/>
      <c r="E291" s="547"/>
      <c r="F291" s="547"/>
      <c r="G291" s="547"/>
      <c r="H291" s="547"/>
      <c r="I291" s="547"/>
      <c r="J291" s="547"/>
    </row>
    <row r="292" spans="1:10">
      <c r="A292" s="548">
        <f>A289+1</f>
        <v>194</v>
      </c>
      <c r="B292" s="548">
        <v>1</v>
      </c>
      <c r="C292" s="549" t="s">
        <v>1037</v>
      </c>
      <c r="D292" s="548" t="s">
        <v>27</v>
      </c>
      <c r="E292" s="550">
        <f>(PI()/4*(0.42^2-0.4^2)*1*7850)*(100*1.15)</f>
        <v>11627.89834891552</v>
      </c>
      <c r="F292" s="550" t="e">
        <f t="shared" ref="F292:F297" si="68">ROUND(E292/exr,2)</f>
        <v>#REF!</v>
      </c>
      <c r="G292" s="551">
        <f t="shared" ref="G292:G297" si="69">1-H292</f>
        <v>0.4</v>
      </c>
      <c r="H292" s="551">
        <v>0.6</v>
      </c>
      <c r="I292" s="550">
        <f t="shared" ref="I292:J297" si="70">E292*G292</f>
        <v>4651.1593395662085</v>
      </c>
      <c r="J292" s="550" t="e">
        <f t="shared" si="70"/>
        <v>#REF!</v>
      </c>
    </row>
    <row r="293" spans="1:10">
      <c r="A293" s="548">
        <f t="shared" ref="A293:B299" si="71">A292+1</f>
        <v>195</v>
      </c>
      <c r="B293" s="548">
        <f t="shared" si="71"/>
        <v>2</v>
      </c>
      <c r="C293" s="549" t="s">
        <v>1038</v>
      </c>
      <c r="D293" s="548" t="s">
        <v>19</v>
      </c>
      <c r="E293" s="550">
        <v>193.68</v>
      </c>
      <c r="F293" s="550" t="e">
        <f t="shared" si="68"/>
        <v>#REF!</v>
      </c>
      <c r="G293" s="551">
        <f t="shared" si="69"/>
        <v>1</v>
      </c>
      <c r="H293" s="551">
        <v>0</v>
      </c>
      <c r="I293" s="550">
        <f t="shared" si="70"/>
        <v>193.68</v>
      </c>
      <c r="J293" s="550" t="e">
        <f t="shared" si="70"/>
        <v>#REF!</v>
      </c>
    </row>
    <row r="294" spans="1:10">
      <c r="A294" s="548">
        <f t="shared" si="71"/>
        <v>196</v>
      </c>
      <c r="B294" s="548">
        <f t="shared" si="71"/>
        <v>3</v>
      </c>
      <c r="C294" s="549" t="s">
        <v>43</v>
      </c>
      <c r="D294" s="548" t="s">
        <v>27</v>
      </c>
      <c r="E294" s="550">
        <f>241.5*5</f>
        <v>1207.5</v>
      </c>
      <c r="F294" s="550" t="e">
        <f t="shared" si="68"/>
        <v>#REF!</v>
      </c>
      <c r="G294" s="551">
        <f t="shared" si="69"/>
        <v>0.19999999999999996</v>
      </c>
      <c r="H294" s="551">
        <v>0.8</v>
      </c>
      <c r="I294" s="550">
        <f t="shared" si="70"/>
        <v>241.49999999999994</v>
      </c>
      <c r="J294" s="550" t="e">
        <f t="shared" si="70"/>
        <v>#REF!</v>
      </c>
    </row>
    <row r="295" spans="1:10">
      <c r="A295" s="548">
        <f t="shared" si="71"/>
        <v>197</v>
      </c>
      <c r="B295" s="548">
        <f t="shared" si="71"/>
        <v>4</v>
      </c>
      <c r="C295" s="554" t="s">
        <v>158</v>
      </c>
      <c r="D295" s="548" t="s">
        <v>27</v>
      </c>
      <c r="E295" s="550">
        <f>249*5</f>
        <v>1245</v>
      </c>
      <c r="F295" s="550" t="e">
        <f t="shared" si="68"/>
        <v>#REF!</v>
      </c>
      <c r="G295" s="551">
        <f t="shared" si="69"/>
        <v>0.19999999999999996</v>
      </c>
      <c r="H295" s="551">
        <v>0.8</v>
      </c>
      <c r="I295" s="550">
        <f t="shared" si="70"/>
        <v>248.99999999999994</v>
      </c>
      <c r="J295" s="550" t="e">
        <f t="shared" si="70"/>
        <v>#REF!</v>
      </c>
    </row>
    <row r="296" spans="1:10">
      <c r="A296" s="548">
        <f t="shared" si="71"/>
        <v>198</v>
      </c>
      <c r="B296" s="548">
        <f t="shared" si="71"/>
        <v>5</v>
      </c>
      <c r="C296" s="549" t="s">
        <v>159</v>
      </c>
      <c r="D296" s="548" t="s">
        <v>27</v>
      </c>
      <c r="E296" s="572">
        <v>6000</v>
      </c>
      <c r="F296" s="550" t="e">
        <f t="shared" si="68"/>
        <v>#REF!</v>
      </c>
      <c r="G296" s="551">
        <f t="shared" si="69"/>
        <v>9.9999999999999978E-2</v>
      </c>
      <c r="H296" s="551">
        <v>0.9</v>
      </c>
      <c r="I296" s="550">
        <f t="shared" si="70"/>
        <v>599.99999999999989</v>
      </c>
      <c r="J296" s="550" t="e">
        <f t="shared" si="70"/>
        <v>#REF!</v>
      </c>
    </row>
    <row r="297" spans="1:10">
      <c r="A297" s="548">
        <f t="shared" si="71"/>
        <v>199</v>
      </c>
      <c r="B297" s="548">
        <f t="shared" si="71"/>
        <v>6</v>
      </c>
      <c r="C297" s="549" t="s">
        <v>1039</v>
      </c>
      <c r="D297" s="548" t="s">
        <v>27</v>
      </c>
      <c r="E297" s="550">
        <v>1451.4</v>
      </c>
      <c r="F297" s="550" t="e">
        <f t="shared" si="68"/>
        <v>#REF!</v>
      </c>
      <c r="G297" s="551">
        <f t="shared" si="69"/>
        <v>0.19999999999999996</v>
      </c>
      <c r="H297" s="551">
        <v>0.8</v>
      </c>
      <c r="I297" s="550">
        <f t="shared" si="70"/>
        <v>290.27999999999997</v>
      </c>
      <c r="J297" s="550" t="e">
        <f t="shared" si="70"/>
        <v>#REF!</v>
      </c>
    </row>
    <row r="298" spans="1:10">
      <c r="A298" s="548">
        <f t="shared" si="71"/>
        <v>200</v>
      </c>
      <c r="B298" s="548">
        <f t="shared" si="71"/>
        <v>7</v>
      </c>
      <c r="C298" s="549" t="s">
        <v>1040</v>
      </c>
      <c r="D298" s="548" t="s">
        <v>27</v>
      </c>
      <c r="E298" s="550">
        <f>(PI()/4*(0.32^2-0.3^2)*1*7850)*(100*1.15)</f>
        <v>8791.8255808873819</v>
      </c>
      <c r="F298" s="550" t="e">
        <f>ROUND(E298/exr,2)</f>
        <v>#REF!</v>
      </c>
      <c r="G298" s="551">
        <f>1-H298</f>
        <v>0.4</v>
      </c>
      <c r="H298" s="551">
        <v>0.6</v>
      </c>
      <c r="I298" s="550">
        <f>E298*G298</f>
        <v>3516.7302323549529</v>
      </c>
      <c r="J298" s="550" t="e">
        <f>F298*H298</f>
        <v>#REF!</v>
      </c>
    </row>
    <row r="299" spans="1:10" ht="16.8">
      <c r="A299" s="548">
        <f t="shared" si="71"/>
        <v>201</v>
      </c>
      <c r="B299" s="548">
        <f t="shared" si="71"/>
        <v>8</v>
      </c>
      <c r="C299" s="573" t="s">
        <v>1041</v>
      </c>
      <c r="D299" s="548" t="s">
        <v>19</v>
      </c>
      <c r="E299" s="572">
        <v>350</v>
      </c>
      <c r="F299" s="550" t="e">
        <f>ROUND(E299/exr,2)</f>
        <v>#REF!</v>
      </c>
      <c r="G299" s="551">
        <v>0.2</v>
      </c>
      <c r="H299" s="551">
        <v>0.9</v>
      </c>
      <c r="I299" s="550">
        <f>E299*G299</f>
        <v>70</v>
      </c>
      <c r="J299" s="550" t="e">
        <f>F299*H299</f>
        <v>#REF!</v>
      </c>
    </row>
    <row r="301" spans="1:10">
      <c r="A301" s="546" t="s">
        <v>1042</v>
      </c>
      <c r="B301" s="546"/>
      <c r="C301" s="547" t="s">
        <v>1043</v>
      </c>
      <c r="D301" s="547"/>
      <c r="E301" s="547"/>
      <c r="F301" s="547"/>
      <c r="G301" s="547"/>
      <c r="H301" s="547"/>
      <c r="I301" s="547"/>
      <c r="J301" s="547"/>
    </row>
    <row r="302" spans="1:10">
      <c r="A302" s="548">
        <f>A299+1</f>
        <v>202</v>
      </c>
      <c r="B302" s="548">
        <v>1</v>
      </c>
      <c r="C302" s="574" t="e">
        <f>#REF!</f>
        <v>#REF!</v>
      </c>
      <c r="D302" s="548" t="e">
        <f>#REF!</f>
        <v>#REF!</v>
      </c>
      <c r="E302" s="550" t="e">
        <f>#REF!</f>
        <v>#REF!</v>
      </c>
      <c r="F302" s="550" t="e">
        <f>ROUND(E302/exr,2)</f>
        <v>#REF!</v>
      </c>
      <c r="G302" s="551" t="e">
        <f>1-H302</f>
        <v>#REF!</v>
      </c>
      <c r="H302" s="575" t="e">
        <f>#REF!</f>
        <v>#REF!</v>
      </c>
      <c r="I302" s="550" t="e">
        <f>E302*G302</f>
        <v>#REF!</v>
      </c>
      <c r="J302" s="550" t="e">
        <f>F302*H302</f>
        <v>#REF!</v>
      </c>
    </row>
    <row r="303" spans="1:10">
      <c r="C303" s="576"/>
    </row>
    <row r="305" spans="1:10">
      <c r="A305" s="546" t="s">
        <v>790</v>
      </c>
      <c r="B305" s="546"/>
      <c r="C305" s="547" t="s">
        <v>1044</v>
      </c>
      <c r="D305" s="547"/>
      <c r="E305" s="547"/>
      <c r="F305" s="547"/>
      <c r="G305" s="547"/>
      <c r="H305" s="547"/>
      <c r="I305" s="547"/>
      <c r="J305" s="547"/>
    </row>
    <row r="306" spans="1:10">
      <c r="A306" s="577">
        <f>A302+1</f>
        <v>203</v>
      </c>
      <c r="B306" s="577">
        <v>1</v>
      </c>
      <c r="C306" s="578" t="e">
        <f>#REF!</f>
        <v>#REF!</v>
      </c>
      <c r="D306" s="579" t="e">
        <f>#REF!</f>
        <v>#REF!</v>
      </c>
      <c r="E306" s="580" t="e">
        <f>#REF!</f>
        <v>#REF!</v>
      </c>
      <c r="F306" s="580" t="e">
        <f>ROUND(E306/exr,2)</f>
        <v>#REF!</v>
      </c>
      <c r="G306" s="581" t="e">
        <f>1-H306</f>
        <v>#REF!</v>
      </c>
      <c r="H306" s="582" t="e">
        <f>#REF!</f>
        <v>#REF!</v>
      </c>
      <c r="I306" s="580" t="e">
        <f>E306*G306</f>
        <v>#REF!</v>
      </c>
      <c r="J306" s="580" t="e">
        <f>F306*H306</f>
        <v>#REF!</v>
      </c>
    </row>
    <row r="307" spans="1:10">
      <c r="A307" s="583"/>
      <c r="B307" s="584"/>
      <c r="C307" s="585"/>
      <c r="D307" s="585"/>
      <c r="E307" s="583"/>
      <c r="F307" s="583"/>
      <c r="G307" s="583"/>
      <c r="H307" s="583"/>
      <c r="I307" s="583"/>
      <c r="J307" s="584"/>
    </row>
    <row r="309" spans="1:10">
      <c r="A309" s="546" t="s">
        <v>1045</v>
      </c>
      <c r="B309" s="546"/>
      <c r="C309" s="547" t="s">
        <v>1046</v>
      </c>
      <c r="D309" s="547"/>
      <c r="E309" s="547"/>
      <c r="F309" s="547"/>
      <c r="G309" s="547"/>
      <c r="H309" s="547"/>
      <c r="I309" s="547"/>
      <c r="J309" s="547"/>
    </row>
    <row r="310" spans="1:10">
      <c r="A310" s="548">
        <f>A306+1</f>
        <v>204</v>
      </c>
      <c r="B310" s="548">
        <v>1</v>
      </c>
      <c r="C310" s="574" t="e">
        <f>#REF!</f>
        <v>#REF!</v>
      </c>
      <c r="D310" s="548" t="s">
        <v>19</v>
      </c>
      <c r="E310" s="550" t="e">
        <f>#REF!</f>
        <v>#REF!</v>
      </c>
      <c r="F310" s="550" t="e">
        <f>ROUND(E310/exr,2)</f>
        <v>#REF!</v>
      </c>
      <c r="G310" s="551" t="e">
        <f>1-H310</f>
        <v>#REF!</v>
      </c>
      <c r="H310" s="575" t="e">
        <f>#REF!</f>
        <v>#REF!</v>
      </c>
      <c r="I310" s="550" t="e">
        <f>E310*G310</f>
        <v>#REF!</v>
      </c>
      <c r="J310" s="550" t="e">
        <f>F310*H310</f>
        <v>#REF!</v>
      </c>
    </row>
    <row r="311" spans="1:10">
      <c r="A311" s="548">
        <f>A310+1</f>
        <v>205</v>
      </c>
      <c r="B311" s="548">
        <v>2</v>
      </c>
      <c r="C311" s="574" t="e">
        <f>#REF!</f>
        <v>#REF!</v>
      </c>
      <c r="D311" s="548" t="s">
        <v>19</v>
      </c>
      <c r="E311" s="550" t="e">
        <f>#REF!</f>
        <v>#REF!</v>
      </c>
      <c r="F311" s="550" t="e">
        <f>ROUND(E311/exr,2)</f>
        <v>#REF!</v>
      </c>
      <c r="G311" s="551" t="e">
        <f>1-H311</f>
        <v>#REF!</v>
      </c>
      <c r="H311" s="575" t="e">
        <f>#REF!</f>
        <v>#REF!</v>
      </c>
      <c r="I311" s="550" t="e">
        <f>E311*G311</f>
        <v>#REF!</v>
      </c>
      <c r="J311" s="550" t="e">
        <f>F311*H311</f>
        <v>#REF!</v>
      </c>
    </row>
    <row r="313" spans="1:10">
      <c r="A313" s="546" t="s">
        <v>1047</v>
      </c>
      <c r="B313" s="546"/>
      <c r="C313" s="547" t="s">
        <v>1048</v>
      </c>
      <c r="D313" s="547"/>
      <c r="E313" s="547"/>
      <c r="F313" s="547"/>
      <c r="G313" s="547"/>
      <c r="H313" s="547"/>
      <c r="I313" s="547"/>
      <c r="J313" s="547"/>
    </row>
    <row r="314" spans="1:10">
      <c r="A314" s="548">
        <f>A310+1</f>
        <v>205</v>
      </c>
      <c r="B314" s="548">
        <v>1</v>
      </c>
      <c r="C314" s="574" t="e">
        <f>#REF!</f>
        <v>#REF!</v>
      </c>
      <c r="D314" s="548" t="e">
        <f>#REF!</f>
        <v>#REF!</v>
      </c>
      <c r="E314" s="550" t="e">
        <f>#REF!</f>
        <v>#REF!</v>
      </c>
      <c r="F314" s="550" t="e">
        <f>ROUND(E314/exr,2)</f>
        <v>#REF!</v>
      </c>
      <c r="G314" s="551" t="e">
        <f>1-H314</f>
        <v>#REF!</v>
      </c>
      <c r="H314" s="575" t="e">
        <f>#REF!</f>
        <v>#REF!</v>
      </c>
      <c r="I314" s="550" t="e">
        <f>E314*G314</f>
        <v>#REF!</v>
      </c>
      <c r="J314" s="550" t="e">
        <f>F314*H314</f>
        <v>#REF!</v>
      </c>
    </row>
    <row r="316" spans="1:10">
      <c r="A316" s="546" t="s">
        <v>1049</v>
      </c>
      <c r="B316" s="546"/>
      <c r="C316" s="547" t="s">
        <v>1050</v>
      </c>
      <c r="D316" s="547"/>
      <c r="E316" s="547"/>
      <c r="F316" s="547"/>
      <c r="G316" s="547"/>
      <c r="H316" s="547"/>
      <c r="I316" s="547"/>
      <c r="J316" s="547"/>
    </row>
    <row r="317" spans="1:10">
      <c r="A317" s="548">
        <f>A311+1</f>
        <v>206</v>
      </c>
      <c r="B317" s="548">
        <v>1</v>
      </c>
      <c r="C317" s="552" t="e">
        <f>#REF!</f>
        <v>#REF!</v>
      </c>
      <c r="D317" s="548" t="e">
        <f>#REF!</f>
        <v>#REF!</v>
      </c>
      <c r="E317" s="586" t="e">
        <f>#REF!</f>
        <v>#REF!</v>
      </c>
      <c r="F317" s="550" t="e">
        <f>ROUND(E317/exr,2)</f>
        <v>#REF!</v>
      </c>
      <c r="G317" s="551" t="e">
        <f>1-H317</f>
        <v>#REF!</v>
      </c>
      <c r="H317" s="587" t="e">
        <f>#REF!</f>
        <v>#REF!</v>
      </c>
      <c r="I317" s="550" t="e">
        <f>E317*G317</f>
        <v>#REF!</v>
      </c>
      <c r="J317" s="550" t="e">
        <f>F317*H317</f>
        <v>#REF!</v>
      </c>
    </row>
    <row r="318" spans="1:10">
      <c r="A318" s="552"/>
      <c r="B318" s="552"/>
      <c r="C318" s="552" t="e">
        <f>#REF!</f>
        <v>#REF!</v>
      </c>
      <c r="D318" s="548"/>
      <c r="E318" s="552"/>
      <c r="F318" s="552"/>
      <c r="G318" s="552"/>
      <c r="H318" s="552"/>
      <c r="I318" s="552"/>
      <c r="J318" s="552"/>
    </row>
    <row r="319" spans="1:10">
      <c r="A319" s="552"/>
      <c r="B319" s="552"/>
      <c r="C319" s="552"/>
      <c r="D319" s="548"/>
      <c r="E319" s="552"/>
      <c r="F319" s="552"/>
      <c r="G319" s="552"/>
      <c r="H319" s="552"/>
      <c r="I319" s="552"/>
      <c r="J319" s="552"/>
    </row>
    <row r="320" spans="1:10">
      <c r="A320" s="548">
        <f>A317+1</f>
        <v>207</v>
      </c>
      <c r="B320" s="548">
        <v>2</v>
      </c>
      <c r="C320" s="552" t="e">
        <f>#REF!</f>
        <v>#REF!</v>
      </c>
      <c r="D320" s="548" t="e">
        <f>#REF!</f>
        <v>#REF!</v>
      </c>
      <c r="E320" s="586" t="e">
        <f>#REF!</f>
        <v>#REF!</v>
      </c>
      <c r="F320" s="550" t="e">
        <f>ROUND(E320/exr,2)</f>
        <v>#REF!</v>
      </c>
      <c r="G320" s="551" t="e">
        <f>1-H320</f>
        <v>#REF!</v>
      </c>
      <c r="H320" s="587" t="e">
        <f>#REF!</f>
        <v>#REF!</v>
      </c>
      <c r="I320" s="550" t="e">
        <f>E320*G320</f>
        <v>#REF!</v>
      </c>
      <c r="J320" s="550" t="e">
        <f>F320*H320</f>
        <v>#REF!</v>
      </c>
    </row>
    <row r="321" spans="1:10">
      <c r="A321" s="552"/>
      <c r="B321" s="552"/>
      <c r="C321" s="552" t="e">
        <f>#REF!</f>
        <v>#REF!</v>
      </c>
      <c r="D321" s="548"/>
      <c r="E321" s="552"/>
      <c r="F321" s="552"/>
      <c r="G321" s="552"/>
      <c r="H321" s="552"/>
      <c r="I321" s="552"/>
      <c r="J321" s="552"/>
    </row>
    <row r="322" spans="1:10">
      <c r="A322" s="552"/>
      <c r="B322" s="552"/>
      <c r="C322" s="552"/>
      <c r="D322" s="548"/>
      <c r="E322" s="552"/>
      <c r="F322" s="552"/>
      <c r="G322" s="552"/>
      <c r="H322" s="552"/>
      <c r="I322" s="552"/>
      <c r="J322" s="552"/>
    </row>
    <row r="323" spans="1:10">
      <c r="A323" s="548">
        <f>A320+1</f>
        <v>208</v>
      </c>
      <c r="B323" s="548">
        <v>3</v>
      </c>
      <c r="C323" s="552" t="e">
        <f>#REF!</f>
        <v>#REF!</v>
      </c>
      <c r="D323" s="548" t="e">
        <f>#REF!</f>
        <v>#REF!</v>
      </c>
      <c r="E323" s="586" t="e">
        <f>#REF!</f>
        <v>#REF!</v>
      </c>
      <c r="F323" s="550" t="e">
        <f>ROUND(E323/exr,2)</f>
        <v>#REF!</v>
      </c>
      <c r="G323" s="551" t="e">
        <f>1-H323</f>
        <v>#REF!</v>
      </c>
      <c r="H323" s="587" t="e">
        <f>#REF!</f>
        <v>#REF!</v>
      </c>
      <c r="I323" s="550" t="e">
        <f>E323*G323</f>
        <v>#REF!</v>
      </c>
      <c r="J323" s="550" t="e">
        <f>F323*H323</f>
        <v>#REF!</v>
      </c>
    </row>
    <row r="324" spans="1:10">
      <c r="A324" s="548"/>
      <c r="B324" s="548"/>
      <c r="C324" s="552" t="e">
        <f>#REF!</f>
        <v>#REF!</v>
      </c>
      <c r="D324" s="548"/>
      <c r="E324" s="552"/>
      <c r="F324" s="552"/>
      <c r="G324" s="552"/>
      <c r="H324" s="552"/>
      <c r="I324" s="552"/>
      <c r="J324" s="552"/>
    </row>
    <row r="325" spans="1:10">
      <c r="A325" s="548"/>
      <c r="B325" s="548"/>
      <c r="C325" s="552"/>
      <c r="D325" s="548"/>
      <c r="E325" s="552"/>
      <c r="F325" s="552"/>
      <c r="G325" s="552"/>
      <c r="H325" s="552"/>
      <c r="I325" s="552"/>
      <c r="J325" s="552"/>
    </row>
    <row r="326" spans="1:10">
      <c r="A326" s="548">
        <f>A323+1</f>
        <v>209</v>
      </c>
      <c r="B326" s="548">
        <v>4</v>
      </c>
      <c r="C326" s="552" t="e">
        <f>#REF!</f>
        <v>#REF!</v>
      </c>
      <c r="D326" s="548" t="e">
        <f>#REF!</f>
        <v>#REF!</v>
      </c>
      <c r="E326" s="586" t="e">
        <f>#REF!</f>
        <v>#REF!</v>
      </c>
      <c r="F326" s="550" t="e">
        <f>ROUND(E326/exr,2)</f>
        <v>#REF!</v>
      </c>
      <c r="G326" s="551" t="e">
        <f>1-H326</f>
        <v>#REF!</v>
      </c>
      <c r="H326" s="587" t="e">
        <f>#REF!</f>
        <v>#REF!</v>
      </c>
      <c r="I326" s="550" t="e">
        <f>E326*G326</f>
        <v>#REF!</v>
      </c>
      <c r="J326" s="550" t="e">
        <f>F326*H326</f>
        <v>#REF!</v>
      </c>
    </row>
    <row r="327" spans="1:10">
      <c r="A327" s="552"/>
      <c r="B327" s="552"/>
      <c r="C327" s="552" t="e">
        <f>#REF!</f>
        <v>#REF!</v>
      </c>
      <c r="D327" s="552"/>
      <c r="E327" s="552"/>
      <c r="F327" s="552"/>
      <c r="G327" s="552"/>
      <c r="H327" s="552"/>
      <c r="I327" s="552"/>
      <c r="J327" s="552"/>
    </row>
  </sheetData>
  <autoFilter ref="A4:J299" xr:uid="{00000000-0009-0000-0000-000033000000}"/>
  <printOptions horizontalCentered="1"/>
  <pageMargins left="0.36" right="0.16" top="0.91" bottom="0.75" header="0.3" footer="0.3"/>
  <pageSetup paperSize="9" scale="75" orientation="portrait" r:id="rId1"/>
  <headerFooter>
    <oddHeader>&amp;L&amp;"Gill Sans MT,Italic"&amp;9Hydro Consult
Nyadi Hydropower Project&amp;R&amp;"Gill Sans MT,Italic"&amp;9&amp;A</oddHeader>
    <oddFooter>&amp;R&amp;"Gill Sans MT,Italic"&amp;9Page &amp;P of &amp;N</oddFooter>
  </headerFooter>
  <rowBreaks count="1" manualBreakCount="1">
    <brk id="206" max="9" man="1"/>
  </rowBreaks>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
  <dimension ref="A1:BS96"/>
  <sheetViews>
    <sheetView workbookViewId="0"/>
  </sheetViews>
  <sheetFormatPr defaultRowHeight="16.8"/>
  <cols>
    <col min="1" max="1" width="5.33203125" style="118" customWidth="1"/>
    <col min="2" max="2" width="71.6640625" style="4" customWidth="1"/>
    <col min="3" max="3" width="11.109375" style="4" customWidth="1"/>
    <col min="4" max="4" width="12" style="4" customWidth="1"/>
    <col min="5" max="5" width="14.44140625" style="104" hidden="1" customWidth="1"/>
    <col min="6" max="6" width="9.5546875" style="105" hidden="1" customWidth="1"/>
    <col min="7" max="7" width="11.44140625" style="4" hidden="1" customWidth="1"/>
    <col min="8" max="8" width="10" style="106" hidden="1" customWidth="1"/>
    <col min="9" max="9" width="11.44140625" style="104" hidden="1" customWidth="1"/>
    <col min="10" max="10" width="10" style="106" hidden="1" customWidth="1"/>
    <col min="11" max="11" width="12.6640625" style="104" hidden="1" customWidth="1"/>
    <col min="12" max="12" width="11.109375" style="106" hidden="1" customWidth="1"/>
    <col min="13" max="13" width="11.5546875" style="107" hidden="1" customWidth="1"/>
    <col min="14" max="14" width="10" style="108" hidden="1" customWidth="1"/>
    <col min="15" max="256" width="9.109375" style="4"/>
    <col min="257" max="257" width="5.33203125" style="4" customWidth="1"/>
    <col min="258" max="258" width="54.6640625" style="4" customWidth="1"/>
    <col min="259" max="259" width="6.88671875" style="4" customWidth="1"/>
    <col min="260" max="260" width="13.88671875" style="4" customWidth="1"/>
    <col min="261" max="270" width="0" style="4" hidden="1" customWidth="1"/>
    <col min="271" max="512" width="9.109375" style="4"/>
    <col min="513" max="513" width="5.33203125" style="4" customWidth="1"/>
    <col min="514" max="514" width="54.6640625" style="4" customWidth="1"/>
    <col min="515" max="515" width="6.88671875" style="4" customWidth="1"/>
    <col min="516" max="516" width="13.88671875" style="4" customWidth="1"/>
    <col min="517" max="526" width="0" style="4" hidden="1" customWidth="1"/>
    <col min="527" max="768" width="9.109375" style="4"/>
    <col min="769" max="769" width="5.33203125" style="4" customWidth="1"/>
    <col min="770" max="770" width="54.6640625" style="4" customWidth="1"/>
    <col min="771" max="771" width="6.88671875" style="4" customWidth="1"/>
    <col min="772" max="772" width="13.88671875" style="4" customWidth="1"/>
    <col min="773" max="782" width="0" style="4" hidden="1" customWidth="1"/>
    <col min="783" max="1024" width="9.109375" style="4"/>
    <col min="1025" max="1025" width="5.33203125" style="4" customWidth="1"/>
    <col min="1026" max="1026" width="54.6640625" style="4" customWidth="1"/>
    <col min="1027" max="1027" width="6.88671875" style="4" customWidth="1"/>
    <col min="1028" max="1028" width="13.88671875" style="4" customWidth="1"/>
    <col min="1029" max="1038" width="0" style="4" hidden="1" customWidth="1"/>
    <col min="1039" max="1280" width="9.109375" style="4"/>
    <col min="1281" max="1281" width="5.33203125" style="4" customWidth="1"/>
    <col min="1282" max="1282" width="54.6640625" style="4" customWidth="1"/>
    <col min="1283" max="1283" width="6.88671875" style="4" customWidth="1"/>
    <col min="1284" max="1284" width="13.88671875" style="4" customWidth="1"/>
    <col min="1285" max="1294" width="0" style="4" hidden="1" customWidth="1"/>
    <col min="1295" max="1536" width="9.109375" style="4"/>
    <col min="1537" max="1537" width="5.33203125" style="4" customWidth="1"/>
    <col min="1538" max="1538" width="54.6640625" style="4" customWidth="1"/>
    <col min="1539" max="1539" width="6.88671875" style="4" customWidth="1"/>
    <col min="1540" max="1540" width="13.88671875" style="4" customWidth="1"/>
    <col min="1541" max="1550" width="0" style="4" hidden="1" customWidth="1"/>
    <col min="1551" max="1792" width="9.109375" style="4"/>
    <col min="1793" max="1793" width="5.33203125" style="4" customWidth="1"/>
    <col min="1794" max="1794" width="54.6640625" style="4" customWidth="1"/>
    <col min="1795" max="1795" width="6.88671875" style="4" customWidth="1"/>
    <col min="1796" max="1796" width="13.88671875" style="4" customWidth="1"/>
    <col min="1797" max="1806" width="0" style="4" hidden="1" customWidth="1"/>
    <col min="1807" max="2048" width="9.109375" style="4"/>
    <col min="2049" max="2049" width="5.33203125" style="4" customWidth="1"/>
    <col min="2050" max="2050" width="54.6640625" style="4" customWidth="1"/>
    <col min="2051" max="2051" width="6.88671875" style="4" customWidth="1"/>
    <col min="2052" max="2052" width="13.88671875" style="4" customWidth="1"/>
    <col min="2053" max="2062" width="0" style="4" hidden="1" customWidth="1"/>
    <col min="2063" max="2304" width="9.109375" style="4"/>
    <col min="2305" max="2305" width="5.33203125" style="4" customWidth="1"/>
    <col min="2306" max="2306" width="54.6640625" style="4" customWidth="1"/>
    <col min="2307" max="2307" width="6.88671875" style="4" customWidth="1"/>
    <col min="2308" max="2308" width="13.88671875" style="4" customWidth="1"/>
    <col min="2309" max="2318" width="0" style="4" hidden="1" customWidth="1"/>
    <col min="2319" max="2560" width="9.109375" style="4"/>
    <col min="2561" max="2561" width="5.33203125" style="4" customWidth="1"/>
    <col min="2562" max="2562" width="54.6640625" style="4" customWidth="1"/>
    <col min="2563" max="2563" width="6.88671875" style="4" customWidth="1"/>
    <col min="2564" max="2564" width="13.88671875" style="4" customWidth="1"/>
    <col min="2565" max="2574" width="0" style="4" hidden="1" customWidth="1"/>
    <col min="2575" max="2816" width="9.109375" style="4"/>
    <col min="2817" max="2817" width="5.33203125" style="4" customWidth="1"/>
    <col min="2818" max="2818" width="54.6640625" style="4" customWidth="1"/>
    <col min="2819" max="2819" width="6.88671875" style="4" customWidth="1"/>
    <col min="2820" max="2820" width="13.88671875" style="4" customWidth="1"/>
    <col min="2821" max="2830" width="0" style="4" hidden="1" customWidth="1"/>
    <col min="2831" max="3072" width="9.109375" style="4"/>
    <col min="3073" max="3073" width="5.33203125" style="4" customWidth="1"/>
    <col min="3074" max="3074" width="54.6640625" style="4" customWidth="1"/>
    <col min="3075" max="3075" width="6.88671875" style="4" customWidth="1"/>
    <col min="3076" max="3076" width="13.88671875" style="4" customWidth="1"/>
    <col min="3077" max="3086" width="0" style="4" hidden="1" customWidth="1"/>
    <col min="3087" max="3328" width="9.109375" style="4"/>
    <col min="3329" max="3329" width="5.33203125" style="4" customWidth="1"/>
    <col min="3330" max="3330" width="54.6640625" style="4" customWidth="1"/>
    <col min="3331" max="3331" width="6.88671875" style="4" customWidth="1"/>
    <col min="3332" max="3332" width="13.88671875" style="4" customWidth="1"/>
    <col min="3333" max="3342" width="0" style="4" hidden="1" customWidth="1"/>
    <col min="3343" max="3584" width="9.109375" style="4"/>
    <col min="3585" max="3585" width="5.33203125" style="4" customWidth="1"/>
    <col min="3586" max="3586" width="54.6640625" style="4" customWidth="1"/>
    <col min="3587" max="3587" width="6.88671875" style="4" customWidth="1"/>
    <col min="3588" max="3588" width="13.88671875" style="4" customWidth="1"/>
    <col min="3589" max="3598" width="0" style="4" hidden="1" customWidth="1"/>
    <col min="3599" max="3840" width="9.109375" style="4"/>
    <col min="3841" max="3841" width="5.33203125" style="4" customWidth="1"/>
    <col min="3842" max="3842" width="54.6640625" style="4" customWidth="1"/>
    <col min="3843" max="3843" width="6.88671875" style="4" customWidth="1"/>
    <col min="3844" max="3844" width="13.88671875" style="4" customWidth="1"/>
    <col min="3845" max="3854" width="0" style="4" hidden="1" customWidth="1"/>
    <col min="3855" max="4096" width="9.109375" style="4"/>
    <col min="4097" max="4097" width="5.33203125" style="4" customWidth="1"/>
    <col min="4098" max="4098" width="54.6640625" style="4" customWidth="1"/>
    <col min="4099" max="4099" width="6.88671875" style="4" customWidth="1"/>
    <col min="4100" max="4100" width="13.88671875" style="4" customWidth="1"/>
    <col min="4101" max="4110" width="0" style="4" hidden="1" customWidth="1"/>
    <col min="4111" max="4352" width="9.109375" style="4"/>
    <col min="4353" max="4353" width="5.33203125" style="4" customWidth="1"/>
    <col min="4354" max="4354" width="54.6640625" style="4" customWidth="1"/>
    <col min="4355" max="4355" width="6.88671875" style="4" customWidth="1"/>
    <col min="4356" max="4356" width="13.88671875" style="4" customWidth="1"/>
    <col min="4357" max="4366" width="0" style="4" hidden="1" customWidth="1"/>
    <col min="4367" max="4608" width="9.109375" style="4"/>
    <col min="4609" max="4609" width="5.33203125" style="4" customWidth="1"/>
    <col min="4610" max="4610" width="54.6640625" style="4" customWidth="1"/>
    <col min="4611" max="4611" width="6.88671875" style="4" customWidth="1"/>
    <col min="4612" max="4612" width="13.88671875" style="4" customWidth="1"/>
    <col min="4613" max="4622" width="0" style="4" hidden="1" customWidth="1"/>
    <col min="4623" max="4864" width="9.109375" style="4"/>
    <col min="4865" max="4865" width="5.33203125" style="4" customWidth="1"/>
    <col min="4866" max="4866" width="54.6640625" style="4" customWidth="1"/>
    <col min="4867" max="4867" width="6.88671875" style="4" customWidth="1"/>
    <col min="4868" max="4868" width="13.88671875" style="4" customWidth="1"/>
    <col min="4869" max="4878" width="0" style="4" hidden="1" customWidth="1"/>
    <col min="4879" max="5120" width="9.109375" style="4"/>
    <col min="5121" max="5121" width="5.33203125" style="4" customWidth="1"/>
    <col min="5122" max="5122" width="54.6640625" style="4" customWidth="1"/>
    <col min="5123" max="5123" width="6.88671875" style="4" customWidth="1"/>
    <col min="5124" max="5124" width="13.88671875" style="4" customWidth="1"/>
    <col min="5125" max="5134" width="0" style="4" hidden="1" customWidth="1"/>
    <col min="5135" max="5376" width="9.109375" style="4"/>
    <col min="5377" max="5377" width="5.33203125" style="4" customWidth="1"/>
    <col min="5378" max="5378" width="54.6640625" style="4" customWidth="1"/>
    <col min="5379" max="5379" width="6.88671875" style="4" customWidth="1"/>
    <col min="5380" max="5380" width="13.88671875" style="4" customWidth="1"/>
    <col min="5381" max="5390" width="0" style="4" hidden="1" customWidth="1"/>
    <col min="5391" max="5632" width="9.109375" style="4"/>
    <col min="5633" max="5633" width="5.33203125" style="4" customWidth="1"/>
    <col min="5634" max="5634" width="54.6640625" style="4" customWidth="1"/>
    <col min="5635" max="5635" width="6.88671875" style="4" customWidth="1"/>
    <col min="5636" max="5636" width="13.88671875" style="4" customWidth="1"/>
    <col min="5637" max="5646" width="0" style="4" hidden="1" customWidth="1"/>
    <col min="5647" max="5888" width="9.109375" style="4"/>
    <col min="5889" max="5889" width="5.33203125" style="4" customWidth="1"/>
    <col min="5890" max="5890" width="54.6640625" style="4" customWidth="1"/>
    <col min="5891" max="5891" width="6.88671875" style="4" customWidth="1"/>
    <col min="5892" max="5892" width="13.88671875" style="4" customWidth="1"/>
    <col min="5893" max="5902" width="0" style="4" hidden="1" customWidth="1"/>
    <col min="5903" max="6144" width="9.109375" style="4"/>
    <col min="6145" max="6145" width="5.33203125" style="4" customWidth="1"/>
    <col min="6146" max="6146" width="54.6640625" style="4" customWidth="1"/>
    <col min="6147" max="6147" width="6.88671875" style="4" customWidth="1"/>
    <col min="6148" max="6148" width="13.88671875" style="4" customWidth="1"/>
    <col min="6149" max="6158" width="0" style="4" hidden="1" customWidth="1"/>
    <col min="6159" max="6400" width="9.109375" style="4"/>
    <col min="6401" max="6401" width="5.33203125" style="4" customWidth="1"/>
    <col min="6402" max="6402" width="54.6640625" style="4" customWidth="1"/>
    <col min="6403" max="6403" width="6.88671875" style="4" customWidth="1"/>
    <col min="6404" max="6404" width="13.88671875" style="4" customWidth="1"/>
    <col min="6405" max="6414" width="0" style="4" hidden="1" customWidth="1"/>
    <col min="6415" max="6656" width="9.109375" style="4"/>
    <col min="6657" max="6657" width="5.33203125" style="4" customWidth="1"/>
    <col min="6658" max="6658" width="54.6640625" style="4" customWidth="1"/>
    <col min="6659" max="6659" width="6.88671875" style="4" customWidth="1"/>
    <col min="6660" max="6660" width="13.88671875" style="4" customWidth="1"/>
    <col min="6661" max="6670" width="0" style="4" hidden="1" customWidth="1"/>
    <col min="6671" max="6912" width="9.109375" style="4"/>
    <col min="6913" max="6913" width="5.33203125" style="4" customWidth="1"/>
    <col min="6914" max="6914" width="54.6640625" style="4" customWidth="1"/>
    <col min="6915" max="6915" width="6.88671875" style="4" customWidth="1"/>
    <col min="6916" max="6916" width="13.88671875" style="4" customWidth="1"/>
    <col min="6917" max="6926" width="0" style="4" hidden="1" customWidth="1"/>
    <col min="6927" max="7168" width="9.109375" style="4"/>
    <col min="7169" max="7169" width="5.33203125" style="4" customWidth="1"/>
    <col min="7170" max="7170" width="54.6640625" style="4" customWidth="1"/>
    <col min="7171" max="7171" width="6.88671875" style="4" customWidth="1"/>
    <col min="7172" max="7172" width="13.88671875" style="4" customWidth="1"/>
    <col min="7173" max="7182" width="0" style="4" hidden="1" customWidth="1"/>
    <col min="7183" max="7424" width="9.109375" style="4"/>
    <col min="7425" max="7425" width="5.33203125" style="4" customWidth="1"/>
    <col min="7426" max="7426" width="54.6640625" style="4" customWidth="1"/>
    <col min="7427" max="7427" width="6.88671875" style="4" customWidth="1"/>
    <col min="7428" max="7428" width="13.88671875" style="4" customWidth="1"/>
    <col min="7429" max="7438" width="0" style="4" hidden="1" customWidth="1"/>
    <col min="7439" max="7680" width="9.109375" style="4"/>
    <col min="7681" max="7681" width="5.33203125" style="4" customWidth="1"/>
    <col min="7682" max="7682" width="54.6640625" style="4" customWidth="1"/>
    <col min="7683" max="7683" width="6.88671875" style="4" customWidth="1"/>
    <col min="7684" max="7684" width="13.88671875" style="4" customWidth="1"/>
    <col min="7685" max="7694" width="0" style="4" hidden="1" customWidth="1"/>
    <col min="7695" max="7936" width="9.109375" style="4"/>
    <col min="7937" max="7937" width="5.33203125" style="4" customWidth="1"/>
    <col min="7938" max="7938" width="54.6640625" style="4" customWidth="1"/>
    <col min="7939" max="7939" width="6.88671875" style="4" customWidth="1"/>
    <col min="7940" max="7940" width="13.88671875" style="4" customWidth="1"/>
    <col min="7941" max="7950" width="0" style="4" hidden="1" customWidth="1"/>
    <col min="7951" max="8192" width="9.109375" style="4"/>
    <col min="8193" max="8193" width="5.33203125" style="4" customWidth="1"/>
    <col min="8194" max="8194" width="54.6640625" style="4" customWidth="1"/>
    <col min="8195" max="8195" width="6.88671875" style="4" customWidth="1"/>
    <col min="8196" max="8196" width="13.88671875" style="4" customWidth="1"/>
    <col min="8197" max="8206" width="0" style="4" hidden="1" customWidth="1"/>
    <col min="8207" max="8448" width="9.109375" style="4"/>
    <col min="8449" max="8449" width="5.33203125" style="4" customWidth="1"/>
    <col min="8450" max="8450" width="54.6640625" style="4" customWidth="1"/>
    <col min="8451" max="8451" width="6.88671875" style="4" customWidth="1"/>
    <col min="8452" max="8452" width="13.88671875" style="4" customWidth="1"/>
    <col min="8453" max="8462" width="0" style="4" hidden="1" customWidth="1"/>
    <col min="8463" max="8704" width="9.109375" style="4"/>
    <col min="8705" max="8705" width="5.33203125" style="4" customWidth="1"/>
    <col min="8706" max="8706" width="54.6640625" style="4" customWidth="1"/>
    <col min="8707" max="8707" width="6.88671875" style="4" customWidth="1"/>
    <col min="8708" max="8708" width="13.88671875" style="4" customWidth="1"/>
    <col min="8709" max="8718" width="0" style="4" hidden="1" customWidth="1"/>
    <col min="8719" max="8960" width="9.109375" style="4"/>
    <col min="8961" max="8961" width="5.33203125" style="4" customWidth="1"/>
    <col min="8962" max="8962" width="54.6640625" style="4" customWidth="1"/>
    <col min="8963" max="8963" width="6.88671875" style="4" customWidth="1"/>
    <col min="8964" max="8964" width="13.88671875" style="4" customWidth="1"/>
    <col min="8965" max="8974" width="0" style="4" hidden="1" customWidth="1"/>
    <col min="8975" max="9216" width="9.109375" style="4"/>
    <col min="9217" max="9217" width="5.33203125" style="4" customWidth="1"/>
    <col min="9218" max="9218" width="54.6640625" style="4" customWidth="1"/>
    <col min="9219" max="9219" width="6.88671875" style="4" customWidth="1"/>
    <col min="9220" max="9220" width="13.88671875" style="4" customWidth="1"/>
    <col min="9221" max="9230" width="0" style="4" hidden="1" customWidth="1"/>
    <col min="9231" max="9472" width="9.109375" style="4"/>
    <col min="9473" max="9473" width="5.33203125" style="4" customWidth="1"/>
    <col min="9474" max="9474" width="54.6640625" style="4" customWidth="1"/>
    <col min="9475" max="9475" width="6.88671875" style="4" customWidth="1"/>
    <col min="9476" max="9476" width="13.88671875" style="4" customWidth="1"/>
    <col min="9477" max="9486" width="0" style="4" hidden="1" customWidth="1"/>
    <col min="9487" max="9728" width="9.109375" style="4"/>
    <col min="9729" max="9729" width="5.33203125" style="4" customWidth="1"/>
    <col min="9730" max="9730" width="54.6640625" style="4" customWidth="1"/>
    <col min="9731" max="9731" width="6.88671875" style="4" customWidth="1"/>
    <col min="9732" max="9732" width="13.88671875" style="4" customWidth="1"/>
    <col min="9733" max="9742" width="0" style="4" hidden="1" customWidth="1"/>
    <col min="9743" max="9984" width="9.109375" style="4"/>
    <col min="9985" max="9985" width="5.33203125" style="4" customWidth="1"/>
    <col min="9986" max="9986" width="54.6640625" style="4" customWidth="1"/>
    <col min="9987" max="9987" width="6.88671875" style="4" customWidth="1"/>
    <col min="9988" max="9988" width="13.88671875" style="4" customWidth="1"/>
    <col min="9989" max="9998" width="0" style="4" hidden="1" customWidth="1"/>
    <col min="9999" max="10240" width="9.109375" style="4"/>
    <col min="10241" max="10241" width="5.33203125" style="4" customWidth="1"/>
    <col min="10242" max="10242" width="54.6640625" style="4" customWidth="1"/>
    <col min="10243" max="10243" width="6.88671875" style="4" customWidth="1"/>
    <col min="10244" max="10244" width="13.88671875" style="4" customWidth="1"/>
    <col min="10245" max="10254" width="0" style="4" hidden="1" customWidth="1"/>
    <col min="10255" max="10496" width="9.109375" style="4"/>
    <col min="10497" max="10497" width="5.33203125" style="4" customWidth="1"/>
    <col min="10498" max="10498" width="54.6640625" style="4" customWidth="1"/>
    <col min="10499" max="10499" width="6.88671875" style="4" customWidth="1"/>
    <col min="10500" max="10500" width="13.88671875" style="4" customWidth="1"/>
    <col min="10501" max="10510" width="0" style="4" hidden="1" customWidth="1"/>
    <col min="10511" max="10752" width="9.109375" style="4"/>
    <col min="10753" max="10753" width="5.33203125" style="4" customWidth="1"/>
    <col min="10754" max="10754" width="54.6640625" style="4" customWidth="1"/>
    <col min="10755" max="10755" width="6.88671875" style="4" customWidth="1"/>
    <col min="10756" max="10756" width="13.88671875" style="4" customWidth="1"/>
    <col min="10757" max="10766" width="0" style="4" hidden="1" customWidth="1"/>
    <col min="10767" max="11008" width="9.109375" style="4"/>
    <col min="11009" max="11009" width="5.33203125" style="4" customWidth="1"/>
    <col min="11010" max="11010" width="54.6640625" style="4" customWidth="1"/>
    <col min="11011" max="11011" width="6.88671875" style="4" customWidth="1"/>
    <col min="11012" max="11012" width="13.88671875" style="4" customWidth="1"/>
    <col min="11013" max="11022" width="0" style="4" hidden="1" customWidth="1"/>
    <col min="11023" max="11264" width="9.109375" style="4"/>
    <col min="11265" max="11265" width="5.33203125" style="4" customWidth="1"/>
    <col min="11266" max="11266" width="54.6640625" style="4" customWidth="1"/>
    <col min="11267" max="11267" width="6.88671875" style="4" customWidth="1"/>
    <col min="11268" max="11268" width="13.88671875" style="4" customWidth="1"/>
    <col min="11269" max="11278" width="0" style="4" hidden="1" customWidth="1"/>
    <col min="11279" max="11520" width="9.109375" style="4"/>
    <col min="11521" max="11521" width="5.33203125" style="4" customWidth="1"/>
    <col min="11522" max="11522" width="54.6640625" style="4" customWidth="1"/>
    <col min="11523" max="11523" width="6.88671875" style="4" customWidth="1"/>
    <col min="11524" max="11524" width="13.88671875" style="4" customWidth="1"/>
    <col min="11525" max="11534" width="0" style="4" hidden="1" customWidth="1"/>
    <col min="11535" max="11776" width="9.109375" style="4"/>
    <col min="11777" max="11777" width="5.33203125" style="4" customWidth="1"/>
    <col min="11778" max="11778" width="54.6640625" style="4" customWidth="1"/>
    <col min="11779" max="11779" width="6.88671875" style="4" customWidth="1"/>
    <col min="11780" max="11780" width="13.88671875" style="4" customWidth="1"/>
    <col min="11781" max="11790" width="0" style="4" hidden="1" customWidth="1"/>
    <col min="11791" max="12032" width="9.109375" style="4"/>
    <col min="12033" max="12033" width="5.33203125" style="4" customWidth="1"/>
    <col min="12034" max="12034" width="54.6640625" style="4" customWidth="1"/>
    <col min="12035" max="12035" width="6.88671875" style="4" customWidth="1"/>
    <col min="12036" max="12036" width="13.88671875" style="4" customWidth="1"/>
    <col min="12037" max="12046" width="0" style="4" hidden="1" customWidth="1"/>
    <col min="12047" max="12288" width="9.109375" style="4"/>
    <col min="12289" max="12289" width="5.33203125" style="4" customWidth="1"/>
    <col min="12290" max="12290" width="54.6640625" style="4" customWidth="1"/>
    <col min="12291" max="12291" width="6.88671875" style="4" customWidth="1"/>
    <col min="12292" max="12292" width="13.88671875" style="4" customWidth="1"/>
    <col min="12293" max="12302" width="0" style="4" hidden="1" customWidth="1"/>
    <col min="12303" max="12544" width="9.109375" style="4"/>
    <col min="12545" max="12545" width="5.33203125" style="4" customWidth="1"/>
    <col min="12546" max="12546" width="54.6640625" style="4" customWidth="1"/>
    <col min="12547" max="12547" width="6.88671875" style="4" customWidth="1"/>
    <col min="12548" max="12548" width="13.88671875" style="4" customWidth="1"/>
    <col min="12549" max="12558" width="0" style="4" hidden="1" customWidth="1"/>
    <col min="12559" max="12800" width="9.109375" style="4"/>
    <col min="12801" max="12801" width="5.33203125" style="4" customWidth="1"/>
    <col min="12802" max="12802" width="54.6640625" style="4" customWidth="1"/>
    <col min="12803" max="12803" width="6.88671875" style="4" customWidth="1"/>
    <col min="12804" max="12804" width="13.88671875" style="4" customWidth="1"/>
    <col min="12805" max="12814" width="0" style="4" hidden="1" customWidth="1"/>
    <col min="12815" max="13056" width="9.109375" style="4"/>
    <col min="13057" max="13057" width="5.33203125" style="4" customWidth="1"/>
    <col min="13058" max="13058" width="54.6640625" style="4" customWidth="1"/>
    <col min="13059" max="13059" width="6.88671875" style="4" customWidth="1"/>
    <col min="13060" max="13060" width="13.88671875" style="4" customWidth="1"/>
    <col min="13061" max="13070" width="0" style="4" hidden="1" customWidth="1"/>
    <col min="13071" max="13312" width="9.109375" style="4"/>
    <col min="13313" max="13313" width="5.33203125" style="4" customWidth="1"/>
    <col min="13314" max="13314" width="54.6640625" style="4" customWidth="1"/>
    <col min="13315" max="13315" width="6.88671875" style="4" customWidth="1"/>
    <col min="13316" max="13316" width="13.88671875" style="4" customWidth="1"/>
    <col min="13317" max="13326" width="0" style="4" hidden="1" customWidth="1"/>
    <col min="13327" max="13568" width="9.109375" style="4"/>
    <col min="13569" max="13569" width="5.33203125" style="4" customWidth="1"/>
    <col min="13570" max="13570" width="54.6640625" style="4" customWidth="1"/>
    <col min="13571" max="13571" width="6.88671875" style="4" customWidth="1"/>
    <col min="13572" max="13572" width="13.88671875" style="4" customWidth="1"/>
    <col min="13573" max="13582" width="0" style="4" hidden="1" customWidth="1"/>
    <col min="13583" max="13824" width="9.109375" style="4"/>
    <col min="13825" max="13825" width="5.33203125" style="4" customWidth="1"/>
    <col min="13826" max="13826" width="54.6640625" style="4" customWidth="1"/>
    <col min="13827" max="13827" width="6.88671875" style="4" customWidth="1"/>
    <col min="13828" max="13828" width="13.88671875" style="4" customWidth="1"/>
    <col min="13829" max="13838" width="0" style="4" hidden="1" customWidth="1"/>
    <col min="13839" max="14080" width="9.109375" style="4"/>
    <col min="14081" max="14081" width="5.33203125" style="4" customWidth="1"/>
    <col min="14082" max="14082" width="54.6640625" style="4" customWidth="1"/>
    <col min="14083" max="14083" width="6.88671875" style="4" customWidth="1"/>
    <col min="14084" max="14084" width="13.88671875" style="4" customWidth="1"/>
    <col min="14085" max="14094" width="0" style="4" hidden="1" customWidth="1"/>
    <col min="14095" max="14336" width="9.109375" style="4"/>
    <col min="14337" max="14337" width="5.33203125" style="4" customWidth="1"/>
    <col min="14338" max="14338" width="54.6640625" style="4" customWidth="1"/>
    <col min="14339" max="14339" width="6.88671875" style="4" customWidth="1"/>
    <col min="14340" max="14340" width="13.88671875" style="4" customWidth="1"/>
    <col min="14341" max="14350" width="0" style="4" hidden="1" customWidth="1"/>
    <col min="14351" max="14592" width="9.109375" style="4"/>
    <col min="14593" max="14593" width="5.33203125" style="4" customWidth="1"/>
    <col min="14594" max="14594" width="54.6640625" style="4" customWidth="1"/>
    <col min="14595" max="14595" width="6.88671875" style="4" customWidth="1"/>
    <col min="14596" max="14596" width="13.88671875" style="4" customWidth="1"/>
    <col min="14597" max="14606" width="0" style="4" hidden="1" customWidth="1"/>
    <col min="14607" max="14848" width="9.109375" style="4"/>
    <col min="14849" max="14849" width="5.33203125" style="4" customWidth="1"/>
    <col min="14850" max="14850" width="54.6640625" style="4" customWidth="1"/>
    <col min="14851" max="14851" width="6.88671875" style="4" customWidth="1"/>
    <col min="14852" max="14852" width="13.88671875" style="4" customWidth="1"/>
    <col min="14853" max="14862" width="0" style="4" hidden="1" customWidth="1"/>
    <col min="14863" max="15104" width="9.109375" style="4"/>
    <col min="15105" max="15105" width="5.33203125" style="4" customWidth="1"/>
    <col min="15106" max="15106" width="54.6640625" style="4" customWidth="1"/>
    <col min="15107" max="15107" width="6.88671875" style="4" customWidth="1"/>
    <col min="15108" max="15108" width="13.88671875" style="4" customWidth="1"/>
    <col min="15109" max="15118" width="0" style="4" hidden="1" customWidth="1"/>
    <col min="15119" max="15360" width="9.109375" style="4"/>
    <col min="15361" max="15361" width="5.33203125" style="4" customWidth="1"/>
    <col min="15362" max="15362" width="54.6640625" style="4" customWidth="1"/>
    <col min="15363" max="15363" width="6.88671875" style="4" customWidth="1"/>
    <col min="15364" max="15364" width="13.88671875" style="4" customWidth="1"/>
    <col min="15365" max="15374" width="0" style="4" hidden="1" customWidth="1"/>
    <col min="15375" max="15616" width="9.109375" style="4"/>
    <col min="15617" max="15617" width="5.33203125" style="4" customWidth="1"/>
    <col min="15618" max="15618" width="54.6640625" style="4" customWidth="1"/>
    <col min="15619" max="15619" width="6.88671875" style="4" customWidth="1"/>
    <col min="15620" max="15620" width="13.88671875" style="4" customWidth="1"/>
    <col min="15621" max="15630" width="0" style="4" hidden="1" customWidth="1"/>
    <col min="15631" max="15872" width="9.109375" style="4"/>
    <col min="15873" max="15873" width="5.33203125" style="4" customWidth="1"/>
    <col min="15874" max="15874" width="54.6640625" style="4" customWidth="1"/>
    <col min="15875" max="15875" width="6.88671875" style="4" customWidth="1"/>
    <col min="15876" max="15876" width="13.88671875" style="4" customWidth="1"/>
    <col min="15877" max="15886" width="0" style="4" hidden="1" customWidth="1"/>
    <col min="15887" max="16128" width="9.109375" style="4"/>
    <col min="16129" max="16129" width="5.33203125" style="4" customWidth="1"/>
    <col min="16130" max="16130" width="54.6640625" style="4" customWidth="1"/>
    <col min="16131" max="16131" width="6.88671875" style="4" customWidth="1"/>
    <col min="16132" max="16132" width="13.88671875" style="4" customWidth="1"/>
    <col min="16133" max="16142" width="0" style="4" hidden="1" customWidth="1"/>
    <col min="16143" max="16384" width="9.109375" style="4"/>
  </cols>
  <sheetData>
    <row r="1" spans="1:71">
      <c r="A1" s="103"/>
      <c r="B1" s="54"/>
    </row>
    <row r="2" spans="1:71" ht="18">
      <c r="A2" s="619" t="s">
        <v>167</v>
      </c>
      <c r="B2" s="620"/>
      <c r="C2" s="621" t="s">
        <v>106</v>
      </c>
      <c r="D2" s="622">
        <f ca="1">TODAY()</f>
        <v>44942</v>
      </c>
      <c r="E2" s="623"/>
      <c r="F2" s="624"/>
      <c r="G2" s="109"/>
      <c r="H2" s="625"/>
      <c r="I2" s="623"/>
      <c r="J2" s="625"/>
      <c r="K2" s="623"/>
      <c r="L2" s="625"/>
      <c r="M2" s="626"/>
      <c r="N2" s="627"/>
    </row>
    <row r="3" spans="1:71" ht="18">
      <c r="A3" s="619" t="s">
        <v>168</v>
      </c>
      <c r="B3" s="620"/>
      <c r="C3" s="621" t="s">
        <v>169</v>
      </c>
      <c r="D3" s="628">
        <v>930090</v>
      </c>
      <c r="E3" s="623"/>
      <c r="F3" s="624"/>
      <c r="G3" s="109"/>
      <c r="H3" s="625"/>
      <c r="I3" s="623"/>
      <c r="J3" s="625"/>
      <c r="K3" s="623"/>
      <c r="L3" s="625"/>
      <c r="M3" s="626"/>
      <c r="N3" s="627"/>
    </row>
    <row r="4" spans="1:71" ht="18">
      <c r="A4" s="629"/>
      <c r="B4" s="620"/>
      <c r="C4" s="621" t="s">
        <v>170</v>
      </c>
      <c r="D4" s="628" t="s">
        <v>771</v>
      </c>
      <c r="E4" s="623"/>
      <c r="F4" s="624"/>
      <c r="G4" s="109"/>
      <c r="H4" s="625"/>
      <c r="I4" s="623"/>
      <c r="J4" s="625"/>
      <c r="K4" s="623"/>
      <c r="L4" s="625"/>
      <c r="M4" s="626"/>
      <c r="N4" s="627"/>
    </row>
    <row r="5" spans="1:71" ht="18">
      <c r="A5" s="109" t="s">
        <v>677</v>
      </c>
      <c r="B5" s="109"/>
      <c r="C5" s="621" t="s">
        <v>171</v>
      </c>
      <c r="D5" s="628"/>
      <c r="E5" s="623"/>
      <c r="F5" s="624"/>
      <c r="G5" s="109"/>
      <c r="H5" s="625"/>
      <c r="I5" s="623"/>
      <c r="J5" s="625"/>
      <c r="K5" s="623"/>
      <c r="L5" s="625"/>
      <c r="M5" s="626"/>
      <c r="N5" s="627"/>
    </row>
    <row r="6" spans="1:71" ht="18">
      <c r="A6" s="620" t="s">
        <v>185</v>
      </c>
      <c r="B6" s="109"/>
      <c r="C6" s="109"/>
      <c r="D6" s="109"/>
      <c r="E6" s="630" t="s">
        <v>186</v>
      </c>
      <c r="F6" s="624"/>
      <c r="G6" s="109"/>
      <c r="H6" s="625"/>
      <c r="I6" s="623"/>
      <c r="J6" s="625"/>
      <c r="K6" s="623"/>
      <c r="L6" s="625"/>
      <c r="M6" s="626"/>
      <c r="N6" s="627"/>
    </row>
    <row r="7" spans="1:71" ht="18.600000000000001" thickBot="1">
      <c r="A7" s="109"/>
      <c r="B7" s="109"/>
      <c r="C7" s="109"/>
      <c r="D7" s="109"/>
      <c r="E7" s="620" t="s">
        <v>187</v>
      </c>
      <c r="F7" s="625"/>
      <c r="G7" s="109"/>
      <c r="H7" s="625"/>
      <c r="I7" s="623"/>
      <c r="J7" s="625"/>
      <c r="K7" s="623"/>
      <c r="L7" s="625"/>
      <c r="M7" s="626"/>
      <c r="N7" s="627"/>
    </row>
    <row r="8" spans="1:71" ht="19.8" thickBot="1">
      <c r="A8" s="631" t="s">
        <v>188</v>
      </c>
      <c r="B8" s="632" t="s">
        <v>189</v>
      </c>
      <c r="C8" s="632" t="s">
        <v>172</v>
      </c>
      <c r="D8" s="632" t="s">
        <v>190</v>
      </c>
      <c r="E8" s="633" t="s">
        <v>191</v>
      </c>
      <c r="F8" s="634" t="s">
        <v>192</v>
      </c>
      <c r="G8" s="635" t="s">
        <v>193</v>
      </c>
      <c r="H8" s="634" t="s">
        <v>192</v>
      </c>
      <c r="I8" s="635" t="s">
        <v>194</v>
      </c>
      <c r="J8" s="634" t="s">
        <v>192</v>
      </c>
      <c r="K8" s="635" t="s">
        <v>195</v>
      </c>
      <c r="L8" s="634" t="s">
        <v>192</v>
      </c>
      <c r="M8" s="636" t="s">
        <v>196</v>
      </c>
      <c r="N8" s="637" t="s">
        <v>192</v>
      </c>
      <c r="O8" s="111"/>
      <c r="P8" s="111"/>
      <c r="Q8" s="111"/>
      <c r="R8" s="111"/>
      <c r="S8" s="111"/>
      <c r="T8" s="111"/>
      <c r="U8" s="111"/>
    </row>
    <row r="9" spans="1:71" s="111" customFormat="1" ht="19.2">
      <c r="A9" s="638" t="s">
        <v>197</v>
      </c>
      <c r="B9" s="363"/>
      <c r="C9" s="639"/>
      <c r="D9" s="639"/>
      <c r="E9" s="640"/>
      <c r="F9" s="641"/>
      <c r="G9" s="642"/>
      <c r="H9" s="643"/>
      <c r="I9" s="644"/>
      <c r="J9" s="643"/>
      <c r="K9" s="644"/>
      <c r="L9" s="643"/>
      <c r="M9" s="645"/>
      <c r="N9" s="646"/>
    </row>
    <row r="10" spans="1:71" s="618" customFormat="1" ht="36">
      <c r="A10" s="647">
        <v>1</v>
      </c>
      <c r="B10" s="648" t="s">
        <v>855</v>
      </c>
      <c r="C10" s="647" t="s">
        <v>1104</v>
      </c>
      <c r="D10" s="649">
        <v>375</v>
      </c>
      <c r="E10" s="650">
        <v>2.5</v>
      </c>
      <c r="F10" s="651" t="e">
        <f>+IF(E10&gt;0,#REF!-E10,"")</f>
        <v>#REF!</v>
      </c>
      <c r="G10" s="647">
        <v>2.15</v>
      </c>
      <c r="H10" s="651" t="e">
        <f>+IF(G10&gt;0,#REF!-G10,"")</f>
        <v>#REF!</v>
      </c>
      <c r="I10" s="652">
        <v>2.35</v>
      </c>
      <c r="J10" s="651" t="e">
        <f>+IF(I10&gt;0,#REF!-I10,"")</f>
        <v>#REF!</v>
      </c>
      <c r="K10" s="652">
        <v>2.35</v>
      </c>
      <c r="L10" s="651" t="e">
        <f>+IF(K10&gt;0,#REF!-K10,"")</f>
        <v>#REF!</v>
      </c>
      <c r="M10" s="652">
        <v>1.85</v>
      </c>
      <c r="N10" s="653" t="e">
        <f>+IF(M10&gt;0,#REF!-M10,"")</f>
        <v>#REF!</v>
      </c>
    </row>
    <row r="11" spans="1:71" s="618" customFormat="1" ht="36">
      <c r="A11" s="647">
        <v>2</v>
      </c>
      <c r="B11" s="648" t="s">
        <v>966</v>
      </c>
      <c r="C11" s="647" t="s">
        <v>1104</v>
      </c>
      <c r="D11" s="649">
        <v>500</v>
      </c>
      <c r="E11" s="650">
        <v>2.85</v>
      </c>
      <c r="F11" s="651" t="e">
        <f>+IF(E11&gt;0,#REF!-E11,"")</f>
        <v>#REF!</v>
      </c>
      <c r="G11" s="647">
        <v>2.4500000000000002</v>
      </c>
      <c r="H11" s="651" t="e">
        <f>+IF(G11&gt;0,#REF!-G11,"")</f>
        <v>#REF!</v>
      </c>
      <c r="I11" s="652">
        <v>2.65</v>
      </c>
      <c r="J11" s="651" t="e">
        <f>+IF(I11&gt;0,#REF!-I11,"")</f>
        <v>#REF!</v>
      </c>
      <c r="K11" s="652">
        <v>2.7</v>
      </c>
      <c r="L11" s="651" t="e">
        <f>+IF(K11&gt;0,#REF!-K11,"")</f>
        <v>#REF!</v>
      </c>
      <c r="M11" s="652">
        <v>2.1</v>
      </c>
      <c r="N11" s="653" t="e">
        <f>+IF(M11&gt;0,#REF!-M11,"")</f>
        <v>#REF!</v>
      </c>
    </row>
    <row r="12" spans="1:71" s="111" customFormat="1" ht="36">
      <c r="A12" s="654">
        <v>3</v>
      </c>
      <c r="B12" s="655" t="s">
        <v>1073</v>
      </c>
      <c r="C12" s="654" t="s">
        <v>1104</v>
      </c>
      <c r="D12" s="656">
        <v>1907.4</v>
      </c>
      <c r="E12" s="657"/>
      <c r="F12" s="658"/>
      <c r="G12" s="363"/>
      <c r="H12" s="658"/>
      <c r="I12" s="659"/>
      <c r="J12" s="658"/>
      <c r="K12" s="659"/>
      <c r="L12" s="658"/>
      <c r="M12" s="660"/>
      <c r="N12" s="661"/>
    </row>
    <row r="13" spans="1:71" s="618" customFormat="1" ht="36">
      <c r="A13" s="647">
        <v>4</v>
      </c>
      <c r="B13" s="662" t="s">
        <v>971</v>
      </c>
      <c r="C13" s="647" t="s">
        <v>123</v>
      </c>
      <c r="D13" s="649">
        <v>1500</v>
      </c>
      <c r="E13" s="650"/>
      <c r="F13" s="651" t="str">
        <f>+IF(E13&gt;0,#REF!-E13,"")</f>
        <v/>
      </c>
      <c r="G13" s="647"/>
      <c r="H13" s="651" t="str">
        <f>+IF(G13&gt;0,#REF!-G13,"")</f>
        <v/>
      </c>
      <c r="I13" s="652"/>
      <c r="J13" s="651" t="str">
        <f>+IF(I13&gt;0,#REF!-I13,"")</f>
        <v/>
      </c>
      <c r="K13" s="652"/>
      <c r="L13" s="651" t="str">
        <f>+IF(K13&gt;0,#REF!-K13,"")</f>
        <v/>
      </c>
      <c r="M13" s="652">
        <v>2.1</v>
      </c>
      <c r="N13" s="653" t="e">
        <f>+IF(M13&gt;0,#REF!-M13,"")</f>
        <v>#REF!</v>
      </c>
    </row>
    <row r="14" spans="1:71" s="112" customFormat="1" ht="19.2">
      <c r="A14" s="638" t="s">
        <v>198</v>
      </c>
      <c r="B14" s="654"/>
      <c r="C14" s="639"/>
      <c r="D14" s="663"/>
      <c r="E14" s="664"/>
      <c r="F14" s="665" t="str">
        <f>+IF(E14&gt;0,#REF!-E14,"")</f>
        <v/>
      </c>
      <c r="G14" s="666"/>
      <c r="H14" s="665" t="str">
        <f>+IF(G14&gt;0,#REF!-G14,"")</f>
        <v/>
      </c>
      <c r="I14" s="667"/>
      <c r="J14" s="665" t="str">
        <f>+IF(I14&gt;0,#REF!-I14,"")</f>
        <v/>
      </c>
      <c r="K14" s="667"/>
      <c r="L14" s="665" t="str">
        <f>+IF(K14&gt;0,#REF!-K14,"")</f>
        <v/>
      </c>
      <c r="M14" s="667"/>
      <c r="N14" s="668" t="str">
        <f>+IF(M14&gt;0,#REF!-M14,"")</f>
        <v/>
      </c>
      <c r="O14" s="111"/>
      <c r="P14" s="111"/>
      <c r="Q14" s="111"/>
      <c r="R14" s="111"/>
      <c r="S14" s="111"/>
      <c r="T14" s="111"/>
      <c r="U14" s="111"/>
      <c r="V14" s="111"/>
      <c r="W14" s="111"/>
      <c r="X14" s="111"/>
      <c r="Y14" s="111"/>
      <c r="Z14" s="111"/>
      <c r="AA14" s="111"/>
      <c r="AB14" s="111"/>
      <c r="AC14" s="111"/>
      <c r="AD14" s="111"/>
      <c r="AE14" s="111"/>
      <c r="AF14" s="111"/>
      <c r="AG14" s="111"/>
      <c r="AH14" s="111"/>
      <c r="AI14" s="111"/>
      <c r="AJ14" s="111"/>
      <c r="AK14" s="111"/>
      <c r="AL14" s="111"/>
      <c r="AM14" s="111"/>
      <c r="AN14" s="111"/>
      <c r="AO14" s="111"/>
      <c r="AP14" s="111"/>
      <c r="AQ14" s="111"/>
      <c r="AR14" s="111"/>
      <c r="AS14" s="111"/>
      <c r="AT14" s="111"/>
      <c r="AU14" s="111"/>
      <c r="AV14" s="111"/>
      <c r="AW14" s="111"/>
      <c r="AX14" s="111"/>
      <c r="AY14" s="111"/>
      <c r="AZ14" s="111"/>
      <c r="BA14" s="111"/>
      <c r="BB14" s="111"/>
      <c r="BC14" s="111"/>
      <c r="BD14" s="111"/>
      <c r="BE14" s="111"/>
      <c r="BF14" s="111"/>
      <c r="BG14" s="111"/>
      <c r="BH14" s="111"/>
      <c r="BI14" s="111"/>
      <c r="BJ14" s="111"/>
      <c r="BK14" s="111"/>
      <c r="BL14" s="111"/>
      <c r="BM14" s="111"/>
      <c r="BN14" s="111"/>
      <c r="BO14" s="111"/>
      <c r="BP14" s="111"/>
      <c r="BQ14" s="111"/>
      <c r="BR14" s="111"/>
      <c r="BS14" s="111"/>
    </row>
    <row r="15" spans="1:71" s="111" customFormat="1" ht="36">
      <c r="A15" s="654">
        <v>1</v>
      </c>
      <c r="B15" s="669" t="s">
        <v>976</v>
      </c>
      <c r="C15" s="654" t="s">
        <v>1104</v>
      </c>
      <c r="D15" s="656">
        <v>581</v>
      </c>
      <c r="E15" s="109"/>
      <c r="F15" s="620"/>
      <c r="G15" s="363"/>
      <c r="H15" s="658" t="str">
        <f>+IF(G15&gt;0,#REF!-G15,"")</f>
        <v/>
      </c>
      <c r="I15" s="659"/>
      <c r="J15" s="658" t="str">
        <f>+IF(I15&gt;0,#REF!-I15,"")</f>
        <v/>
      </c>
      <c r="K15" s="659"/>
      <c r="L15" s="658" t="str">
        <f>+IF(K15&gt;0,#REF!-K15,"")</f>
        <v/>
      </c>
      <c r="M15" s="660">
        <v>1.3</v>
      </c>
      <c r="N15" s="661" t="e">
        <f>+IF(M15&gt;0,#REF!-M15,"")</f>
        <v>#REF!</v>
      </c>
    </row>
    <row r="16" spans="1:71" s="111" customFormat="1" ht="36">
      <c r="A16" s="654">
        <v>2</v>
      </c>
      <c r="B16" s="669" t="s">
        <v>969</v>
      </c>
      <c r="C16" s="654" t="s">
        <v>123</v>
      </c>
      <c r="D16" s="656">
        <v>411</v>
      </c>
      <c r="E16" s="657">
        <v>1.8</v>
      </c>
      <c r="F16" s="658" t="e">
        <f>+IF(E16&gt;0,#REF!-E16,"")</f>
        <v>#REF!</v>
      </c>
      <c r="G16" s="363">
        <v>1.55</v>
      </c>
      <c r="H16" s="658" t="e">
        <f>+IF(G16&gt;0,#REF!-G16,"")</f>
        <v>#REF!</v>
      </c>
      <c r="I16" s="659">
        <v>1.7</v>
      </c>
      <c r="J16" s="658" t="e">
        <f>+IF(I16&gt;0,#REF!-I16,"")</f>
        <v>#REF!</v>
      </c>
      <c r="K16" s="659">
        <v>1.61</v>
      </c>
      <c r="L16" s="658" t="e">
        <f>+IF(K16&gt;0,#REF!-K16,"")</f>
        <v>#REF!</v>
      </c>
      <c r="M16" s="660">
        <v>1.3</v>
      </c>
      <c r="N16" s="661" t="e">
        <f>+IF(M16&gt;0,#REF!-M16,"")</f>
        <v>#REF!</v>
      </c>
    </row>
    <row r="17" spans="1:71" s="112" customFormat="1" ht="19.2">
      <c r="A17" s="638" t="s">
        <v>179</v>
      </c>
      <c r="B17" s="654"/>
      <c r="C17" s="639"/>
      <c r="D17" s="663"/>
      <c r="E17" s="670"/>
      <c r="F17" s="665" t="str">
        <f>+IF(E17&gt;0,#REF!-E17,"")</f>
        <v/>
      </c>
      <c r="G17" s="666"/>
      <c r="H17" s="665" t="str">
        <f>+IF(G17&gt;0,#REF!-G17,"")</f>
        <v/>
      </c>
      <c r="I17" s="667"/>
      <c r="J17" s="665" t="str">
        <f>+IF(I17&gt;0,#REF!-I17,"")</f>
        <v/>
      </c>
      <c r="K17" s="667"/>
      <c r="L17" s="665" t="str">
        <f>+IF(K17&gt;0,#REF!-K17,"")</f>
        <v/>
      </c>
      <c r="M17" s="667"/>
      <c r="N17" s="668" t="str">
        <f>+IF(M17&gt;0,#REF!-M17,"")</f>
        <v/>
      </c>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11"/>
      <c r="BP17" s="111"/>
      <c r="BQ17" s="111"/>
      <c r="BR17" s="111"/>
      <c r="BS17" s="111"/>
    </row>
    <row r="18" spans="1:71" s="111" customFormat="1" ht="19.8">
      <c r="A18" s="671">
        <v>1</v>
      </c>
      <c r="B18" s="655" t="s">
        <v>1069</v>
      </c>
      <c r="C18" s="671" t="s">
        <v>122</v>
      </c>
      <c r="D18" s="656">
        <v>37</v>
      </c>
      <c r="E18" s="657">
        <v>2</v>
      </c>
      <c r="F18" s="658" t="e">
        <f>+IF(E18&gt;0,#REF!-E18,"")</f>
        <v>#REF!</v>
      </c>
      <c r="G18" s="363">
        <v>1.5</v>
      </c>
      <c r="H18" s="658" t="e">
        <f>+IF(G18&gt;0,#REF!-G18,"")</f>
        <v>#REF!</v>
      </c>
      <c r="I18" s="672">
        <v>1.5</v>
      </c>
      <c r="J18" s="658" t="e">
        <f>+IF(I18&gt;0,#REF!-I18,"")</f>
        <v>#REF!</v>
      </c>
      <c r="K18" s="672">
        <v>2</v>
      </c>
      <c r="L18" s="658" t="e">
        <f>+IF(K18&gt;0,#REF!-K18,"")</f>
        <v>#REF!</v>
      </c>
      <c r="M18" s="672">
        <v>1.2</v>
      </c>
      <c r="N18" s="673" t="e">
        <f>+IF(M18&gt;0,#REF!-M18,"")</f>
        <v>#REF!</v>
      </c>
    </row>
    <row r="19" spans="1:71" s="111" customFormat="1" ht="19.8" hidden="1">
      <c r="A19" s="654" t="s">
        <v>199</v>
      </c>
      <c r="B19" s="655" t="s">
        <v>200</v>
      </c>
      <c r="C19" s="654" t="s">
        <v>1104</v>
      </c>
      <c r="D19" s="656" t="e">
        <v>#REF!</v>
      </c>
      <c r="E19" s="674">
        <v>96.5</v>
      </c>
      <c r="F19" s="658" t="e">
        <f>+IF(E19&gt;0,#REF!-E19,"")</f>
        <v>#REF!</v>
      </c>
      <c r="G19" s="363">
        <v>75</v>
      </c>
      <c r="H19" s="658" t="e">
        <f>+IF(G19&gt;0,#REF!-G19,"")</f>
        <v>#REF!</v>
      </c>
      <c r="I19" s="672">
        <v>90</v>
      </c>
      <c r="J19" s="658" t="e">
        <f>+IF(I19&gt;0,#REF!-I19,"")</f>
        <v>#REF!</v>
      </c>
      <c r="K19" s="672">
        <v>90.5</v>
      </c>
      <c r="L19" s="658" t="e">
        <f>+IF(K19&gt;0,#REF!-K19,"")</f>
        <v>#REF!</v>
      </c>
      <c r="M19" s="672">
        <v>74</v>
      </c>
      <c r="N19" s="673" t="e">
        <f>+IF(M19&gt;0,#REF!-M19,"")</f>
        <v>#REF!</v>
      </c>
    </row>
    <row r="20" spans="1:71" s="111" customFormat="1" ht="19.8" hidden="1">
      <c r="A20" s="654" t="s">
        <v>201</v>
      </c>
      <c r="B20" s="655" t="s">
        <v>202</v>
      </c>
      <c r="C20" s="654" t="s">
        <v>1104</v>
      </c>
      <c r="D20" s="656" t="e">
        <v>#REF!</v>
      </c>
      <c r="E20" s="674">
        <v>74.5</v>
      </c>
      <c r="F20" s="658" t="e">
        <f>+IF(E20&gt;0,#REF!-E20,"")</f>
        <v>#REF!</v>
      </c>
      <c r="G20" s="363">
        <v>60</v>
      </c>
      <c r="H20" s="658" t="e">
        <f>+IF(G20&gt;0,#REF!-G20,"")</f>
        <v>#REF!</v>
      </c>
      <c r="I20" s="672">
        <v>69.5</v>
      </c>
      <c r="J20" s="658" t="e">
        <f>+IF(I20&gt;0,#REF!-I20,"")</f>
        <v>#REF!</v>
      </c>
      <c r="K20" s="672">
        <v>68</v>
      </c>
      <c r="L20" s="658" t="e">
        <f>+IF(K20&gt;0,#REF!-K20,"")</f>
        <v>#REF!</v>
      </c>
      <c r="M20" s="672">
        <v>57</v>
      </c>
      <c r="N20" s="673" t="e">
        <f>+IF(M20&gt;0,#REF!-M20,"")</f>
        <v>#REF!</v>
      </c>
    </row>
    <row r="21" spans="1:71" s="111" customFormat="1" ht="30" hidden="1" customHeight="1">
      <c r="A21" s="654">
        <v>4</v>
      </c>
      <c r="B21" s="655" t="s">
        <v>203</v>
      </c>
      <c r="C21" s="654" t="s">
        <v>123</v>
      </c>
      <c r="D21" s="656" t="e">
        <v>#REF!</v>
      </c>
      <c r="E21" s="674"/>
      <c r="F21" s="658" t="str">
        <f>+IF(E21&gt;0,#REF!-E21,"")</f>
        <v/>
      </c>
      <c r="G21" s="363"/>
      <c r="H21" s="658" t="str">
        <f>+IF(G21&gt;0,#REF!-G21,"")</f>
        <v/>
      </c>
      <c r="I21" s="672"/>
      <c r="J21" s="658" t="str">
        <f>+IF(I21&gt;0,#REF!-I21,"")</f>
        <v/>
      </c>
      <c r="K21" s="672"/>
      <c r="L21" s="658" t="str">
        <f>+IF(K21&gt;0,#REF!-K21,"")</f>
        <v/>
      </c>
      <c r="M21" s="672">
        <v>57</v>
      </c>
      <c r="N21" s="673" t="e">
        <f>+IF(M21&gt;0,#REF!-M21,"")</f>
        <v>#REF!</v>
      </c>
    </row>
    <row r="22" spans="1:71" s="111" customFormat="1" ht="30" customHeight="1">
      <c r="A22" s="2391" t="s">
        <v>613</v>
      </c>
      <c r="B22" s="2392"/>
      <c r="C22" s="654"/>
      <c r="D22" s="656"/>
      <c r="E22" s="674"/>
      <c r="F22" s="658"/>
      <c r="G22" s="363"/>
      <c r="H22" s="658"/>
      <c r="I22" s="672"/>
      <c r="J22" s="658"/>
      <c r="K22" s="672"/>
      <c r="L22" s="658"/>
      <c r="M22" s="672"/>
      <c r="N22" s="673"/>
    </row>
    <row r="23" spans="1:71" s="111" customFormat="1" ht="30" customHeight="1">
      <c r="A23" s="654">
        <v>1</v>
      </c>
      <c r="B23" s="655" t="s">
        <v>1084</v>
      </c>
      <c r="C23" s="654" t="s">
        <v>123</v>
      </c>
      <c r="D23" s="656">
        <v>12024</v>
      </c>
      <c r="E23" s="674"/>
      <c r="F23" s="658"/>
      <c r="G23" s="363"/>
      <c r="H23" s="658"/>
      <c r="I23" s="672"/>
      <c r="J23" s="658"/>
      <c r="K23" s="672"/>
      <c r="L23" s="658"/>
      <c r="M23" s="672"/>
      <c r="N23" s="673"/>
    </row>
    <row r="24" spans="1:71" s="112" customFormat="1" ht="19.2">
      <c r="A24" s="638" t="s">
        <v>204</v>
      </c>
      <c r="B24" s="654"/>
      <c r="C24" s="639"/>
      <c r="D24" s="663"/>
      <c r="E24" s="664"/>
      <c r="F24" s="665" t="str">
        <f>+IF(E24&gt;0,#REF!-E24,"")</f>
        <v/>
      </c>
      <c r="G24" s="666"/>
      <c r="H24" s="665" t="str">
        <f>+IF(G24&gt;0,#REF!-G24,"")</f>
        <v/>
      </c>
      <c r="I24" s="667"/>
      <c r="J24" s="665" t="str">
        <f>+IF(I24&gt;0,#REF!-I24,"")</f>
        <v/>
      </c>
      <c r="K24" s="667"/>
      <c r="L24" s="665" t="str">
        <f>+IF(K24&gt;0,#REF!-K24,"")</f>
        <v/>
      </c>
      <c r="M24" s="667"/>
      <c r="N24" s="668" t="str">
        <f>+IF(M24&gt;0,#REF!-M24,"")</f>
        <v/>
      </c>
      <c r="O24" s="111"/>
      <c r="P24" s="111"/>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row>
    <row r="25" spans="1:71" s="111" customFormat="1" ht="36">
      <c r="A25" s="654">
        <v>1</v>
      </c>
      <c r="B25" s="669" t="s">
        <v>630</v>
      </c>
      <c r="C25" s="654" t="s">
        <v>1104</v>
      </c>
      <c r="D25" s="656">
        <v>19023</v>
      </c>
      <c r="E25" s="674"/>
      <c r="F25" s="658" t="str">
        <f>+IF(E25&gt;0,#REF!-E25,"")</f>
        <v/>
      </c>
      <c r="G25" s="363"/>
      <c r="H25" s="658" t="str">
        <f>+IF(G25&gt;0,#REF!-G25,"")</f>
        <v/>
      </c>
      <c r="I25" s="672"/>
      <c r="J25" s="658" t="str">
        <f>+IF(I25&gt;0,#REF!-I25,"")</f>
        <v/>
      </c>
      <c r="K25" s="672"/>
      <c r="L25" s="658" t="str">
        <f>+IF(K25&gt;0,#REF!-K25,"")</f>
        <v/>
      </c>
      <c r="M25" s="675">
        <v>241</v>
      </c>
      <c r="N25" s="661" t="e">
        <f>+IF(M25&gt;0,#REF!-M25,"")</f>
        <v>#REF!</v>
      </c>
    </row>
    <row r="26" spans="1:71" s="112" customFormat="1" ht="19.2">
      <c r="A26" s="638" t="s">
        <v>205</v>
      </c>
      <c r="B26" s="654"/>
      <c r="C26" s="639"/>
      <c r="D26" s="663"/>
      <c r="E26" s="664"/>
      <c r="F26" s="665" t="str">
        <f>+IF(E26&gt;0,#REF!-E26,"")</f>
        <v/>
      </c>
      <c r="G26" s="666"/>
      <c r="H26" s="665" t="str">
        <f>+IF(G26&gt;0,#REF!-G26,"")</f>
        <v/>
      </c>
      <c r="I26" s="667"/>
      <c r="J26" s="665" t="str">
        <f>+IF(I26&gt;0,#REF!-I26,"")</f>
        <v/>
      </c>
      <c r="K26" s="667"/>
      <c r="L26" s="665" t="str">
        <f>+IF(K26&gt;0,#REF!-K26,"")</f>
        <v/>
      </c>
      <c r="M26" s="667"/>
      <c r="N26" s="668" t="str">
        <f>+IF(M26&gt;0,#REF!-M26,"")</f>
        <v/>
      </c>
      <c r="O26" s="111"/>
      <c r="P26" s="111"/>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row>
    <row r="27" spans="1:71" s="111" customFormat="1" ht="19.8">
      <c r="A27" s="654" t="s">
        <v>206</v>
      </c>
      <c r="B27" s="655" t="s">
        <v>207</v>
      </c>
      <c r="C27" s="654" t="s">
        <v>1104</v>
      </c>
      <c r="D27" s="656">
        <v>21915</v>
      </c>
      <c r="E27" s="674"/>
      <c r="F27" s="658" t="str">
        <f>+IF(E27&gt;0,#REF!-E27,"")</f>
        <v/>
      </c>
      <c r="G27" s="363"/>
      <c r="H27" s="658" t="str">
        <f>+IF(G27&gt;0,#REF!-G27,"")</f>
        <v/>
      </c>
      <c r="I27" s="672"/>
      <c r="J27" s="658" t="str">
        <f>+IF(I27&gt;0,#REF!-I27,"")</f>
        <v/>
      </c>
      <c r="K27" s="672"/>
      <c r="L27" s="658" t="str">
        <f>+IF(K27&gt;0,#REF!-K27,"")</f>
        <v/>
      </c>
      <c r="M27" s="675">
        <v>143</v>
      </c>
      <c r="N27" s="661" t="e">
        <f>+IF(M27&gt;0,#REF!-M27,"")</f>
        <v>#REF!</v>
      </c>
    </row>
    <row r="28" spans="1:71" s="111" customFormat="1" ht="19.2">
      <c r="A28" s="654"/>
      <c r="B28" s="655" t="s">
        <v>1071</v>
      </c>
      <c r="C28" s="654"/>
      <c r="D28" s="656">
        <v>21876.45</v>
      </c>
      <c r="E28" s="674"/>
      <c r="F28" s="658"/>
      <c r="G28" s="363"/>
      <c r="H28" s="658"/>
      <c r="I28" s="672"/>
      <c r="J28" s="658"/>
      <c r="K28" s="672"/>
      <c r="L28" s="658"/>
      <c r="M28" s="675"/>
      <c r="N28" s="661"/>
    </row>
    <row r="29" spans="1:71" s="618" customFormat="1" ht="19.8">
      <c r="A29" s="676">
        <v>1.2</v>
      </c>
      <c r="B29" s="662" t="s">
        <v>208</v>
      </c>
      <c r="C29" s="647" t="s">
        <v>1104</v>
      </c>
      <c r="D29" s="649">
        <v>19811.05</v>
      </c>
      <c r="E29" s="677"/>
      <c r="F29" s="651" t="str">
        <f>+IF(E29&gt;0,#REF!-E29,"")</f>
        <v/>
      </c>
      <c r="G29" s="647"/>
      <c r="H29" s="651" t="str">
        <f>+IF(G29&gt;0,#REF!-G29,"")</f>
        <v/>
      </c>
      <c r="I29" s="678"/>
      <c r="J29" s="651" t="str">
        <f>+IF(I29&gt;0,#REF!-I29,"")</f>
        <v/>
      </c>
      <c r="K29" s="678"/>
      <c r="L29" s="651" t="str">
        <f>+IF(K29&gt;0,#REF!-K29,"")</f>
        <v/>
      </c>
      <c r="M29" s="678">
        <v>121</v>
      </c>
      <c r="N29" s="653" t="e">
        <f>+IF(M29&gt;0,#REF!-M29,"")</f>
        <v>#REF!</v>
      </c>
    </row>
    <row r="30" spans="1:71" s="618" customFormat="1" ht="19.8">
      <c r="A30" s="676">
        <v>1.3</v>
      </c>
      <c r="B30" s="662" t="s">
        <v>209</v>
      </c>
      <c r="C30" s="647" t="s">
        <v>1104</v>
      </c>
      <c r="D30" s="649">
        <v>17448.900000000001</v>
      </c>
      <c r="E30" s="677"/>
      <c r="F30" s="651"/>
      <c r="G30" s="647"/>
      <c r="H30" s="651"/>
      <c r="I30" s="678"/>
      <c r="J30" s="651"/>
      <c r="K30" s="678"/>
      <c r="L30" s="651"/>
      <c r="M30" s="678"/>
      <c r="N30" s="653"/>
    </row>
    <row r="31" spans="1:71" s="618" customFormat="1" ht="19.8">
      <c r="A31" s="676">
        <v>1.4</v>
      </c>
      <c r="B31" s="662" t="s">
        <v>210</v>
      </c>
      <c r="C31" s="647" t="s">
        <v>1104</v>
      </c>
      <c r="D31" s="649">
        <v>13718</v>
      </c>
      <c r="E31" s="677"/>
      <c r="F31" s="651" t="str">
        <f>+IF(E31&gt;0,#REF!-E31,"")</f>
        <v/>
      </c>
      <c r="G31" s="647"/>
      <c r="H31" s="651" t="str">
        <f>+IF(G31&gt;0,#REF!-G31,"")</f>
        <v/>
      </c>
      <c r="I31" s="678"/>
      <c r="J31" s="651" t="str">
        <f>+IF(I31&gt;0,#REF!-I31,"")</f>
        <v/>
      </c>
      <c r="K31" s="678"/>
      <c r="L31" s="651" t="str">
        <f>+IF(K31&gt;0,#REF!-K31,"")</f>
        <v/>
      </c>
      <c r="M31" s="678">
        <v>99</v>
      </c>
      <c r="N31" s="653" t="e">
        <f>+IF(M31&gt;0,#REF!-M31,"")</f>
        <v>#REF!</v>
      </c>
    </row>
    <row r="32" spans="1:71" s="111" customFormat="1" ht="19.8">
      <c r="A32" s="679">
        <v>1.5</v>
      </c>
      <c r="B32" s="655" t="s">
        <v>1070</v>
      </c>
      <c r="C32" s="654" t="s">
        <v>1104</v>
      </c>
      <c r="D32" s="656">
        <v>10500</v>
      </c>
      <c r="E32" s="674">
        <v>115.5</v>
      </c>
      <c r="F32" s="658" t="e">
        <f>+IF(E32&gt;0,#REF!-E32,"")</f>
        <v>#REF!</v>
      </c>
      <c r="G32" s="363">
        <v>88</v>
      </c>
      <c r="H32" s="658" t="e">
        <f>+IF(G32&gt;0,#REF!-G32,"")</f>
        <v>#REF!</v>
      </c>
      <c r="I32" s="672">
        <v>108</v>
      </c>
      <c r="J32" s="658" t="e">
        <f>+IF(I32&gt;0,#REF!-I32,"")</f>
        <v>#REF!</v>
      </c>
      <c r="K32" s="672">
        <v>85</v>
      </c>
      <c r="L32" s="658" t="e">
        <f>+IF(K32&gt;0,#REF!-K32,"")</f>
        <v>#REF!</v>
      </c>
      <c r="M32" s="675">
        <v>95</v>
      </c>
      <c r="N32" s="661" t="e">
        <f>+IF(M32&gt;0,#REF!-M32,"")</f>
        <v>#REF!</v>
      </c>
    </row>
    <row r="33" spans="1:71" s="111" customFormat="1" ht="19.8">
      <c r="A33" s="679">
        <v>1.6</v>
      </c>
      <c r="B33" s="655" t="s">
        <v>1126</v>
      </c>
      <c r="C33" s="654" t="s">
        <v>1104</v>
      </c>
      <c r="D33" s="656">
        <v>21915</v>
      </c>
      <c r="E33" s="674"/>
      <c r="F33" s="658"/>
      <c r="G33" s="363"/>
      <c r="H33" s="658"/>
      <c r="I33" s="672"/>
      <c r="J33" s="658"/>
      <c r="K33" s="672"/>
      <c r="L33" s="658"/>
      <c r="M33" s="675"/>
      <c r="N33" s="661"/>
    </row>
    <row r="34" spans="1:71" s="112" customFormat="1" ht="19.2">
      <c r="A34" s="638" t="s">
        <v>211</v>
      </c>
      <c r="B34" s="654"/>
      <c r="C34" s="639"/>
      <c r="D34" s="663"/>
      <c r="E34" s="664"/>
      <c r="F34" s="665" t="str">
        <f>+IF(E34&gt;0,#REF!-E34,"")</f>
        <v/>
      </c>
      <c r="G34" s="666"/>
      <c r="H34" s="665" t="str">
        <f>+IF(G34&gt;0,#REF!-G34,"")</f>
        <v/>
      </c>
      <c r="I34" s="667"/>
      <c r="J34" s="665" t="str">
        <f>+IF(I34&gt;0,#REF!-I34,"")</f>
        <v/>
      </c>
      <c r="K34" s="667"/>
      <c r="L34" s="665" t="str">
        <f>+IF(K34&gt;0,#REF!-K34,"")</f>
        <v/>
      </c>
      <c r="M34" s="667"/>
      <c r="N34" s="668" t="str">
        <f>+IF(M34&gt;0,#REF!-M34,"")</f>
        <v/>
      </c>
      <c r="O34" s="111"/>
      <c r="P34" s="111"/>
      <c r="Q34" s="111"/>
      <c r="R34" s="111"/>
      <c r="S34" s="111"/>
      <c r="T34" s="111"/>
      <c r="U34" s="111"/>
      <c r="V34" s="111"/>
      <c r="W34" s="111"/>
      <c r="X34" s="111"/>
      <c r="Y34" s="111"/>
      <c r="Z34" s="111"/>
      <c r="AA34" s="111"/>
      <c r="AB34" s="111"/>
      <c r="AC34" s="111"/>
      <c r="AD34" s="111"/>
      <c r="AE34" s="111"/>
      <c r="AF34" s="111"/>
      <c r="AG34" s="111"/>
      <c r="AH34" s="111"/>
      <c r="AI34" s="111"/>
      <c r="AJ34" s="111"/>
      <c r="AK34" s="111"/>
      <c r="AL34" s="111"/>
      <c r="AM34" s="111"/>
      <c r="AN34" s="111"/>
      <c r="AO34" s="111"/>
      <c r="AP34" s="111"/>
      <c r="AQ34" s="111"/>
      <c r="AR34" s="111"/>
      <c r="AS34" s="111"/>
      <c r="AT34" s="111"/>
      <c r="AU34" s="111"/>
      <c r="AV34" s="111"/>
      <c r="AW34" s="111"/>
      <c r="AX34" s="111"/>
      <c r="AY34" s="111"/>
      <c r="AZ34" s="111"/>
      <c r="BA34" s="111"/>
      <c r="BB34" s="111"/>
      <c r="BC34" s="111"/>
      <c r="BD34" s="111"/>
      <c r="BE34" s="111"/>
      <c r="BF34" s="111"/>
      <c r="BG34" s="111"/>
      <c r="BH34" s="111"/>
      <c r="BI34" s="111"/>
      <c r="BJ34" s="111"/>
      <c r="BK34" s="111"/>
      <c r="BL34" s="111"/>
      <c r="BM34" s="111"/>
      <c r="BN34" s="111"/>
      <c r="BO34" s="111"/>
      <c r="BP34" s="111"/>
      <c r="BQ34" s="111"/>
      <c r="BR34" s="111"/>
      <c r="BS34" s="111"/>
    </row>
    <row r="35" spans="1:71" s="618" customFormat="1" ht="19.2">
      <c r="A35" s="647">
        <v>1</v>
      </c>
      <c r="B35" s="662" t="s">
        <v>24</v>
      </c>
      <c r="C35" s="647" t="s">
        <v>212</v>
      </c>
      <c r="D35" s="649">
        <v>133778</v>
      </c>
      <c r="E35" s="677">
        <v>1134</v>
      </c>
      <c r="F35" s="651" t="e">
        <f>+IF(E35&gt;0,#REF!-E35,"")</f>
        <v>#REF!</v>
      </c>
      <c r="G35" s="647">
        <v>1011</v>
      </c>
      <c r="H35" s="651" t="e">
        <f>+IF(G35&gt;0,#REF!-G35,"")</f>
        <v>#REF!</v>
      </c>
      <c r="I35" s="678">
        <v>1184.5</v>
      </c>
      <c r="J35" s="651" t="e">
        <f>+IF(I35&gt;0,#REF!-I35,"")</f>
        <v>#REF!</v>
      </c>
      <c r="K35" s="678">
        <v>1985</v>
      </c>
      <c r="L35" s="651" t="e">
        <f>+IF(K35&gt;0,#REF!-K35,"")</f>
        <v>#REF!</v>
      </c>
      <c r="M35" s="678">
        <v>951</v>
      </c>
      <c r="N35" s="653" t="e">
        <f>+IF(M35&gt;0,#REF!-M35,"")</f>
        <v>#REF!</v>
      </c>
    </row>
    <row r="36" spans="1:71" s="112" customFormat="1" ht="19.2">
      <c r="A36" s="638" t="s">
        <v>101</v>
      </c>
      <c r="B36" s="654"/>
      <c r="C36" s="639"/>
      <c r="D36" s="663"/>
      <c r="E36" s="664"/>
      <c r="F36" s="665" t="str">
        <f>+IF(E36&gt;0,#REF!-E36,"")</f>
        <v/>
      </c>
      <c r="G36" s="666"/>
      <c r="H36" s="665" t="str">
        <f>+IF(G36&gt;0,#REF!-G36,"")</f>
        <v/>
      </c>
      <c r="I36" s="667"/>
      <c r="J36" s="665" t="str">
        <f>+IF(I36&gt;0,#REF!-I36,"")</f>
        <v/>
      </c>
      <c r="K36" s="667"/>
      <c r="L36" s="665" t="str">
        <f>+IF(K36&gt;0,#REF!-K36,"")</f>
        <v/>
      </c>
      <c r="M36" s="667"/>
      <c r="N36" s="668" t="str">
        <f>+IF(M36&gt;0,#REF!-M36,"")</f>
        <v/>
      </c>
      <c r="O36" s="111"/>
      <c r="P36" s="111"/>
      <c r="Q36" s="111"/>
      <c r="R36" s="111"/>
      <c r="S36" s="111"/>
      <c r="T36" s="111"/>
      <c r="U36" s="111"/>
      <c r="V36" s="111"/>
      <c r="W36" s="111"/>
      <c r="X36" s="111"/>
      <c r="Y36" s="111"/>
      <c r="Z36" s="111"/>
      <c r="AA36" s="111"/>
      <c r="AB36" s="111"/>
      <c r="AC36" s="111"/>
      <c r="AD36" s="111"/>
      <c r="AE36" s="111"/>
      <c r="AF36" s="111"/>
      <c r="AG36" s="111"/>
      <c r="AH36" s="111"/>
      <c r="AI36" s="111"/>
      <c r="AJ36" s="111"/>
      <c r="AK36" s="111"/>
      <c r="AL36" s="111"/>
      <c r="AM36" s="111"/>
      <c r="AN36" s="111"/>
      <c r="AO36" s="111"/>
      <c r="AP36" s="111"/>
      <c r="AQ36" s="111"/>
      <c r="AR36" s="111"/>
      <c r="AS36" s="111"/>
      <c r="AT36" s="111"/>
      <c r="AU36" s="111"/>
      <c r="AV36" s="111"/>
      <c r="AW36" s="111"/>
      <c r="AX36" s="111"/>
      <c r="AY36" s="111"/>
      <c r="AZ36" s="111"/>
      <c r="BA36" s="111"/>
      <c r="BB36" s="111"/>
      <c r="BC36" s="111"/>
      <c r="BD36" s="111"/>
      <c r="BE36" s="111"/>
      <c r="BF36" s="111"/>
      <c r="BG36" s="111"/>
      <c r="BH36" s="111"/>
      <c r="BI36" s="111"/>
      <c r="BJ36" s="111"/>
      <c r="BK36" s="111"/>
      <c r="BL36" s="111"/>
      <c r="BM36" s="111"/>
      <c r="BN36" s="111"/>
      <c r="BO36" s="111"/>
      <c r="BP36" s="111"/>
      <c r="BQ36" s="111"/>
      <c r="BR36" s="111"/>
      <c r="BS36" s="111"/>
    </row>
    <row r="37" spans="1:71" s="618" customFormat="1" ht="36">
      <c r="A37" s="647" t="s">
        <v>213</v>
      </c>
      <c r="B37" s="648" t="s">
        <v>629</v>
      </c>
      <c r="C37" s="647" t="s">
        <v>122</v>
      </c>
      <c r="D37" s="649">
        <v>993</v>
      </c>
      <c r="E37" s="677">
        <v>4.75</v>
      </c>
      <c r="F37" s="651" t="e">
        <f>+IF(E37&gt;0,#REF!-E37,"")</f>
        <v>#REF!</v>
      </c>
      <c r="G37" s="647">
        <v>2.65</v>
      </c>
      <c r="H37" s="651" t="e">
        <f>+IF(G37&gt;0,#REF!-G37,"")</f>
        <v>#REF!</v>
      </c>
      <c r="I37" s="678">
        <v>2.9</v>
      </c>
      <c r="J37" s="651" t="e">
        <f>+IF(I37&gt;0,#REF!-I37,"")</f>
        <v>#REF!</v>
      </c>
      <c r="K37" s="678">
        <v>3.7</v>
      </c>
      <c r="L37" s="651" t="e">
        <f>+IF(K37&gt;0,#REF!-K37,"")</f>
        <v>#REF!</v>
      </c>
      <c r="M37" s="678">
        <v>11.45</v>
      </c>
      <c r="N37" s="653" t="e">
        <f>+IF(M37&gt;0,#REF!-M37,"")</f>
        <v>#REF!</v>
      </c>
    </row>
    <row r="38" spans="1:71" s="618" customFormat="1" ht="36">
      <c r="A38" s="647" t="s">
        <v>1131</v>
      </c>
      <c r="B38" s="648" t="s">
        <v>1132</v>
      </c>
      <c r="C38" s="647" t="s">
        <v>122</v>
      </c>
      <c r="D38" s="649">
        <v>1859</v>
      </c>
      <c r="E38" s="677"/>
      <c r="F38" s="651"/>
      <c r="G38" s="647"/>
      <c r="H38" s="651"/>
      <c r="I38" s="678"/>
      <c r="J38" s="651"/>
      <c r="K38" s="678"/>
      <c r="L38" s="651"/>
      <c r="M38" s="678"/>
      <c r="N38" s="653"/>
    </row>
    <row r="39" spans="1:71" s="112" customFormat="1" ht="19.2">
      <c r="A39" s="638" t="s">
        <v>215</v>
      </c>
      <c r="B39" s="654"/>
      <c r="C39" s="639"/>
      <c r="D39" s="663"/>
      <c r="E39" s="664"/>
      <c r="F39" s="665" t="str">
        <f>+IF(E39&gt;0,#REF!-E39,"")</f>
        <v/>
      </c>
      <c r="G39" s="666"/>
      <c r="H39" s="665" t="str">
        <f>+IF(G39&gt;0,#REF!-G39,"")</f>
        <v/>
      </c>
      <c r="I39" s="667"/>
      <c r="J39" s="665" t="str">
        <f>+IF(I39&gt;0,#REF!-I39,"")</f>
        <v/>
      </c>
      <c r="K39" s="667"/>
      <c r="L39" s="665" t="str">
        <f>+IF(K39&gt;0,#REF!-K39,"")</f>
        <v/>
      </c>
      <c r="M39" s="667"/>
      <c r="N39" s="668" t="str">
        <f>+IF(M39&gt;0,#REF!-M39,"")</f>
        <v/>
      </c>
      <c r="O39" s="111"/>
      <c r="P39" s="111"/>
      <c r="Q39" s="111"/>
      <c r="R39" s="111"/>
      <c r="S39" s="111"/>
      <c r="T39" s="111"/>
      <c r="U39" s="111"/>
      <c r="V39" s="111"/>
      <c r="W39" s="111"/>
      <c r="X39" s="111"/>
      <c r="Y39" s="111"/>
      <c r="Z39" s="111"/>
      <c r="AA39" s="111"/>
      <c r="AB39" s="111"/>
      <c r="AC39" s="111"/>
      <c r="AD39" s="111"/>
      <c r="AE39" s="111"/>
      <c r="AF39" s="111"/>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111"/>
      <c r="BL39" s="111"/>
      <c r="BM39" s="111"/>
      <c r="BN39" s="111"/>
      <c r="BO39" s="111"/>
      <c r="BP39" s="111"/>
      <c r="BQ39" s="111"/>
      <c r="BR39" s="111"/>
      <c r="BS39" s="111"/>
    </row>
    <row r="40" spans="1:71" s="111" customFormat="1" ht="54">
      <c r="A40" s="654">
        <v>1</v>
      </c>
      <c r="B40" s="655" t="s">
        <v>216</v>
      </c>
      <c r="C40" s="654" t="s">
        <v>1104</v>
      </c>
      <c r="D40" s="656">
        <v>4426</v>
      </c>
      <c r="E40" s="680">
        <v>55.75</v>
      </c>
      <c r="F40" s="658" t="e">
        <f>+IF(E40&gt;0,#REF!-E40,"")</f>
        <v>#REF!</v>
      </c>
      <c r="G40" s="363">
        <v>38.33</v>
      </c>
      <c r="H40" s="658" t="e">
        <f>+IF(G40&gt;0,#REF!-G40,"")</f>
        <v>#REF!</v>
      </c>
      <c r="I40" s="672">
        <v>42.67</v>
      </c>
      <c r="J40" s="658" t="e">
        <f>+IF(I40&gt;0,#REF!-I40,"")</f>
        <v>#REF!</v>
      </c>
      <c r="K40" s="672">
        <v>62</v>
      </c>
      <c r="L40" s="658" t="e">
        <f>+IF(K40&gt;0,#REF!-K40,"")</f>
        <v>#REF!</v>
      </c>
      <c r="M40" s="675">
        <v>41.5</v>
      </c>
      <c r="N40" s="661" t="e">
        <f>+IF(M40&gt;0,#REF!-M40,"")</f>
        <v>#REF!</v>
      </c>
    </row>
    <row r="41" spans="1:71" s="112" customFormat="1" ht="19.2">
      <c r="A41" s="638" t="s">
        <v>220</v>
      </c>
      <c r="B41" s="654"/>
      <c r="C41" s="639"/>
      <c r="D41" s="663"/>
      <c r="E41" s="664"/>
      <c r="F41" s="665" t="str">
        <f>+IF(E41&gt;0,#REF!-E41,"")</f>
        <v/>
      </c>
      <c r="G41" s="666"/>
      <c r="H41" s="665" t="str">
        <f>+IF(G41&gt;0,#REF!-G41,"")</f>
        <v/>
      </c>
      <c r="I41" s="667"/>
      <c r="J41" s="665" t="str">
        <f>+IF(I41&gt;0,#REF!-I41,"")</f>
        <v/>
      </c>
      <c r="K41" s="667"/>
      <c r="L41" s="665" t="str">
        <f>+IF(K41&gt;0,#REF!-K41,"")</f>
        <v/>
      </c>
      <c r="M41" s="667"/>
      <c r="N41" s="668" t="str">
        <f>+IF(M41&gt;0,#REF!-M41,"")</f>
        <v/>
      </c>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row>
    <row r="42" spans="1:71" s="111" customFormat="1" ht="19.8">
      <c r="A42" s="654">
        <v>2</v>
      </c>
      <c r="B42" s="655" t="s">
        <v>221</v>
      </c>
      <c r="C42" s="654" t="s">
        <v>122</v>
      </c>
      <c r="D42" s="656">
        <v>406</v>
      </c>
      <c r="E42" s="674">
        <v>4</v>
      </c>
      <c r="F42" s="658" t="e">
        <f>+IF(E42&gt;0,#REF!-E42,"")</f>
        <v>#REF!</v>
      </c>
      <c r="G42" s="363">
        <v>3</v>
      </c>
      <c r="H42" s="658" t="e">
        <f>+IF(G42&gt;0,#REF!-G42,"")</f>
        <v>#REF!</v>
      </c>
      <c r="I42" s="672">
        <v>4</v>
      </c>
      <c r="J42" s="658" t="e">
        <f>+IF(I42&gt;0,#REF!-I42,"")</f>
        <v>#REF!</v>
      </c>
      <c r="K42" s="672">
        <v>4</v>
      </c>
      <c r="L42" s="658" t="e">
        <f>+IF(K42&gt;0,#REF!-K42,"")</f>
        <v>#REF!</v>
      </c>
      <c r="M42" s="672">
        <v>3.28</v>
      </c>
      <c r="N42" s="673" t="e">
        <f>+IF(M42&gt;0,#REF!-M42,"")</f>
        <v>#REF!</v>
      </c>
    </row>
    <row r="43" spans="1:71" s="112" customFormat="1" ht="19.2">
      <c r="A43" s="638" t="s">
        <v>222</v>
      </c>
      <c r="B43" s="654"/>
      <c r="C43" s="639"/>
      <c r="D43" s="663"/>
      <c r="E43" s="664"/>
      <c r="F43" s="665" t="str">
        <f>+IF(E43&gt;0,#REF!-E43,"")</f>
        <v/>
      </c>
      <c r="G43" s="666"/>
      <c r="H43" s="665" t="str">
        <f>+IF(G43&gt;0,#REF!-G43,"")</f>
        <v/>
      </c>
      <c r="I43" s="667"/>
      <c r="J43" s="665" t="str">
        <f>+IF(I43&gt;0,#REF!-I43,"")</f>
        <v/>
      </c>
      <c r="K43" s="667"/>
      <c r="L43" s="665" t="str">
        <f>+IF(K43&gt;0,#REF!-K43,"")</f>
        <v/>
      </c>
      <c r="M43" s="667"/>
      <c r="N43" s="668" t="str">
        <f>+IF(M43&gt;0,#REF!-M43,"")</f>
        <v/>
      </c>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row>
    <row r="44" spans="1:71" s="111" customFormat="1" ht="19.8">
      <c r="A44" s="654">
        <v>1</v>
      </c>
      <c r="B44" s="655" t="s">
        <v>223</v>
      </c>
      <c r="C44" s="654" t="s">
        <v>122</v>
      </c>
      <c r="D44" s="656">
        <v>2495</v>
      </c>
      <c r="E44" s="674">
        <v>11.5</v>
      </c>
      <c r="F44" s="658" t="e">
        <f>+IF(E44&gt;0,#REF!-E44,"")</f>
        <v>#REF!</v>
      </c>
      <c r="G44" s="363">
        <v>8</v>
      </c>
      <c r="H44" s="658" t="e">
        <f>+IF(G44&gt;0,#REF!-G44,"")</f>
        <v>#REF!</v>
      </c>
      <c r="I44" s="672">
        <v>9.5</v>
      </c>
      <c r="J44" s="658" t="e">
        <f>+IF(I44&gt;0,#REF!-I44,"")</f>
        <v>#REF!</v>
      </c>
      <c r="K44" s="672">
        <v>12</v>
      </c>
      <c r="L44" s="658" t="e">
        <f>+IF(K44&gt;0,#REF!-K44,"")</f>
        <v>#REF!</v>
      </c>
      <c r="M44" s="675">
        <v>31.8</v>
      </c>
      <c r="N44" s="661" t="e">
        <f>+IF(M44&gt;0,#REF!-M44,"")</f>
        <v>#REF!</v>
      </c>
    </row>
    <row r="45" spans="1:71" s="111" customFormat="1" ht="19.2">
      <c r="A45" s="654">
        <v>3</v>
      </c>
      <c r="B45" s="655" t="s">
        <v>224</v>
      </c>
      <c r="C45" s="654" t="s">
        <v>47</v>
      </c>
      <c r="D45" s="656">
        <v>263</v>
      </c>
      <c r="E45" s="674">
        <v>1.5</v>
      </c>
      <c r="F45" s="658" t="e">
        <f>+IF(E45&gt;0,#REF!-E45,"")</f>
        <v>#REF!</v>
      </c>
      <c r="G45" s="363">
        <v>1.5</v>
      </c>
      <c r="H45" s="658" t="e">
        <f>+IF(G45&gt;0,#REF!-G45,"")</f>
        <v>#REF!</v>
      </c>
      <c r="I45" s="672">
        <v>1.5</v>
      </c>
      <c r="J45" s="658" t="e">
        <f>+IF(I45&gt;0,#REF!-I45,"")</f>
        <v>#REF!</v>
      </c>
      <c r="K45" s="672">
        <v>2.5</v>
      </c>
      <c r="L45" s="658" t="e">
        <f>+IF(K45&gt;0,#REF!-K45,"")</f>
        <v>#REF!</v>
      </c>
      <c r="M45" s="675">
        <v>1.2301988540613413</v>
      </c>
      <c r="N45" s="661" t="e">
        <f>+IF(M45&gt;0,#REF!-M45,"")</f>
        <v>#REF!</v>
      </c>
    </row>
    <row r="46" spans="1:71" s="112" customFormat="1" ht="19.2">
      <c r="A46" s="638" t="s">
        <v>225</v>
      </c>
      <c r="B46" s="654"/>
      <c r="C46" s="639"/>
      <c r="D46" s="663"/>
      <c r="E46" s="664"/>
      <c r="F46" s="665" t="str">
        <f>+IF(E46&gt;0,#REF!-E46,"")</f>
        <v/>
      </c>
      <c r="G46" s="666"/>
      <c r="H46" s="665" t="str">
        <f>+IF(G46&gt;0,#REF!-G46,"")</f>
        <v/>
      </c>
      <c r="I46" s="667"/>
      <c r="J46" s="665" t="str">
        <f>+IF(I46&gt;0,#REF!-I46,"")</f>
        <v/>
      </c>
      <c r="K46" s="667"/>
      <c r="L46" s="665" t="str">
        <f>+IF(K46&gt;0,#REF!-K46,"")</f>
        <v/>
      </c>
      <c r="M46" s="667"/>
      <c r="N46" s="668" t="str">
        <f>+IF(M46&gt;0,#REF!-M46,"")</f>
        <v/>
      </c>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c r="AS46" s="111"/>
      <c r="AT46" s="111"/>
      <c r="AU46" s="111"/>
      <c r="AV46" s="111"/>
      <c r="AW46" s="111"/>
      <c r="AX46" s="111"/>
      <c r="AY46" s="111"/>
      <c r="AZ46" s="111"/>
      <c r="BA46" s="111"/>
      <c r="BB46" s="111"/>
      <c r="BC46" s="111"/>
      <c r="BD46" s="111"/>
      <c r="BE46" s="111"/>
      <c r="BF46" s="111"/>
      <c r="BG46" s="111"/>
      <c r="BH46" s="111"/>
      <c r="BI46" s="111"/>
      <c r="BJ46" s="111"/>
      <c r="BK46" s="111"/>
      <c r="BL46" s="111"/>
      <c r="BM46" s="111"/>
      <c r="BN46" s="111"/>
      <c r="BO46" s="111"/>
      <c r="BP46" s="111"/>
      <c r="BQ46" s="111"/>
      <c r="BR46" s="111"/>
      <c r="BS46" s="111"/>
    </row>
    <row r="47" spans="1:71" s="111" customFormat="1" ht="19.8">
      <c r="A47" s="654">
        <v>1</v>
      </c>
      <c r="B47" s="655" t="s">
        <v>226</v>
      </c>
      <c r="C47" s="654" t="s">
        <v>1104</v>
      </c>
      <c r="D47" s="656">
        <v>3285.5</v>
      </c>
      <c r="E47" s="674"/>
      <c r="F47" s="658" t="str">
        <f>+IF(E47&gt;0,#REF!-E47,"")</f>
        <v/>
      </c>
      <c r="G47" s="363">
        <v>9.16</v>
      </c>
      <c r="H47" s="658" t="e">
        <f>+IF(G47&gt;0,#REF!-G47,"")</f>
        <v>#REF!</v>
      </c>
      <c r="I47" s="672">
        <v>9.91</v>
      </c>
      <c r="J47" s="658" t="e">
        <f>+IF(I47&gt;0,#REF!-I47,"")</f>
        <v>#REF!</v>
      </c>
      <c r="K47" s="672">
        <v>27.5</v>
      </c>
      <c r="L47" s="658" t="e">
        <f>+IF(K47&gt;0,#REF!-K47,"")</f>
        <v>#REF!</v>
      </c>
      <c r="M47" s="675"/>
      <c r="N47" s="661" t="str">
        <f>+IF(M47&gt;0,#REF!-M47,"")</f>
        <v/>
      </c>
    </row>
    <row r="48" spans="1:71" s="111" customFormat="1" ht="19.8">
      <c r="A48" s="654">
        <v>2</v>
      </c>
      <c r="B48" s="655" t="s">
        <v>761</v>
      </c>
      <c r="C48" s="654" t="s">
        <v>1104</v>
      </c>
      <c r="D48" s="656">
        <v>3030</v>
      </c>
      <c r="E48" s="674"/>
      <c r="F48" s="658"/>
      <c r="G48" s="363"/>
      <c r="H48" s="658"/>
      <c r="I48" s="672"/>
      <c r="J48" s="658"/>
      <c r="K48" s="672"/>
      <c r="L48" s="658"/>
      <c r="M48" s="675"/>
      <c r="N48" s="661"/>
    </row>
    <row r="49" spans="1:14" s="618" customFormat="1" ht="19.2">
      <c r="A49" s="2389" t="s">
        <v>1072</v>
      </c>
      <c r="B49" s="2390"/>
      <c r="C49" s="647"/>
      <c r="D49" s="649"/>
      <c r="E49" s="677"/>
      <c r="F49" s="651"/>
      <c r="G49" s="647"/>
      <c r="H49" s="651"/>
      <c r="I49" s="678"/>
      <c r="J49" s="651"/>
      <c r="K49" s="678"/>
      <c r="L49" s="651"/>
      <c r="M49" s="678"/>
      <c r="N49" s="653"/>
    </row>
    <row r="50" spans="1:14" s="618" customFormat="1" ht="19.2">
      <c r="A50" s="647">
        <v>1</v>
      </c>
      <c r="B50" s="681" t="s">
        <v>1074</v>
      </c>
      <c r="C50" s="682" t="s">
        <v>21</v>
      </c>
      <c r="D50" s="683">
        <v>5582.5</v>
      </c>
      <c r="E50" s="677"/>
      <c r="F50" s="651"/>
      <c r="G50" s="647"/>
      <c r="H50" s="651"/>
      <c r="I50" s="678"/>
      <c r="J50" s="651"/>
      <c r="K50" s="678"/>
      <c r="L50" s="651"/>
      <c r="M50" s="678"/>
      <c r="N50" s="653"/>
    </row>
    <row r="51" spans="1:14" s="618" customFormat="1" ht="19.2">
      <c r="A51" s="647">
        <v>2</v>
      </c>
      <c r="B51" s="681" t="s">
        <v>1075</v>
      </c>
      <c r="C51" s="682" t="s">
        <v>21</v>
      </c>
      <c r="D51" s="683">
        <v>7076</v>
      </c>
      <c r="E51" s="677"/>
      <c r="F51" s="651"/>
      <c r="G51" s="647"/>
      <c r="H51" s="651"/>
      <c r="I51" s="678"/>
      <c r="J51" s="651"/>
      <c r="K51" s="678"/>
      <c r="L51" s="651"/>
      <c r="M51" s="678"/>
      <c r="N51" s="653"/>
    </row>
    <row r="52" spans="1:14" s="618" customFormat="1" ht="19.2">
      <c r="A52" s="647">
        <v>3</v>
      </c>
      <c r="B52" s="681" t="s">
        <v>1086</v>
      </c>
      <c r="C52" s="682" t="s">
        <v>21</v>
      </c>
      <c r="D52" s="683">
        <v>8373</v>
      </c>
      <c r="E52" s="677"/>
      <c r="F52" s="651"/>
      <c r="G52" s="647"/>
      <c r="H52" s="651"/>
      <c r="I52" s="678"/>
      <c r="J52" s="651"/>
      <c r="K52" s="678"/>
      <c r="L52" s="651"/>
      <c r="M52" s="678"/>
      <c r="N52" s="653"/>
    </row>
    <row r="53" spans="1:14" s="111" customFormat="1" ht="19.2">
      <c r="A53" s="654">
        <v>4</v>
      </c>
      <c r="B53" s="655" t="s">
        <v>1031</v>
      </c>
      <c r="C53" s="654"/>
      <c r="D53" s="656"/>
      <c r="E53" s="674"/>
      <c r="F53" s="658"/>
      <c r="G53" s="363"/>
      <c r="H53" s="658"/>
      <c r="I53" s="672"/>
      <c r="J53" s="658"/>
      <c r="K53" s="672"/>
      <c r="L53" s="658"/>
      <c r="M53" s="675"/>
      <c r="N53" s="661"/>
    </row>
    <row r="54" spans="1:14" s="111" customFormat="1" ht="19.2">
      <c r="A54" s="654">
        <v>5</v>
      </c>
      <c r="B54" s="655" t="s">
        <v>1024</v>
      </c>
      <c r="C54" s="654" t="s">
        <v>19</v>
      </c>
      <c r="D54" s="656">
        <v>2124</v>
      </c>
      <c r="E54" s="674"/>
      <c r="F54" s="658"/>
      <c r="G54" s="363"/>
      <c r="H54" s="658"/>
      <c r="I54" s="672"/>
      <c r="J54" s="658"/>
      <c r="K54" s="672"/>
      <c r="L54" s="658"/>
      <c r="M54" s="675"/>
      <c r="N54" s="661"/>
    </row>
    <row r="55" spans="1:14" s="111" customFormat="1" ht="19.2">
      <c r="A55" s="654">
        <v>6</v>
      </c>
      <c r="B55" s="655" t="s">
        <v>1025</v>
      </c>
      <c r="C55" s="654" t="s">
        <v>19</v>
      </c>
      <c r="D55" s="656">
        <v>4249</v>
      </c>
      <c r="E55" s="674"/>
      <c r="F55" s="658"/>
      <c r="G55" s="363"/>
      <c r="H55" s="658"/>
      <c r="I55" s="672"/>
      <c r="J55" s="658"/>
      <c r="K55" s="672"/>
      <c r="L55" s="658"/>
      <c r="M55" s="675"/>
      <c r="N55" s="661"/>
    </row>
    <row r="56" spans="1:14" s="111" customFormat="1" ht="19.2">
      <c r="A56" s="654">
        <v>7</v>
      </c>
      <c r="B56" s="655" t="s">
        <v>1032</v>
      </c>
      <c r="C56" s="654"/>
      <c r="D56" s="656"/>
      <c r="E56" s="674"/>
      <c r="F56" s="658"/>
      <c r="G56" s="363"/>
      <c r="H56" s="658"/>
      <c r="I56" s="672"/>
      <c r="J56" s="658"/>
      <c r="K56" s="672"/>
      <c r="L56" s="658"/>
      <c r="M56" s="675"/>
      <c r="N56" s="661"/>
    </row>
    <row r="57" spans="1:14" s="111" customFormat="1" ht="19.2">
      <c r="A57" s="654">
        <v>8</v>
      </c>
      <c r="B57" s="655" t="s">
        <v>1024</v>
      </c>
      <c r="C57" s="654" t="s">
        <v>19</v>
      </c>
      <c r="D57" s="656"/>
      <c r="E57" s="674"/>
      <c r="F57" s="658"/>
      <c r="G57" s="363"/>
      <c r="H57" s="658"/>
      <c r="I57" s="672"/>
      <c r="J57" s="658"/>
      <c r="K57" s="672"/>
      <c r="L57" s="658"/>
      <c r="M57" s="675"/>
      <c r="N57" s="661"/>
    </row>
    <row r="58" spans="1:14" s="111" customFormat="1" ht="19.2">
      <c r="A58" s="654">
        <v>9</v>
      </c>
      <c r="B58" s="655" t="s">
        <v>1025</v>
      </c>
      <c r="C58" s="654" t="s">
        <v>19</v>
      </c>
      <c r="D58" s="656">
        <v>5247</v>
      </c>
      <c r="E58" s="674"/>
      <c r="F58" s="658"/>
      <c r="G58" s="363"/>
      <c r="H58" s="658"/>
      <c r="I58" s="672"/>
      <c r="J58" s="658"/>
      <c r="K58" s="672"/>
      <c r="L58" s="658"/>
      <c r="M58" s="675"/>
      <c r="N58" s="661"/>
    </row>
    <row r="59" spans="1:14" s="111" customFormat="1" ht="19.2">
      <c r="A59" s="654">
        <v>10</v>
      </c>
      <c r="B59" s="655" t="s">
        <v>1026</v>
      </c>
      <c r="C59" s="654" t="s">
        <v>19</v>
      </c>
      <c r="D59" s="656">
        <v>7870</v>
      </c>
      <c r="E59" s="674"/>
      <c r="F59" s="658"/>
      <c r="G59" s="363"/>
      <c r="H59" s="658"/>
      <c r="I59" s="672"/>
      <c r="J59" s="658"/>
      <c r="K59" s="672"/>
      <c r="L59" s="658"/>
      <c r="M59" s="675"/>
      <c r="N59" s="661"/>
    </row>
    <row r="60" spans="1:14" s="111" customFormat="1" ht="19.2">
      <c r="A60" s="654">
        <v>11</v>
      </c>
      <c r="B60" s="655" t="s">
        <v>1027</v>
      </c>
      <c r="C60" s="654" t="s">
        <v>19</v>
      </c>
      <c r="D60" s="656">
        <v>10493</v>
      </c>
      <c r="E60" s="674"/>
      <c r="F60" s="658"/>
      <c r="G60" s="363"/>
      <c r="H60" s="658"/>
      <c r="I60" s="672"/>
      <c r="J60" s="658"/>
      <c r="K60" s="672"/>
      <c r="L60" s="658"/>
      <c r="M60" s="675"/>
      <c r="N60" s="661"/>
    </row>
    <row r="61" spans="1:14" s="111" customFormat="1" ht="19.2">
      <c r="A61" s="654">
        <v>12</v>
      </c>
      <c r="B61" s="655" t="s">
        <v>1076</v>
      </c>
      <c r="C61" s="654" t="s">
        <v>1079</v>
      </c>
      <c r="D61" s="656">
        <v>4292.5</v>
      </c>
      <c r="E61" s="674"/>
      <c r="F61" s="658"/>
      <c r="G61" s="363"/>
      <c r="H61" s="658"/>
      <c r="I61" s="672"/>
      <c r="J61" s="658"/>
      <c r="K61" s="672"/>
      <c r="L61" s="658"/>
      <c r="M61" s="675"/>
      <c r="N61" s="661"/>
    </row>
    <row r="62" spans="1:14" s="111" customFormat="1" ht="19.2">
      <c r="A62" s="654"/>
      <c r="B62" s="655" t="s">
        <v>1183</v>
      </c>
      <c r="C62" s="654" t="s">
        <v>1079</v>
      </c>
      <c r="D62" s="656">
        <v>4030.4405219615846</v>
      </c>
      <c r="E62" s="674"/>
      <c r="F62" s="658"/>
      <c r="G62" s="363"/>
      <c r="H62" s="658"/>
      <c r="I62" s="672"/>
      <c r="J62" s="658"/>
      <c r="K62" s="672"/>
      <c r="L62" s="658"/>
      <c r="M62" s="675"/>
      <c r="N62" s="661"/>
    </row>
    <row r="63" spans="1:14" s="111" customFormat="1" ht="36">
      <c r="A63" s="654"/>
      <c r="B63" s="655" t="s">
        <v>1184</v>
      </c>
      <c r="C63" s="654" t="s">
        <v>21</v>
      </c>
      <c r="D63" s="656">
        <v>18551</v>
      </c>
      <c r="E63" s="674"/>
      <c r="F63" s="658"/>
      <c r="G63" s="363"/>
      <c r="H63" s="658"/>
      <c r="I63" s="672"/>
      <c r="J63" s="658"/>
      <c r="K63" s="672"/>
      <c r="L63" s="658"/>
      <c r="M63" s="675"/>
      <c r="N63" s="661"/>
    </row>
    <row r="64" spans="1:14" s="111" customFormat="1" ht="36">
      <c r="A64" s="654">
        <v>13</v>
      </c>
      <c r="B64" s="655" t="s">
        <v>1077</v>
      </c>
      <c r="C64" s="654" t="s">
        <v>21</v>
      </c>
      <c r="D64" s="656">
        <v>21369</v>
      </c>
      <c r="E64" s="674"/>
      <c r="F64" s="658"/>
      <c r="G64" s="363"/>
      <c r="H64" s="658"/>
      <c r="I64" s="672"/>
      <c r="J64" s="658"/>
      <c r="K64" s="672"/>
      <c r="L64" s="658"/>
      <c r="M64" s="675"/>
      <c r="N64" s="661"/>
    </row>
    <row r="65" spans="1:71" s="111" customFormat="1" ht="19.2">
      <c r="A65" s="654">
        <v>14</v>
      </c>
      <c r="B65" s="655" t="s">
        <v>1085</v>
      </c>
      <c r="C65" s="654" t="s">
        <v>1079</v>
      </c>
      <c r="D65" s="656">
        <v>7000</v>
      </c>
      <c r="E65" s="674"/>
      <c r="F65" s="658"/>
      <c r="G65" s="363"/>
      <c r="H65" s="658"/>
      <c r="I65" s="672"/>
      <c r="J65" s="658"/>
      <c r="K65" s="672"/>
      <c r="L65" s="658"/>
      <c r="M65" s="675"/>
      <c r="N65" s="661"/>
    </row>
    <row r="66" spans="1:71" s="111" customFormat="1" ht="19.2">
      <c r="A66" s="654">
        <v>15</v>
      </c>
      <c r="B66" s="655" t="s">
        <v>1078</v>
      </c>
      <c r="C66" s="654" t="s">
        <v>621</v>
      </c>
      <c r="D66" s="656">
        <v>141851.52917229832</v>
      </c>
      <c r="E66" s="674"/>
      <c r="F66" s="658"/>
      <c r="G66" s="363"/>
      <c r="H66" s="658"/>
      <c r="I66" s="672"/>
      <c r="J66" s="658"/>
      <c r="K66" s="672"/>
      <c r="L66" s="658"/>
      <c r="M66" s="675"/>
      <c r="N66" s="661"/>
    </row>
    <row r="67" spans="1:71" s="112" customFormat="1" ht="16.5" customHeight="1">
      <c r="A67" s="638" t="s">
        <v>227</v>
      </c>
      <c r="B67" s="654"/>
      <c r="C67" s="639"/>
      <c r="D67" s="663"/>
      <c r="E67" s="664"/>
      <c r="F67" s="665" t="str">
        <f>+IF(E67&gt;0,#REF!-E67,"")</f>
        <v/>
      </c>
      <c r="G67" s="666"/>
      <c r="H67" s="665" t="str">
        <f>+IF(G67&gt;0,#REF!-G67,"")</f>
        <v/>
      </c>
      <c r="I67" s="667"/>
      <c r="J67" s="665" t="str">
        <f>+IF(I67&gt;0,#REF!-I67,"")</f>
        <v/>
      </c>
      <c r="K67" s="667"/>
      <c r="L67" s="665" t="str">
        <f>+IF(K67&gt;0,#REF!-K67,"")</f>
        <v/>
      </c>
      <c r="M67" s="667"/>
      <c r="N67" s="668" t="str">
        <f>+IF(M67&gt;0,#REF!-M67,"")</f>
        <v/>
      </c>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11"/>
      <c r="BP67" s="111"/>
      <c r="BQ67" s="111"/>
      <c r="BR67" s="111"/>
      <c r="BS67" s="111"/>
    </row>
    <row r="68" spans="1:71" s="111" customFormat="1" ht="18.75" customHeight="1">
      <c r="A68" s="654" t="s">
        <v>228</v>
      </c>
      <c r="B68" s="655" t="s">
        <v>229</v>
      </c>
      <c r="C68" s="654" t="s">
        <v>1105</v>
      </c>
      <c r="D68" s="656">
        <v>229</v>
      </c>
      <c r="E68" s="674">
        <v>7.5</v>
      </c>
      <c r="F68" s="658" t="e">
        <f>+IF(E68&gt;0,#REF!-E68,"")</f>
        <v>#REF!</v>
      </c>
      <c r="G68" s="363">
        <v>6.5</v>
      </c>
      <c r="H68" s="658" t="e">
        <f>+IF(G68&gt;0,#REF!-G68,"")</f>
        <v>#REF!</v>
      </c>
      <c r="I68" s="672">
        <v>7</v>
      </c>
      <c r="J68" s="658" t="e">
        <f>+IF(I68&gt;0,#REF!-I68,"")</f>
        <v>#REF!</v>
      </c>
      <c r="K68" s="672">
        <v>7</v>
      </c>
      <c r="L68" s="658" t="e">
        <f>+IF(K68&gt;0,#REF!-K68,"")</f>
        <v>#REF!</v>
      </c>
      <c r="M68" s="675">
        <v>7</v>
      </c>
      <c r="N68" s="661" t="e">
        <f>+IF(M68&gt;0,#REF!-M68,"")</f>
        <v>#REF!</v>
      </c>
    </row>
    <row r="69" spans="1:71" s="111" customFormat="1" ht="19.2">
      <c r="A69" s="654" t="s">
        <v>217</v>
      </c>
      <c r="B69" s="655" t="s">
        <v>174</v>
      </c>
      <c r="C69" s="654" t="s">
        <v>27</v>
      </c>
      <c r="D69" s="656">
        <v>1245</v>
      </c>
      <c r="E69" s="674">
        <v>6.6</v>
      </c>
      <c r="F69" s="658" t="e">
        <f>+IF(E69&gt;0,#REF!-E69,"")</f>
        <v>#REF!</v>
      </c>
      <c r="G69" s="363">
        <v>24.53</v>
      </c>
      <c r="H69" s="658" t="e">
        <f>+IF(G69&gt;0,#REF!-G69,"")</f>
        <v>#REF!</v>
      </c>
      <c r="I69" s="672">
        <v>24.53</v>
      </c>
      <c r="J69" s="658" t="e">
        <f>+IF(I69&gt;0,#REF!-I69,"")</f>
        <v>#REF!</v>
      </c>
      <c r="K69" s="672">
        <v>6.6</v>
      </c>
      <c r="L69" s="658" t="e">
        <f>+IF(K69&gt;0,#REF!-K69,"")</f>
        <v>#REF!</v>
      </c>
      <c r="M69" s="672">
        <v>6.6</v>
      </c>
      <c r="N69" s="673" t="e">
        <f>+IF(M69&gt;0,#REF!-M69,"")</f>
        <v>#REF!</v>
      </c>
    </row>
    <row r="70" spans="1:71" s="111" customFormat="1" ht="19.8">
      <c r="A70" s="654" t="s">
        <v>214</v>
      </c>
      <c r="B70" s="655" t="s">
        <v>175</v>
      </c>
      <c r="C70" s="654" t="s">
        <v>1105</v>
      </c>
      <c r="D70" s="656">
        <v>1208</v>
      </c>
      <c r="E70" s="674">
        <v>16.100000000000001</v>
      </c>
      <c r="F70" s="658" t="e">
        <f>+IF(E70&gt;0,#REF!-E70,"")</f>
        <v>#REF!</v>
      </c>
      <c r="G70" s="363">
        <v>12.05</v>
      </c>
      <c r="H70" s="658" t="e">
        <f>+IF(G70&gt;0,#REF!-G70,"")</f>
        <v>#REF!</v>
      </c>
      <c r="I70" s="672">
        <v>12.05</v>
      </c>
      <c r="J70" s="658" t="e">
        <f>+IF(I70&gt;0,#REF!-I70,"")</f>
        <v>#REF!</v>
      </c>
      <c r="K70" s="672">
        <v>16.100000000000001</v>
      </c>
      <c r="L70" s="658" t="e">
        <f>+IF(K70&gt;0,#REF!-K70,"")</f>
        <v>#REF!</v>
      </c>
      <c r="M70" s="672">
        <v>16.100000000000001</v>
      </c>
      <c r="N70" s="673" t="e">
        <f>+IF(M70&gt;0,#REF!-M70,"")</f>
        <v>#REF!</v>
      </c>
    </row>
    <row r="71" spans="1:71" s="111" customFormat="1" ht="19.2">
      <c r="A71" s="654" t="s">
        <v>218</v>
      </c>
      <c r="B71" s="655" t="s">
        <v>176</v>
      </c>
      <c r="C71" s="654" t="s">
        <v>27</v>
      </c>
      <c r="D71" s="656">
        <v>1693</v>
      </c>
      <c r="E71" s="674">
        <v>16.600000000000001</v>
      </c>
      <c r="F71" s="658" t="e">
        <f>+IF(E71&gt;0,#REF!-E71,"")</f>
        <v>#REF!</v>
      </c>
      <c r="G71" s="363">
        <v>10.63</v>
      </c>
      <c r="H71" s="658" t="e">
        <f>+IF(G71&gt;0,#REF!-G71,"")</f>
        <v>#REF!</v>
      </c>
      <c r="I71" s="672">
        <v>10.63</v>
      </c>
      <c r="J71" s="658" t="e">
        <f>+IF(I71&gt;0,#REF!-I71,"")</f>
        <v>#REF!</v>
      </c>
      <c r="K71" s="672">
        <v>16.600000000000001</v>
      </c>
      <c r="L71" s="658" t="e">
        <f>+IF(K71&gt;0,#REF!-K71,"")</f>
        <v>#REF!</v>
      </c>
      <c r="M71" s="672">
        <v>16.600000000000001</v>
      </c>
      <c r="N71" s="673" t="e">
        <f>+IF(M71&gt;0,#REF!-M71,"")</f>
        <v>#REF!</v>
      </c>
    </row>
    <row r="72" spans="1:71" s="111" customFormat="1" ht="19.8">
      <c r="A72" s="654" t="s">
        <v>219</v>
      </c>
      <c r="B72" s="655" t="s">
        <v>230</v>
      </c>
      <c r="C72" s="654" t="s">
        <v>122</v>
      </c>
      <c r="D72" s="656">
        <v>3960</v>
      </c>
      <c r="E72" s="674">
        <v>97.2</v>
      </c>
      <c r="F72" s="658" t="e">
        <f>+IF(E72&gt;0,#REF!-E72,"")</f>
        <v>#REF!</v>
      </c>
      <c r="G72" s="363">
        <v>75</v>
      </c>
      <c r="H72" s="658" t="e">
        <f>+IF(G72&gt;0,#REF!-G72,"")</f>
        <v>#REF!</v>
      </c>
      <c r="I72" s="672">
        <v>75</v>
      </c>
      <c r="J72" s="658" t="e">
        <f>+IF(I72&gt;0,#REF!-I72,"")</f>
        <v>#REF!</v>
      </c>
      <c r="K72" s="672">
        <v>129.6</v>
      </c>
      <c r="L72" s="658" t="e">
        <f>+IF(K72&gt;0,#REF!-K72,"")</f>
        <v>#REF!</v>
      </c>
      <c r="M72" s="675">
        <v>97.2</v>
      </c>
      <c r="N72" s="661" t="e">
        <f>+IF(M72&gt;0,#REF!-M72,"")</f>
        <v>#REF!</v>
      </c>
    </row>
    <row r="73" spans="1:71" s="111" customFormat="1" ht="19.8">
      <c r="A73" s="654" t="s">
        <v>231</v>
      </c>
      <c r="B73" s="655" t="s">
        <v>232</v>
      </c>
      <c r="C73" s="654" t="s">
        <v>122</v>
      </c>
      <c r="D73" s="656">
        <v>3500</v>
      </c>
      <c r="E73" s="674">
        <v>50</v>
      </c>
      <c r="F73" s="658" t="e">
        <f>+IF(E73&gt;0,#REF!-E73,"")</f>
        <v>#REF!</v>
      </c>
      <c r="G73" s="363"/>
      <c r="H73" s="658" t="str">
        <f>+IF(G73&gt;0,#REF!-G73,"")</f>
        <v/>
      </c>
      <c r="I73" s="672"/>
      <c r="J73" s="658" t="str">
        <f>+IF(I73&gt;0,#REF!-I73,"")</f>
        <v/>
      </c>
      <c r="K73" s="672">
        <v>50</v>
      </c>
      <c r="L73" s="658" t="e">
        <f>+IF(K73&gt;0,#REF!-K73,"")</f>
        <v>#REF!</v>
      </c>
      <c r="M73" s="675">
        <v>65</v>
      </c>
      <c r="N73" s="661" t="e">
        <f>+IF(M73&gt;0,#REF!-M73,"")</f>
        <v>#REF!</v>
      </c>
    </row>
    <row r="74" spans="1:71" s="111" customFormat="1" ht="19.8">
      <c r="A74" s="654" t="s">
        <v>233</v>
      </c>
      <c r="B74" s="655" t="s">
        <v>234</v>
      </c>
      <c r="C74" s="654" t="s">
        <v>122</v>
      </c>
      <c r="D74" s="656">
        <v>5000</v>
      </c>
      <c r="E74" s="674">
        <v>121.5</v>
      </c>
      <c r="F74" s="658" t="e">
        <f>+IF(E74&gt;0,#REF!-E74,"")</f>
        <v>#REF!</v>
      </c>
      <c r="G74" s="363">
        <v>78</v>
      </c>
      <c r="H74" s="658" t="e">
        <f>+IF(G74&gt;0,#REF!-G74,"")</f>
        <v>#REF!</v>
      </c>
      <c r="I74" s="672">
        <v>78</v>
      </c>
      <c r="J74" s="658" t="e">
        <f>+IF(I74&gt;0,#REF!-I74,"")</f>
        <v>#REF!</v>
      </c>
      <c r="K74" s="672">
        <v>121.5</v>
      </c>
      <c r="L74" s="658" t="e">
        <f>+IF(K74&gt;0,#REF!-K74,"")</f>
        <v>#REF!</v>
      </c>
      <c r="M74" s="675">
        <v>121.5</v>
      </c>
      <c r="N74" s="661" t="e">
        <f>+IF(M74&gt;0,#REF!-M74,"")</f>
        <v>#REF!</v>
      </c>
    </row>
    <row r="75" spans="1:71" ht="18">
      <c r="A75" s="654" t="s">
        <v>235</v>
      </c>
      <c r="B75" s="655" t="s">
        <v>236</v>
      </c>
      <c r="C75" s="363" t="s">
        <v>46</v>
      </c>
      <c r="D75" s="684">
        <v>200.98</v>
      </c>
      <c r="E75" s="685"/>
      <c r="F75" s="686"/>
      <c r="G75" s="109"/>
      <c r="H75" s="625"/>
      <c r="I75" s="685"/>
      <c r="J75" s="625"/>
      <c r="K75" s="685"/>
      <c r="L75" s="625"/>
      <c r="M75" s="687"/>
      <c r="N75" s="688"/>
    </row>
    <row r="76" spans="1:71" ht="18">
      <c r="A76" s="654" t="s">
        <v>1081</v>
      </c>
      <c r="B76" s="363" t="s">
        <v>1080</v>
      </c>
      <c r="C76" s="363" t="s">
        <v>21</v>
      </c>
      <c r="D76" s="363">
        <v>1515</v>
      </c>
      <c r="E76" s="685"/>
      <c r="F76" s="686"/>
      <c r="G76" s="109"/>
      <c r="H76" s="625"/>
      <c r="I76" s="685"/>
      <c r="J76" s="625"/>
      <c r="K76" s="685"/>
      <c r="L76" s="625"/>
      <c r="M76" s="687"/>
      <c r="N76" s="688"/>
    </row>
    <row r="77" spans="1:71" ht="18">
      <c r="A77" s="654" t="s">
        <v>1083</v>
      </c>
      <c r="B77" s="363" t="s">
        <v>1082</v>
      </c>
      <c r="C77" s="363" t="s">
        <v>21</v>
      </c>
      <c r="D77" s="363">
        <v>558</v>
      </c>
      <c r="E77" s="685"/>
      <c r="F77" s="686"/>
      <c r="G77" s="109"/>
      <c r="H77" s="625"/>
      <c r="I77" s="685"/>
      <c r="J77" s="625"/>
      <c r="K77" s="685"/>
      <c r="L77" s="625"/>
      <c r="M77" s="687"/>
      <c r="N77" s="688"/>
    </row>
    <row r="78" spans="1:71" ht="18">
      <c r="A78" s="654" t="s">
        <v>1087</v>
      </c>
      <c r="B78" s="363" t="s">
        <v>1068</v>
      </c>
      <c r="C78" s="363" t="s">
        <v>21</v>
      </c>
      <c r="D78" s="363">
        <v>13064</v>
      </c>
      <c r="E78" s="685"/>
      <c r="F78" s="686"/>
      <c r="G78" s="109"/>
      <c r="H78" s="625"/>
      <c r="I78" s="685"/>
      <c r="J78" s="625"/>
      <c r="K78" s="685"/>
      <c r="L78" s="625"/>
      <c r="M78" s="687"/>
      <c r="N78" s="688"/>
    </row>
    <row r="79" spans="1:71" ht="18">
      <c r="A79" s="654" t="s">
        <v>1088</v>
      </c>
      <c r="B79" s="363" t="s">
        <v>1089</v>
      </c>
      <c r="C79" s="363" t="s">
        <v>21</v>
      </c>
      <c r="D79" s="363">
        <v>1814</v>
      </c>
      <c r="E79" s="685"/>
      <c r="F79" s="686"/>
      <c r="G79" s="109"/>
      <c r="H79" s="625"/>
      <c r="I79" s="685"/>
      <c r="J79" s="625"/>
      <c r="K79" s="685"/>
      <c r="L79" s="625"/>
      <c r="M79" s="687"/>
      <c r="N79" s="688"/>
    </row>
    <row r="80" spans="1:71" ht="19.8">
      <c r="A80" s="654" t="s">
        <v>1090</v>
      </c>
      <c r="B80" s="363" t="s">
        <v>1052</v>
      </c>
      <c r="C80" s="654" t="s">
        <v>122</v>
      </c>
      <c r="D80" s="684">
        <v>5974</v>
      </c>
      <c r="E80" s="685"/>
      <c r="F80" s="686"/>
      <c r="G80" s="109"/>
      <c r="H80" s="625"/>
      <c r="I80" s="685"/>
      <c r="J80" s="625"/>
      <c r="K80" s="685"/>
      <c r="L80" s="625"/>
      <c r="M80" s="687"/>
      <c r="N80" s="688"/>
    </row>
    <row r="81" spans="1:14" ht="19.8">
      <c r="A81" s="654" t="s">
        <v>1091</v>
      </c>
      <c r="B81" s="363" t="s">
        <v>1057</v>
      </c>
      <c r="C81" s="654" t="s">
        <v>122</v>
      </c>
      <c r="D81" s="684">
        <v>424.37</v>
      </c>
      <c r="E81" s="685"/>
      <c r="F81" s="686"/>
      <c r="G81" s="109"/>
      <c r="H81" s="625"/>
      <c r="I81" s="685"/>
      <c r="J81" s="625"/>
      <c r="K81" s="685"/>
      <c r="L81" s="625"/>
      <c r="M81" s="687"/>
      <c r="N81" s="688"/>
    </row>
    <row r="82" spans="1:14" ht="19.8">
      <c r="A82" s="654" t="s">
        <v>1092</v>
      </c>
      <c r="B82" s="363" t="s">
        <v>1058</v>
      </c>
      <c r="C82" s="654" t="s">
        <v>122</v>
      </c>
      <c r="D82" s="684">
        <v>538.35</v>
      </c>
      <c r="E82" s="685"/>
      <c r="F82" s="686"/>
      <c r="G82" s="109"/>
      <c r="H82" s="625"/>
      <c r="I82" s="685"/>
      <c r="J82" s="625"/>
      <c r="K82" s="685"/>
      <c r="L82" s="625"/>
      <c r="M82" s="687"/>
      <c r="N82" s="688"/>
    </row>
    <row r="83" spans="1:14" ht="18">
      <c r="A83" s="654" t="s">
        <v>1093</v>
      </c>
      <c r="B83" s="752" t="s">
        <v>224</v>
      </c>
      <c r="C83" s="363" t="s">
        <v>47</v>
      </c>
      <c r="D83" s="684">
        <v>512.91</v>
      </c>
      <c r="E83" s="685"/>
      <c r="F83" s="686"/>
      <c r="G83" s="109"/>
      <c r="H83" s="625"/>
      <c r="I83" s="685"/>
      <c r="J83" s="625"/>
      <c r="K83" s="685"/>
      <c r="L83" s="625"/>
      <c r="M83" s="687"/>
      <c r="N83" s="688"/>
    </row>
    <row r="84" spans="1:14" ht="18">
      <c r="A84" s="654" t="s">
        <v>1094</v>
      </c>
      <c r="B84" s="363" t="s">
        <v>1059</v>
      </c>
      <c r="C84" s="363" t="s">
        <v>25</v>
      </c>
      <c r="D84" s="684">
        <v>127617.85519999999</v>
      </c>
      <c r="E84" s="685"/>
      <c r="F84" s="686"/>
      <c r="G84" s="109"/>
      <c r="H84" s="625"/>
      <c r="I84" s="685"/>
      <c r="J84" s="625"/>
      <c r="K84" s="685"/>
      <c r="L84" s="625"/>
      <c r="M84" s="687"/>
      <c r="N84" s="688"/>
    </row>
    <row r="85" spans="1:14" ht="19.8">
      <c r="A85" s="654" t="s">
        <v>1095</v>
      </c>
      <c r="B85" s="363" t="s">
        <v>1060</v>
      </c>
      <c r="C85" s="654" t="s">
        <v>122</v>
      </c>
      <c r="D85" s="684">
        <v>2032.29</v>
      </c>
      <c r="E85" s="685"/>
      <c r="F85" s="686"/>
      <c r="G85" s="109"/>
      <c r="H85" s="625"/>
      <c r="I85" s="685"/>
      <c r="J85" s="625"/>
      <c r="K85" s="685"/>
      <c r="L85" s="625"/>
      <c r="M85" s="687"/>
      <c r="N85" s="688"/>
    </row>
    <row r="86" spans="1:14" ht="18">
      <c r="A86" s="654" t="s">
        <v>1096</v>
      </c>
      <c r="B86" s="363" t="s">
        <v>1061</v>
      </c>
      <c r="C86" s="363" t="s">
        <v>46</v>
      </c>
      <c r="D86" s="684">
        <v>328.2</v>
      </c>
      <c r="E86" s="685"/>
      <c r="F86" s="686"/>
      <c r="G86" s="109"/>
      <c r="H86" s="625"/>
      <c r="I86" s="685"/>
      <c r="J86" s="625"/>
      <c r="K86" s="685"/>
      <c r="L86" s="625"/>
      <c r="M86" s="687"/>
      <c r="N86" s="688"/>
    </row>
    <row r="87" spans="1:14" ht="19.8">
      <c r="A87" s="654" t="s">
        <v>1097</v>
      </c>
      <c r="B87" s="363" t="s">
        <v>1133</v>
      </c>
      <c r="C87" s="654" t="s">
        <v>122</v>
      </c>
      <c r="D87" s="684">
        <v>12082</v>
      </c>
      <c r="E87" s="685"/>
      <c r="F87" s="686"/>
      <c r="G87" s="109"/>
      <c r="H87" s="625"/>
      <c r="I87" s="685"/>
      <c r="J87" s="625"/>
      <c r="K87" s="685"/>
      <c r="L87" s="625"/>
      <c r="M87" s="687"/>
      <c r="N87" s="688"/>
    </row>
    <row r="88" spans="1:14" ht="18">
      <c r="A88" s="654" t="s">
        <v>1102</v>
      </c>
      <c r="B88" s="363" t="s">
        <v>845</v>
      </c>
      <c r="C88" s="363" t="s">
        <v>27</v>
      </c>
      <c r="D88" s="363">
        <v>714</v>
      </c>
      <c r="E88" s="685"/>
      <c r="F88" s="686"/>
      <c r="G88" s="109"/>
      <c r="H88" s="625"/>
      <c r="I88" s="685">
        <v>714</v>
      </c>
      <c r="J88" s="625"/>
      <c r="K88" s="685"/>
      <c r="L88" s="625"/>
      <c r="M88" s="687"/>
      <c r="N88" s="688"/>
    </row>
    <row r="89" spans="1:14" ht="19.8">
      <c r="A89" s="654" t="s">
        <v>1103</v>
      </c>
      <c r="B89" s="363" t="s">
        <v>846</v>
      </c>
      <c r="C89" s="654" t="s">
        <v>1125</v>
      </c>
      <c r="D89" s="363">
        <v>1739</v>
      </c>
      <c r="E89" s="685"/>
      <c r="F89" s="686"/>
      <c r="G89" s="109"/>
      <c r="H89" s="625"/>
      <c r="I89" s="685">
        <v>1739</v>
      </c>
      <c r="J89" s="625"/>
      <c r="K89" s="685"/>
      <c r="L89" s="625"/>
      <c r="M89" s="687"/>
      <c r="N89" s="688"/>
    </row>
    <row r="90" spans="1:14" ht="18">
      <c r="A90" s="689" t="s">
        <v>1101</v>
      </c>
      <c r="B90" s="109" t="s">
        <v>1100</v>
      </c>
      <c r="D90" s="109"/>
      <c r="E90" s="685"/>
      <c r="F90" s="686"/>
      <c r="G90" s="109"/>
      <c r="H90" s="625"/>
      <c r="I90" s="685"/>
      <c r="J90" s="625"/>
      <c r="K90" s="685"/>
      <c r="L90" s="625"/>
      <c r="M90" s="687"/>
      <c r="N90" s="688"/>
    </row>
    <row r="91" spans="1:14">
      <c r="E91" s="114"/>
      <c r="F91" s="115"/>
      <c r="I91" s="114"/>
      <c r="K91" s="114"/>
      <c r="M91" s="116"/>
      <c r="N91" s="117"/>
    </row>
    <row r="92" spans="1:14">
      <c r="E92" s="114"/>
      <c r="F92" s="115"/>
      <c r="I92" s="114"/>
      <c r="K92" s="114"/>
      <c r="M92" s="116"/>
      <c r="N92" s="117"/>
    </row>
    <row r="93" spans="1:14">
      <c r="E93" s="114"/>
      <c r="F93" s="115"/>
      <c r="I93" s="114"/>
      <c r="K93" s="114"/>
      <c r="M93" s="116"/>
      <c r="N93" s="117"/>
    </row>
    <row r="94" spans="1:14">
      <c r="B94" s="119"/>
      <c r="E94" s="114"/>
      <c r="F94" s="115"/>
      <c r="I94" s="114"/>
      <c r="K94" s="114"/>
      <c r="M94" s="116"/>
      <c r="N94" s="117"/>
    </row>
    <row r="95" spans="1:14">
      <c r="B95" s="119"/>
      <c r="E95" s="114"/>
      <c r="F95" s="115"/>
      <c r="I95" s="114"/>
      <c r="K95" s="114"/>
      <c r="M95" s="116"/>
      <c r="N95" s="117"/>
    </row>
    <row r="96" spans="1:14">
      <c r="B96" s="120"/>
      <c r="E96" s="114"/>
      <c r="F96" s="115"/>
      <c r="I96" s="114"/>
      <c r="K96" s="114"/>
      <c r="M96" s="116"/>
      <c r="N96" s="117"/>
    </row>
  </sheetData>
  <mergeCells count="2">
    <mergeCell ref="A49:B49"/>
    <mergeCell ref="A22:B22"/>
  </mergeCells>
  <printOptions horizontalCentered="1"/>
  <pageMargins left="0.75" right="0.75" top="0.75" bottom="0.75" header="0.3" footer="0.3"/>
  <pageSetup paperSize="9" scale="78" orientation="portrait" r:id="rId1"/>
  <headerFooter scaleWithDoc="0">
    <oddHeader>&amp;LHydro-Consult Engineering Limited&amp;RRahughat Mangale Hydroelectric Project</oddHeader>
    <oddFooter>&amp;C&amp;P of &amp;N</oddFooter>
  </headerFooter>
  <rowBreaks count="1" manualBreakCount="1">
    <brk id="42" max="11" man="1"/>
  </rowBreaks>
  <legacy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5"/>
  <dimension ref="A1:F26"/>
  <sheetViews>
    <sheetView workbookViewId="0">
      <selection sqref="A1:E1"/>
    </sheetView>
  </sheetViews>
  <sheetFormatPr defaultRowHeight="13.2"/>
  <cols>
    <col min="1" max="1" width="45.44140625" customWidth="1"/>
    <col min="2" max="3" width="22" customWidth="1"/>
    <col min="4" max="4" width="12" customWidth="1"/>
    <col min="5" max="5" width="10.44140625" customWidth="1"/>
    <col min="6" max="6" width="10.33203125" bestFit="1" customWidth="1"/>
  </cols>
  <sheetData>
    <row r="1" spans="1:6" ht="13.8" thickBot="1">
      <c r="A1" s="2393" t="s">
        <v>1120</v>
      </c>
      <c r="B1" s="2393"/>
      <c r="C1" s="2393"/>
      <c r="D1" s="2393"/>
      <c r="E1" s="2393"/>
    </row>
    <row r="2" spans="1:6" ht="18">
      <c r="A2" s="2396" t="s">
        <v>856</v>
      </c>
      <c r="B2" s="695" t="s">
        <v>857</v>
      </c>
      <c r="C2" s="695" t="s">
        <v>857</v>
      </c>
      <c r="D2" s="2398" t="s">
        <v>300</v>
      </c>
      <c r="E2" s="2400" t="s">
        <v>1114</v>
      </c>
      <c r="F2" s="2394" t="s">
        <v>1128</v>
      </c>
    </row>
    <row r="3" spans="1:6" ht="18.600000000000001" thickBot="1">
      <c r="A3" s="2397"/>
      <c r="B3" s="696" t="s">
        <v>1112</v>
      </c>
      <c r="C3" s="696" t="s">
        <v>1130</v>
      </c>
      <c r="D3" s="2399"/>
      <c r="E3" s="2401"/>
      <c r="F3" s="2395"/>
    </row>
    <row r="4" spans="1:6" ht="18">
      <c r="A4" s="690" t="s">
        <v>958</v>
      </c>
      <c r="B4" s="695" t="s">
        <v>1113</v>
      </c>
      <c r="C4" s="695" t="s">
        <v>1113</v>
      </c>
      <c r="D4" s="695"/>
      <c r="E4" s="692"/>
      <c r="F4" s="692"/>
    </row>
    <row r="5" spans="1:6" ht="18">
      <c r="A5" s="508" t="s">
        <v>560</v>
      </c>
      <c r="B5" s="701" t="e">
        <f>'BoQ Summary_with cost '!$F16</f>
        <v>#REF!</v>
      </c>
      <c r="C5" s="735" t="e">
        <f>B5/10^6</f>
        <v>#REF!</v>
      </c>
      <c r="D5" s="88"/>
      <c r="E5" s="693" t="str">
        <f>IF(D5&gt;1,B5/D5,"-")</f>
        <v>-</v>
      </c>
      <c r="F5" s="730" t="e">
        <f t="shared" ref="F5:F25" si="0">B5/B$26</f>
        <v>#REF!</v>
      </c>
    </row>
    <row r="6" spans="1:6" ht="18">
      <c r="A6" s="508" t="s">
        <v>764</v>
      </c>
      <c r="B6" s="701" t="e">
        <f>'BoQ Summary_with cost '!$F17</f>
        <v>#REF!</v>
      </c>
      <c r="C6" s="735" t="e">
        <f t="shared" ref="C6:C25" si="1">B6/10^6</f>
        <v>#REF!</v>
      </c>
      <c r="D6" s="88"/>
      <c r="E6" s="693" t="str">
        <f t="shared" ref="E6:E25" si="2">IF(D6&gt;1,B6/D6,"-")</f>
        <v>-</v>
      </c>
      <c r="F6" s="730" t="e">
        <f t="shared" si="0"/>
        <v>#REF!</v>
      </c>
    </row>
    <row r="7" spans="1:6" ht="18">
      <c r="A7" s="508" t="s">
        <v>852</v>
      </c>
      <c r="B7" s="701" t="e">
        <f>'BoQ Summary_with cost '!$F18</f>
        <v>#REF!</v>
      </c>
      <c r="C7" s="735" t="e">
        <f t="shared" si="1"/>
        <v>#REF!</v>
      </c>
      <c r="D7" s="88"/>
      <c r="E7" s="693" t="str">
        <f t="shared" si="2"/>
        <v>-</v>
      </c>
      <c r="F7" s="730" t="e">
        <f t="shared" si="0"/>
        <v>#REF!</v>
      </c>
    </row>
    <row r="8" spans="1:6" ht="18">
      <c r="A8" s="508" t="s">
        <v>765</v>
      </c>
      <c r="B8" s="701" t="e">
        <f>'BoQ Summary_with cost '!$F19</f>
        <v>#REF!</v>
      </c>
      <c r="C8" s="735" t="e">
        <f t="shared" si="1"/>
        <v>#REF!</v>
      </c>
      <c r="D8" s="88"/>
      <c r="E8" s="693" t="str">
        <f t="shared" si="2"/>
        <v>-</v>
      </c>
      <c r="F8" s="730" t="e">
        <f t="shared" si="0"/>
        <v>#REF!</v>
      </c>
    </row>
    <row r="9" spans="1:6" ht="18">
      <c r="A9" s="508" t="s">
        <v>778</v>
      </c>
      <c r="B9" s="701" t="e">
        <f>'BoQ Summary_with cost '!$F30</f>
        <v>#REF!</v>
      </c>
      <c r="C9" s="735" t="e">
        <f t="shared" si="1"/>
        <v>#REF!</v>
      </c>
      <c r="D9" s="88"/>
      <c r="E9" s="693" t="str">
        <f t="shared" si="2"/>
        <v>-</v>
      </c>
      <c r="F9" s="730" t="e">
        <f t="shared" si="0"/>
        <v>#REF!</v>
      </c>
    </row>
    <row r="10" spans="1:6" ht="18">
      <c r="A10" s="508" t="s">
        <v>736</v>
      </c>
      <c r="B10" s="701" t="e">
        <f>'BoQ Summary_with cost '!$F32</f>
        <v>#REF!</v>
      </c>
      <c r="C10" s="735" t="e">
        <f t="shared" si="1"/>
        <v>#REF!</v>
      </c>
      <c r="D10" s="88"/>
      <c r="E10" s="693" t="str">
        <f t="shared" si="2"/>
        <v>-</v>
      </c>
      <c r="F10" s="730" t="e">
        <f t="shared" si="0"/>
        <v>#REF!</v>
      </c>
    </row>
    <row r="11" spans="1:6" ht="18.600000000000001" thickBot="1">
      <c r="A11" s="720" t="s">
        <v>847</v>
      </c>
      <c r="B11" s="721" t="e">
        <f>'BoQ Summary_with cost '!#REF!</f>
        <v>#REF!</v>
      </c>
      <c r="C11" s="735" t="e">
        <f t="shared" si="1"/>
        <v>#REF!</v>
      </c>
      <c r="D11" s="722"/>
      <c r="E11" s="723" t="str">
        <f t="shared" si="2"/>
        <v>-</v>
      </c>
      <c r="F11" s="731" t="e">
        <f t="shared" si="0"/>
        <v>#REF!</v>
      </c>
    </row>
    <row r="12" spans="1:6" ht="18.600000000000001" thickBot="1">
      <c r="A12" s="743" t="s">
        <v>1121</v>
      </c>
      <c r="B12" s="744" t="e">
        <f>SUM(B5:B11)</f>
        <v>#REF!</v>
      </c>
      <c r="C12" s="745" t="e">
        <f>SUM(C5:C11)</f>
        <v>#REF!</v>
      </c>
      <c r="D12" s="746"/>
      <c r="E12" s="746"/>
      <c r="F12" s="747" t="e">
        <f t="shared" si="0"/>
        <v>#REF!</v>
      </c>
    </row>
    <row r="13" spans="1:6" ht="18">
      <c r="A13" s="690" t="s">
        <v>795</v>
      </c>
      <c r="B13" s="727" t="e">
        <f>'BoQ Summary_with cost '!$F33</f>
        <v>#REF!</v>
      </c>
      <c r="C13" s="735" t="e">
        <f t="shared" si="1"/>
        <v>#REF!</v>
      </c>
      <c r="D13" s="728"/>
      <c r="E13" s="729" t="str">
        <f t="shared" si="2"/>
        <v>-</v>
      </c>
      <c r="F13" s="732" t="e">
        <f t="shared" si="0"/>
        <v>#REF!</v>
      </c>
    </row>
    <row r="14" spans="1:6" ht="18">
      <c r="A14" s="508" t="s">
        <v>829</v>
      </c>
      <c r="B14" s="701" t="e">
        <f>'BoQ Summary_with cost '!$F34</f>
        <v>#REF!</v>
      </c>
      <c r="C14" s="735" t="e">
        <f t="shared" si="1"/>
        <v>#REF!</v>
      </c>
      <c r="D14" s="88"/>
      <c r="E14" s="724" t="str">
        <f t="shared" si="2"/>
        <v>-</v>
      </c>
      <c r="F14" s="733" t="e">
        <f t="shared" si="0"/>
        <v>#REF!</v>
      </c>
    </row>
    <row r="15" spans="1:6" ht="18">
      <c r="A15" s="508" t="s">
        <v>848</v>
      </c>
      <c r="B15" s="701" t="e">
        <f>'BoQ Summary_with cost '!$F35</f>
        <v>#REF!</v>
      </c>
      <c r="C15" s="735" t="e">
        <f t="shared" si="1"/>
        <v>#REF!</v>
      </c>
      <c r="D15" s="88"/>
      <c r="E15" s="724" t="str">
        <f t="shared" si="2"/>
        <v>-</v>
      </c>
      <c r="F15" s="733" t="e">
        <f t="shared" si="0"/>
        <v>#REF!</v>
      </c>
    </row>
    <row r="16" spans="1:6" ht="18">
      <c r="A16" s="508" t="s">
        <v>837</v>
      </c>
      <c r="B16" s="701" t="e">
        <f>'BoQ Summary_with cost '!$F37</f>
        <v>#REF!</v>
      </c>
      <c r="C16" s="735" t="e">
        <f t="shared" si="1"/>
        <v>#REF!</v>
      </c>
      <c r="D16" s="703">
        <v>360</v>
      </c>
      <c r="E16" s="725" t="e">
        <f t="shared" si="2"/>
        <v>#REF!</v>
      </c>
      <c r="F16" s="733" t="e">
        <f t="shared" si="0"/>
        <v>#REF!</v>
      </c>
    </row>
    <row r="17" spans="1:6" ht="18">
      <c r="A17" s="508" t="s">
        <v>330</v>
      </c>
      <c r="B17" s="701" t="e">
        <f>'BoQ Summary_with cost '!$F38</f>
        <v>#REF!</v>
      </c>
      <c r="C17" s="735" t="e">
        <f t="shared" si="1"/>
        <v>#REF!</v>
      </c>
      <c r="D17" s="703">
        <v>5179.8100000000004</v>
      </c>
      <c r="E17" s="725" t="e">
        <f t="shared" si="2"/>
        <v>#REF!</v>
      </c>
      <c r="F17" s="733" t="e">
        <f t="shared" si="0"/>
        <v>#REF!</v>
      </c>
    </row>
    <row r="18" spans="1:6" ht="18">
      <c r="A18" s="508" t="s">
        <v>298</v>
      </c>
      <c r="B18" s="701" t="e">
        <f>'BoQ Summary_with cost '!$F40</f>
        <v>#REF!</v>
      </c>
      <c r="C18" s="735" t="e">
        <f t="shared" si="1"/>
        <v>#REF!</v>
      </c>
      <c r="D18" s="703"/>
      <c r="E18" s="724" t="str">
        <f t="shared" si="2"/>
        <v>-</v>
      </c>
      <c r="F18" s="733" t="e">
        <f t="shared" si="0"/>
        <v>#REF!</v>
      </c>
    </row>
    <row r="19" spans="1:6" ht="18">
      <c r="A19" s="508" t="s">
        <v>653</v>
      </c>
      <c r="B19" s="701" t="e">
        <f>'BoQ Summary_with cost '!$F41</f>
        <v>#REF!</v>
      </c>
      <c r="C19" s="735" t="e">
        <f t="shared" si="1"/>
        <v>#REF!</v>
      </c>
      <c r="D19" s="703"/>
      <c r="E19" s="724" t="str">
        <f t="shared" si="2"/>
        <v>-</v>
      </c>
      <c r="F19" s="733" t="e">
        <f t="shared" si="0"/>
        <v>#REF!</v>
      </c>
    </row>
    <row r="20" spans="1:6" ht="18">
      <c r="A20" s="508" t="s">
        <v>840</v>
      </c>
      <c r="B20" s="701" t="e">
        <f>'BoQ Summary_with cost '!$F42</f>
        <v>#REF!</v>
      </c>
      <c r="C20" s="735" t="e">
        <f t="shared" si="1"/>
        <v>#REF!</v>
      </c>
      <c r="D20" s="703">
        <v>745.71299999999997</v>
      </c>
      <c r="E20" s="725" t="e">
        <f t="shared" si="2"/>
        <v>#REF!</v>
      </c>
      <c r="F20" s="733" t="e">
        <f t="shared" si="0"/>
        <v>#REF!</v>
      </c>
    </row>
    <row r="21" spans="1:6" ht="18">
      <c r="A21" s="508" t="s">
        <v>654</v>
      </c>
      <c r="B21" s="701" t="e">
        <f>'BoQ Summary_with cost '!$F49</f>
        <v>#REF!</v>
      </c>
      <c r="C21" s="735" t="e">
        <f t="shared" si="1"/>
        <v>#REF!</v>
      </c>
      <c r="D21" s="88"/>
      <c r="E21" s="725" t="str">
        <f t="shared" si="2"/>
        <v>-</v>
      </c>
      <c r="F21" s="733" t="e">
        <f t="shared" si="0"/>
        <v>#REF!</v>
      </c>
    </row>
    <row r="22" spans="1:6" ht="18.600000000000001" thickBot="1">
      <c r="A22" s="510" t="s">
        <v>299</v>
      </c>
      <c r="B22" s="702" t="e">
        <f>'BoQ Summary_with cost '!$F50</f>
        <v>#REF!</v>
      </c>
      <c r="C22" s="736" t="e">
        <f t="shared" si="1"/>
        <v>#REF!</v>
      </c>
      <c r="D22" s="691"/>
      <c r="E22" s="726" t="str">
        <f t="shared" si="2"/>
        <v>-</v>
      </c>
      <c r="F22" s="734" t="e">
        <f t="shared" si="0"/>
        <v>#REF!</v>
      </c>
    </row>
    <row r="23" spans="1:6" ht="18.600000000000001" thickBot="1">
      <c r="A23" s="737" t="s">
        <v>1129</v>
      </c>
      <c r="B23" s="738" t="e">
        <f>SUM(B13:B22)</f>
        <v>#REF!</v>
      </c>
      <c r="C23" s="739" t="e">
        <f>SUM(C13:C22)</f>
        <v>#REF!</v>
      </c>
      <c r="D23" s="740"/>
      <c r="E23" s="741"/>
      <c r="F23" s="742" t="e">
        <f t="shared" si="0"/>
        <v>#REF!</v>
      </c>
    </row>
    <row r="24" spans="1:6" ht="18">
      <c r="A24" s="690" t="s">
        <v>841</v>
      </c>
      <c r="B24" s="727" t="e">
        <f>'BoQ Summary_with cost '!$F51</f>
        <v>#REF!</v>
      </c>
      <c r="C24" s="736" t="e">
        <f t="shared" si="1"/>
        <v>#REF!</v>
      </c>
      <c r="D24" s="728"/>
      <c r="E24" s="729" t="str">
        <f t="shared" si="2"/>
        <v>-</v>
      </c>
      <c r="F24" s="732" t="e">
        <f t="shared" si="0"/>
        <v>#REF!</v>
      </c>
    </row>
    <row r="25" spans="1:6" ht="18.600000000000001" thickBot="1">
      <c r="A25" s="510" t="s">
        <v>655</v>
      </c>
      <c r="B25" s="702" t="e">
        <f>'BoQ Summary_with cost '!#REF!</f>
        <v>#REF!</v>
      </c>
      <c r="C25" s="736" t="e">
        <f t="shared" si="1"/>
        <v>#REF!</v>
      </c>
      <c r="D25" s="691"/>
      <c r="E25" s="726" t="str">
        <f t="shared" si="2"/>
        <v>-</v>
      </c>
      <c r="F25" s="734" t="e">
        <f t="shared" si="0"/>
        <v>#REF!</v>
      </c>
    </row>
    <row r="26" spans="1:6" ht="14.4" thickBot="1">
      <c r="A26" s="748" t="s">
        <v>1127</v>
      </c>
      <c r="B26" s="749" t="e">
        <f>SUM(B5:B11,B13:B22,B24:B25)</f>
        <v>#REF!</v>
      </c>
      <c r="C26" s="750" t="e">
        <f>SUM(C5:C11,C13:C22,C24:C25)</f>
        <v>#REF!</v>
      </c>
      <c r="D26" s="749"/>
      <c r="E26" s="749"/>
      <c r="F26" s="751" t="e">
        <f>SUM(F5:F11,F13:F22,F24:F25)</f>
        <v>#REF!</v>
      </c>
    </row>
  </sheetData>
  <mergeCells count="5">
    <mergeCell ref="A1:E1"/>
    <mergeCell ref="F2:F3"/>
    <mergeCell ref="A2:A3"/>
    <mergeCell ref="D2:D3"/>
    <mergeCell ref="E2:E3"/>
  </mergeCells>
  <printOptions horizontalCentered="1" verticalCentered="1"/>
  <pageMargins left="0.7" right="0.7" top="0.75" bottom="0.75" header="0.3" footer="0.3"/>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6"/>
  <dimension ref="A1:H24"/>
  <sheetViews>
    <sheetView workbookViewId="0"/>
  </sheetViews>
  <sheetFormatPr defaultRowHeight="13.2"/>
  <cols>
    <col min="1" max="1" width="46.88671875" customWidth="1"/>
    <col min="2" max="2" width="28.44140625" customWidth="1"/>
    <col min="3" max="3" width="23.33203125" customWidth="1"/>
    <col min="4" max="4" width="13.33203125" customWidth="1"/>
    <col min="8" max="8" width="11" bestFit="1" customWidth="1"/>
    <col min="9" max="9" width="15" customWidth="1"/>
  </cols>
  <sheetData>
    <row r="1" spans="1:8" ht="13.8" thickBot="1"/>
    <row r="2" spans="1:8" ht="18">
      <c r="A2" s="2396" t="s">
        <v>856</v>
      </c>
      <c r="B2" s="695" t="s">
        <v>857</v>
      </c>
      <c r="C2" s="715" t="s">
        <v>857</v>
      </c>
    </row>
    <row r="3" spans="1:8" ht="18.600000000000001" thickBot="1">
      <c r="A3" s="2397"/>
      <c r="B3" s="696" t="s">
        <v>858</v>
      </c>
      <c r="C3" s="716" t="s">
        <v>858</v>
      </c>
    </row>
    <row r="4" spans="1:8" ht="18">
      <c r="A4" s="690" t="s">
        <v>958</v>
      </c>
      <c r="B4" s="695"/>
      <c r="C4" s="715"/>
    </row>
    <row r="5" spans="1:8" ht="18">
      <c r="A5" s="508" t="s">
        <v>560</v>
      </c>
      <c r="B5" s="220" t="e">
        <f>'BoQ Summary_with cost '!F16</f>
        <v>#REF!</v>
      </c>
      <c r="C5" s="509"/>
    </row>
    <row r="6" spans="1:8" ht="18">
      <c r="A6" s="508" t="s">
        <v>764</v>
      </c>
      <c r="B6" s="220" t="e">
        <f>'BoQ Summary_with cost '!F17</f>
        <v>#REF!</v>
      </c>
      <c r="C6" s="509"/>
    </row>
    <row r="7" spans="1:8" ht="18">
      <c r="A7" s="508" t="s">
        <v>852</v>
      </c>
      <c r="B7" s="220" t="e">
        <f>'BoQ Summary_with cost '!F18</f>
        <v>#REF!</v>
      </c>
      <c r="C7" s="509"/>
    </row>
    <row r="8" spans="1:8" ht="18">
      <c r="A8" s="508" t="s">
        <v>765</v>
      </c>
      <c r="B8" s="220" t="e">
        <f>'BoQ Summary_with cost '!F19</f>
        <v>#REF!</v>
      </c>
      <c r="C8" s="509"/>
      <c r="H8" s="301"/>
    </row>
    <row r="9" spans="1:8" ht="18">
      <c r="A9" s="508" t="s">
        <v>778</v>
      </c>
      <c r="B9" s="220" t="e">
        <f>'BoQ Summary_with cost '!F30</f>
        <v>#REF!</v>
      </c>
      <c r="C9" s="509"/>
    </row>
    <row r="10" spans="1:8" ht="18">
      <c r="A10" s="508" t="s">
        <v>736</v>
      </c>
      <c r="B10" s="220" t="e">
        <f>'BoQ Summary_with cost '!F32</f>
        <v>#REF!</v>
      </c>
      <c r="C10" s="509"/>
    </row>
    <row r="11" spans="1:8" ht="18">
      <c r="A11" s="508" t="s">
        <v>847</v>
      </c>
      <c r="B11" s="220" t="e">
        <f>'BoQ Summary_with cost '!#REF!</f>
        <v>#REF!</v>
      </c>
      <c r="C11" s="509"/>
    </row>
    <row r="12" spans="1:8" ht="18">
      <c r="A12" s="718" t="s">
        <v>30</v>
      </c>
      <c r="B12" s="313" t="e">
        <f>SUM(B5:B11)</f>
        <v>#REF!</v>
      </c>
      <c r="C12" s="509">
        <f>(448332+3223721+451153)*75</f>
        <v>309240450</v>
      </c>
      <c r="D12" t="e">
        <f>B12-C12</f>
        <v>#REF!</v>
      </c>
      <c r="E12" t="e">
        <f t="shared" ref="E12:E24" si="0">IF(C12&gt;B12,C12-B12,0)</f>
        <v>#REF!</v>
      </c>
    </row>
    <row r="13" spans="1:8" ht="18">
      <c r="A13" s="508" t="s">
        <v>795</v>
      </c>
      <c r="B13" s="220" t="e">
        <f>'BoQ Summary_with cost '!F33</f>
        <v>#REF!</v>
      </c>
      <c r="C13" s="509"/>
      <c r="D13" t="e">
        <f t="shared" ref="D13:D24" si="1">IF(B13&gt;C13,B13-C13,0)</f>
        <v>#REF!</v>
      </c>
      <c r="E13" t="e">
        <f t="shared" si="0"/>
        <v>#REF!</v>
      </c>
    </row>
    <row r="14" spans="1:8" ht="18">
      <c r="A14" s="508" t="s">
        <v>829</v>
      </c>
      <c r="B14" s="220" t="e">
        <f>'BoQ Summary_with cost '!F34</f>
        <v>#REF!</v>
      </c>
      <c r="C14" s="509"/>
      <c r="D14" t="e">
        <f t="shared" si="1"/>
        <v>#REF!</v>
      </c>
      <c r="E14" t="e">
        <f t="shared" si="0"/>
        <v>#REF!</v>
      </c>
    </row>
    <row r="15" spans="1:8" ht="18">
      <c r="A15" s="508" t="s">
        <v>848</v>
      </c>
      <c r="B15" s="220" t="e">
        <f>'BoQ Summary_with cost '!F35</f>
        <v>#REF!</v>
      </c>
      <c r="C15" s="509"/>
      <c r="D15" t="e">
        <f t="shared" si="1"/>
        <v>#REF!</v>
      </c>
      <c r="E15" t="e">
        <f t="shared" si="0"/>
        <v>#REF!</v>
      </c>
    </row>
    <row r="16" spans="1:8" ht="18">
      <c r="A16" s="508" t="s">
        <v>837</v>
      </c>
      <c r="B16" s="220" t="e">
        <f>'BoQ Summary_with cost '!F37</f>
        <v>#REF!</v>
      </c>
      <c r="C16" s="509">
        <f>736484*75</f>
        <v>55236300</v>
      </c>
      <c r="D16" t="e">
        <f t="shared" si="1"/>
        <v>#REF!</v>
      </c>
      <c r="E16" t="e">
        <f t="shared" si="0"/>
        <v>#REF!</v>
      </c>
    </row>
    <row r="17" spans="1:5" ht="18">
      <c r="A17" s="508" t="s">
        <v>330</v>
      </c>
      <c r="B17" s="220" t="e">
        <f>'BoQ Summary_with cost '!F38</f>
        <v>#REF!</v>
      </c>
      <c r="C17" s="509">
        <f>9347839*75</f>
        <v>701087925</v>
      </c>
      <c r="D17" t="e">
        <f t="shared" si="1"/>
        <v>#REF!</v>
      </c>
      <c r="E17" t="e">
        <f t="shared" si="0"/>
        <v>#REF!</v>
      </c>
    </row>
    <row r="18" spans="1:5" ht="18">
      <c r="A18" s="508" t="s">
        <v>298</v>
      </c>
      <c r="B18" s="220" t="e">
        <f>'BoQ Summary_with cost '!F40</f>
        <v>#REF!</v>
      </c>
      <c r="C18" s="509">
        <f>468165*75</f>
        <v>35112375</v>
      </c>
      <c r="D18" t="e">
        <f t="shared" si="1"/>
        <v>#REF!</v>
      </c>
      <c r="E18" t="e">
        <f t="shared" si="0"/>
        <v>#REF!</v>
      </c>
    </row>
    <row r="19" spans="1:5" ht="18">
      <c r="A19" s="508" t="s">
        <v>653</v>
      </c>
      <c r="B19" s="220" t="e">
        <f>'BoQ Summary_with cost '!F41</f>
        <v>#REF!</v>
      </c>
      <c r="C19" s="509"/>
      <c r="D19" t="e">
        <f t="shared" si="1"/>
        <v>#REF!</v>
      </c>
      <c r="E19" t="e">
        <f t="shared" si="0"/>
        <v>#REF!</v>
      </c>
    </row>
    <row r="20" spans="1:5" ht="18">
      <c r="A20" s="508" t="s">
        <v>840</v>
      </c>
      <c r="B20" s="220" t="e">
        <f>'BoQ Summary_with cost '!F42</f>
        <v>#REF!</v>
      </c>
      <c r="C20" s="509">
        <f>323430*75</f>
        <v>24257250</v>
      </c>
      <c r="D20" t="e">
        <f t="shared" si="1"/>
        <v>#REF!</v>
      </c>
      <c r="E20" t="e">
        <f t="shared" si="0"/>
        <v>#REF!</v>
      </c>
    </row>
    <row r="21" spans="1:5" ht="18">
      <c r="A21" s="508" t="s">
        <v>654</v>
      </c>
      <c r="B21" s="220" t="e">
        <f>'BoQ Summary_with cost '!F49</f>
        <v>#REF!</v>
      </c>
      <c r="C21" s="509">
        <f>2299288*75</f>
        <v>172446600</v>
      </c>
      <c r="D21" t="e">
        <f t="shared" si="1"/>
        <v>#REF!</v>
      </c>
      <c r="E21" t="e">
        <f t="shared" si="0"/>
        <v>#REF!</v>
      </c>
    </row>
    <row r="22" spans="1:5" ht="18">
      <c r="A22" s="508" t="s">
        <v>299</v>
      </c>
      <c r="B22" s="220" t="e">
        <f>'BoQ Summary_with cost '!F50</f>
        <v>#REF!</v>
      </c>
      <c r="C22" s="509">
        <f>252511*75</f>
        <v>18938325</v>
      </c>
      <c r="D22" t="e">
        <f t="shared" si="1"/>
        <v>#REF!</v>
      </c>
      <c r="E22" t="e">
        <f t="shared" si="0"/>
        <v>#REF!</v>
      </c>
    </row>
    <row r="23" spans="1:5" ht="18">
      <c r="A23" s="508" t="s">
        <v>841</v>
      </c>
      <c r="B23" s="220" t="e">
        <f>'BoQ Summary_with cost '!F51</f>
        <v>#REF!</v>
      </c>
      <c r="C23" s="509">
        <f>154740*75</f>
        <v>11605500</v>
      </c>
      <c r="D23" t="e">
        <f t="shared" si="1"/>
        <v>#REF!</v>
      </c>
      <c r="E23" t="e">
        <f t="shared" si="0"/>
        <v>#REF!</v>
      </c>
    </row>
    <row r="24" spans="1:5" ht="18.600000000000001" thickBot="1">
      <c r="A24" s="510" t="s">
        <v>655</v>
      </c>
      <c r="B24" s="511" t="e">
        <f>'BoQ Summary_with cost '!#REF!</f>
        <v>#REF!</v>
      </c>
      <c r="C24" s="512"/>
      <c r="D24" t="e">
        <f t="shared" si="1"/>
        <v>#REF!</v>
      </c>
      <c r="E24" t="e">
        <f t="shared" si="0"/>
        <v>#REF!</v>
      </c>
    </row>
  </sheetData>
  <mergeCells count="1">
    <mergeCell ref="A2:A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2">
    <tabColor rgb="FF92D050"/>
    <pageSetUpPr fitToPage="1"/>
  </sheetPr>
  <dimension ref="A1:M65"/>
  <sheetViews>
    <sheetView workbookViewId="0">
      <selection sqref="A1:G1"/>
    </sheetView>
  </sheetViews>
  <sheetFormatPr defaultColWidth="9.109375" defaultRowHeight="16.8"/>
  <cols>
    <col min="1" max="1" width="8.109375" style="4" customWidth="1"/>
    <col min="2" max="2" width="58" style="4" customWidth="1"/>
    <col min="3" max="3" width="7.6640625" style="148" bestFit="1" customWidth="1"/>
    <col min="4" max="4" width="16.6640625" style="149" customWidth="1"/>
    <col min="5" max="5" width="11.88671875" style="148" customWidth="1"/>
    <col min="6" max="6" width="16.109375" style="143" customWidth="1"/>
    <col min="7" max="7" width="11.88671875" style="101" customWidth="1"/>
    <col min="8" max="8" width="17.109375" style="122" bestFit="1" customWidth="1"/>
    <col min="9" max="9" width="22" style="123" customWidth="1"/>
    <col min="10" max="10" width="6.6640625" style="4" customWidth="1"/>
    <col min="11" max="11" width="15" style="4" customWidth="1"/>
    <col min="12" max="12" width="6.6640625" style="4" customWidth="1"/>
    <col min="13" max="13" width="16.6640625" style="4" customWidth="1"/>
    <col min="14" max="16384" width="9.109375" style="4"/>
  </cols>
  <sheetData>
    <row r="1" spans="1:13" ht="20.25" customHeight="1">
      <c r="A1" s="2402" t="s">
        <v>676</v>
      </c>
      <c r="B1" s="2403"/>
      <c r="C1" s="2403"/>
      <c r="D1" s="2403"/>
      <c r="E1" s="2403"/>
      <c r="F1" s="2403"/>
      <c r="G1" s="2404"/>
    </row>
    <row r="2" spans="1:13" ht="15" customHeight="1">
      <c r="A2" s="2405" t="s">
        <v>238</v>
      </c>
      <c r="B2" s="2406"/>
      <c r="C2" s="2406"/>
      <c r="D2" s="2406"/>
      <c r="E2" s="2406"/>
      <c r="F2" s="2406"/>
      <c r="G2" s="2407"/>
    </row>
    <row r="3" spans="1:13" ht="15" customHeight="1">
      <c r="A3" s="201"/>
      <c r="B3" s="2409" t="s">
        <v>288</v>
      </c>
      <c r="C3" s="2410"/>
      <c r="D3" s="2410"/>
      <c r="E3" s="2411"/>
      <c r="F3" s="197">
        <v>115.26</v>
      </c>
      <c r="G3" s="202" t="s">
        <v>287</v>
      </c>
    </row>
    <row r="4" spans="1:13">
      <c r="A4" s="124"/>
      <c r="B4" s="125" t="s">
        <v>239</v>
      </c>
      <c r="C4" s="14"/>
      <c r="D4" s="126">
        <v>35500</v>
      </c>
      <c r="E4" s="100"/>
      <c r="F4" s="100"/>
      <c r="G4" s="203"/>
    </row>
    <row r="5" spans="1:13" ht="50.4">
      <c r="A5" s="204" t="s">
        <v>237</v>
      </c>
      <c r="B5" s="97" t="s">
        <v>240</v>
      </c>
      <c r="C5" s="128" t="s">
        <v>241</v>
      </c>
      <c r="D5" s="129" t="s">
        <v>250</v>
      </c>
      <c r="E5" s="130" t="s">
        <v>254</v>
      </c>
      <c r="F5" s="166" t="s">
        <v>281</v>
      </c>
      <c r="G5" s="205" t="s">
        <v>242</v>
      </c>
    </row>
    <row r="6" spans="1:13">
      <c r="A6" s="206" t="s">
        <v>173</v>
      </c>
      <c r="B6" s="179" t="s">
        <v>271</v>
      </c>
      <c r="C6" s="180"/>
      <c r="D6" s="181"/>
      <c r="E6" s="182"/>
      <c r="F6" s="183"/>
      <c r="G6" s="207"/>
    </row>
    <row r="7" spans="1:13">
      <c r="A7" s="192" t="s">
        <v>182</v>
      </c>
      <c r="B7" s="193" t="s">
        <v>258</v>
      </c>
      <c r="C7" s="131"/>
      <c r="D7" s="132" t="e">
        <f>'BoQ Summary_with cost '!F59</f>
        <v>#REF!</v>
      </c>
      <c r="E7" s="131">
        <v>1</v>
      </c>
      <c r="F7" s="210" t="e">
        <f>D7*E7</f>
        <v>#REF!</v>
      </c>
      <c r="G7" s="212" t="e">
        <f>D7/$D$51</f>
        <v>#REF!</v>
      </c>
      <c r="I7" s="42"/>
    </row>
    <row r="8" spans="1:13">
      <c r="A8" s="192" t="s">
        <v>184</v>
      </c>
      <c r="B8" s="193" t="s">
        <v>257</v>
      </c>
      <c r="C8" s="131"/>
      <c r="D8" s="132" t="e">
        <f>'BoQ Summary_with cost '!F60</f>
        <v>#REF!</v>
      </c>
      <c r="E8" s="131">
        <v>1</v>
      </c>
      <c r="F8" s="210" t="e">
        <f>D8*E8</f>
        <v>#REF!</v>
      </c>
      <c r="G8" s="212" t="e">
        <f>D8/$D$51</f>
        <v>#REF!</v>
      </c>
      <c r="I8" s="42"/>
    </row>
    <row r="9" spans="1:13">
      <c r="A9" s="124"/>
      <c r="B9" s="151" t="s">
        <v>251</v>
      </c>
      <c r="C9" s="131"/>
      <c r="D9" s="209" t="e">
        <f>D7+D8</f>
        <v>#REF!</v>
      </c>
      <c r="E9" s="153"/>
      <c r="F9" s="152"/>
      <c r="G9" s="212" t="e">
        <f>D9/$D$51</f>
        <v>#REF!</v>
      </c>
    </row>
    <row r="10" spans="1:13">
      <c r="A10" s="206" t="s">
        <v>243</v>
      </c>
      <c r="B10" s="179" t="s">
        <v>272</v>
      </c>
      <c r="C10" s="184"/>
      <c r="D10" s="185"/>
      <c r="E10" s="184"/>
      <c r="F10" s="186"/>
      <c r="G10" s="208"/>
    </row>
    <row r="11" spans="1:13">
      <c r="A11" s="192" t="s">
        <v>268</v>
      </c>
      <c r="B11" s="193" t="s">
        <v>668</v>
      </c>
      <c r="C11" s="131"/>
      <c r="D11" s="132">
        <f>16000000*35*1.6</f>
        <v>896000000</v>
      </c>
      <c r="E11" s="131">
        <v>0.1</v>
      </c>
      <c r="F11" s="210">
        <f>D11*E11</f>
        <v>89600000</v>
      </c>
      <c r="G11" s="212" t="e">
        <f>D11/$D$51</f>
        <v>#REF!</v>
      </c>
      <c r="I11" s="42"/>
      <c r="K11" s="199"/>
      <c r="M11" s="123"/>
    </row>
    <row r="12" spans="1:13">
      <c r="A12" s="192" t="s">
        <v>269</v>
      </c>
      <c r="B12" s="193" t="s">
        <v>256</v>
      </c>
      <c r="C12" s="131"/>
      <c r="D12" s="501">
        <v>372528890</v>
      </c>
      <c r="E12" s="131">
        <v>0.5</v>
      </c>
      <c r="F12" s="210">
        <f>D12*E12</f>
        <v>186264445</v>
      </c>
      <c r="G12" s="212" t="e">
        <f>D12/$D$51</f>
        <v>#REF!</v>
      </c>
      <c r="I12" s="42"/>
      <c r="M12" s="123"/>
    </row>
    <row r="13" spans="1:13">
      <c r="A13" s="192" t="s">
        <v>270</v>
      </c>
      <c r="B13" s="193" t="s">
        <v>631</v>
      </c>
      <c r="C13" s="131"/>
      <c r="D13" s="501" t="e">
        <f>#REF!</f>
        <v>#REF!</v>
      </c>
      <c r="E13" s="131">
        <v>0.5</v>
      </c>
      <c r="F13" s="210" t="e">
        <f>D13*E13</f>
        <v>#REF!</v>
      </c>
      <c r="G13" s="212" t="e">
        <f>D13/$D$51</f>
        <v>#REF!</v>
      </c>
      <c r="H13" s="200"/>
      <c r="I13" s="42" t="s">
        <v>1186</v>
      </c>
      <c r="M13" s="123"/>
    </row>
    <row r="14" spans="1:13">
      <c r="A14" s="124"/>
      <c r="B14" s="151" t="s">
        <v>252</v>
      </c>
      <c r="C14" s="131"/>
      <c r="D14" s="209" t="e">
        <f>SUM(D11:D13)</f>
        <v>#REF!</v>
      </c>
      <c r="E14" s="131"/>
      <c r="F14" s="152"/>
      <c r="G14" s="212" t="e">
        <f>D14/$D$51</f>
        <v>#REF!</v>
      </c>
      <c r="I14" s="42"/>
      <c r="M14" s="123"/>
    </row>
    <row r="15" spans="1:13">
      <c r="A15" s="124"/>
      <c r="B15" s="151"/>
      <c r="C15" s="131"/>
      <c r="D15" s="152"/>
      <c r="E15" s="131"/>
      <c r="F15" s="168"/>
      <c r="G15" s="203"/>
      <c r="I15" s="42"/>
      <c r="K15" s="199"/>
      <c r="M15" s="123"/>
    </row>
    <row r="16" spans="1:13">
      <c r="A16" s="124"/>
      <c r="B16" s="151" t="s">
        <v>255</v>
      </c>
      <c r="C16" s="131"/>
      <c r="D16" s="209" t="e">
        <f>D14+D9</f>
        <v>#REF!</v>
      </c>
      <c r="E16" s="153"/>
      <c r="F16" s="168"/>
      <c r="G16" s="203"/>
      <c r="I16" s="42"/>
      <c r="K16" s="199"/>
      <c r="M16" s="123"/>
    </row>
    <row r="17" spans="1:13">
      <c r="A17" s="206" t="s">
        <v>244</v>
      </c>
      <c r="B17" s="179" t="s">
        <v>293</v>
      </c>
      <c r="C17" s="184"/>
      <c r="D17" s="185"/>
      <c r="E17" s="184"/>
      <c r="F17" s="187"/>
      <c r="G17" s="208"/>
      <c r="I17" s="42"/>
      <c r="K17" s="199"/>
      <c r="M17" s="123"/>
    </row>
    <row r="18" spans="1:13">
      <c r="A18" s="192" t="s">
        <v>273</v>
      </c>
      <c r="B18" s="193" t="s">
        <v>294</v>
      </c>
      <c r="C18" s="131"/>
      <c r="D18" s="132">
        <f>8000000*12</f>
        <v>96000000</v>
      </c>
      <c r="E18" s="131">
        <v>0.9</v>
      </c>
      <c r="F18" s="167">
        <f>D18*E18</f>
        <v>86400000</v>
      </c>
      <c r="G18" s="203"/>
      <c r="I18" s="42"/>
      <c r="K18" s="199"/>
      <c r="M18" s="123"/>
    </row>
    <row r="19" spans="1:13">
      <c r="A19" s="192" t="s">
        <v>274</v>
      </c>
      <c r="B19" s="193" t="s">
        <v>319</v>
      </c>
      <c r="C19" s="131"/>
      <c r="D19" s="132">
        <v>25000000</v>
      </c>
      <c r="E19" s="131">
        <v>1</v>
      </c>
      <c r="F19" s="167">
        <f>D19*E19</f>
        <v>25000000</v>
      </c>
      <c r="G19" s="203"/>
      <c r="I19" s="42"/>
      <c r="K19" s="199"/>
      <c r="M19" s="123"/>
    </row>
    <row r="20" spans="1:13">
      <c r="A20" s="124"/>
      <c r="B20" s="151" t="s">
        <v>253</v>
      </c>
      <c r="C20" s="131"/>
      <c r="D20" s="209">
        <f>SUM(D18:D19)</f>
        <v>121000000</v>
      </c>
      <c r="E20" s="131"/>
      <c r="F20" s="152"/>
      <c r="G20" s="203" t="e">
        <f>D20/$D$51</f>
        <v>#REF!</v>
      </c>
      <c r="I20" s="42"/>
      <c r="K20" s="199"/>
      <c r="M20" s="123"/>
    </row>
    <row r="21" spans="1:13">
      <c r="A21" s="206" t="s">
        <v>245</v>
      </c>
      <c r="B21" s="179" t="s">
        <v>289</v>
      </c>
      <c r="C21" s="184"/>
      <c r="D21" s="185"/>
      <c r="E21" s="184"/>
      <c r="F21" s="187"/>
      <c r="G21" s="208"/>
      <c r="I21" s="42"/>
    </row>
    <row r="22" spans="1:13">
      <c r="A22" s="192" t="s">
        <v>277</v>
      </c>
      <c r="B22" s="193" t="s">
        <v>295</v>
      </c>
      <c r="C22" s="136">
        <v>2.5000000000000001E-2</v>
      </c>
      <c r="D22" s="132" t="e">
        <f>C22*D16</f>
        <v>#REF!</v>
      </c>
      <c r="E22" s="131">
        <v>0</v>
      </c>
      <c r="F22" s="170" t="e">
        <f>D22*E22</f>
        <v>#REF!</v>
      </c>
      <c r="G22" s="203"/>
      <c r="I22" s="42"/>
    </row>
    <row r="23" spans="1:13">
      <c r="A23" s="124"/>
      <c r="B23" s="151" t="s">
        <v>290</v>
      </c>
      <c r="C23" s="131"/>
      <c r="D23" s="209" t="e">
        <f>SUM(D22:D22)</f>
        <v>#REF!</v>
      </c>
      <c r="E23" s="131"/>
      <c r="F23" s="168"/>
      <c r="G23" s="203" t="e">
        <f>D23/$D$51</f>
        <v>#REF!</v>
      </c>
    </row>
    <row r="24" spans="1:13">
      <c r="A24" s="124"/>
      <c r="B24" s="121"/>
      <c r="C24" s="131"/>
      <c r="D24" s="132"/>
      <c r="E24" s="131"/>
      <c r="F24" s="169"/>
      <c r="G24" s="203"/>
    </row>
    <row r="25" spans="1:13">
      <c r="A25" s="206" t="s">
        <v>246</v>
      </c>
      <c r="B25" s="179" t="s">
        <v>275</v>
      </c>
      <c r="C25" s="184"/>
      <c r="D25" s="185"/>
      <c r="E25" s="184"/>
      <c r="F25" s="188"/>
      <c r="G25" s="208"/>
    </row>
    <row r="26" spans="1:13">
      <c r="A26" s="192" t="s">
        <v>278</v>
      </c>
      <c r="B26" s="193" t="s">
        <v>640</v>
      </c>
      <c r="C26" s="16">
        <v>0.05</v>
      </c>
      <c r="D26" s="132" t="e">
        <f>C26*D16</f>
        <v>#REF!</v>
      </c>
      <c r="E26" s="131">
        <v>0</v>
      </c>
      <c r="F26" s="171" t="e">
        <f>D26*E26</f>
        <v>#REF!</v>
      </c>
      <c r="G26" s="203"/>
      <c r="I26" s="42"/>
      <c r="K26" s="133"/>
    </row>
    <row r="27" spans="1:13">
      <c r="A27" s="192" t="s">
        <v>291</v>
      </c>
      <c r="B27" s="193" t="s">
        <v>641</v>
      </c>
      <c r="C27" s="16">
        <v>0.04</v>
      </c>
      <c r="D27" s="132" t="e">
        <f>C27*D16</f>
        <v>#REF!</v>
      </c>
      <c r="E27" s="131">
        <v>0</v>
      </c>
      <c r="F27" s="171" t="e">
        <f>D27*E27</f>
        <v>#REF!</v>
      </c>
      <c r="G27" s="203"/>
      <c r="I27" s="42"/>
      <c r="K27" s="133"/>
    </row>
    <row r="28" spans="1:13">
      <c r="A28" s="192" t="s">
        <v>301</v>
      </c>
      <c r="B28" s="193" t="s">
        <v>296</v>
      </c>
      <c r="C28" s="16">
        <v>7.4999999999999997E-3</v>
      </c>
      <c r="D28" s="132" t="e">
        <f>C28*D16</f>
        <v>#REF!</v>
      </c>
      <c r="E28" s="131">
        <v>0</v>
      </c>
      <c r="F28" s="171" t="e">
        <f>D28*E28</f>
        <v>#REF!</v>
      </c>
      <c r="G28" s="203"/>
      <c r="I28" s="42"/>
      <c r="K28" s="133"/>
    </row>
    <row r="29" spans="1:13">
      <c r="A29" s="192"/>
      <c r="B29" s="193"/>
      <c r="C29" s="16"/>
      <c r="D29" s="132"/>
      <c r="E29" s="131"/>
      <c r="F29" s="171"/>
      <c r="G29" s="203"/>
      <c r="I29" s="42"/>
      <c r="K29" s="133"/>
    </row>
    <row r="30" spans="1:13">
      <c r="A30" s="124"/>
      <c r="B30" s="151" t="s">
        <v>259</v>
      </c>
      <c r="C30" s="16"/>
      <c r="D30" s="209" t="e">
        <f>SUM(D26:D28)</f>
        <v>#REF!</v>
      </c>
      <c r="E30" s="131"/>
      <c r="F30" s="168"/>
      <c r="G30" s="203" t="e">
        <f>D30/$D$51</f>
        <v>#REF!</v>
      </c>
      <c r="I30" s="42"/>
      <c r="K30" s="133"/>
    </row>
    <row r="31" spans="1:13">
      <c r="A31" s="206" t="s">
        <v>177</v>
      </c>
      <c r="B31" s="179" t="s">
        <v>276</v>
      </c>
      <c r="C31" s="184"/>
      <c r="D31" s="185"/>
      <c r="E31" s="184"/>
      <c r="F31" s="188"/>
      <c r="G31" s="208"/>
    </row>
    <row r="32" spans="1:13">
      <c r="A32" s="192" t="s">
        <v>279</v>
      </c>
      <c r="B32" s="100" t="s">
        <v>260</v>
      </c>
      <c r="C32" s="131"/>
      <c r="D32" s="132"/>
      <c r="E32" s="131"/>
      <c r="F32" s="171"/>
      <c r="G32" s="203"/>
    </row>
    <row r="33" spans="1:11">
      <c r="A33" s="192"/>
      <c r="B33" s="193" t="s">
        <v>632</v>
      </c>
      <c r="C33" s="131">
        <v>0.1</v>
      </c>
      <c r="D33" s="132" t="e">
        <f>C33*D7</f>
        <v>#REF!</v>
      </c>
      <c r="E33" s="131">
        <v>1</v>
      </c>
      <c r="F33" s="171" t="e">
        <f>D33*E33</f>
        <v>#REF!</v>
      </c>
      <c r="G33" s="203"/>
    </row>
    <row r="34" spans="1:11">
      <c r="A34" s="192"/>
      <c r="B34" s="193" t="s">
        <v>634</v>
      </c>
      <c r="C34" s="131">
        <v>0.15</v>
      </c>
      <c r="D34" s="132" t="e">
        <f>C34*D8</f>
        <v>#REF!</v>
      </c>
      <c r="E34" s="131">
        <v>1</v>
      </c>
      <c r="F34" s="171" t="e">
        <f>D34*E34</f>
        <v>#REF!</v>
      </c>
      <c r="G34" s="203"/>
    </row>
    <row r="35" spans="1:11">
      <c r="A35" s="192"/>
      <c r="B35" s="193" t="s">
        <v>261</v>
      </c>
      <c r="C35" s="131">
        <v>0.05</v>
      </c>
      <c r="D35" s="132" t="e">
        <f>C35*D14</f>
        <v>#REF!</v>
      </c>
      <c r="E35" s="131">
        <v>0.5</v>
      </c>
      <c r="F35" s="171" t="e">
        <f>D35*E35</f>
        <v>#REF!</v>
      </c>
      <c r="G35" s="203"/>
    </row>
    <row r="36" spans="1:11">
      <c r="A36" s="124"/>
      <c r="B36" s="151" t="s">
        <v>262</v>
      </c>
      <c r="C36" s="131"/>
      <c r="D36" s="209" t="e">
        <f>SUM(D33:D35)</f>
        <v>#REF!</v>
      </c>
      <c r="E36" s="131"/>
      <c r="F36" s="152"/>
      <c r="G36" s="203" t="e">
        <f>D36/$D$51</f>
        <v>#REF!</v>
      </c>
    </row>
    <row r="37" spans="1:11">
      <c r="A37" s="192" t="s">
        <v>280</v>
      </c>
      <c r="B37" s="100" t="s">
        <v>263</v>
      </c>
      <c r="C37" s="131"/>
      <c r="D37" s="132"/>
      <c r="E37" s="131"/>
      <c r="F37" s="171"/>
      <c r="G37" s="203"/>
    </row>
    <row r="38" spans="1:11">
      <c r="A38" s="124"/>
      <c r="B38" s="194" t="s">
        <v>642</v>
      </c>
      <c r="C38" s="131">
        <v>0.1</v>
      </c>
      <c r="D38" s="150" t="e">
        <f>C38*D9</f>
        <v>#REF!</v>
      </c>
      <c r="E38" s="131">
        <v>1</v>
      </c>
      <c r="F38" s="171" t="e">
        <f>D38*E38</f>
        <v>#REF!</v>
      </c>
      <c r="G38" s="203"/>
    </row>
    <row r="39" spans="1:11" s="122" customFormat="1">
      <c r="A39" s="135"/>
      <c r="B39" s="194" t="s">
        <v>643</v>
      </c>
      <c r="C39" s="131">
        <v>0.1</v>
      </c>
      <c r="D39" s="150" t="e">
        <f>C39*D14</f>
        <v>#REF!</v>
      </c>
      <c r="E39" s="131">
        <v>0.5</v>
      </c>
      <c r="F39" s="171" t="e">
        <f>D39*E39</f>
        <v>#REF!</v>
      </c>
      <c r="G39" s="203"/>
      <c r="I39" s="123"/>
      <c r="J39" s="4"/>
      <c r="K39" s="4"/>
    </row>
    <row r="40" spans="1:11" s="122" customFormat="1">
      <c r="A40" s="135"/>
      <c r="B40" s="151" t="s">
        <v>264</v>
      </c>
      <c r="C40" s="131"/>
      <c r="D40" s="154" t="e">
        <f>D38+D39</f>
        <v>#REF!</v>
      </c>
      <c r="E40" s="131"/>
      <c r="F40" s="172"/>
      <c r="G40" s="203" t="e">
        <f>D40/$D$51</f>
        <v>#REF!</v>
      </c>
      <c r="I40" s="123"/>
      <c r="J40" s="4"/>
      <c r="K40" s="4"/>
    </row>
    <row r="41" spans="1:11" s="122" customFormat="1">
      <c r="A41" s="206" t="s">
        <v>178</v>
      </c>
      <c r="B41" s="179" t="s">
        <v>282</v>
      </c>
      <c r="C41" s="184"/>
      <c r="D41" s="185"/>
      <c r="E41" s="184"/>
      <c r="F41" s="187"/>
      <c r="G41" s="208"/>
      <c r="I41" s="123"/>
      <c r="J41" s="4"/>
      <c r="K41" s="4"/>
    </row>
    <row r="42" spans="1:11" s="122" customFormat="1">
      <c r="A42" s="124"/>
      <c r="B42" s="194" t="s">
        <v>247</v>
      </c>
      <c r="C42" s="131">
        <v>0.01</v>
      </c>
      <c r="D42" s="150" t="e">
        <f>(D11*(1-E11)+D12*(1-E12)+D13*(1-E13)+D18*(1-E18))*C42</f>
        <v>#REF!</v>
      </c>
      <c r="E42" s="131"/>
      <c r="F42" s="171"/>
      <c r="G42" s="203"/>
      <c r="I42" s="123"/>
      <c r="J42" s="4"/>
      <c r="K42" s="4"/>
    </row>
    <row r="43" spans="1:11" s="122" customFormat="1">
      <c r="A43" s="124"/>
      <c r="B43" s="151" t="s">
        <v>265</v>
      </c>
      <c r="C43" s="131"/>
      <c r="D43" s="154" t="e">
        <f>D42</f>
        <v>#REF!</v>
      </c>
      <c r="E43" s="131"/>
      <c r="F43" s="169"/>
      <c r="G43" s="203" t="e">
        <f>D43/$D$51</f>
        <v>#REF!</v>
      </c>
      <c r="I43" s="123"/>
      <c r="J43" s="4"/>
      <c r="K43" s="4"/>
    </row>
    <row r="44" spans="1:11" s="122" customFormat="1">
      <c r="A44" s="206" t="s">
        <v>165</v>
      </c>
      <c r="B44" s="179" t="s">
        <v>283</v>
      </c>
      <c r="C44" s="189"/>
      <c r="D44" s="190"/>
      <c r="E44" s="184"/>
      <c r="F44" s="188"/>
      <c r="G44" s="208"/>
      <c r="I44" s="123"/>
      <c r="J44" s="4"/>
      <c r="K44" s="4"/>
    </row>
    <row r="45" spans="1:11" s="122" customFormat="1">
      <c r="A45" s="135"/>
      <c r="B45" s="191" t="s">
        <v>266</v>
      </c>
      <c r="C45" s="127">
        <v>0.13</v>
      </c>
      <c r="D45" s="134" t="e">
        <f>SUM(F7:F39)*C45</f>
        <v>#REF!</v>
      </c>
      <c r="E45" s="131"/>
      <c r="F45" s="171"/>
      <c r="G45" s="203" t="e">
        <f>D45/$D$51</f>
        <v>#REF!</v>
      </c>
      <c r="I45" s="123"/>
      <c r="J45" s="4"/>
      <c r="K45" s="4"/>
    </row>
    <row r="46" spans="1:11" s="122" customFormat="1">
      <c r="A46" s="135"/>
      <c r="B46" s="100"/>
      <c r="C46" s="127"/>
      <c r="D46" s="134"/>
      <c r="E46" s="131"/>
      <c r="F46" s="173"/>
      <c r="G46" s="203"/>
      <c r="I46" s="123"/>
      <c r="J46" s="4"/>
      <c r="K46" s="4"/>
    </row>
    <row r="47" spans="1:11" s="122" customFormat="1">
      <c r="A47" s="135"/>
      <c r="B47" s="179" t="s">
        <v>267</v>
      </c>
      <c r="C47" s="131"/>
      <c r="D47" s="134" t="e">
        <f>D45+D43</f>
        <v>#REF!</v>
      </c>
      <c r="E47" s="131"/>
      <c r="F47" s="174"/>
      <c r="G47" s="203"/>
      <c r="I47" s="123"/>
      <c r="J47" s="4"/>
      <c r="K47" s="4"/>
    </row>
    <row r="48" spans="1:11" s="122" customFormat="1">
      <c r="A48" s="135"/>
      <c r="B48" s="137"/>
      <c r="C48" s="136"/>
      <c r="D48" s="134"/>
      <c r="E48" s="131"/>
      <c r="F48" s="171"/>
      <c r="G48" s="203"/>
      <c r="I48" s="123"/>
      <c r="J48" s="4"/>
      <c r="K48" s="4"/>
    </row>
    <row r="49" spans="1:11" s="122" customFormat="1">
      <c r="A49" s="135"/>
      <c r="B49" s="179" t="s">
        <v>284</v>
      </c>
      <c r="C49" s="136"/>
      <c r="D49" s="134" t="e">
        <f>D9+D14+D20+D23+D30+D36+D40</f>
        <v>#REF!</v>
      </c>
      <c r="E49" s="131"/>
      <c r="F49" s="171"/>
      <c r="G49" s="203"/>
      <c r="I49" s="123"/>
      <c r="J49" s="4"/>
      <c r="K49" s="4"/>
    </row>
    <row r="50" spans="1:11" s="122" customFormat="1">
      <c r="A50" s="135"/>
      <c r="B50" s="137"/>
      <c r="C50" s="136"/>
      <c r="D50" s="134"/>
      <c r="E50" s="131"/>
      <c r="F50" s="171"/>
      <c r="G50" s="203"/>
      <c r="I50" s="123"/>
      <c r="J50" s="4"/>
      <c r="K50" s="4"/>
    </row>
    <row r="51" spans="1:11" s="122" customFormat="1">
      <c r="A51" s="135"/>
      <c r="B51" s="179" t="s">
        <v>285</v>
      </c>
      <c r="C51" s="136"/>
      <c r="D51" s="134" t="e">
        <f>D49+D47</f>
        <v>#REF!</v>
      </c>
      <c r="E51" s="131"/>
      <c r="F51" s="171"/>
      <c r="G51" s="203"/>
      <c r="I51" s="502" t="e">
        <f>D51/35</f>
        <v>#REF!</v>
      </c>
      <c r="J51" s="4"/>
      <c r="K51" s="4"/>
    </row>
    <row r="52" spans="1:11" s="122" customFormat="1">
      <c r="A52" s="135"/>
      <c r="B52" s="137"/>
      <c r="C52" s="155"/>
      <c r="D52" s="156"/>
      <c r="E52" s="157"/>
      <c r="F52" s="175"/>
      <c r="G52" s="203"/>
      <c r="I52" s="42" t="e">
        <f>D51</f>
        <v>#REF!</v>
      </c>
      <c r="J52" s="4"/>
      <c r="K52" s="4"/>
    </row>
    <row r="53" spans="1:11" ht="17.399999999999999" thickBot="1">
      <c r="A53" s="158"/>
      <c r="B53" s="195" t="s">
        <v>286</v>
      </c>
      <c r="C53" s="159"/>
      <c r="D53" s="156" t="e">
        <f>D51/1000000</f>
        <v>#REF!</v>
      </c>
      <c r="E53" s="157"/>
      <c r="F53" s="176"/>
      <c r="G53" s="203"/>
      <c r="H53" s="198"/>
      <c r="I53" s="42">
        <v>10243705988</v>
      </c>
    </row>
    <row r="54" spans="1:11" ht="17.399999999999999" thickBot="1">
      <c r="A54" s="160"/>
      <c r="B54" s="161"/>
      <c r="C54" s="162"/>
      <c r="D54" s="163"/>
      <c r="E54" s="164"/>
      <c r="F54" s="165"/>
      <c r="G54" s="177"/>
      <c r="I54" s="42" t="e">
        <f>I53-I52</f>
        <v>#REF!</v>
      </c>
    </row>
    <row r="55" spans="1:11" ht="17.399999999999999" thickBot="1">
      <c r="A55" s="138"/>
      <c r="B55" s="2408" t="s">
        <v>248</v>
      </c>
      <c r="C55" s="2408"/>
      <c r="D55" s="2408"/>
      <c r="E55" s="323" t="e">
        <f>D51/D4</f>
        <v>#REF!</v>
      </c>
      <c r="F55" s="196" t="s">
        <v>249</v>
      </c>
      <c r="G55" s="177"/>
      <c r="H55" s="122" t="e">
        <f>E55/F3</f>
        <v>#REF!</v>
      </c>
      <c r="I55" s="4">
        <v>1756294012</v>
      </c>
    </row>
    <row r="56" spans="1:11" ht="17.399999999999999" thickBot="1">
      <c r="A56" s="139"/>
      <c r="B56" s="142"/>
      <c r="C56" s="140"/>
      <c r="D56" s="141"/>
      <c r="E56" s="323" t="e">
        <f>E55/F3</f>
        <v>#REF!</v>
      </c>
      <c r="F56" s="196" t="s">
        <v>297</v>
      </c>
      <c r="G56" s="178"/>
      <c r="I56" s="123">
        <f>I55/I53*100</f>
        <v>17.145103676905727</v>
      </c>
    </row>
    <row r="57" spans="1:11">
      <c r="C57" s="143"/>
      <c r="D57" s="144"/>
      <c r="E57" s="4"/>
      <c r="F57" s="145"/>
    </row>
    <row r="58" spans="1:11">
      <c r="C58" s="143"/>
      <c r="D58" s="146"/>
      <c r="E58" s="4"/>
      <c r="F58" s="145"/>
      <c r="I58" s="123" t="e">
        <f>I52+I55</f>
        <v>#REF!</v>
      </c>
    </row>
    <row r="59" spans="1:11">
      <c r="C59" s="143"/>
      <c r="D59" s="144"/>
      <c r="E59" s="4"/>
      <c r="F59" s="145"/>
    </row>
    <row r="60" spans="1:11">
      <c r="C60" s="143"/>
      <c r="D60" s="144"/>
      <c r="E60" s="4"/>
      <c r="F60" s="145"/>
    </row>
    <row r="61" spans="1:11">
      <c r="C61" s="143"/>
      <c r="D61" s="144"/>
      <c r="E61" s="4"/>
      <c r="F61" s="4"/>
    </row>
    <row r="62" spans="1:11">
      <c r="C62" s="147"/>
      <c r="D62" s="146"/>
      <c r="E62" s="4"/>
      <c r="F62" s="4"/>
    </row>
    <row r="63" spans="1:11">
      <c r="H63" s="122">
        <f>1700*F3</f>
        <v>195942</v>
      </c>
    </row>
    <row r="64" spans="1:11">
      <c r="H64" s="122">
        <f>H63*D4</f>
        <v>6955941000</v>
      </c>
    </row>
    <row r="65" spans="8:8">
      <c r="H65" s="122">
        <f>H64/1000</f>
        <v>6955941</v>
      </c>
    </row>
  </sheetData>
  <mergeCells count="4">
    <mergeCell ref="A1:G1"/>
    <mergeCell ref="A2:G2"/>
    <mergeCell ref="B55:D55"/>
    <mergeCell ref="B3:E3"/>
  </mergeCells>
  <printOptions horizontalCentered="1" gridLines="1" gridLinesSet="0"/>
  <pageMargins left="0.56000000000000005" right="0.36" top="0.79" bottom="0.8" header="0.31" footer="0.54"/>
  <pageSetup paperSize="9" scale="54" orientation="portrait" r:id="rId1"/>
  <headerFooter alignWithMargins="0">
    <oddHeader>&amp;R&amp;"Gill Sans MT,Italic"&amp;8FEASIBILITY REVIEW  OFMIDIM KHOLA (KARAPU) HP</oddHeader>
    <oddFooter>&amp;L&amp;"Gill Sans MT,Italic"&amp;8Hydro-Consult Engineering Ltd&amp;C&amp;"Gill Sans MT,Regular"&amp;8&amp;A&amp;R&amp;"Gill Sans MT,Italic"&amp;8Page &amp;P of &amp;N</oddFooter>
  </headerFooter>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3">
    <tabColor rgb="FF7030A0"/>
    <pageSetUpPr fitToPage="1"/>
  </sheetPr>
  <dimension ref="A1:AA994"/>
  <sheetViews>
    <sheetView workbookViewId="0"/>
  </sheetViews>
  <sheetFormatPr defaultColWidth="14.44140625" defaultRowHeight="15" customHeight="1"/>
  <cols>
    <col min="1" max="1" width="12.5546875" style="1131" customWidth="1"/>
    <col min="2" max="2" width="27.5546875" style="1131" customWidth="1"/>
    <col min="3" max="4" width="9.109375" style="1131" customWidth="1"/>
    <col min="5" max="5" width="9.88671875" style="1131" customWidth="1"/>
    <col min="6" max="6" width="10.109375" style="1131" customWidth="1"/>
    <col min="7" max="8" width="9.109375" style="1131" customWidth="1"/>
    <col min="9" max="9" width="12" style="1131" customWidth="1"/>
    <col min="10" max="10" width="13" style="1131" customWidth="1"/>
    <col min="11" max="11" width="13.109375" style="1131" bestFit="1" customWidth="1"/>
    <col min="12" max="12" width="10.6640625" style="1131" bestFit="1" customWidth="1"/>
    <col min="13" max="27" width="9.109375" style="1131" customWidth="1"/>
    <col min="28" max="16384" width="14.44140625" style="1131"/>
  </cols>
  <sheetData>
    <row r="1" spans="1:27" s="520" customFormat="1" ht="19.2">
      <c r="A1" s="522"/>
      <c r="C1" s="523"/>
      <c r="D1" s="537"/>
      <c r="E1" s="1223"/>
      <c r="F1" s="1223"/>
      <c r="G1" s="523"/>
    </row>
    <row r="2" spans="1:27" s="520" customFormat="1" ht="19.2">
      <c r="A2" s="522"/>
      <c r="C2" s="523"/>
      <c r="D2" s="537"/>
      <c r="E2" s="1223"/>
      <c r="F2" s="1223"/>
      <c r="G2" s="523"/>
    </row>
    <row r="3" spans="1:27" s="520" customFormat="1" ht="19.2">
      <c r="A3" s="226" t="s">
        <v>0</v>
      </c>
      <c r="B3" s="1248" t="s">
        <v>1564</v>
      </c>
      <c r="C3" s="523"/>
      <c r="D3" s="537"/>
      <c r="E3" s="1223"/>
      <c r="F3" s="1223"/>
      <c r="G3" s="523"/>
    </row>
    <row r="4" spans="1:27" s="520" customFormat="1" ht="19.2">
      <c r="A4" s="119" t="s">
        <v>1</v>
      </c>
      <c r="B4" s="1248">
        <v>930100</v>
      </c>
      <c r="C4" s="523"/>
      <c r="D4" s="537"/>
      <c r="E4" s="1223"/>
      <c r="F4" s="1223"/>
      <c r="G4" s="523"/>
    </row>
    <row r="5" spans="1:27" s="520" customFormat="1" ht="19.2">
      <c r="A5" s="119" t="s">
        <v>2</v>
      </c>
      <c r="B5" s="1247" t="s">
        <v>331</v>
      </c>
      <c r="C5" s="523"/>
      <c r="D5" s="537"/>
      <c r="E5" s="1223"/>
      <c r="F5" s="1276"/>
      <c r="G5" s="523"/>
      <c r="J5" s="1276" t="s">
        <v>1561</v>
      </c>
      <c r="K5" s="523" t="s">
        <v>1566</v>
      </c>
    </row>
    <row r="6" spans="1:27" s="520" customFormat="1" ht="19.2">
      <c r="A6" s="119" t="s">
        <v>3</v>
      </c>
      <c r="B6" s="1247" t="s">
        <v>1576</v>
      </c>
      <c r="C6" s="523"/>
      <c r="D6" s="537"/>
      <c r="E6" s="1223"/>
      <c r="F6" s="1276"/>
      <c r="G6" s="523"/>
      <c r="J6" s="1276" t="s">
        <v>171</v>
      </c>
      <c r="K6" s="523" t="s">
        <v>1563</v>
      </c>
    </row>
    <row r="7" spans="1:27" s="520" customFormat="1" ht="19.2">
      <c r="A7" s="119" t="s">
        <v>4</v>
      </c>
      <c r="B7" s="1247"/>
      <c r="C7" s="523"/>
      <c r="D7" s="537"/>
      <c r="E7" s="1223"/>
      <c r="F7" s="1276"/>
      <c r="G7" s="1277"/>
      <c r="J7" s="1276" t="s">
        <v>106</v>
      </c>
      <c r="K7" s="1277">
        <f ca="1">TODAY()</f>
        <v>44942</v>
      </c>
    </row>
    <row r="8" spans="1:27" ht="16.8">
      <c r="A8" s="119"/>
      <c r="B8" s="55"/>
      <c r="C8" s="1"/>
      <c r="D8" s="1"/>
      <c r="E8" s="1"/>
      <c r="F8" s="1"/>
      <c r="G8" s="1130"/>
      <c r="H8" s="1130"/>
      <c r="I8" s="1130"/>
      <c r="J8" s="1130"/>
      <c r="K8" s="1130"/>
      <c r="L8" s="1130"/>
      <c r="M8" s="1130"/>
      <c r="N8" s="1130"/>
      <c r="O8" s="1130"/>
      <c r="P8" s="1130"/>
      <c r="Q8" s="1130"/>
      <c r="R8" s="1130"/>
      <c r="S8" s="1130"/>
      <c r="T8" s="1130"/>
      <c r="U8" s="1130"/>
      <c r="V8" s="1130"/>
      <c r="W8" s="1130"/>
      <c r="X8" s="1130"/>
      <c r="Y8" s="1130"/>
      <c r="Z8" s="1130"/>
      <c r="AA8" s="1130"/>
    </row>
    <row r="9" spans="1:27" ht="16.8">
      <c r="A9" s="119"/>
      <c r="B9" s="55"/>
      <c r="C9" s="1"/>
      <c r="D9" s="1"/>
      <c r="E9" s="1"/>
      <c r="F9" s="1"/>
      <c r="G9" s="1130"/>
      <c r="H9" s="1130"/>
      <c r="I9" s="1130"/>
      <c r="J9" s="1130"/>
      <c r="K9" s="1130"/>
      <c r="L9" s="1130"/>
      <c r="M9" s="1130"/>
      <c r="N9" s="1130"/>
      <c r="O9" s="1130"/>
      <c r="P9" s="1130"/>
      <c r="Q9" s="1130"/>
      <c r="R9" s="1130"/>
      <c r="S9" s="1130"/>
      <c r="T9" s="1130"/>
      <c r="U9" s="1130"/>
      <c r="V9" s="1130"/>
      <c r="W9" s="1130"/>
      <c r="X9" s="1130"/>
      <c r="Y9" s="1130"/>
      <c r="Z9" s="1130"/>
      <c r="AA9" s="1130"/>
    </row>
    <row r="10" spans="1:27" ht="13.2">
      <c r="A10" s="1173" t="s">
        <v>332</v>
      </c>
      <c r="B10" s="1173" t="s">
        <v>8</v>
      </c>
      <c r="C10" s="1173" t="s">
        <v>9</v>
      </c>
      <c r="D10" s="1173" t="s">
        <v>333</v>
      </c>
      <c r="E10" s="1173" t="s">
        <v>11</v>
      </c>
      <c r="F10" s="1173" t="s">
        <v>12</v>
      </c>
      <c r="G10" s="1173" t="s">
        <v>13</v>
      </c>
      <c r="H10" s="1173" t="s">
        <v>15</v>
      </c>
      <c r="I10" s="1173" t="s">
        <v>14</v>
      </c>
      <c r="J10" s="1173" t="s">
        <v>16</v>
      </c>
      <c r="K10" s="1210" t="s">
        <v>17</v>
      </c>
      <c r="L10" s="1216" t="s">
        <v>1233</v>
      </c>
      <c r="M10" s="1216" t="s">
        <v>1234</v>
      </c>
      <c r="N10" s="1130"/>
      <c r="O10" s="1130"/>
      <c r="P10" s="1130"/>
      <c r="Q10" s="1130"/>
      <c r="R10" s="1130"/>
      <c r="S10" s="1130"/>
      <c r="T10" s="1130"/>
      <c r="U10" s="1130"/>
      <c r="V10" s="1130"/>
      <c r="W10" s="1130"/>
      <c r="X10" s="1130"/>
      <c r="Y10" s="1130"/>
      <c r="Z10" s="1130"/>
      <c r="AA10" s="1130"/>
    </row>
    <row r="11" spans="1:27" ht="13.2">
      <c r="A11" s="1174">
        <v>1</v>
      </c>
      <c r="B11" s="1175" t="s">
        <v>18</v>
      </c>
      <c r="C11" s="1174" t="s">
        <v>85</v>
      </c>
      <c r="D11" s="1174"/>
      <c r="E11" s="1174"/>
      <c r="F11" s="1174"/>
      <c r="G11" s="1174"/>
      <c r="H11" s="1174">
        <v>4000</v>
      </c>
      <c r="I11" s="1174"/>
      <c r="J11" s="1176">
        <v>4000</v>
      </c>
      <c r="K11" s="1211" t="s">
        <v>1267</v>
      </c>
      <c r="L11" s="1217"/>
      <c r="M11" s="1206"/>
      <c r="N11" s="1130"/>
      <c r="O11" s="1130"/>
      <c r="P11" s="1130"/>
      <c r="Q11" s="1130"/>
      <c r="R11" s="1130"/>
      <c r="S11" s="1130"/>
      <c r="T11" s="1130"/>
      <c r="U11" s="1130"/>
      <c r="V11" s="1130"/>
      <c r="W11" s="1130"/>
      <c r="X11" s="1130"/>
      <c r="Y11" s="1130"/>
      <c r="Z11" s="1130"/>
      <c r="AA11" s="1130"/>
    </row>
    <row r="12" spans="1:27" ht="13.2">
      <c r="A12" s="1156"/>
      <c r="B12" s="1156"/>
      <c r="C12" s="1156"/>
      <c r="D12" s="1156"/>
      <c r="E12" s="1156"/>
      <c r="F12" s="1156"/>
      <c r="G12" s="1156"/>
      <c r="H12" s="1156"/>
      <c r="I12" s="1149" t="s">
        <v>439</v>
      </c>
      <c r="J12" s="1150">
        <f>J11</f>
        <v>4000</v>
      </c>
      <c r="K12" s="1212"/>
      <c r="L12" s="1218">
        <v>40.5</v>
      </c>
      <c r="M12" s="1206">
        <f>L12*J12</f>
        <v>162000</v>
      </c>
      <c r="N12" s="1130"/>
      <c r="O12" s="1130"/>
      <c r="P12" s="1130"/>
      <c r="Q12" s="1130"/>
      <c r="R12" s="1130"/>
      <c r="S12" s="1130"/>
      <c r="T12" s="1130"/>
      <c r="U12" s="1130"/>
      <c r="V12" s="1130"/>
      <c r="W12" s="1130"/>
      <c r="X12" s="1130"/>
      <c r="Y12" s="1130"/>
      <c r="Z12" s="1130"/>
      <c r="AA12" s="1130"/>
    </row>
    <row r="13" spans="1:27" ht="13.2">
      <c r="A13" s="1177">
        <v>2</v>
      </c>
      <c r="B13" s="1178" t="s">
        <v>766</v>
      </c>
      <c r="C13" s="1179" t="s">
        <v>306</v>
      </c>
      <c r="D13" s="1179"/>
      <c r="E13" s="1179"/>
      <c r="F13" s="1179"/>
      <c r="G13" s="1179"/>
      <c r="H13" s="1179"/>
      <c r="I13" s="1179"/>
      <c r="J13" s="1179"/>
      <c r="K13" s="1213"/>
      <c r="L13" s="1219"/>
      <c r="M13" s="1206"/>
      <c r="N13" s="1130"/>
      <c r="O13" s="1130"/>
      <c r="P13" s="1130"/>
      <c r="Q13" s="1130"/>
      <c r="R13" s="1130"/>
      <c r="S13" s="1130"/>
      <c r="T13" s="1130"/>
      <c r="U13" s="1130"/>
      <c r="V13" s="1130"/>
      <c r="W13" s="1130"/>
      <c r="X13" s="1130"/>
      <c r="Y13" s="1130"/>
      <c r="Z13" s="1130"/>
      <c r="AA13" s="1130"/>
    </row>
    <row r="14" spans="1:27" ht="13.2">
      <c r="A14" s="1160"/>
      <c r="B14" s="1159" t="s">
        <v>1453</v>
      </c>
      <c r="C14" s="1161"/>
      <c r="D14" s="1161">
        <v>1</v>
      </c>
      <c r="E14" s="1162">
        <v>20</v>
      </c>
      <c r="F14" s="1162"/>
      <c r="G14" s="1162"/>
      <c r="H14" s="1162">
        <f t="shared" ref="H14:H31" si="0">AVERAGE(N14,N15)</f>
        <v>151.749</v>
      </c>
      <c r="I14" s="1162"/>
      <c r="J14" s="1163">
        <f t="shared" ref="J14:J33" si="1">D14*E14*H14</f>
        <v>3034.98</v>
      </c>
      <c r="K14" s="1214"/>
      <c r="L14" s="1220"/>
      <c r="M14" s="1206"/>
      <c r="N14" s="1130">
        <v>190.63</v>
      </c>
      <c r="O14" s="1130"/>
      <c r="P14" s="1130"/>
      <c r="Q14" s="1130"/>
      <c r="R14" s="1130"/>
      <c r="S14" s="1130"/>
      <c r="T14" s="1130"/>
      <c r="U14" s="1130"/>
      <c r="V14" s="1130"/>
      <c r="W14" s="1130"/>
      <c r="X14" s="1130"/>
      <c r="Y14" s="1130"/>
      <c r="Z14" s="1130"/>
      <c r="AA14" s="1130"/>
    </row>
    <row r="15" spans="1:27" ht="13.2">
      <c r="A15" s="1160"/>
      <c r="B15" s="1159" t="s">
        <v>1454</v>
      </c>
      <c r="C15" s="1161"/>
      <c r="D15" s="1161">
        <v>1</v>
      </c>
      <c r="E15" s="1162">
        <v>20</v>
      </c>
      <c r="F15" s="1162"/>
      <c r="G15" s="1162"/>
      <c r="H15" s="1162">
        <f t="shared" si="0"/>
        <v>76.566499999999991</v>
      </c>
      <c r="I15" s="1164"/>
      <c r="J15" s="1163">
        <f t="shared" si="1"/>
        <v>1531.33</v>
      </c>
      <c r="K15" s="1214"/>
      <c r="L15" s="1220"/>
      <c r="M15" s="1206"/>
      <c r="N15" s="1130">
        <v>112.86799999999999</v>
      </c>
      <c r="O15" s="1130"/>
      <c r="P15" s="1130"/>
      <c r="Q15" s="1130"/>
      <c r="R15" s="1130"/>
      <c r="S15" s="1130"/>
      <c r="T15" s="1130"/>
      <c r="U15" s="1130"/>
      <c r="V15" s="1130"/>
      <c r="W15" s="1130"/>
      <c r="X15" s="1130"/>
      <c r="Y15" s="1130"/>
      <c r="Z15" s="1130"/>
      <c r="AA15" s="1130"/>
    </row>
    <row r="16" spans="1:27" ht="13.2">
      <c r="A16" s="1160"/>
      <c r="B16" s="1159" t="s">
        <v>1455</v>
      </c>
      <c r="C16" s="1159"/>
      <c r="D16" s="1161">
        <v>1</v>
      </c>
      <c r="E16" s="1162">
        <v>20</v>
      </c>
      <c r="F16" s="1159"/>
      <c r="G16" s="1159"/>
      <c r="H16" s="1162">
        <f t="shared" si="0"/>
        <v>32.17</v>
      </c>
      <c r="I16" s="1159"/>
      <c r="J16" s="1163">
        <f t="shared" si="1"/>
        <v>643.40000000000009</v>
      </c>
      <c r="K16" s="1214"/>
      <c r="L16" s="1220"/>
      <c r="M16" s="1206"/>
      <c r="N16" s="1130">
        <v>40.265000000000001</v>
      </c>
      <c r="O16" s="1130"/>
      <c r="P16" s="1130"/>
      <c r="Q16" s="1130"/>
      <c r="R16" s="1130"/>
      <c r="S16" s="1130"/>
      <c r="T16" s="1130"/>
      <c r="U16" s="1130"/>
      <c r="V16" s="1130"/>
      <c r="W16" s="1130"/>
      <c r="X16" s="1130"/>
      <c r="Y16" s="1130"/>
      <c r="Z16" s="1130"/>
      <c r="AA16" s="1130"/>
    </row>
    <row r="17" spans="1:27" ht="13.2">
      <c r="A17" s="1160"/>
      <c r="B17" s="1159" t="s">
        <v>1456</v>
      </c>
      <c r="C17" s="1159"/>
      <c r="D17" s="1161">
        <v>1</v>
      </c>
      <c r="E17" s="1162">
        <v>20</v>
      </c>
      <c r="F17" s="1159"/>
      <c r="G17" s="1159"/>
      <c r="H17" s="1162">
        <f t="shared" si="0"/>
        <v>18.0855</v>
      </c>
      <c r="I17" s="1159"/>
      <c r="J17" s="1163">
        <f t="shared" si="1"/>
        <v>361.71</v>
      </c>
      <c r="K17" s="1214"/>
      <c r="L17" s="1220"/>
      <c r="M17" s="1206"/>
      <c r="N17" s="1130">
        <v>24.074999999999999</v>
      </c>
      <c r="O17" s="1130"/>
      <c r="P17" s="1130"/>
      <c r="Q17" s="1130"/>
      <c r="R17" s="1130"/>
      <c r="S17" s="1130"/>
      <c r="T17" s="1130"/>
      <c r="U17" s="1130"/>
      <c r="V17" s="1130"/>
      <c r="W17" s="1130"/>
      <c r="X17" s="1130"/>
      <c r="Y17" s="1130"/>
      <c r="Z17" s="1130"/>
      <c r="AA17" s="1130"/>
    </row>
    <row r="18" spans="1:27" ht="13.2">
      <c r="A18" s="1160"/>
      <c r="B18" s="1159" t="s">
        <v>1457</v>
      </c>
      <c r="C18" s="1159"/>
      <c r="D18" s="1161">
        <v>1</v>
      </c>
      <c r="E18" s="1159">
        <v>20</v>
      </c>
      <c r="F18" s="1159"/>
      <c r="G18" s="1159"/>
      <c r="H18" s="1162">
        <f t="shared" si="0"/>
        <v>21.298000000000002</v>
      </c>
      <c r="I18" s="1158"/>
      <c r="J18" s="1163">
        <f t="shared" si="1"/>
        <v>425.96000000000004</v>
      </c>
      <c r="K18" s="1214"/>
      <c r="L18" s="1220"/>
      <c r="M18" s="1206"/>
      <c r="N18" s="1130">
        <v>12.096</v>
      </c>
      <c r="O18" s="1130"/>
      <c r="P18" s="1130"/>
      <c r="Q18" s="1130"/>
      <c r="R18" s="1130"/>
      <c r="S18" s="1130"/>
      <c r="T18" s="1130"/>
      <c r="U18" s="1130"/>
      <c r="V18" s="1130"/>
      <c r="W18" s="1130"/>
      <c r="X18" s="1130"/>
      <c r="Y18" s="1130"/>
      <c r="Z18" s="1130"/>
      <c r="AA18" s="1130"/>
    </row>
    <row r="19" spans="1:27" ht="13.2">
      <c r="A19" s="1160"/>
      <c r="B19" s="1159" t="s">
        <v>1458</v>
      </c>
      <c r="C19" s="1159"/>
      <c r="D19" s="1161">
        <v>1</v>
      </c>
      <c r="E19" s="1162">
        <v>20</v>
      </c>
      <c r="F19" s="1159"/>
      <c r="G19" s="1159"/>
      <c r="H19" s="1162">
        <f t="shared" si="0"/>
        <v>31.25</v>
      </c>
      <c r="I19" s="1158"/>
      <c r="J19" s="1163">
        <f t="shared" si="1"/>
        <v>625</v>
      </c>
      <c r="K19" s="1214"/>
      <c r="L19" s="1220"/>
      <c r="M19" s="1206"/>
      <c r="N19" s="1130">
        <v>30.5</v>
      </c>
      <c r="O19" s="1130"/>
      <c r="P19" s="1130"/>
      <c r="Q19" s="1130"/>
      <c r="R19" s="1130"/>
      <c r="S19" s="1130"/>
      <c r="T19" s="1130"/>
      <c r="U19" s="1130"/>
      <c r="V19" s="1130"/>
      <c r="W19" s="1130"/>
      <c r="X19" s="1130"/>
      <c r="Y19" s="1130"/>
      <c r="Z19" s="1130"/>
      <c r="AA19" s="1130"/>
    </row>
    <row r="20" spans="1:27" ht="13.2">
      <c r="A20" s="1160"/>
      <c r="B20" s="1159" t="s">
        <v>1459</v>
      </c>
      <c r="C20" s="1159"/>
      <c r="D20" s="1161">
        <v>1</v>
      </c>
      <c r="E20" s="1162">
        <v>20</v>
      </c>
      <c r="F20" s="1159"/>
      <c r="G20" s="1159"/>
      <c r="H20" s="1162">
        <f t="shared" si="0"/>
        <v>47.454999999999998</v>
      </c>
      <c r="I20" s="1168"/>
      <c r="J20" s="1163">
        <f t="shared" si="1"/>
        <v>949.09999999999991</v>
      </c>
      <c r="K20" s="1214"/>
      <c r="L20" s="1220"/>
      <c r="M20" s="1206"/>
      <c r="N20" s="1130">
        <v>32</v>
      </c>
      <c r="O20" s="1130"/>
      <c r="P20" s="1130"/>
      <c r="Q20" s="1130"/>
      <c r="R20" s="1130"/>
      <c r="S20" s="1130"/>
      <c r="T20" s="1130"/>
      <c r="U20" s="1130"/>
      <c r="V20" s="1130"/>
      <c r="W20" s="1130"/>
      <c r="X20" s="1130"/>
      <c r="Y20" s="1130"/>
      <c r="Z20" s="1130"/>
      <c r="AA20" s="1130"/>
    </row>
    <row r="21" spans="1:27" ht="13.2">
      <c r="A21" s="1159"/>
      <c r="B21" s="1159" t="s">
        <v>1460</v>
      </c>
      <c r="C21" s="1159"/>
      <c r="D21" s="1161">
        <v>1</v>
      </c>
      <c r="E21" s="1162">
        <v>20</v>
      </c>
      <c r="F21" s="1159"/>
      <c r="G21" s="1159"/>
      <c r="H21" s="1162">
        <f t="shared" si="0"/>
        <v>41.838499999999996</v>
      </c>
      <c r="I21" s="1159"/>
      <c r="J21" s="1163">
        <f t="shared" si="1"/>
        <v>836.77</v>
      </c>
      <c r="K21" s="1214"/>
      <c r="L21" s="1220"/>
      <c r="M21" s="1206"/>
      <c r="N21" s="1130">
        <v>62.91</v>
      </c>
      <c r="O21" s="1130"/>
      <c r="P21" s="1130"/>
      <c r="Q21" s="1130"/>
      <c r="R21" s="1130"/>
      <c r="S21" s="1130"/>
      <c r="T21" s="1130"/>
      <c r="U21" s="1130"/>
      <c r="V21" s="1130"/>
      <c r="W21" s="1130"/>
      <c r="X21" s="1130"/>
      <c r="Y21" s="1130"/>
      <c r="Z21" s="1130"/>
      <c r="AA21" s="1130"/>
    </row>
    <row r="22" spans="1:27" ht="13.2">
      <c r="A22" s="1159"/>
      <c r="B22" s="1159" t="s">
        <v>1461</v>
      </c>
      <c r="C22" s="1159"/>
      <c r="D22" s="1161">
        <v>1</v>
      </c>
      <c r="E22" s="1162">
        <v>20</v>
      </c>
      <c r="F22" s="1159"/>
      <c r="G22" s="1159"/>
      <c r="H22" s="1162">
        <f t="shared" si="0"/>
        <v>27.176000000000002</v>
      </c>
      <c r="I22" s="1159"/>
      <c r="J22" s="1163">
        <f t="shared" si="1"/>
        <v>543.52</v>
      </c>
      <c r="K22" s="1214"/>
      <c r="L22" s="1220"/>
      <c r="M22" s="1206"/>
      <c r="N22" s="1130">
        <v>20.766999999999999</v>
      </c>
      <c r="O22" s="1130"/>
      <c r="P22" s="1130"/>
      <c r="Q22" s="1130"/>
      <c r="R22" s="1130"/>
      <c r="S22" s="1130"/>
      <c r="T22" s="1130"/>
      <c r="U22" s="1130"/>
      <c r="V22" s="1130"/>
      <c r="W22" s="1130"/>
      <c r="X22" s="1130"/>
      <c r="Y22" s="1130"/>
      <c r="Z22" s="1130"/>
      <c r="AA22" s="1130"/>
    </row>
    <row r="23" spans="1:27" ht="15.75" customHeight="1">
      <c r="A23" s="1159"/>
      <c r="B23" s="1159" t="s">
        <v>1462</v>
      </c>
      <c r="C23" s="1159"/>
      <c r="D23" s="1161">
        <v>1</v>
      </c>
      <c r="E23" s="1162">
        <v>20</v>
      </c>
      <c r="F23" s="1159"/>
      <c r="G23" s="1159"/>
      <c r="H23" s="1162">
        <f t="shared" si="0"/>
        <v>25.177</v>
      </c>
      <c r="I23" s="1159"/>
      <c r="J23" s="1163">
        <f t="shared" si="1"/>
        <v>503.53999999999996</v>
      </c>
      <c r="K23" s="1214"/>
      <c r="L23" s="1220"/>
      <c r="M23" s="1206"/>
      <c r="N23" s="1130">
        <v>33.585000000000001</v>
      </c>
      <c r="O23" s="1130"/>
      <c r="P23" s="1130"/>
      <c r="Q23" s="1130"/>
      <c r="R23" s="1130"/>
      <c r="S23" s="1130"/>
      <c r="T23" s="1130"/>
      <c r="U23" s="1130"/>
      <c r="V23" s="1130"/>
      <c r="W23" s="1130"/>
      <c r="X23" s="1130"/>
      <c r="Y23" s="1130"/>
      <c r="Z23" s="1130"/>
      <c r="AA23" s="1130"/>
    </row>
    <row r="24" spans="1:27" ht="15.75" customHeight="1">
      <c r="A24" s="1159"/>
      <c r="B24" s="1159" t="s">
        <v>1463</v>
      </c>
      <c r="C24" s="1159"/>
      <c r="D24" s="1161">
        <v>1</v>
      </c>
      <c r="E24" s="1162">
        <v>20</v>
      </c>
      <c r="F24" s="1159"/>
      <c r="G24" s="1159"/>
      <c r="H24" s="1162">
        <f t="shared" si="0"/>
        <v>25.452500000000001</v>
      </c>
      <c r="I24" s="1159"/>
      <c r="J24" s="1163">
        <f t="shared" si="1"/>
        <v>509.05</v>
      </c>
      <c r="K24" s="1214"/>
      <c r="L24" s="1220"/>
      <c r="M24" s="1206"/>
      <c r="N24" s="1130">
        <v>16.768999999999998</v>
      </c>
      <c r="O24" s="1130"/>
      <c r="P24" s="1130"/>
      <c r="Q24" s="1130"/>
      <c r="R24" s="1130"/>
      <c r="S24" s="1130"/>
      <c r="T24" s="1130"/>
      <c r="U24" s="1130"/>
      <c r="V24" s="1130"/>
      <c r="W24" s="1130"/>
      <c r="X24" s="1130"/>
      <c r="Y24" s="1130"/>
      <c r="Z24" s="1130"/>
      <c r="AA24" s="1130"/>
    </row>
    <row r="25" spans="1:27" ht="15.75" customHeight="1">
      <c r="A25" s="1159"/>
      <c r="B25" s="1159" t="s">
        <v>1464</v>
      </c>
      <c r="C25" s="1159"/>
      <c r="D25" s="1161">
        <v>1</v>
      </c>
      <c r="E25" s="1162">
        <v>20</v>
      </c>
      <c r="F25" s="1159"/>
      <c r="G25" s="1159"/>
      <c r="H25" s="1162">
        <f t="shared" si="0"/>
        <v>40.427500000000002</v>
      </c>
      <c r="I25" s="1159"/>
      <c r="J25" s="1163">
        <f t="shared" si="1"/>
        <v>808.55000000000007</v>
      </c>
      <c r="K25" s="1214"/>
      <c r="L25" s="1220"/>
      <c r="M25" s="1206"/>
      <c r="N25" s="1130">
        <v>34.136000000000003</v>
      </c>
      <c r="O25" s="1130"/>
      <c r="P25" s="1130"/>
      <c r="Q25" s="1130"/>
      <c r="R25" s="1130"/>
      <c r="S25" s="1130"/>
      <c r="T25" s="1130"/>
      <c r="U25" s="1130"/>
      <c r="V25" s="1130"/>
      <c r="W25" s="1130"/>
      <c r="X25" s="1130"/>
      <c r="Y25" s="1130"/>
      <c r="Z25" s="1130"/>
      <c r="AA25" s="1130"/>
    </row>
    <row r="26" spans="1:27" ht="15.75" customHeight="1">
      <c r="A26" s="1159"/>
      <c r="B26" s="1159" t="s">
        <v>1465</v>
      </c>
      <c r="C26" s="1159"/>
      <c r="D26" s="1161">
        <v>1</v>
      </c>
      <c r="E26" s="1162">
        <v>20</v>
      </c>
      <c r="F26" s="1159"/>
      <c r="G26" s="1159"/>
      <c r="H26" s="1162">
        <f t="shared" si="0"/>
        <v>46.325500000000005</v>
      </c>
      <c r="I26" s="1159"/>
      <c r="J26" s="1163">
        <f t="shared" si="1"/>
        <v>926.5100000000001</v>
      </c>
      <c r="K26" s="1214"/>
      <c r="L26" s="1220"/>
      <c r="M26" s="1206"/>
      <c r="N26" s="1130">
        <v>46.719000000000001</v>
      </c>
      <c r="O26" s="1130"/>
      <c r="P26" s="1130"/>
      <c r="Q26" s="1130"/>
      <c r="R26" s="1130"/>
      <c r="S26" s="1130"/>
      <c r="T26" s="1130"/>
      <c r="U26" s="1130"/>
      <c r="V26" s="1130"/>
      <c r="W26" s="1130"/>
      <c r="X26" s="1130"/>
      <c r="Y26" s="1130"/>
      <c r="Z26" s="1130"/>
      <c r="AA26" s="1130"/>
    </row>
    <row r="27" spans="1:27" ht="15.75" customHeight="1">
      <c r="A27" s="1159"/>
      <c r="B27" s="1159" t="s">
        <v>1466</v>
      </c>
      <c r="C27" s="1159"/>
      <c r="D27" s="1161">
        <v>1</v>
      </c>
      <c r="E27" s="1162">
        <v>20</v>
      </c>
      <c r="F27" s="1159"/>
      <c r="G27" s="1159"/>
      <c r="H27" s="1162">
        <f t="shared" si="0"/>
        <v>50.5105</v>
      </c>
      <c r="I27" s="1159"/>
      <c r="J27" s="1163">
        <f t="shared" si="1"/>
        <v>1010.21</v>
      </c>
      <c r="K27" s="1214"/>
      <c r="L27" s="1220"/>
      <c r="M27" s="1206"/>
      <c r="N27" s="1130">
        <v>45.932000000000002</v>
      </c>
      <c r="O27" s="1130"/>
      <c r="P27" s="1130"/>
      <c r="Q27" s="1130"/>
      <c r="R27" s="1130"/>
      <c r="S27" s="1130"/>
      <c r="T27" s="1130"/>
      <c r="U27" s="1130"/>
      <c r="V27" s="1130"/>
      <c r="W27" s="1130"/>
      <c r="X27" s="1130"/>
      <c r="Y27" s="1130"/>
      <c r="Z27" s="1130"/>
      <c r="AA27" s="1130"/>
    </row>
    <row r="28" spans="1:27" ht="15.75" customHeight="1">
      <c r="A28" s="1159"/>
      <c r="B28" s="1159" t="s">
        <v>1467</v>
      </c>
      <c r="C28" s="1159"/>
      <c r="D28" s="1161">
        <v>1</v>
      </c>
      <c r="E28" s="1162">
        <v>20</v>
      </c>
      <c r="F28" s="1159"/>
      <c r="G28" s="1159"/>
      <c r="H28" s="1162">
        <f t="shared" si="0"/>
        <v>49.794499999999999</v>
      </c>
      <c r="I28" s="1159"/>
      <c r="J28" s="1163">
        <f t="shared" si="1"/>
        <v>995.89</v>
      </c>
      <c r="K28" s="1214"/>
      <c r="L28" s="1220"/>
      <c r="M28" s="1206"/>
      <c r="N28" s="1130">
        <v>55.088999999999999</v>
      </c>
      <c r="O28" s="1130"/>
      <c r="P28" s="1130"/>
      <c r="Q28" s="1130"/>
      <c r="R28" s="1130"/>
      <c r="S28" s="1130"/>
      <c r="T28" s="1130"/>
      <c r="U28" s="1130"/>
      <c r="V28" s="1130"/>
      <c r="W28" s="1130"/>
      <c r="X28" s="1130"/>
      <c r="Y28" s="1130"/>
      <c r="Z28" s="1130"/>
      <c r="AA28" s="1130"/>
    </row>
    <row r="29" spans="1:27" ht="15.75" customHeight="1">
      <c r="A29" s="1159"/>
      <c r="B29" s="1159" t="s">
        <v>1468</v>
      </c>
      <c r="C29" s="1159"/>
      <c r="D29" s="1161">
        <v>1</v>
      </c>
      <c r="E29" s="1162">
        <v>20</v>
      </c>
      <c r="F29" s="1159"/>
      <c r="G29" s="1159"/>
      <c r="H29" s="1162">
        <f t="shared" si="0"/>
        <v>38.450000000000003</v>
      </c>
      <c r="I29" s="1159"/>
      <c r="J29" s="1163">
        <f t="shared" si="1"/>
        <v>769</v>
      </c>
      <c r="K29" s="1214"/>
      <c r="L29" s="1220"/>
      <c r="M29" s="1206"/>
      <c r="N29" s="1130">
        <v>44.5</v>
      </c>
      <c r="O29" s="1130"/>
      <c r="P29" s="1130"/>
      <c r="Q29" s="1130"/>
      <c r="R29" s="1130"/>
      <c r="S29" s="1130"/>
      <c r="T29" s="1130"/>
      <c r="U29" s="1130"/>
      <c r="V29" s="1130"/>
      <c r="W29" s="1130"/>
      <c r="X29" s="1130"/>
      <c r="Y29" s="1130"/>
      <c r="Z29" s="1130"/>
      <c r="AA29" s="1130"/>
    </row>
    <row r="30" spans="1:27" ht="15.75" customHeight="1">
      <c r="A30" s="1159"/>
      <c r="B30" s="1159" t="s">
        <v>1469</v>
      </c>
      <c r="C30" s="1159"/>
      <c r="D30" s="1161">
        <v>1</v>
      </c>
      <c r="E30" s="1162">
        <v>20</v>
      </c>
      <c r="F30" s="1159"/>
      <c r="G30" s="1159"/>
      <c r="H30" s="1162">
        <f t="shared" si="0"/>
        <v>17.8</v>
      </c>
      <c r="I30" s="1159"/>
      <c r="J30" s="1163">
        <f t="shared" si="1"/>
        <v>356</v>
      </c>
      <c r="K30" s="1214"/>
      <c r="L30" s="1220"/>
      <c r="M30" s="1206"/>
      <c r="N30" s="1130">
        <v>32.4</v>
      </c>
      <c r="O30" s="1130"/>
      <c r="P30" s="1130"/>
      <c r="Q30" s="1130"/>
      <c r="R30" s="1130"/>
      <c r="S30" s="1130"/>
      <c r="T30" s="1130"/>
      <c r="U30" s="1130"/>
      <c r="V30" s="1130"/>
      <c r="W30" s="1130"/>
      <c r="X30" s="1130"/>
      <c r="Y30" s="1130"/>
      <c r="Z30" s="1130"/>
      <c r="AA30" s="1130"/>
    </row>
    <row r="31" spans="1:27" ht="15.75" customHeight="1">
      <c r="A31" s="1159"/>
      <c r="B31" s="1159" t="s">
        <v>1470</v>
      </c>
      <c r="C31" s="1159"/>
      <c r="D31" s="1161">
        <v>1</v>
      </c>
      <c r="E31" s="1162">
        <v>10</v>
      </c>
      <c r="F31" s="1159"/>
      <c r="G31" s="1159"/>
      <c r="H31" s="1162">
        <f t="shared" si="0"/>
        <v>3.2</v>
      </c>
      <c r="I31" s="1159"/>
      <c r="J31" s="1163">
        <f t="shared" si="1"/>
        <v>32</v>
      </c>
      <c r="K31" s="1214"/>
      <c r="L31" s="1220"/>
      <c r="M31" s="1206"/>
      <c r="N31" s="1130">
        <v>3.2</v>
      </c>
      <c r="O31" s="1130"/>
      <c r="P31" s="1130"/>
      <c r="Q31" s="1130"/>
      <c r="R31" s="1130"/>
      <c r="S31" s="1130"/>
      <c r="T31" s="1130"/>
      <c r="U31" s="1130"/>
      <c r="V31" s="1130"/>
      <c r="W31" s="1130"/>
      <c r="X31" s="1130"/>
      <c r="Y31" s="1130"/>
      <c r="Z31" s="1130"/>
      <c r="AA31" s="1130"/>
    </row>
    <row r="32" spans="1:27" ht="15.75" customHeight="1">
      <c r="A32" s="1159"/>
      <c r="B32" s="1159" t="s">
        <v>1471</v>
      </c>
      <c r="C32" s="1159"/>
      <c r="D32" s="1161">
        <v>1</v>
      </c>
      <c r="E32" s="1162">
        <v>10</v>
      </c>
      <c r="F32" s="1159"/>
      <c r="G32" s="1159"/>
      <c r="H32" s="1162">
        <v>30.332000000000001</v>
      </c>
      <c r="I32" s="1159"/>
      <c r="J32" s="1163">
        <f t="shared" si="1"/>
        <v>303.32</v>
      </c>
      <c r="K32" s="1214"/>
      <c r="L32" s="1220"/>
      <c r="M32" s="1206"/>
      <c r="N32" s="1130">
        <v>3.2</v>
      </c>
      <c r="O32" s="1130"/>
      <c r="P32" s="1130"/>
      <c r="Q32" s="1130"/>
      <c r="R32" s="1130"/>
      <c r="S32" s="1130"/>
      <c r="T32" s="1130"/>
      <c r="U32" s="1130"/>
      <c r="V32" s="1130"/>
      <c r="W32" s="1130"/>
      <c r="X32" s="1130"/>
      <c r="Y32" s="1130"/>
      <c r="Z32" s="1130"/>
      <c r="AA32" s="1130"/>
    </row>
    <row r="33" spans="1:27" ht="15.75" customHeight="1">
      <c r="A33" s="1159"/>
      <c r="B33" s="1159" t="s">
        <v>1472</v>
      </c>
      <c r="C33" s="1159"/>
      <c r="D33" s="1161">
        <v>1</v>
      </c>
      <c r="E33" s="1162">
        <v>18.309999999999999</v>
      </c>
      <c r="F33" s="1159"/>
      <c r="G33" s="1159"/>
      <c r="H33" s="1162">
        <f>AVERAGE(N33,N34)</f>
        <v>53.105999999999995</v>
      </c>
      <c r="I33" s="1159"/>
      <c r="J33" s="1163">
        <f t="shared" si="1"/>
        <v>972.37085999999988</v>
      </c>
      <c r="K33" s="1214"/>
      <c r="L33" s="1220"/>
      <c r="M33" s="1206"/>
      <c r="N33" s="1130">
        <v>30.332000000000001</v>
      </c>
      <c r="O33" s="1130"/>
      <c r="P33" s="1130"/>
      <c r="Q33" s="1130"/>
      <c r="R33" s="1130"/>
      <c r="S33" s="1130"/>
      <c r="T33" s="1130"/>
      <c r="U33" s="1130"/>
      <c r="V33" s="1130"/>
      <c r="W33" s="1130"/>
      <c r="X33" s="1130"/>
      <c r="Y33" s="1130"/>
      <c r="Z33" s="1130"/>
      <c r="AA33" s="1130"/>
    </row>
    <row r="34" spans="1:27" ht="15.75" customHeight="1">
      <c r="A34" s="1159"/>
      <c r="B34" s="1159"/>
      <c r="C34" s="1159"/>
      <c r="D34" s="1159"/>
      <c r="E34" s="1159"/>
      <c r="F34" s="1159"/>
      <c r="G34" s="1159"/>
      <c r="H34" s="1159"/>
      <c r="I34" s="1149" t="s">
        <v>439</v>
      </c>
      <c r="J34" s="1150">
        <f>SUM(J14:J33)</f>
        <v>16138.210859999999</v>
      </c>
      <c r="K34" s="1214"/>
      <c r="L34" s="1220"/>
      <c r="M34" s="1206"/>
      <c r="N34" s="1130">
        <v>75.88</v>
      </c>
      <c r="O34" s="1130"/>
      <c r="P34" s="1130"/>
      <c r="Q34" s="1130"/>
      <c r="R34" s="1130"/>
      <c r="S34" s="1130"/>
      <c r="T34" s="1130"/>
      <c r="U34" s="1130"/>
      <c r="V34" s="1130"/>
      <c r="W34" s="1130"/>
      <c r="X34" s="1130"/>
      <c r="Y34" s="1130"/>
      <c r="Z34" s="1130"/>
      <c r="AA34" s="1130"/>
    </row>
    <row r="35" spans="1:27" ht="15.75" customHeight="1">
      <c r="A35" s="1159"/>
      <c r="B35" s="1159"/>
      <c r="C35" s="1159"/>
      <c r="D35" s="1159"/>
      <c r="E35" s="1159"/>
      <c r="F35" s="1159"/>
      <c r="G35" s="1159"/>
      <c r="H35" s="1159"/>
      <c r="I35" s="1209" t="s">
        <v>1498</v>
      </c>
      <c r="J35" s="1150">
        <f>0.85*J34</f>
        <v>13717.479230999999</v>
      </c>
      <c r="K35" s="1214"/>
      <c r="L35" s="1220">
        <v>320</v>
      </c>
      <c r="M35" s="1206">
        <f>L35*J35</f>
        <v>4389593.3539199997</v>
      </c>
      <c r="N35" s="1130"/>
      <c r="O35" s="1130"/>
      <c r="P35" s="1130"/>
      <c r="Q35" s="1130"/>
      <c r="R35" s="1130"/>
      <c r="S35" s="1130"/>
      <c r="T35" s="1130"/>
      <c r="U35" s="1130"/>
      <c r="V35" s="1130"/>
      <c r="W35" s="1130"/>
      <c r="X35" s="1130"/>
      <c r="Y35" s="1130"/>
      <c r="Z35" s="1130"/>
      <c r="AA35" s="1130"/>
    </row>
    <row r="36" spans="1:27" ht="15.75" customHeight="1">
      <c r="A36" s="1159"/>
      <c r="B36" s="1159"/>
      <c r="C36" s="1159"/>
      <c r="D36" s="1159"/>
      <c r="E36" s="1159"/>
      <c r="F36" s="1159"/>
      <c r="G36" s="1159"/>
      <c r="H36" s="1159"/>
      <c r="I36" s="1209" t="s">
        <v>1499</v>
      </c>
      <c r="J36" s="1150">
        <f>0.15*J34</f>
        <v>2420.7316289999999</v>
      </c>
      <c r="K36" s="1214"/>
      <c r="L36" s="1220">
        <v>1350</v>
      </c>
      <c r="M36" s="1206">
        <f>L36*J36</f>
        <v>3267987.6991499998</v>
      </c>
      <c r="N36" s="1130"/>
      <c r="O36" s="1130"/>
      <c r="P36" s="1130"/>
      <c r="Q36" s="1130"/>
      <c r="R36" s="1130"/>
      <c r="S36" s="1130"/>
      <c r="T36" s="1130"/>
      <c r="U36" s="1130"/>
      <c r="V36" s="1130"/>
      <c r="W36" s="1130"/>
      <c r="X36" s="1130"/>
      <c r="Y36" s="1130"/>
      <c r="Z36" s="1130"/>
      <c r="AA36" s="1130"/>
    </row>
    <row r="37" spans="1:27" ht="15.75" customHeight="1">
      <c r="A37" s="1157"/>
      <c r="B37" s="1159"/>
      <c r="C37" s="1159"/>
      <c r="D37" s="1159"/>
      <c r="E37" s="1159"/>
      <c r="F37" s="1159"/>
      <c r="G37" s="1159"/>
      <c r="H37" s="1159"/>
      <c r="I37" s="1158"/>
      <c r="J37" s="1167"/>
      <c r="K37" s="1214"/>
      <c r="L37" s="1220"/>
      <c r="M37" s="1206"/>
      <c r="N37" s="1130"/>
      <c r="O37" s="1130"/>
      <c r="P37" s="1130"/>
      <c r="Q37" s="1130"/>
      <c r="R37" s="1130"/>
      <c r="S37" s="1130"/>
      <c r="T37" s="1130"/>
      <c r="U37" s="1130"/>
      <c r="V37" s="1130"/>
      <c r="W37" s="1130"/>
      <c r="X37" s="1130"/>
      <c r="Y37" s="1130"/>
      <c r="Z37" s="1130"/>
      <c r="AA37" s="1130"/>
    </row>
    <row r="38" spans="1:27" ht="15.75" customHeight="1">
      <c r="A38" s="1180">
        <v>3</v>
      </c>
      <c r="B38" s="1178" t="s">
        <v>422</v>
      </c>
      <c r="C38" s="1181" t="s">
        <v>306</v>
      </c>
      <c r="D38" s="1181">
        <v>1</v>
      </c>
      <c r="E38" s="1182">
        <v>20</v>
      </c>
      <c r="F38" s="1182"/>
      <c r="G38" s="1182"/>
      <c r="H38" s="1182">
        <v>2.1909999999999998</v>
      </c>
      <c r="I38" s="1182"/>
      <c r="J38" s="1183">
        <f t="shared" ref="J38:J58" si="2">D38*E38*H38</f>
        <v>43.819999999999993</v>
      </c>
      <c r="K38" s="1213"/>
      <c r="L38" s="1219"/>
      <c r="M38" s="1206"/>
      <c r="N38" s="1130"/>
      <c r="O38" s="1130"/>
      <c r="P38" s="1130"/>
      <c r="Q38" s="1130"/>
      <c r="R38" s="1130"/>
      <c r="S38" s="1130"/>
      <c r="T38" s="1130"/>
      <c r="U38" s="1130"/>
      <c r="V38" s="1130"/>
      <c r="W38" s="1130"/>
      <c r="X38" s="1130"/>
      <c r="Y38" s="1130"/>
      <c r="Z38" s="1130"/>
      <c r="AA38" s="1130"/>
    </row>
    <row r="39" spans="1:27" ht="15.75" customHeight="1">
      <c r="A39" s="1160"/>
      <c r="B39" s="1159" t="s">
        <v>1453</v>
      </c>
      <c r="C39" s="1161"/>
      <c r="D39" s="1161">
        <v>1</v>
      </c>
      <c r="E39" s="1162">
        <v>20</v>
      </c>
      <c r="F39" s="1162"/>
      <c r="G39" s="1162"/>
      <c r="H39" s="1162">
        <f t="shared" ref="H39:H56" si="3">AVERAGE(N39,N40)</f>
        <v>7.3410000000000002</v>
      </c>
      <c r="I39" s="1162"/>
      <c r="J39" s="1163">
        <f t="shared" si="2"/>
        <v>146.82</v>
      </c>
      <c r="K39" s="1214"/>
      <c r="L39" s="1220"/>
      <c r="M39" s="1206"/>
      <c r="N39" s="1130">
        <v>7.3410000000000002</v>
      </c>
      <c r="O39" s="1130"/>
      <c r="P39" s="1130"/>
      <c r="Q39" s="1130"/>
      <c r="R39" s="1130"/>
      <c r="S39" s="1130"/>
      <c r="T39" s="1130"/>
      <c r="U39" s="1130"/>
      <c r="V39" s="1130"/>
      <c r="W39" s="1130"/>
      <c r="X39" s="1130"/>
      <c r="Y39" s="1130"/>
      <c r="Z39" s="1130"/>
      <c r="AA39" s="1130"/>
    </row>
    <row r="40" spans="1:27" ht="15.75" customHeight="1">
      <c r="A40" s="1160"/>
      <c r="B40" s="1159" t="s">
        <v>1454</v>
      </c>
      <c r="C40" s="1161"/>
      <c r="D40" s="1161">
        <v>1</v>
      </c>
      <c r="E40" s="1162">
        <v>20</v>
      </c>
      <c r="F40" s="1162"/>
      <c r="G40" s="1162"/>
      <c r="H40" s="1162">
        <f t="shared" si="3"/>
        <v>7.3410000000000002</v>
      </c>
      <c r="I40" s="1164"/>
      <c r="J40" s="1163">
        <f t="shared" si="2"/>
        <v>146.82</v>
      </c>
      <c r="K40" s="1214"/>
      <c r="L40" s="1220"/>
      <c r="M40" s="1206"/>
      <c r="N40" s="1130">
        <v>7.3410000000000002</v>
      </c>
      <c r="O40" s="1130"/>
      <c r="P40" s="1130"/>
      <c r="Q40" s="1130"/>
      <c r="R40" s="1130"/>
      <c r="S40" s="1130"/>
      <c r="T40" s="1130"/>
      <c r="U40" s="1130"/>
      <c r="V40" s="1130"/>
      <c r="W40" s="1130"/>
      <c r="X40" s="1130"/>
      <c r="Y40" s="1130"/>
      <c r="Z40" s="1130"/>
      <c r="AA40" s="1130"/>
    </row>
    <row r="41" spans="1:27" ht="15.75" customHeight="1">
      <c r="A41" s="1160"/>
      <c r="B41" s="1159" t="s">
        <v>1455</v>
      </c>
      <c r="C41" s="1159"/>
      <c r="D41" s="1161">
        <v>1</v>
      </c>
      <c r="E41" s="1162">
        <v>20</v>
      </c>
      <c r="F41" s="1159"/>
      <c r="G41" s="1159"/>
      <c r="H41" s="1162">
        <f t="shared" si="3"/>
        <v>10.381</v>
      </c>
      <c r="I41" s="1159"/>
      <c r="J41" s="1163">
        <f t="shared" si="2"/>
        <v>207.62</v>
      </c>
      <c r="K41" s="1214"/>
      <c r="L41" s="1220"/>
      <c r="M41" s="1206"/>
      <c r="N41" s="1130">
        <v>7.3410000000000002</v>
      </c>
      <c r="O41" s="1130"/>
      <c r="P41" s="1130"/>
      <c r="Q41" s="1130"/>
      <c r="R41" s="1130"/>
      <c r="S41" s="1130"/>
      <c r="T41" s="1130"/>
      <c r="U41" s="1130"/>
      <c r="V41" s="1130"/>
      <c r="W41" s="1130"/>
      <c r="X41" s="1130"/>
      <c r="Y41" s="1130"/>
      <c r="Z41" s="1130"/>
      <c r="AA41" s="1130"/>
    </row>
    <row r="42" spans="1:27" ht="15.75" customHeight="1">
      <c r="A42" s="1160"/>
      <c r="B42" s="1159" t="s">
        <v>1456</v>
      </c>
      <c r="C42" s="1159"/>
      <c r="D42" s="1161">
        <v>1</v>
      </c>
      <c r="E42" s="1162">
        <v>20</v>
      </c>
      <c r="F42" s="1159"/>
      <c r="G42" s="1159"/>
      <c r="H42" s="1162">
        <f t="shared" si="3"/>
        <v>17.310499999999998</v>
      </c>
      <c r="I42" s="1159"/>
      <c r="J42" s="1163">
        <f t="shared" si="2"/>
        <v>346.20999999999992</v>
      </c>
      <c r="K42" s="1215"/>
      <c r="L42" s="1221"/>
      <c r="M42" s="1206"/>
      <c r="N42" s="1130">
        <v>13.420999999999999</v>
      </c>
      <c r="O42" s="1130"/>
      <c r="P42" s="1130"/>
      <c r="Q42" s="1130"/>
      <c r="R42" s="1130"/>
      <c r="S42" s="1130"/>
      <c r="T42" s="1130"/>
      <c r="U42" s="1130"/>
      <c r="V42" s="1130"/>
      <c r="W42" s="1130"/>
      <c r="X42" s="1130"/>
      <c r="Y42" s="1130"/>
      <c r="Z42" s="1130"/>
      <c r="AA42" s="1130"/>
    </row>
    <row r="43" spans="1:27" ht="15.75" customHeight="1">
      <c r="A43" s="1160"/>
      <c r="B43" s="1159" t="s">
        <v>1457</v>
      </c>
      <c r="C43" s="1159"/>
      <c r="D43" s="1161">
        <v>1</v>
      </c>
      <c r="E43" s="1163">
        <v>20</v>
      </c>
      <c r="F43" s="1159"/>
      <c r="G43" s="1159"/>
      <c r="H43" s="1162">
        <f t="shared" si="3"/>
        <v>23.6</v>
      </c>
      <c r="I43" s="1158"/>
      <c r="J43" s="1163">
        <f t="shared" si="2"/>
        <v>472</v>
      </c>
      <c r="K43" s="1214"/>
      <c r="L43" s="1220"/>
      <c r="M43" s="1206"/>
      <c r="N43" s="1130">
        <v>21.2</v>
      </c>
      <c r="O43" s="1130"/>
      <c r="P43" s="1130"/>
      <c r="Q43" s="1130"/>
      <c r="R43" s="1130"/>
      <c r="S43" s="1130"/>
      <c r="T43" s="1130"/>
      <c r="U43" s="1130"/>
      <c r="V43" s="1130"/>
      <c r="W43" s="1130"/>
      <c r="X43" s="1130"/>
      <c r="Y43" s="1130"/>
      <c r="Z43" s="1130"/>
      <c r="AA43" s="1130"/>
    </row>
    <row r="44" spans="1:27" ht="15.75" customHeight="1">
      <c r="A44" s="1160"/>
      <c r="B44" s="1159" t="s">
        <v>1458</v>
      </c>
      <c r="C44" s="1159"/>
      <c r="D44" s="1161">
        <v>1</v>
      </c>
      <c r="E44" s="1162">
        <v>20</v>
      </c>
      <c r="F44" s="1159"/>
      <c r="G44" s="1159"/>
      <c r="H44" s="1162">
        <f t="shared" si="3"/>
        <v>37.450000000000003</v>
      </c>
      <c r="I44" s="1158"/>
      <c r="J44" s="1163">
        <f t="shared" si="2"/>
        <v>749</v>
      </c>
      <c r="K44" s="1214"/>
      <c r="L44" s="1220"/>
      <c r="M44" s="1206"/>
      <c r="N44" s="1130">
        <v>26</v>
      </c>
      <c r="O44" s="1130"/>
      <c r="P44" s="1130"/>
      <c r="Q44" s="1130"/>
      <c r="R44" s="1130"/>
      <c r="S44" s="1130"/>
      <c r="T44" s="1130"/>
      <c r="U44" s="1130"/>
      <c r="V44" s="1130"/>
      <c r="W44" s="1130"/>
      <c r="X44" s="1130"/>
      <c r="Y44" s="1130"/>
      <c r="Z44" s="1130"/>
      <c r="AA44" s="1130"/>
    </row>
    <row r="45" spans="1:27" ht="15.75" customHeight="1">
      <c r="A45" s="1160"/>
      <c r="B45" s="1159" t="s">
        <v>1459</v>
      </c>
      <c r="C45" s="1159"/>
      <c r="D45" s="1161">
        <v>1</v>
      </c>
      <c r="E45" s="1162">
        <v>20</v>
      </c>
      <c r="F45" s="1159"/>
      <c r="G45" s="1159"/>
      <c r="H45" s="1162">
        <f t="shared" si="3"/>
        <v>38</v>
      </c>
      <c r="I45" s="1168"/>
      <c r="J45" s="1163">
        <f t="shared" si="2"/>
        <v>760</v>
      </c>
      <c r="K45" s="1214"/>
      <c r="L45" s="1220"/>
      <c r="M45" s="1206"/>
      <c r="N45" s="1130">
        <v>48.9</v>
      </c>
      <c r="O45" s="1130"/>
      <c r="P45" s="1130"/>
      <c r="Q45" s="1130"/>
      <c r="R45" s="1130"/>
      <c r="S45" s="1130"/>
      <c r="T45" s="1130"/>
      <c r="U45" s="1130"/>
      <c r="V45" s="1130"/>
      <c r="W45" s="1130"/>
      <c r="X45" s="1130"/>
      <c r="Y45" s="1130"/>
      <c r="Z45" s="1130"/>
      <c r="AA45" s="1130"/>
    </row>
    <row r="46" spans="1:27" ht="15.75" customHeight="1">
      <c r="A46" s="1160"/>
      <c r="B46" s="1159" t="s">
        <v>1460</v>
      </c>
      <c r="C46" s="1159"/>
      <c r="D46" s="1161">
        <v>1</v>
      </c>
      <c r="E46" s="1162">
        <v>20</v>
      </c>
      <c r="F46" s="1159"/>
      <c r="G46" s="1159"/>
      <c r="H46" s="1162">
        <f t="shared" si="3"/>
        <v>31.150000000000002</v>
      </c>
      <c r="I46" s="1159"/>
      <c r="J46" s="1163">
        <f t="shared" si="2"/>
        <v>623</v>
      </c>
      <c r="K46" s="1215"/>
      <c r="L46" s="1221"/>
      <c r="M46" s="1206"/>
      <c r="N46" s="1130">
        <v>27.1</v>
      </c>
      <c r="O46" s="1130"/>
      <c r="P46" s="1130"/>
      <c r="Q46" s="1130"/>
      <c r="R46" s="1130"/>
      <c r="S46" s="1130"/>
      <c r="T46" s="1130"/>
      <c r="U46" s="1130"/>
      <c r="V46" s="1130"/>
      <c r="W46" s="1130"/>
      <c r="X46" s="1130"/>
      <c r="Y46" s="1130"/>
      <c r="Z46" s="1130"/>
      <c r="AA46" s="1130"/>
    </row>
    <row r="47" spans="1:27" ht="15.75" customHeight="1">
      <c r="A47" s="1160"/>
      <c r="B47" s="1159" t="s">
        <v>1461</v>
      </c>
      <c r="C47" s="1159"/>
      <c r="D47" s="1161">
        <v>1</v>
      </c>
      <c r="E47" s="1162">
        <v>20</v>
      </c>
      <c r="F47" s="1159"/>
      <c r="G47" s="1159"/>
      <c r="H47" s="1162">
        <f t="shared" si="3"/>
        <v>33</v>
      </c>
      <c r="I47" s="1159"/>
      <c r="J47" s="1163">
        <f t="shared" si="2"/>
        <v>660</v>
      </c>
      <c r="K47" s="1214"/>
      <c r="L47" s="1220"/>
      <c r="M47" s="1206"/>
      <c r="N47" s="1130">
        <v>35.200000000000003</v>
      </c>
      <c r="O47" s="1130"/>
      <c r="P47" s="1130"/>
      <c r="Q47" s="1130"/>
      <c r="R47" s="1130"/>
      <c r="S47" s="1130"/>
      <c r="T47" s="1130"/>
      <c r="U47" s="1130"/>
      <c r="V47" s="1130"/>
      <c r="W47" s="1130"/>
      <c r="X47" s="1130"/>
      <c r="Y47" s="1130"/>
      <c r="Z47" s="1130"/>
      <c r="AA47" s="1130"/>
    </row>
    <row r="48" spans="1:27" ht="15.75" customHeight="1">
      <c r="A48" s="1159"/>
      <c r="B48" s="1159" t="s">
        <v>1462</v>
      </c>
      <c r="C48" s="1159"/>
      <c r="D48" s="1161">
        <v>1</v>
      </c>
      <c r="E48" s="1162">
        <v>20</v>
      </c>
      <c r="F48" s="1159"/>
      <c r="G48" s="1159"/>
      <c r="H48" s="1162">
        <f t="shared" si="3"/>
        <v>33.1</v>
      </c>
      <c r="I48" s="1159"/>
      <c r="J48" s="1163">
        <f t="shared" si="2"/>
        <v>662</v>
      </c>
      <c r="K48" s="1214"/>
      <c r="L48" s="1220"/>
      <c r="M48" s="1206"/>
      <c r="N48" s="1130">
        <v>30.8</v>
      </c>
      <c r="O48" s="1130"/>
      <c r="P48" s="1130"/>
      <c r="Q48" s="1130"/>
      <c r="R48" s="1130"/>
      <c r="S48" s="1130"/>
      <c r="T48" s="1130"/>
      <c r="U48" s="1130"/>
      <c r="V48" s="1130"/>
      <c r="W48" s="1130"/>
      <c r="X48" s="1130"/>
      <c r="Y48" s="1130"/>
      <c r="Z48" s="1130"/>
      <c r="AA48" s="1130"/>
    </row>
    <row r="49" spans="1:27" ht="15.75" customHeight="1">
      <c r="A49" s="1159"/>
      <c r="B49" s="1159" t="s">
        <v>1463</v>
      </c>
      <c r="C49" s="1159"/>
      <c r="D49" s="1161">
        <v>1</v>
      </c>
      <c r="E49" s="1162">
        <v>20</v>
      </c>
      <c r="F49" s="1159"/>
      <c r="G49" s="1159"/>
      <c r="H49" s="1162">
        <f t="shared" si="3"/>
        <v>36.314</v>
      </c>
      <c r="I49" s="1159"/>
      <c r="J49" s="1163">
        <f t="shared" si="2"/>
        <v>726.28</v>
      </c>
      <c r="K49" s="1214"/>
      <c r="L49" s="1220"/>
      <c r="M49" s="1206"/>
      <c r="N49" s="1130">
        <v>35.4</v>
      </c>
      <c r="O49" s="1130"/>
      <c r="P49" s="1130"/>
      <c r="Q49" s="1130"/>
      <c r="R49" s="1130"/>
      <c r="S49" s="1130"/>
      <c r="T49" s="1130"/>
      <c r="U49" s="1130"/>
      <c r="V49" s="1130"/>
      <c r="W49" s="1130"/>
      <c r="X49" s="1130"/>
      <c r="Y49" s="1130"/>
      <c r="Z49" s="1130"/>
      <c r="AA49" s="1130"/>
    </row>
    <row r="50" spans="1:27" ht="15.75" customHeight="1">
      <c r="A50" s="1159"/>
      <c r="B50" s="1159" t="s">
        <v>1464</v>
      </c>
      <c r="C50" s="1159"/>
      <c r="D50" s="1161">
        <v>1</v>
      </c>
      <c r="E50" s="1162">
        <v>20</v>
      </c>
      <c r="F50" s="1159"/>
      <c r="G50" s="1159"/>
      <c r="H50" s="1162">
        <f t="shared" si="3"/>
        <v>34.161000000000001</v>
      </c>
      <c r="I50" s="1159"/>
      <c r="J50" s="1163">
        <f t="shared" si="2"/>
        <v>683.22</v>
      </c>
      <c r="K50" s="1214"/>
      <c r="L50" s="1220"/>
      <c r="M50" s="1206"/>
      <c r="N50" s="1130">
        <v>37.228000000000002</v>
      </c>
      <c r="O50" s="1130"/>
      <c r="P50" s="1130"/>
      <c r="Q50" s="1130"/>
      <c r="R50" s="1130"/>
      <c r="S50" s="1130"/>
      <c r="T50" s="1130"/>
      <c r="U50" s="1130"/>
      <c r="V50" s="1130"/>
      <c r="W50" s="1130"/>
      <c r="X50" s="1130"/>
      <c r="Y50" s="1130"/>
      <c r="Z50" s="1130"/>
      <c r="AA50" s="1130"/>
    </row>
    <row r="51" spans="1:27" ht="15.75" customHeight="1">
      <c r="A51" s="1159"/>
      <c r="B51" s="1159" t="s">
        <v>1465</v>
      </c>
      <c r="C51" s="1159"/>
      <c r="D51" s="1161">
        <v>1</v>
      </c>
      <c r="E51" s="1162">
        <v>20</v>
      </c>
      <c r="F51" s="1159"/>
      <c r="G51" s="1159"/>
      <c r="H51" s="1162">
        <f t="shared" si="3"/>
        <v>31.216999999999999</v>
      </c>
      <c r="I51" s="1159"/>
      <c r="J51" s="1163">
        <f t="shared" si="2"/>
        <v>624.33999999999992</v>
      </c>
      <c r="K51" s="1214"/>
      <c r="L51" s="1220"/>
      <c r="M51" s="1206"/>
      <c r="N51" s="1130">
        <v>31.094000000000001</v>
      </c>
      <c r="O51" s="1130"/>
      <c r="P51" s="1130"/>
      <c r="Q51" s="1130"/>
      <c r="R51" s="1130"/>
      <c r="S51" s="1130"/>
      <c r="T51" s="1130"/>
      <c r="U51" s="1130"/>
      <c r="V51" s="1130"/>
      <c r="W51" s="1130"/>
      <c r="X51" s="1130"/>
      <c r="Y51" s="1130"/>
      <c r="Z51" s="1130"/>
      <c r="AA51" s="1130"/>
    </row>
    <row r="52" spans="1:27" ht="15.75" customHeight="1">
      <c r="A52" s="1159"/>
      <c r="B52" s="1159" t="s">
        <v>1466</v>
      </c>
      <c r="C52" s="1159"/>
      <c r="D52" s="1161">
        <v>1</v>
      </c>
      <c r="E52" s="1162">
        <v>20</v>
      </c>
      <c r="F52" s="1159"/>
      <c r="G52" s="1159"/>
      <c r="H52" s="1162">
        <f t="shared" si="3"/>
        <v>24.119999999999997</v>
      </c>
      <c r="I52" s="1159"/>
      <c r="J52" s="1163">
        <f t="shared" si="2"/>
        <v>482.4</v>
      </c>
      <c r="K52" s="1214"/>
      <c r="L52" s="1220"/>
      <c r="M52" s="1206"/>
      <c r="N52" s="1130">
        <v>31.34</v>
      </c>
      <c r="O52" s="1130"/>
      <c r="P52" s="1130"/>
      <c r="Q52" s="1130"/>
      <c r="R52" s="1130"/>
      <c r="S52" s="1130"/>
      <c r="T52" s="1130"/>
      <c r="U52" s="1130"/>
      <c r="V52" s="1130"/>
      <c r="W52" s="1130"/>
      <c r="X52" s="1130"/>
      <c r="Y52" s="1130"/>
      <c r="Z52" s="1130"/>
      <c r="AA52" s="1130"/>
    </row>
    <row r="53" spans="1:27" ht="15.75" customHeight="1">
      <c r="A53" s="1159"/>
      <c r="B53" s="1159" t="s">
        <v>1467</v>
      </c>
      <c r="C53" s="1159"/>
      <c r="D53" s="1161">
        <v>1</v>
      </c>
      <c r="E53" s="1162">
        <v>20</v>
      </c>
      <c r="F53" s="1159"/>
      <c r="G53" s="1159"/>
      <c r="H53" s="1162">
        <f t="shared" si="3"/>
        <v>19.95</v>
      </c>
      <c r="I53" s="1159"/>
      <c r="J53" s="1163">
        <f t="shared" si="2"/>
        <v>399</v>
      </c>
      <c r="K53" s="1214"/>
      <c r="L53" s="1220"/>
      <c r="M53" s="1206"/>
      <c r="N53" s="1130">
        <v>16.899999999999999</v>
      </c>
      <c r="O53" s="1130"/>
      <c r="P53" s="1130"/>
      <c r="Q53" s="1130"/>
      <c r="R53" s="1130"/>
      <c r="S53" s="1130"/>
      <c r="T53" s="1130"/>
      <c r="U53" s="1130"/>
      <c r="V53" s="1130"/>
      <c r="W53" s="1130"/>
      <c r="X53" s="1130"/>
      <c r="Y53" s="1130"/>
      <c r="Z53" s="1130"/>
      <c r="AA53" s="1130"/>
    </row>
    <row r="54" spans="1:27" ht="15.75" customHeight="1">
      <c r="A54" s="1159"/>
      <c r="B54" s="1159" t="s">
        <v>1468</v>
      </c>
      <c r="C54" s="1159"/>
      <c r="D54" s="1161">
        <v>1</v>
      </c>
      <c r="E54" s="1162">
        <v>20</v>
      </c>
      <c r="F54" s="1159"/>
      <c r="G54" s="1159"/>
      <c r="H54" s="1162">
        <f t="shared" si="3"/>
        <v>23.824999999999999</v>
      </c>
      <c r="I54" s="1159"/>
      <c r="J54" s="1163">
        <f t="shared" si="2"/>
        <v>476.5</v>
      </c>
      <c r="K54" s="1214"/>
      <c r="L54" s="1220"/>
      <c r="M54" s="1206"/>
      <c r="N54" s="1130">
        <v>23</v>
      </c>
      <c r="O54" s="1130"/>
      <c r="P54" s="1130"/>
      <c r="Q54" s="1130"/>
      <c r="R54" s="1130"/>
      <c r="S54" s="1130"/>
      <c r="T54" s="1130"/>
      <c r="U54" s="1130"/>
      <c r="V54" s="1130"/>
      <c r="W54" s="1130"/>
      <c r="X54" s="1130"/>
      <c r="Y54" s="1130"/>
      <c r="Z54" s="1130"/>
      <c r="AA54" s="1130"/>
    </row>
    <row r="55" spans="1:27" ht="15.75" customHeight="1">
      <c r="A55" s="1159"/>
      <c r="B55" s="1159" t="s">
        <v>1469</v>
      </c>
      <c r="C55" s="1159"/>
      <c r="D55" s="1161">
        <v>1</v>
      </c>
      <c r="E55" s="1162">
        <v>20</v>
      </c>
      <c r="F55" s="1159"/>
      <c r="G55" s="1159"/>
      <c r="H55" s="1162">
        <f t="shared" si="3"/>
        <v>37.094999999999999</v>
      </c>
      <c r="I55" s="1159"/>
      <c r="J55" s="1163">
        <f t="shared" si="2"/>
        <v>741.9</v>
      </c>
      <c r="K55" s="1214"/>
      <c r="L55" s="1220"/>
      <c r="M55" s="1206"/>
      <c r="N55" s="1130">
        <v>24.65</v>
      </c>
      <c r="O55" s="1130"/>
      <c r="P55" s="1130"/>
      <c r="Q55" s="1130"/>
      <c r="R55" s="1130"/>
      <c r="S55" s="1130"/>
      <c r="T55" s="1130"/>
      <c r="U55" s="1130"/>
      <c r="V55" s="1130"/>
      <c r="W55" s="1130"/>
      <c r="X55" s="1130"/>
      <c r="Y55" s="1130"/>
      <c r="Z55" s="1130"/>
      <c r="AA55" s="1130"/>
    </row>
    <row r="56" spans="1:27" ht="15.75" customHeight="1">
      <c r="A56" s="1157"/>
      <c r="B56" s="1159" t="s">
        <v>1470</v>
      </c>
      <c r="C56" s="1159"/>
      <c r="D56" s="1161">
        <v>1</v>
      </c>
      <c r="E56" s="1162">
        <v>10</v>
      </c>
      <c r="F56" s="1159"/>
      <c r="G56" s="1159"/>
      <c r="H56" s="1162">
        <f t="shared" si="3"/>
        <v>44.82</v>
      </c>
      <c r="I56" s="1159"/>
      <c r="J56" s="1163">
        <f t="shared" si="2"/>
        <v>448.2</v>
      </c>
      <c r="K56" s="1214"/>
      <c r="L56" s="1220"/>
      <c r="M56" s="1206"/>
      <c r="N56" s="1130">
        <v>49.54</v>
      </c>
      <c r="O56" s="1130"/>
      <c r="P56" s="1130"/>
      <c r="Q56" s="1130"/>
      <c r="R56" s="1130"/>
      <c r="S56" s="1130"/>
      <c r="T56" s="1130"/>
      <c r="U56" s="1130"/>
      <c r="V56" s="1130"/>
      <c r="W56" s="1130"/>
      <c r="X56" s="1130"/>
      <c r="Y56" s="1130"/>
      <c r="Z56" s="1130"/>
      <c r="AA56" s="1130"/>
    </row>
    <row r="57" spans="1:27" ht="15.75" customHeight="1">
      <c r="A57" s="1160"/>
      <c r="B57" s="1159" t="s">
        <v>1471</v>
      </c>
      <c r="C57" s="1159"/>
      <c r="D57" s="1161">
        <v>1</v>
      </c>
      <c r="E57" s="1162">
        <v>10</v>
      </c>
      <c r="F57" s="1159"/>
      <c r="G57" s="1159"/>
      <c r="H57" s="1162">
        <v>30.332000000000001</v>
      </c>
      <c r="I57" s="1159"/>
      <c r="J57" s="1163">
        <f t="shared" si="2"/>
        <v>303.32</v>
      </c>
      <c r="K57" s="1214"/>
      <c r="L57" s="1220"/>
      <c r="M57" s="1206"/>
      <c r="N57" s="1130">
        <v>40.1</v>
      </c>
      <c r="O57" s="1130"/>
      <c r="P57" s="1130"/>
      <c r="Q57" s="1130"/>
      <c r="R57" s="1130"/>
      <c r="S57" s="1130"/>
      <c r="T57" s="1130"/>
      <c r="U57" s="1130"/>
      <c r="V57" s="1130"/>
      <c r="W57" s="1130"/>
      <c r="X57" s="1130"/>
      <c r="Y57" s="1130"/>
      <c r="Z57" s="1130"/>
      <c r="AA57" s="1130"/>
    </row>
    <row r="58" spans="1:27" ht="15.75" customHeight="1">
      <c r="A58" s="1160"/>
      <c r="B58" s="1159" t="s">
        <v>1472</v>
      </c>
      <c r="C58" s="1159"/>
      <c r="D58" s="1161">
        <v>1</v>
      </c>
      <c r="E58" s="1162">
        <v>18.309999999999999</v>
      </c>
      <c r="F58" s="1159"/>
      <c r="G58" s="1159"/>
      <c r="H58" s="1162">
        <f>AVERAGE(N58,N59)</f>
        <v>59.709999999999994</v>
      </c>
      <c r="I58" s="1159"/>
      <c r="J58" s="1163">
        <f t="shared" si="2"/>
        <v>1093.2900999999997</v>
      </c>
      <c r="K58" s="1214"/>
      <c r="L58" s="1220"/>
      <c r="M58" s="1206"/>
      <c r="N58" s="1130">
        <v>40.1</v>
      </c>
      <c r="O58" s="1130"/>
      <c r="P58" s="1130"/>
      <c r="Q58" s="1130"/>
      <c r="R58" s="1130"/>
      <c r="S58" s="1130"/>
      <c r="T58" s="1130"/>
      <c r="U58" s="1130"/>
      <c r="V58" s="1130"/>
      <c r="W58" s="1130"/>
      <c r="X58" s="1130"/>
      <c r="Y58" s="1130"/>
      <c r="Z58" s="1130"/>
      <c r="AA58" s="1130"/>
    </row>
    <row r="59" spans="1:27" ht="15.75" customHeight="1">
      <c r="A59" s="1160"/>
      <c r="B59" s="1159"/>
      <c r="C59" s="1159"/>
      <c r="D59" s="1159"/>
      <c r="E59" s="1159"/>
      <c r="F59" s="1159"/>
      <c r="G59" s="1159"/>
      <c r="H59" s="1159"/>
      <c r="I59" s="1149" t="s">
        <v>439</v>
      </c>
      <c r="J59" s="1171">
        <f>SUM(J39:J58)</f>
        <v>10751.920099999999</v>
      </c>
      <c r="K59" s="1214"/>
      <c r="L59" s="1220">
        <v>210</v>
      </c>
      <c r="M59" s="1206">
        <f>L59*J59</f>
        <v>2257903.2209999999</v>
      </c>
      <c r="N59" s="1130">
        <v>79.319999999999993</v>
      </c>
      <c r="O59" s="1130"/>
      <c r="P59" s="1130"/>
      <c r="Q59" s="1130"/>
      <c r="R59" s="1130"/>
      <c r="S59" s="1130"/>
      <c r="T59" s="1130"/>
      <c r="U59" s="1130"/>
      <c r="V59" s="1130"/>
      <c r="W59" s="1130"/>
      <c r="X59" s="1130"/>
      <c r="Y59" s="1130"/>
      <c r="Z59" s="1130"/>
      <c r="AA59" s="1130"/>
    </row>
    <row r="60" spans="1:27" ht="15.75" customHeight="1">
      <c r="A60" s="1157"/>
      <c r="B60" s="1159"/>
      <c r="C60" s="1159"/>
      <c r="D60" s="1159"/>
      <c r="E60" s="1159"/>
      <c r="F60" s="1159"/>
      <c r="G60" s="1159"/>
      <c r="H60" s="1159"/>
      <c r="I60" s="1159"/>
      <c r="J60" s="1158"/>
      <c r="K60" s="1214"/>
      <c r="L60" s="1220"/>
      <c r="M60" s="1206"/>
      <c r="N60" s="1130"/>
      <c r="O60" s="1130"/>
      <c r="P60" s="1130"/>
      <c r="Q60" s="1130"/>
      <c r="R60" s="1130"/>
      <c r="S60" s="1130"/>
      <c r="T60" s="1130"/>
      <c r="U60" s="1130"/>
      <c r="V60" s="1130"/>
      <c r="W60" s="1130"/>
      <c r="X60" s="1130"/>
      <c r="Y60" s="1130"/>
      <c r="Z60" s="1130"/>
      <c r="AA60" s="1130"/>
    </row>
    <row r="61" spans="1:27" ht="15.75" customHeight="1">
      <c r="A61" s="1177">
        <v>4</v>
      </c>
      <c r="B61" s="1178" t="s">
        <v>314</v>
      </c>
      <c r="C61" s="1179" t="s">
        <v>306</v>
      </c>
      <c r="D61" s="1181">
        <v>1</v>
      </c>
      <c r="E61" s="1182"/>
      <c r="F61" s="1182"/>
      <c r="G61" s="1182">
        <v>7.4999999999999997E-2</v>
      </c>
      <c r="H61" s="1182">
        <f>400*4.6</f>
        <v>1839.9999999999998</v>
      </c>
      <c r="I61" s="1182"/>
      <c r="J61" s="1182">
        <f>H61*G61*D61</f>
        <v>137.99999999999997</v>
      </c>
      <c r="K61" s="1213"/>
      <c r="L61" s="1219"/>
      <c r="M61" s="1206"/>
      <c r="N61" s="1130"/>
      <c r="O61" s="1130"/>
      <c r="P61" s="1130"/>
      <c r="Q61" s="1130"/>
      <c r="R61" s="1130"/>
      <c r="S61" s="1130"/>
      <c r="T61" s="1130"/>
      <c r="U61" s="1130"/>
      <c r="V61" s="1130"/>
      <c r="W61" s="1130"/>
      <c r="X61" s="1130"/>
      <c r="Y61" s="1130"/>
      <c r="Z61" s="1130"/>
      <c r="AA61" s="1130"/>
    </row>
    <row r="62" spans="1:27" ht="15.75" customHeight="1">
      <c r="A62" s="1157"/>
      <c r="B62" s="1159" t="s">
        <v>767</v>
      </c>
      <c r="C62" s="1161"/>
      <c r="D62" s="1161"/>
      <c r="E62" s="1162"/>
      <c r="F62" s="1162"/>
      <c r="G62" s="1162"/>
      <c r="H62" s="1162"/>
      <c r="I62" s="1149" t="s">
        <v>439</v>
      </c>
      <c r="J62" s="1150">
        <f>J61</f>
        <v>137.99999999999997</v>
      </c>
      <c r="K62" s="1214"/>
      <c r="L62" s="1220">
        <v>11500</v>
      </c>
      <c r="M62" s="1206">
        <f>L62*J62</f>
        <v>1586999.9999999998</v>
      </c>
      <c r="N62" s="1130"/>
      <c r="O62" s="1130"/>
      <c r="P62" s="1130"/>
      <c r="Q62" s="1130"/>
      <c r="R62" s="1130"/>
      <c r="S62" s="1130"/>
      <c r="T62" s="1130"/>
      <c r="U62" s="1130"/>
      <c r="V62" s="1130"/>
      <c r="W62" s="1130"/>
      <c r="X62" s="1130"/>
      <c r="Y62" s="1130"/>
      <c r="Z62" s="1130"/>
      <c r="AA62" s="1130"/>
    </row>
    <row r="63" spans="1:27" ht="15.75" customHeight="1">
      <c r="A63" s="1157"/>
      <c r="B63" s="1159"/>
      <c r="C63" s="1159"/>
      <c r="D63" s="1159"/>
      <c r="E63" s="1159"/>
      <c r="F63" s="1159"/>
      <c r="G63" s="1159"/>
      <c r="H63" s="1159"/>
      <c r="I63" s="1159"/>
      <c r="J63" s="1158"/>
      <c r="K63" s="1214"/>
      <c r="L63" s="1220"/>
      <c r="M63" s="1206"/>
      <c r="N63" s="1130"/>
      <c r="O63" s="1130"/>
      <c r="P63" s="1130"/>
      <c r="Q63" s="1130"/>
      <c r="R63" s="1130"/>
      <c r="S63" s="1130"/>
      <c r="T63" s="1130"/>
      <c r="U63" s="1130"/>
      <c r="V63" s="1130"/>
      <c r="W63" s="1130"/>
      <c r="X63" s="1130"/>
      <c r="Y63" s="1130"/>
      <c r="Z63" s="1130"/>
      <c r="AA63" s="1130"/>
    </row>
    <row r="64" spans="1:27" ht="15.75" customHeight="1">
      <c r="A64" s="1177">
        <v>5</v>
      </c>
      <c r="B64" s="1178" t="s">
        <v>229</v>
      </c>
      <c r="C64" s="1179" t="s">
        <v>306</v>
      </c>
      <c r="D64" s="1181">
        <v>1</v>
      </c>
      <c r="E64" s="1182"/>
      <c r="F64" s="1182"/>
      <c r="G64" s="1182"/>
      <c r="H64" s="1182">
        <v>1840</v>
      </c>
      <c r="I64" s="1182"/>
      <c r="J64" s="1182">
        <f>H64</f>
        <v>1840</v>
      </c>
      <c r="K64" s="1213"/>
      <c r="L64" s="1219"/>
      <c r="M64" s="1206"/>
      <c r="N64" s="1130"/>
      <c r="O64" s="1130"/>
      <c r="P64" s="1130"/>
      <c r="Q64" s="1130"/>
      <c r="R64" s="1130"/>
      <c r="S64" s="1130"/>
      <c r="T64" s="1130"/>
      <c r="U64" s="1130"/>
      <c r="V64" s="1130"/>
      <c r="W64" s="1130"/>
      <c r="X64" s="1130"/>
      <c r="Y64" s="1130"/>
      <c r="Z64" s="1130"/>
      <c r="AA64" s="1130"/>
    </row>
    <row r="65" spans="1:27" ht="15.75" customHeight="1">
      <c r="A65" s="1157"/>
      <c r="B65" s="1159" t="s">
        <v>767</v>
      </c>
      <c r="C65" s="1159"/>
      <c r="D65" s="1159"/>
      <c r="E65" s="1159"/>
      <c r="F65" s="1159"/>
      <c r="G65" s="1159"/>
      <c r="H65" s="1159"/>
      <c r="I65" s="1149" t="s">
        <v>439</v>
      </c>
      <c r="J65" s="1150">
        <f>J64</f>
        <v>1840</v>
      </c>
      <c r="K65" s="1214"/>
      <c r="L65" s="1220"/>
      <c r="M65" s="1206"/>
      <c r="N65" s="1130"/>
      <c r="O65" s="1130"/>
      <c r="P65" s="1130"/>
      <c r="Q65" s="1130"/>
      <c r="R65" s="1130"/>
      <c r="S65" s="1130"/>
      <c r="T65" s="1130"/>
      <c r="U65" s="1130"/>
      <c r="V65" s="1130"/>
      <c r="W65" s="1130"/>
      <c r="X65" s="1130"/>
      <c r="Y65" s="1130"/>
      <c r="Z65" s="1130"/>
      <c r="AA65" s="1130"/>
    </row>
    <row r="66" spans="1:27" ht="15.75" customHeight="1">
      <c r="A66" s="1157"/>
      <c r="B66" s="1159"/>
      <c r="C66" s="1159"/>
      <c r="D66" s="1159"/>
      <c r="E66" s="1159"/>
      <c r="F66" s="1159"/>
      <c r="G66" s="1159"/>
      <c r="H66" s="1159"/>
      <c r="I66" s="1159"/>
      <c r="J66" s="1159"/>
      <c r="K66" s="1214"/>
      <c r="L66" s="1220"/>
      <c r="M66" s="1206"/>
      <c r="N66" s="1130"/>
      <c r="O66" s="1130"/>
      <c r="P66" s="1130"/>
      <c r="Q66" s="1130"/>
      <c r="R66" s="1130"/>
      <c r="S66" s="1130"/>
      <c r="T66" s="1130"/>
      <c r="U66" s="1130"/>
      <c r="V66" s="1130"/>
      <c r="W66" s="1130"/>
      <c r="X66" s="1130"/>
      <c r="Y66" s="1130"/>
      <c r="Z66" s="1130"/>
      <c r="AA66" s="1130"/>
    </row>
    <row r="67" spans="1:27" ht="15.75" customHeight="1">
      <c r="A67" s="1177">
        <v>6</v>
      </c>
      <c r="B67" s="1178" t="s">
        <v>315</v>
      </c>
      <c r="C67" s="1181"/>
      <c r="D67" s="1181"/>
      <c r="E67" s="1182"/>
      <c r="F67" s="1182"/>
      <c r="G67" s="1182"/>
      <c r="H67" s="1182"/>
      <c r="I67" s="1182"/>
      <c r="J67" s="1179"/>
      <c r="K67" s="1213"/>
      <c r="L67" s="1219"/>
      <c r="M67" s="1206"/>
      <c r="N67" s="1130"/>
      <c r="O67" s="1130"/>
      <c r="P67" s="1130"/>
      <c r="Q67" s="1130"/>
      <c r="R67" s="1130"/>
      <c r="S67" s="1130"/>
      <c r="T67" s="1130"/>
      <c r="U67" s="1130"/>
      <c r="V67" s="1130"/>
      <c r="W67" s="1130"/>
      <c r="X67" s="1130"/>
      <c r="Y67" s="1130"/>
      <c r="Z67" s="1130"/>
      <c r="AA67" s="1130"/>
    </row>
    <row r="68" spans="1:27" ht="15.75" customHeight="1">
      <c r="A68" s="1157"/>
      <c r="B68" s="1170" t="s">
        <v>1479</v>
      </c>
      <c r="C68" s="1161"/>
      <c r="D68" s="1161">
        <v>1</v>
      </c>
      <c r="E68" s="1162">
        <v>400</v>
      </c>
      <c r="F68" s="1162"/>
      <c r="G68" s="1162"/>
      <c r="H68" s="1162">
        <v>5.5060000000000002</v>
      </c>
      <c r="I68" s="1162"/>
      <c r="J68" s="1163">
        <f>D68*E68*H68</f>
        <v>2202.4</v>
      </c>
      <c r="K68" s="1214"/>
      <c r="L68" s="1220"/>
      <c r="M68" s="1206"/>
      <c r="N68" s="1130"/>
      <c r="O68" s="1130"/>
      <c r="P68" s="1130"/>
      <c r="Q68" s="1130"/>
      <c r="R68" s="1130"/>
      <c r="S68" s="1130"/>
      <c r="T68" s="1130"/>
      <c r="U68" s="1130"/>
      <c r="V68" s="1130"/>
      <c r="W68" s="1130"/>
      <c r="X68" s="1130"/>
      <c r="Y68" s="1130"/>
      <c r="Z68" s="1130"/>
      <c r="AA68" s="1130"/>
    </row>
    <row r="69" spans="1:27" ht="15.75" customHeight="1">
      <c r="A69" s="1157"/>
      <c r="B69" s="1170" t="s">
        <v>150</v>
      </c>
      <c r="C69" s="1161"/>
      <c r="D69" s="1161"/>
      <c r="E69" s="1162"/>
      <c r="F69" s="1162"/>
      <c r="G69" s="1162"/>
      <c r="H69" s="1162"/>
      <c r="I69" s="1162"/>
      <c r="J69" s="1163"/>
      <c r="K69" s="1214"/>
      <c r="L69" s="1220"/>
      <c r="M69" s="1206"/>
      <c r="N69" s="1130"/>
      <c r="O69" s="1130"/>
      <c r="P69" s="1130"/>
      <c r="Q69" s="1130"/>
      <c r="R69" s="1130"/>
      <c r="S69" s="1130"/>
      <c r="T69" s="1130"/>
      <c r="U69" s="1130"/>
      <c r="V69" s="1130"/>
      <c r="W69" s="1130"/>
      <c r="X69" s="1130"/>
      <c r="Y69" s="1130"/>
      <c r="Z69" s="1130"/>
      <c r="AA69" s="1130"/>
    </row>
    <row r="70" spans="1:27" ht="15.75" customHeight="1">
      <c r="A70" s="1157"/>
      <c r="B70" s="1172" t="s">
        <v>1474</v>
      </c>
      <c r="C70" s="1161"/>
      <c r="D70" s="1161">
        <v>1</v>
      </c>
      <c r="E70" s="1162">
        <v>210</v>
      </c>
      <c r="F70" s="1162"/>
      <c r="G70" s="1159"/>
      <c r="H70" s="1159">
        <v>15.967000000000001</v>
      </c>
      <c r="I70" s="1162"/>
      <c r="J70" s="1159">
        <f t="shared" ref="J70:J71" si="4">H70*E70*D70</f>
        <v>3353.07</v>
      </c>
      <c r="K70" s="1214"/>
      <c r="L70" s="1220"/>
      <c r="M70" s="1206"/>
      <c r="N70" s="1130"/>
      <c r="O70" s="1130"/>
      <c r="P70" s="1130"/>
      <c r="Q70" s="1130"/>
      <c r="R70" s="1130"/>
      <c r="S70" s="1130"/>
      <c r="T70" s="1130"/>
      <c r="U70" s="1130"/>
      <c r="V70" s="1130"/>
      <c r="W70" s="1130"/>
      <c r="X70" s="1130"/>
      <c r="Y70" s="1130"/>
      <c r="Z70" s="1130"/>
      <c r="AA70" s="1130"/>
    </row>
    <row r="71" spans="1:27" ht="15.75" customHeight="1">
      <c r="A71" s="1157"/>
      <c r="B71" s="1172" t="s">
        <v>1471</v>
      </c>
      <c r="C71" s="1159"/>
      <c r="D71" s="1159">
        <v>1</v>
      </c>
      <c r="E71" s="1159">
        <v>10</v>
      </c>
      <c r="F71" s="1159"/>
      <c r="G71" s="1159"/>
      <c r="H71" s="1159">
        <v>15.967000000000001</v>
      </c>
      <c r="I71" s="1159"/>
      <c r="J71" s="1159">
        <f t="shared" si="4"/>
        <v>159.67000000000002</v>
      </c>
      <c r="K71" s="1214"/>
      <c r="L71" s="1220"/>
      <c r="M71" s="1206"/>
      <c r="N71" s="1130"/>
      <c r="O71" s="1130"/>
      <c r="P71" s="1130"/>
      <c r="Q71" s="1130"/>
      <c r="R71" s="1130"/>
      <c r="S71" s="1130"/>
      <c r="T71" s="1130"/>
      <c r="U71" s="1130"/>
      <c r="V71" s="1130"/>
      <c r="W71" s="1130"/>
      <c r="X71" s="1130"/>
      <c r="Y71" s="1130"/>
      <c r="Z71" s="1130"/>
      <c r="AA71" s="1130"/>
    </row>
    <row r="72" spans="1:27" ht="15.75" customHeight="1">
      <c r="A72" s="1157"/>
      <c r="B72" s="1156" t="s">
        <v>1475</v>
      </c>
      <c r="C72" s="1159"/>
      <c r="D72" s="1159"/>
      <c r="E72" s="1159"/>
      <c r="F72" s="1159"/>
      <c r="G72" s="1159"/>
      <c r="H72" s="1159"/>
      <c r="I72" s="1159"/>
      <c r="J72" s="1159"/>
      <c r="K72" s="1214"/>
      <c r="L72" s="1220"/>
      <c r="M72" s="1206"/>
      <c r="N72" s="1130"/>
      <c r="O72" s="1130"/>
      <c r="P72" s="1130"/>
      <c r="Q72" s="1130"/>
      <c r="R72" s="1130"/>
      <c r="S72" s="1130"/>
      <c r="T72" s="1130"/>
      <c r="U72" s="1130"/>
      <c r="V72" s="1130"/>
      <c r="W72" s="1130"/>
      <c r="X72" s="1130"/>
      <c r="Y72" s="1130"/>
      <c r="Z72" s="1130"/>
      <c r="AA72" s="1130"/>
    </row>
    <row r="73" spans="1:27" ht="15.75" customHeight="1">
      <c r="A73" s="1157"/>
      <c r="B73" s="1159" t="s">
        <v>1476</v>
      </c>
      <c r="C73" s="1159"/>
      <c r="D73" s="1159">
        <v>2</v>
      </c>
      <c r="E73" s="1159"/>
      <c r="F73" s="1159">
        <v>5.55</v>
      </c>
      <c r="G73" s="1159"/>
      <c r="H73" s="1159">
        <v>18.698</v>
      </c>
      <c r="I73" s="1159"/>
      <c r="J73" s="1159">
        <f>D73*F73*H73</f>
        <v>207.5478</v>
      </c>
      <c r="K73" s="1214"/>
      <c r="L73" s="1220"/>
      <c r="M73" s="1206"/>
      <c r="N73" s="1130"/>
      <c r="O73" s="1130"/>
      <c r="P73" s="1130"/>
      <c r="Q73" s="1130"/>
      <c r="R73" s="1130"/>
      <c r="S73" s="1130"/>
      <c r="T73" s="1130"/>
      <c r="U73" s="1130"/>
      <c r="V73" s="1130"/>
      <c r="W73" s="1130"/>
      <c r="X73" s="1130"/>
      <c r="Y73" s="1130"/>
      <c r="Z73" s="1130"/>
      <c r="AA73" s="1130"/>
    </row>
    <row r="74" spans="1:27" ht="15.75" customHeight="1">
      <c r="A74" s="1157"/>
      <c r="B74" s="1159" t="s">
        <v>1477</v>
      </c>
      <c r="C74" s="1159"/>
      <c r="D74" s="1159">
        <v>2</v>
      </c>
      <c r="E74" s="1159">
        <v>21</v>
      </c>
      <c r="F74" s="1159">
        <v>0.5</v>
      </c>
      <c r="G74" s="1159">
        <v>1.5</v>
      </c>
      <c r="H74" s="1159"/>
      <c r="I74" s="1159"/>
      <c r="J74" s="1159">
        <f>D74*E74*F74*G74</f>
        <v>31.5</v>
      </c>
      <c r="K74" s="1214"/>
      <c r="L74" s="1220"/>
      <c r="M74" s="1206"/>
      <c r="N74" s="1130"/>
      <c r="O74" s="1130"/>
      <c r="P74" s="1130"/>
      <c r="Q74" s="1130"/>
      <c r="R74" s="1130"/>
      <c r="S74" s="1130"/>
      <c r="T74" s="1130"/>
      <c r="U74" s="1130"/>
      <c r="V74" s="1130"/>
      <c r="W74" s="1130"/>
      <c r="X74" s="1130"/>
      <c r="Y74" s="1130"/>
      <c r="Z74" s="1130"/>
      <c r="AA74" s="1130"/>
    </row>
    <row r="75" spans="1:27" ht="15.75" customHeight="1">
      <c r="A75" s="1157"/>
      <c r="B75" s="1169"/>
      <c r="C75" s="1161"/>
      <c r="D75" s="1161"/>
      <c r="E75" s="1162"/>
      <c r="F75" s="1162"/>
      <c r="G75" s="1162"/>
      <c r="H75" s="1162"/>
      <c r="I75" s="1166" t="s">
        <v>439</v>
      </c>
      <c r="J75" s="1150">
        <f>SUM(J67:J68)</f>
        <v>2202.4</v>
      </c>
      <c r="K75" s="1214"/>
      <c r="L75" s="1220">
        <v>17500</v>
      </c>
      <c r="M75" s="1206">
        <f>L75*J75</f>
        <v>38542000</v>
      </c>
      <c r="N75" s="1130"/>
      <c r="O75" s="1130"/>
      <c r="P75" s="1130"/>
      <c r="Q75" s="1130"/>
      <c r="R75" s="1130"/>
      <c r="S75" s="1130"/>
      <c r="T75" s="1130"/>
      <c r="U75" s="1130"/>
      <c r="V75" s="1130"/>
      <c r="W75" s="1130"/>
      <c r="X75" s="1130"/>
      <c r="Y75" s="1130"/>
      <c r="Z75" s="1130"/>
      <c r="AA75" s="1130"/>
    </row>
    <row r="76" spans="1:27" ht="15.75" customHeight="1">
      <c r="A76" s="1157"/>
      <c r="B76" s="1169"/>
      <c r="C76" s="1159"/>
      <c r="D76" s="1161"/>
      <c r="E76" s="1162"/>
      <c r="F76" s="1162"/>
      <c r="G76" s="1162"/>
      <c r="H76" s="1162"/>
      <c r="I76" s="1162"/>
      <c r="J76" s="1163"/>
      <c r="K76" s="1214"/>
      <c r="L76" s="1220"/>
      <c r="M76" s="1206"/>
      <c r="N76" s="1130"/>
      <c r="O76" s="1130"/>
      <c r="P76" s="1130"/>
      <c r="Q76" s="1130"/>
      <c r="R76" s="1130"/>
      <c r="S76" s="1130"/>
      <c r="T76" s="1130"/>
      <c r="U76" s="1130"/>
      <c r="V76" s="1130"/>
      <c r="W76" s="1130"/>
      <c r="X76" s="1130"/>
      <c r="Y76" s="1130"/>
      <c r="Z76" s="1130"/>
      <c r="AA76" s="1130"/>
    </row>
    <row r="77" spans="1:27" ht="15.75" customHeight="1">
      <c r="A77" s="1177">
        <v>7</v>
      </c>
      <c r="B77" s="1184" t="s">
        <v>1441</v>
      </c>
      <c r="C77" s="1181" t="s">
        <v>46</v>
      </c>
      <c r="D77" s="1181"/>
      <c r="E77" s="1182"/>
      <c r="F77" s="1182"/>
      <c r="G77" s="1182"/>
      <c r="H77" s="1182"/>
      <c r="I77" s="1182"/>
      <c r="J77" s="1183"/>
      <c r="K77" s="1213"/>
      <c r="L77" s="1219"/>
      <c r="M77" s="1206"/>
      <c r="N77" s="1130"/>
      <c r="O77" s="1130"/>
      <c r="P77" s="1130"/>
      <c r="Q77" s="1130"/>
      <c r="R77" s="1130"/>
      <c r="S77" s="1130"/>
      <c r="T77" s="1130"/>
      <c r="U77" s="1130"/>
      <c r="V77" s="1130"/>
      <c r="W77" s="1130"/>
      <c r="X77" s="1130"/>
      <c r="Y77" s="1130"/>
      <c r="Z77" s="1130"/>
      <c r="AA77" s="1130"/>
    </row>
    <row r="78" spans="1:27" ht="15.75" customHeight="1">
      <c r="A78" s="1160"/>
      <c r="B78" s="1170" t="s">
        <v>1442</v>
      </c>
      <c r="C78" s="1161"/>
      <c r="D78" s="1161">
        <v>1</v>
      </c>
      <c r="E78" s="1162">
        <v>400</v>
      </c>
      <c r="F78" s="1162"/>
      <c r="G78" s="1162"/>
      <c r="H78" s="1162"/>
      <c r="I78" s="1162"/>
      <c r="J78" s="1163">
        <f t="shared" ref="J78:J79" si="5">E78</f>
        <v>400</v>
      </c>
      <c r="K78" s="1214"/>
      <c r="L78" s="1220"/>
      <c r="M78" s="1206"/>
      <c r="N78" s="1130"/>
      <c r="O78" s="1130"/>
      <c r="P78" s="1130"/>
      <c r="Q78" s="1130"/>
      <c r="R78" s="1130"/>
      <c r="S78" s="1130"/>
      <c r="T78" s="1130"/>
      <c r="U78" s="1130"/>
      <c r="V78" s="1130"/>
      <c r="W78" s="1130"/>
      <c r="X78" s="1130"/>
      <c r="Y78" s="1130"/>
      <c r="Z78" s="1130"/>
      <c r="AA78" s="1130"/>
    </row>
    <row r="79" spans="1:27" ht="15.75" customHeight="1">
      <c r="A79" s="1160"/>
      <c r="B79" s="1170" t="s">
        <v>1443</v>
      </c>
      <c r="C79" s="1161"/>
      <c r="D79" s="1161">
        <v>1</v>
      </c>
      <c r="E79" s="1162">
        <v>400</v>
      </c>
      <c r="F79" s="1162"/>
      <c r="G79" s="1162"/>
      <c r="H79" s="1162"/>
      <c r="I79" s="1162"/>
      <c r="J79" s="1163">
        <f t="shared" si="5"/>
        <v>400</v>
      </c>
      <c r="K79" s="1214"/>
      <c r="L79" s="1220"/>
      <c r="M79" s="1206"/>
      <c r="N79" s="1130"/>
      <c r="O79" s="1130"/>
      <c r="P79" s="1130"/>
      <c r="Q79" s="1130"/>
      <c r="R79" s="1130"/>
      <c r="S79" s="1130"/>
      <c r="T79" s="1130"/>
      <c r="U79" s="1130"/>
      <c r="V79" s="1130"/>
      <c r="W79" s="1130"/>
      <c r="X79" s="1130"/>
      <c r="Y79" s="1130"/>
      <c r="Z79" s="1130"/>
      <c r="AA79" s="1130"/>
    </row>
    <row r="80" spans="1:27" ht="15.75" customHeight="1">
      <c r="A80" s="1160"/>
      <c r="B80" s="1169"/>
      <c r="C80" s="1161"/>
      <c r="D80" s="1161"/>
      <c r="E80" s="1162"/>
      <c r="F80" s="1162"/>
      <c r="G80" s="1162"/>
      <c r="H80" s="1162"/>
      <c r="I80" s="1162"/>
      <c r="J80" s="1163"/>
      <c r="K80" s="1214"/>
      <c r="L80" s="1220"/>
      <c r="M80" s="1206"/>
      <c r="N80" s="1130"/>
      <c r="O80" s="1130"/>
      <c r="P80" s="1130"/>
      <c r="Q80" s="1130"/>
      <c r="R80" s="1130"/>
      <c r="S80" s="1130"/>
      <c r="T80" s="1130"/>
      <c r="U80" s="1130"/>
      <c r="V80" s="1130"/>
      <c r="W80" s="1130"/>
      <c r="X80" s="1130"/>
      <c r="Y80" s="1130"/>
      <c r="Z80" s="1130"/>
      <c r="AA80" s="1130"/>
    </row>
    <row r="81" spans="1:27" ht="15.75" customHeight="1">
      <c r="A81" s="1160"/>
      <c r="B81" s="1169"/>
      <c r="C81" s="1159"/>
      <c r="D81" s="1159"/>
      <c r="E81" s="1159"/>
      <c r="F81" s="1159"/>
      <c r="G81" s="1159"/>
      <c r="H81" s="1159"/>
      <c r="I81" s="1149" t="s">
        <v>439</v>
      </c>
      <c r="J81" s="1150">
        <f>SUM(J77:J79)</f>
        <v>800</v>
      </c>
      <c r="K81" s="1214"/>
      <c r="L81" s="1220"/>
      <c r="M81" s="1206"/>
      <c r="N81" s="1130"/>
      <c r="O81" s="1130"/>
      <c r="P81" s="1130"/>
      <c r="Q81" s="1130"/>
      <c r="R81" s="1130"/>
      <c r="S81" s="1130"/>
      <c r="T81" s="1130"/>
      <c r="U81" s="1130"/>
      <c r="V81" s="1130"/>
      <c r="W81" s="1130"/>
      <c r="X81" s="1130"/>
      <c r="Y81" s="1130"/>
      <c r="Z81" s="1130"/>
      <c r="AA81" s="1130"/>
    </row>
    <row r="82" spans="1:27" ht="15.75" customHeight="1">
      <c r="A82" s="1157"/>
      <c r="B82" s="1159"/>
      <c r="C82" s="1159"/>
      <c r="D82" s="1159"/>
      <c r="E82" s="1159"/>
      <c r="F82" s="1159"/>
      <c r="G82" s="1159"/>
      <c r="H82" s="1159"/>
      <c r="I82" s="1159"/>
      <c r="J82" s="1159"/>
      <c r="K82" s="1214"/>
      <c r="L82" s="1220"/>
      <c r="M82" s="1206"/>
      <c r="N82" s="1130"/>
      <c r="O82" s="1130"/>
      <c r="P82" s="1130"/>
      <c r="Q82" s="1130"/>
      <c r="R82" s="1130"/>
      <c r="S82" s="1130"/>
      <c r="T82" s="1130"/>
      <c r="U82" s="1130"/>
      <c r="V82" s="1130"/>
      <c r="W82" s="1130"/>
      <c r="X82" s="1130"/>
      <c r="Y82" s="1130"/>
      <c r="Z82" s="1130"/>
      <c r="AA82" s="1130"/>
    </row>
    <row r="83" spans="1:27" ht="15.75" customHeight="1">
      <c r="A83" s="1177">
        <v>8</v>
      </c>
      <c r="B83" s="1178" t="s">
        <v>309</v>
      </c>
      <c r="C83" s="1179" t="s">
        <v>85</v>
      </c>
      <c r="D83" s="1181"/>
      <c r="E83" s="1182"/>
      <c r="F83" s="1182"/>
      <c r="G83" s="1182"/>
      <c r="H83" s="1182"/>
      <c r="I83" s="1182"/>
      <c r="J83" s="1179"/>
      <c r="K83" s="1213"/>
      <c r="L83" s="1219"/>
      <c r="M83" s="1206"/>
      <c r="N83" s="1130"/>
      <c r="O83" s="1130"/>
      <c r="P83" s="1130"/>
      <c r="Q83" s="1130"/>
      <c r="R83" s="1130"/>
      <c r="S83" s="1130"/>
      <c r="T83" s="1130"/>
      <c r="U83" s="1130"/>
      <c r="V83" s="1130"/>
      <c r="W83" s="1130"/>
      <c r="X83" s="1130"/>
      <c r="Y83" s="1130"/>
      <c r="Z83" s="1130"/>
      <c r="AA83" s="1130"/>
    </row>
    <row r="84" spans="1:27" ht="15.75" customHeight="1">
      <c r="A84" s="1157"/>
      <c r="B84" s="1170" t="s">
        <v>768</v>
      </c>
      <c r="C84" s="1161"/>
      <c r="D84" s="1159"/>
      <c r="E84" s="1159"/>
      <c r="F84" s="1159"/>
      <c r="G84" s="1159"/>
      <c r="H84" s="1159"/>
      <c r="I84" s="1159"/>
      <c r="J84" s="1159"/>
      <c r="K84" s="1214"/>
      <c r="L84" s="1220"/>
      <c r="M84" s="1206"/>
      <c r="N84" s="1130"/>
      <c r="O84" s="1130"/>
      <c r="P84" s="1130"/>
      <c r="Q84" s="1130"/>
      <c r="R84" s="1130"/>
      <c r="S84" s="1130"/>
      <c r="T84" s="1130"/>
      <c r="U84" s="1130"/>
      <c r="V84" s="1130"/>
      <c r="W84" s="1130"/>
      <c r="X84" s="1130"/>
      <c r="Y84" s="1130"/>
      <c r="Z84" s="1130"/>
      <c r="AA84" s="1130"/>
    </row>
    <row r="85" spans="1:27" ht="15.75" customHeight="1">
      <c r="A85" s="1157"/>
      <c r="B85" s="1169" t="s">
        <v>1473</v>
      </c>
      <c r="C85" s="1161"/>
      <c r="D85" s="1161">
        <v>1</v>
      </c>
      <c r="E85" s="1162">
        <v>400</v>
      </c>
      <c r="F85" s="1162">
        <v>3.4</v>
      </c>
      <c r="G85" s="1159"/>
      <c r="H85" s="1162"/>
      <c r="I85" s="1162"/>
      <c r="J85" s="1159">
        <f>D85*F85*E85</f>
        <v>1360</v>
      </c>
      <c r="K85" s="1214"/>
      <c r="L85" s="1220"/>
      <c r="M85" s="1206"/>
      <c r="N85" s="1130"/>
      <c r="O85" s="1130"/>
      <c r="P85" s="1130"/>
      <c r="Q85" s="1130"/>
      <c r="R85" s="1130"/>
      <c r="S85" s="1130"/>
      <c r="T85" s="1130"/>
      <c r="U85" s="1130"/>
      <c r="V85" s="1130"/>
      <c r="W85" s="1130"/>
      <c r="X85" s="1130"/>
      <c r="Y85" s="1130"/>
      <c r="Z85" s="1130"/>
      <c r="AA85" s="1130"/>
    </row>
    <row r="86" spans="1:27" ht="15.75" customHeight="1">
      <c r="A86" s="1157"/>
      <c r="B86" s="1169" t="s">
        <v>769</v>
      </c>
      <c r="C86" s="1161"/>
      <c r="D86" s="1161">
        <v>4</v>
      </c>
      <c r="E86" s="1162">
        <v>400</v>
      </c>
      <c r="F86" s="1162"/>
      <c r="G86" s="1159">
        <v>3.25</v>
      </c>
      <c r="H86" s="1162"/>
      <c r="I86" s="1162"/>
      <c r="J86" s="1159">
        <f>D86*E86*G86</f>
        <v>5200</v>
      </c>
      <c r="K86" s="1214"/>
      <c r="L86" s="1220"/>
      <c r="M86" s="1206"/>
      <c r="N86" s="1130"/>
      <c r="O86" s="1130"/>
      <c r="P86" s="1130"/>
      <c r="Q86" s="1130"/>
      <c r="R86" s="1130"/>
      <c r="S86" s="1130"/>
      <c r="T86" s="1130"/>
      <c r="U86" s="1130"/>
      <c r="V86" s="1130"/>
      <c r="W86" s="1130"/>
      <c r="X86" s="1130"/>
      <c r="Y86" s="1130"/>
      <c r="Z86" s="1130"/>
      <c r="AA86" s="1130"/>
    </row>
    <row r="87" spans="1:27" ht="15.75" customHeight="1">
      <c r="A87" s="1157"/>
      <c r="B87" s="1169" t="s">
        <v>770</v>
      </c>
      <c r="C87" s="1161"/>
      <c r="D87" s="1161">
        <v>2</v>
      </c>
      <c r="E87" s="1162">
        <v>400</v>
      </c>
      <c r="F87" s="1162">
        <v>3.4</v>
      </c>
      <c r="G87" s="1159"/>
      <c r="H87" s="1162"/>
      <c r="I87" s="1162"/>
      <c r="J87" s="1159">
        <f>D87*E87*F87</f>
        <v>2720</v>
      </c>
      <c r="K87" s="1214"/>
      <c r="L87" s="1220"/>
      <c r="M87" s="1206"/>
      <c r="N87" s="1130"/>
      <c r="O87" s="1130"/>
      <c r="P87" s="1130"/>
      <c r="Q87" s="1130"/>
      <c r="R87" s="1130"/>
      <c r="S87" s="1130"/>
      <c r="T87" s="1130"/>
      <c r="U87" s="1130"/>
      <c r="V87" s="1130"/>
      <c r="W87" s="1130"/>
      <c r="X87" s="1130"/>
      <c r="Y87" s="1130"/>
      <c r="Z87" s="1130"/>
      <c r="AA87" s="1130"/>
    </row>
    <row r="88" spans="1:27" ht="15.75" customHeight="1">
      <c r="A88" s="1157"/>
      <c r="B88" s="1169" t="s">
        <v>150</v>
      </c>
      <c r="C88" s="1159"/>
      <c r="D88" s="1159">
        <v>1</v>
      </c>
      <c r="E88" s="1159"/>
      <c r="F88" s="1159"/>
      <c r="G88" s="1159"/>
      <c r="H88" s="1159"/>
      <c r="I88" s="1165">
        <v>38</v>
      </c>
      <c r="J88" s="1165">
        <v>38</v>
      </c>
      <c r="K88" s="1214"/>
      <c r="L88" s="1220"/>
      <c r="M88" s="1206"/>
      <c r="N88" s="1130"/>
      <c r="O88" s="1130"/>
      <c r="P88" s="1130"/>
      <c r="Q88" s="1130"/>
      <c r="R88" s="1130"/>
      <c r="S88" s="1130"/>
      <c r="T88" s="1130"/>
      <c r="U88" s="1130"/>
      <c r="V88" s="1130"/>
      <c r="W88" s="1130"/>
      <c r="X88" s="1130"/>
      <c r="Y88" s="1130"/>
      <c r="Z88" s="1130"/>
      <c r="AA88" s="1130"/>
    </row>
    <row r="89" spans="1:27" ht="15.75" customHeight="1">
      <c r="A89" s="1157"/>
      <c r="B89" s="1169"/>
      <c r="C89" s="1161"/>
      <c r="D89" s="1161"/>
      <c r="E89" s="1162"/>
      <c r="F89" s="1162"/>
      <c r="G89" s="1162"/>
      <c r="H89" s="1162"/>
      <c r="I89" s="1162"/>
      <c r="J89" s="1159"/>
      <c r="K89" s="1214"/>
      <c r="L89" s="1220"/>
      <c r="M89" s="1206"/>
      <c r="N89" s="1130"/>
      <c r="O89" s="1130"/>
      <c r="P89" s="1130"/>
      <c r="Q89" s="1130"/>
      <c r="R89" s="1130"/>
      <c r="S89" s="1130"/>
      <c r="T89" s="1130"/>
      <c r="U89" s="1130"/>
      <c r="V89" s="1130"/>
      <c r="W89" s="1130"/>
      <c r="X89" s="1130"/>
      <c r="Y89" s="1130"/>
      <c r="Z89" s="1130"/>
      <c r="AA89" s="1130"/>
    </row>
    <row r="90" spans="1:27" ht="15.75" customHeight="1">
      <c r="A90" s="1157"/>
      <c r="B90" s="1170"/>
      <c r="C90" s="1161"/>
      <c r="D90" s="1161"/>
      <c r="E90" s="1162"/>
      <c r="F90" s="1162"/>
      <c r="G90" s="1162"/>
      <c r="H90" s="1162"/>
      <c r="I90" s="1149" t="s">
        <v>439</v>
      </c>
      <c r="J90" s="1150">
        <f>SUM(J85:J88)</f>
        <v>9318</v>
      </c>
      <c r="K90" s="1214"/>
      <c r="L90" s="1220">
        <v>1285</v>
      </c>
      <c r="M90" s="1206">
        <f>L90*J90</f>
        <v>11973630</v>
      </c>
      <c r="N90" s="1130"/>
      <c r="O90" s="1130"/>
      <c r="P90" s="1130"/>
      <c r="Q90" s="1130"/>
      <c r="R90" s="1130"/>
      <c r="S90" s="1130"/>
      <c r="T90" s="1130"/>
      <c r="U90" s="1130"/>
      <c r="V90" s="1130"/>
      <c r="W90" s="1130"/>
      <c r="X90" s="1130"/>
      <c r="Y90" s="1130"/>
      <c r="Z90" s="1130"/>
      <c r="AA90" s="1130"/>
    </row>
    <row r="91" spans="1:27" ht="15.75" customHeight="1">
      <c r="A91" s="1157"/>
      <c r="B91" s="1170"/>
      <c r="C91" s="1161"/>
      <c r="D91" s="1161"/>
      <c r="E91" s="1162"/>
      <c r="F91" s="1162"/>
      <c r="G91" s="1162"/>
      <c r="H91" s="1162"/>
      <c r="I91" s="1134"/>
      <c r="J91" s="1148"/>
      <c r="K91" s="1214"/>
      <c r="L91" s="1220"/>
      <c r="M91" s="1206"/>
      <c r="N91" s="1130"/>
      <c r="O91" s="1130"/>
      <c r="P91" s="1130"/>
      <c r="Q91" s="1130"/>
      <c r="R91" s="1130"/>
      <c r="S91" s="1130"/>
      <c r="T91" s="1130"/>
      <c r="U91" s="1130"/>
      <c r="V91" s="1130"/>
      <c r="W91" s="1130"/>
      <c r="X91" s="1130"/>
      <c r="Y91" s="1130"/>
      <c r="Z91" s="1130"/>
      <c r="AA91" s="1130"/>
    </row>
    <row r="92" spans="1:27" ht="15.75" customHeight="1">
      <c r="A92" s="1177">
        <v>9</v>
      </c>
      <c r="B92" s="1178" t="s">
        <v>24</v>
      </c>
      <c r="C92" s="1179" t="s">
        <v>25</v>
      </c>
      <c r="D92" s="1179"/>
      <c r="E92" s="1179"/>
      <c r="F92" s="1179"/>
      <c r="G92" s="1179"/>
      <c r="H92" s="1185" t="s">
        <v>334</v>
      </c>
      <c r="I92" s="1179"/>
      <c r="J92" s="1179">
        <f>0.01*(J75)*7850/1000</f>
        <v>172.88839999999999</v>
      </c>
      <c r="K92" s="1213"/>
      <c r="L92" s="1219"/>
      <c r="M92" s="1206"/>
      <c r="N92" s="1130"/>
      <c r="O92" s="1130"/>
      <c r="P92" s="1130"/>
      <c r="Q92" s="1130"/>
      <c r="R92" s="1130"/>
      <c r="S92" s="1130"/>
      <c r="T92" s="1130"/>
      <c r="U92" s="1130"/>
      <c r="V92" s="1130"/>
      <c r="W92" s="1130"/>
      <c r="X92" s="1130"/>
      <c r="Y92" s="1130"/>
      <c r="Z92" s="1130"/>
      <c r="AA92" s="1130"/>
    </row>
    <row r="93" spans="1:27" ht="15.75" customHeight="1">
      <c r="A93" s="1159"/>
      <c r="B93" s="1159"/>
      <c r="C93" s="1159"/>
      <c r="D93" s="1159"/>
      <c r="E93" s="1159"/>
      <c r="F93" s="1159"/>
      <c r="G93" s="1159"/>
      <c r="H93" s="1159"/>
      <c r="I93" s="1149" t="s">
        <v>439</v>
      </c>
      <c r="J93" s="1150">
        <f>J92</f>
        <v>172.88839999999999</v>
      </c>
      <c r="K93" s="1214"/>
      <c r="L93" s="1220">
        <v>130000</v>
      </c>
      <c r="M93" s="1206">
        <f>L93*J93</f>
        <v>22475492</v>
      </c>
      <c r="N93" s="1130"/>
      <c r="O93" s="1130"/>
      <c r="P93" s="1130"/>
      <c r="Q93" s="1130"/>
      <c r="R93" s="1130"/>
      <c r="S93" s="1130"/>
      <c r="T93" s="1130"/>
      <c r="U93" s="1130"/>
      <c r="V93" s="1130"/>
      <c r="W93" s="1130"/>
      <c r="X93" s="1130"/>
      <c r="Y93" s="1130"/>
      <c r="Z93" s="1130"/>
      <c r="AA93" s="1130"/>
    </row>
    <row r="94" spans="1:27" ht="15.75" customHeight="1">
      <c r="A94" s="1158"/>
      <c r="B94" s="1159"/>
      <c r="C94" s="1159"/>
      <c r="D94" s="1159"/>
      <c r="E94" s="1159"/>
      <c r="F94" s="1159"/>
      <c r="G94" s="1159"/>
      <c r="H94" s="1159"/>
      <c r="I94" s="1159"/>
      <c r="J94" s="1159"/>
      <c r="K94" s="1214"/>
      <c r="L94" s="1220"/>
      <c r="M94" s="1206"/>
      <c r="N94" s="1130"/>
      <c r="O94" s="1130"/>
      <c r="P94" s="1130"/>
      <c r="Q94" s="1130"/>
      <c r="R94" s="1130"/>
      <c r="S94" s="1130"/>
      <c r="T94" s="1130"/>
      <c r="U94" s="1130"/>
      <c r="V94" s="1130"/>
      <c r="W94" s="1130"/>
      <c r="X94" s="1130"/>
      <c r="Y94" s="1130"/>
      <c r="Z94" s="1130"/>
      <c r="AA94" s="1130"/>
    </row>
    <row r="95" spans="1:27" ht="15.75" customHeight="1">
      <c r="A95" s="1156"/>
      <c r="B95" s="1158"/>
      <c r="C95" s="1159"/>
      <c r="D95" s="1159"/>
      <c r="E95" s="1159"/>
      <c r="F95" s="1159"/>
      <c r="G95" s="1159"/>
      <c r="H95" s="1159"/>
      <c r="I95" s="1159"/>
      <c r="J95" s="1159"/>
      <c r="K95" s="1214"/>
      <c r="L95" s="1220"/>
      <c r="M95" s="1206"/>
      <c r="N95" s="1130"/>
      <c r="O95" s="1130"/>
      <c r="P95" s="1130"/>
      <c r="Q95" s="1130"/>
      <c r="R95" s="1130"/>
      <c r="S95" s="1130"/>
      <c r="T95" s="1130"/>
      <c r="U95" s="1130"/>
      <c r="V95" s="1130"/>
      <c r="W95" s="1130"/>
      <c r="X95" s="1130"/>
      <c r="Y95" s="1130"/>
      <c r="Z95" s="1130"/>
      <c r="AA95" s="1130"/>
    </row>
    <row r="96" spans="1:27" ht="15.75" customHeight="1">
      <c r="A96" s="1174">
        <v>10</v>
      </c>
      <c r="B96" s="1178" t="s">
        <v>1478</v>
      </c>
      <c r="C96" s="1179" t="s">
        <v>21</v>
      </c>
      <c r="D96" s="1179"/>
      <c r="E96" s="1179"/>
      <c r="F96" s="1179"/>
      <c r="G96" s="1179"/>
      <c r="H96" s="1179"/>
      <c r="I96" s="1179"/>
      <c r="J96" s="1179"/>
      <c r="K96" s="1213"/>
      <c r="L96" s="1219"/>
      <c r="M96" s="1206"/>
      <c r="N96" s="1130"/>
      <c r="O96" s="1130"/>
      <c r="P96" s="1130"/>
      <c r="Q96" s="1130"/>
      <c r="R96" s="1130"/>
      <c r="S96" s="1130"/>
      <c r="T96" s="1130"/>
      <c r="U96" s="1130"/>
      <c r="V96" s="1130"/>
      <c r="W96" s="1130"/>
      <c r="X96" s="1130"/>
      <c r="Y96" s="1130"/>
      <c r="Z96" s="1130"/>
      <c r="AA96" s="1130"/>
    </row>
    <row r="97" spans="1:27" ht="15.75" customHeight="1">
      <c r="A97" s="1159"/>
      <c r="B97" s="1159" t="s">
        <v>1457</v>
      </c>
      <c r="C97" s="1159"/>
      <c r="D97" s="1159">
        <v>6</v>
      </c>
      <c r="E97" s="1159">
        <v>20</v>
      </c>
      <c r="F97" s="1159"/>
      <c r="G97" s="1159"/>
      <c r="H97" s="1159"/>
      <c r="I97" s="1159"/>
      <c r="J97" s="1159">
        <f t="shared" ref="J97:J99" si="6">D97*E97</f>
        <v>120</v>
      </c>
      <c r="K97" s="1214"/>
      <c r="L97" s="1220"/>
      <c r="M97" s="1206"/>
      <c r="N97" s="1130"/>
      <c r="O97" s="1130"/>
      <c r="P97" s="1130"/>
      <c r="Q97" s="1130"/>
      <c r="R97" s="1130"/>
      <c r="S97" s="1130"/>
      <c r="T97" s="1130"/>
      <c r="U97" s="1130"/>
      <c r="V97" s="1130"/>
      <c r="W97" s="1130"/>
      <c r="X97" s="1130"/>
      <c r="Y97" s="1130"/>
      <c r="Z97" s="1130"/>
      <c r="AA97" s="1130"/>
    </row>
    <row r="98" spans="1:27" ht="15.75" customHeight="1">
      <c r="A98" s="1159"/>
      <c r="B98" s="1159" t="s">
        <v>1458</v>
      </c>
      <c r="C98" s="1159"/>
      <c r="D98" s="1159">
        <v>15</v>
      </c>
      <c r="E98" s="1159">
        <v>20</v>
      </c>
      <c r="F98" s="1159"/>
      <c r="G98" s="1159"/>
      <c r="H98" s="1159"/>
      <c r="I98" s="1159"/>
      <c r="J98" s="1159">
        <f t="shared" si="6"/>
        <v>300</v>
      </c>
      <c r="K98" s="1214"/>
      <c r="L98" s="1220"/>
      <c r="M98" s="1206"/>
      <c r="N98" s="1130"/>
      <c r="O98" s="1130"/>
      <c r="P98" s="1130"/>
      <c r="Q98" s="1130"/>
      <c r="R98" s="1130"/>
      <c r="S98" s="1130"/>
      <c r="T98" s="1130"/>
      <c r="U98" s="1130"/>
      <c r="V98" s="1130"/>
      <c r="W98" s="1130"/>
      <c r="X98" s="1130"/>
      <c r="Y98" s="1130"/>
      <c r="Z98" s="1130"/>
      <c r="AA98" s="1130"/>
    </row>
    <row r="99" spans="1:27" ht="15.75" customHeight="1">
      <c r="A99" s="1159"/>
      <c r="B99" s="1159" t="s">
        <v>1459</v>
      </c>
      <c r="C99" s="1159"/>
      <c r="D99" s="1159">
        <v>15</v>
      </c>
      <c r="E99" s="1159">
        <v>20</v>
      </c>
      <c r="F99" s="1159"/>
      <c r="G99" s="1159"/>
      <c r="H99" s="1159"/>
      <c r="I99" s="1159"/>
      <c r="J99" s="1159">
        <f t="shared" si="6"/>
        <v>300</v>
      </c>
      <c r="K99" s="1214"/>
      <c r="L99" s="1220"/>
      <c r="M99" s="1206"/>
      <c r="N99" s="1130"/>
      <c r="O99" s="1130"/>
      <c r="P99" s="1130"/>
      <c r="Q99" s="1130"/>
      <c r="R99" s="1130"/>
      <c r="S99" s="1130"/>
      <c r="T99" s="1130"/>
      <c r="U99" s="1130"/>
      <c r="V99" s="1130"/>
      <c r="W99" s="1130"/>
      <c r="X99" s="1130"/>
      <c r="Y99" s="1130"/>
      <c r="Z99" s="1130"/>
      <c r="AA99" s="1130"/>
    </row>
    <row r="100" spans="1:27" ht="15.75" customHeight="1">
      <c r="A100" s="1159"/>
      <c r="B100" s="1159"/>
      <c r="C100" s="1159"/>
      <c r="D100" s="1159"/>
      <c r="E100" s="1159"/>
      <c r="F100" s="1159"/>
      <c r="G100" s="1159"/>
      <c r="H100" s="1159"/>
      <c r="I100" s="1149" t="s">
        <v>439</v>
      </c>
      <c r="J100" s="1149">
        <f>SUM(J97:J99)</f>
        <v>720</v>
      </c>
      <c r="K100" s="1214"/>
      <c r="L100" s="1220">
        <v>5189.5</v>
      </c>
      <c r="M100" s="1206">
        <f>L100*J100</f>
        <v>3736440</v>
      </c>
      <c r="N100" s="1130"/>
      <c r="O100" s="1130"/>
      <c r="P100" s="1130"/>
      <c r="Q100" s="1130"/>
      <c r="R100" s="1130"/>
      <c r="S100" s="1130"/>
      <c r="T100" s="1130"/>
      <c r="U100" s="1130"/>
      <c r="V100" s="1130"/>
      <c r="W100" s="1130"/>
      <c r="X100" s="1130"/>
      <c r="Y100" s="1130"/>
      <c r="Z100" s="1130"/>
      <c r="AA100" s="1130"/>
    </row>
    <row r="101" spans="1:27" ht="15.75" customHeight="1">
      <c r="A101" s="1159"/>
      <c r="B101" s="1159"/>
      <c r="C101" s="1159"/>
      <c r="D101" s="1159"/>
      <c r="E101" s="1159"/>
      <c r="F101" s="1159"/>
      <c r="G101" s="1159"/>
      <c r="H101" s="1159"/>
      <c r="I101" s="1158"/>
      <c r="J101" s="1158"/>
      <c r="K101" s="1214"/>
      <c r="L101" s="1220" t="s">
        <v>20</v>
      </c>
      <c r="M101" s="1206">
        <f>SUM(M11:M100)</f>
        <v>88392046.274069995</v>
      </c>
      <c r="N101" s="1130"/>
      <c r="O101" s="1130"/>
      <c r="P101" s="1130"/>
      <c r="Q101" s="1130"/>
      <c r="R101" s="1130"/>
      <c r="S101" s="1130"/>
      <c r="T101" s="1130"/>
      <c r="U101" s="1130"/>
      <c r="V101" s="1130"/>
      <c r="W101" s="1130"/>
      <c r="X101" s="1130"/>
      <c r="Y101" s="1130"/>
      <c r="Z101" s="1130"/>
      <c r="AA101" s="1130"/>
    </row>
    <row r="102" spans="1:27" ht="15.75" customHeight="1">
      <c r="A102" s="1159"/>
      <c r="B102" s="1159"/>
      <c r="C102" s="1159"/>
      <c r="D102" s="1159"/>
      <c r="E102" s="1159"/>
      <c r="F102" s="1159"/>
      <c r="G102" s="1159"/>
      <c r="H102" s="1159"/>
      <c r="I102" s="1159"/>
      <c r="J102" s="1159"/>
      <c r="K102" s="1159"/>
      <c r="L102" s="1165"/>
      <c r="M102" s="1130" t="s">
        <v>1482</v>
      </c>
      <c r="N102" s="1130"/>
      <c r="O102" s="1130"/>
      <c r="P102" s="1130"/>
      <c r="Q102" s="1130"/>
      <c r="R102" s="1130"/>
      <c r="S102" s="1130"/>
      <c r="T102" s="1130"/>
      <c r="U102" s="1130"/>
      <c r="V102" s="1130"/>
      <c r="W102" s="1130"/>
      <c r="X102" s="1130"/>
      <c r="Y102" s="1130"/>
      <c r="Z102" s="1130"/>
      <c r="AA102" s="1130"/>
    </row>
    <row r="103" spans="1:27" ht="15.75" customHeight="1">
      <c r="A103" s="1130"/>
      <c r="B103" s="1130"/>
      <c r="C103" s="1130"/>
      <c r="D103" s="1130"/>
      <c r="E103" s="1130"/>
      <c r="F103" s="1130"/>
      <c r="G103" s="1130"/>
      <c r="H103" s="1130"/>
      <c r="I103" s="1130"/>
      <c r="J103" s="1130"/>
      <c r="K103" s="1130"/>
      <c r="L103" s="1130"/>
      <c r="M103" s="1130"/>
      <c r="N103" s="1130"/>
      <c r="O103" s="1130"/>
      <c r="P103" s="1130"/>
      <c r="Q103" s="1130"/>
      <c r="R103" s="1130"/>
      <c r="S103" s="1130"/>
      <c r="T103" s="1130"/>
      <c r="U103" s="1130"/>
      <c r="V103" s="1130"/>
      <c r="W103" s="1130"/>
      <c r="X103" s="1130"/>
      <c r="Y103" s="1130"/>
      <c r="Z103" s="1130"/>
      <c r="AA103" s="1130"/>
    </row>
    <row r="104" spans="1:27" ht="15.75" customHeight="1">
      <c r="A104" s="1130"/>
      <c r="B104" s="1130"/>
      <c r="C104" s="1130"/>
      <c r="D104" s="1130"/>
      <c r="E104" s="1130"/>
      <c r="F104" s="1130"/>
      <c r="G104" s="1130"/>
      <c r="H104" s="1130"/>
      <c r="I104" s="1130"/>
      <c r="J104" s="1130"/>
      <c r="K104" s="1130"/>
      <c r="L104" s="1130"/>
      <c r="M104" s="1130"/>
      <c r="N104" s="1130"/>
      <c r="O104" s="1130"/>
      <c r="P104" s="1130"/>
      <c r="Q104" s="1130"/>
      <c r="R104" s="1130"/>
      <c r="S104" s="1130"/>
      <c r="T104" s="1130"/>
      <c r="U104" s="1130"/>
      <c r="V104" s="1130"/>
      <c r="W104" s="1130"/>
      <c r="X104" s="1130"/>
      <c r="Y104" s="1130"/>
      <c r="Z104" s="1130"/>
      <c r="AA104" s="1130"/>
    </row>
    <row r="105" spans="1:27" ht="15.75" customHeight="1">
      <c r="A105" s="1130"/>
      <c r="B105" s="1130"/>
      <c r="C105" s="1130"/>
      <c r="D105" s="1130"/>
      <c r="E105" s="1130"/>
      <c r="F105" s="1130"/>
      <c r="G105" s="1130"/>
      <c r="H105" s="1130"/>
      <c r="I105" s="1130"/>
      <c r="J105" s="1130"/>
      <c r="K105" s="1130"/>
      <c r="L105" s="1130"/>
      <c r="M105" s="1130"/>
      <c r="N105" s="1130"/>
      <c r="O105" s="1130"/>
      <c r="P105" s="1130"/>
      <c r="Q105" s="1130"/>
      <c r="R105" s="1130"/>
      <c r="S105" s="1130"/>
      <c r="T105" s="1130"/>
      <c r="U105" s="1130"/>
      <c r="V105" s="1130"/>
      <c r="W105" s="1130"/>
      <c r="X105" s="1130"/>
      <c r="Y105" s="1130"/>
      <c r="Z105" s="1130"/>
      <c r="AA105" s="1130"/>
    </row>
    <row r="106" spans="1:27" ht="15.75" customHeight="1">
      <c r="A106" s="1130"/>
      <c r="B106" s="1130"/>
      <c r="C106" s="1130"/>
      <c r="D106" s="1130"/>
      <c r="E106" s="1130"/>
      <c r="F106" s="1130"/>
      <c r="G106" s="1130"/>
      <c r="H106" s="1130"/>
      <c r="I106" s="1130"/>
      <c r="J106" s="1130"/>
      <c r="K106" s="1130"/>
      <c r="L106" s="1130"/>
      <c r="M106" s="1130"/>
      <c r="N106" s="1130"/>
      <c r="O106" s="1130"/>
      <c r="P106" s="1130"/>
      <c r="Q106" s="1130"/>
      <c r="R106" s="1130"/>
      <c r="S106" s="1130"/>
      <c r="T106" s="1130"/>
      <c r="U106" s="1130"/>
      <c r="V106" s="1130"/>
      <c r="W106" s="1130"/>
      <c r="X106" s="1130"/>
      <c r="Y106" s="1130"/>
      <c r="Z106" s="1130"/>
      <c r="AA106" s="1130"/>
    </row>
    <row r="107" spans="1:27" ht="15.75" customHeight="1">
      <c r="A107" s="1130"/>
      <c r="B107" s="1130"/>
      <c r="C107" s="1130"/>
      <c r="D107" s="1130"/>
      <c r="E107" s="1130"/>
      <c r="F107" s="1130"/>
      <c r="G107" s="1130"/>
      <c r="H107" s="1130"/>
      <c r="I107" s="1130"/>
      <c r="J107" s="1130"/>
      <c r="K107" s="1130"/>
      <c r="L107" s="1130"/>
      <c r="M107" s="1130"/>
      <c r="N107" s="1130"/>
      <c r="O107" s="1130"/>
      <c r="P107" s="1130"/>
      <c r="Q107" s="1130"/>
      <c r="R107" s="1130"/>
      <c r="S107" s="1130"/>
      <c r="T107" s="1130"/>
      <c r="U107" s="1130"/>
      <c r="V107" s="1130"/>
      <c r="W107" s="1130"/>
      <c r="X107" s="1130"/>
      <c r="Y107" s="1130"/>
      <c r="Z107" s="1130"/>
      <c r="AA107" s="1130"/>
    </row>
    <row r="108" spans="1:27" ht="15.75" customHeight="1">
      <c r="A108" s="1130"/>
      <c r="B108" s="1130"/>
      <c r="C108" s="1130"/>
      <c r="D108" s="1130"/>
      <c r="E108" s="1130"/>
      <c r="F108" s="1130"/>
      <c r="G108" s="1130"/>
      <c r="H108" s="1130"/>
      <c r="I108" s="1130"/>
      <c r="J108" s="1130"/>
      <c r="K108" s="1130"/>
      <c r="L108" s="1130"/>
      <c r="M108" s="1130"/>
      <c r="N108" s="1130"/>
      <c r="O108" s="1130"/>
      <c r="P108" s="1130"/>
      <c r="Q108" s="1130"/>
      <c r="R108" s="1130"/>
      <c r="S108" s="1130"/>
      <c r="T108" s="1130"/>
      <c r="U108" s="1130"/>
      <c r="V108" s="1130"/>
      <c r="W108" s="1130"/>
      <c r="X108" s="1130"/>
      <c r="Y108" s="1130"/>
      <c r="Z108" s="1130"/>
      <c r="AA108" s="1130"/>
    </row>
    <row r="109" spans="1:27" ht="15.75" customHeight="1">
      <c r="A109" s="1130"/>
      <c r="B109" s="1130"/>
      <c r="C109" s="1130"/>
      <c r="D109" s="1130"/>
      <c r="E109" s="1130"/>
      <c r="F109" s="1130"/>
      <c r="G109" s="1130"/>
      <c r="H109" s="1130"/>
      <c r="I109" s="1130"/>
      <c r="J109" s="1130"/>
      <c r="K109" s="1130"/>
      <c r="L109" s="1130"/>
      <c r="M109" s="1130"/>
      <c r="N109" s="1130"/>
      <c r="O109" s="1130"/>
      <c r="P109" s="1130"/>
      <c r="Q109" s="1130"/>
      <c r="R109" s="1130"/>
      <c r="S109" s="1130"/>
      <c r="T109" s="1130"/>
      <c r="U109" s="1130"/>
      <c r="V109" s="1130"/>
      <c r="W109" s="1130"/>
      <c r="X109" s="1130"/>
      <c r="Y109" s="1130"/>
      <c r="Z109" s="1130"/>
      <c r="AA109" s="1130"/>
    </row>
    <row r="110" spans="1:27" ht="15.75" customHeight="1">
      <c r="A110" s="1130"/>
      <c r="B110" s="1130"/>
      <c r="C110" s="1130"/>
      <c r="D110" s="1130"/>
      <c r="E110" s="1130"/>
      <c r="F110" s="1130"/>
      <c r="G110" s="1130"/>
      <c r="H110" s="1130"/>
      <c r="I110" s="1130"/>
      <c r="J110" s="1130"/>
      <c r="K110" s="1130"/>
      <c r="L110" s="1130"/>
      <c r="M110" s="1130"/>
      <c r="N110" s="1130"/>
      <c r="O110" s="1130"/>
      <c r="P110" s="1130"/>
      <c r="Q110" s="1130"/>
      <c r="R110" s="1130"/>
      <c r="S110" s="1130"/>
      <c r="T110" s="1130"/>
      <c r="U110" s="1130"/>
      <c r="V110" s="1130"/>
      <c r="W110" s="1130"/>
      <c r="X110" s="1130"/>
      <c r="Y110" s="1130"/>
      <c r="Z110" s="1130"/>
      <c r="AA110" s="1130"/>
    </row>
    <row r="111" spans="1:27" ht="15.75" customHeight="1">
      <c r="A111" s="1130"/>
      <c r="B111" s="1130"/>
      <c r="C111" s="1130"/>
      <c r="D111" s="1130"/>
      <c r="E111" s="1130"/>
      <c r="F111" s="1130"/>
      <c r="G111" s="1130"/>
      <c r="H111" s="1130"/>
      <c r="I111" s="1130"/>
      <c r="J111" s="1130"/>
      <c r="K111" s="1130"/>
      <c r="L111" s="1130"/>
      <c r="M111" s="1130"/>
      <c r="N111" s="1130"/>
      <c r="O111" s="1130"/>
      <c r="P111" s="1130"/>
      <c r="Q111" s="1130"/>
      <c r="R111" s="1130"/>
      <c r="S111" s="1130"/>
      <c r="T111" s="1130"/>
      <c r="U111" s="1130"/>
      <c r="V111" s="1130"/>
      <c r="W111" s="1130"/>
      <c r="X111" s="1130"/>
      <c r="Y111" s="1130"/>
      <c r="Z111" s="1130"/>
      <c r="AA111" s="1130"/>
    </row>
    <row r="112" spans="1:27" ht="15.75" customHeight="1">
      <c r="A112" s="1130"/>
      <c r="B112" s="1130"/>
      <c r="C112" s="1130"/>
      <c r="D112" s="1130"/>
      <c r="E112" s="1130"/>
      <c r="F112" s="1130"/>
      <c r="G112" s="1130"/>
      <c r="H112" s="1130"/>
      <c r="I112" s="1130"/>
      <c r="J112" s="1130"/>
      <c r="K112" s="1130"/>
      <c r="L112" s="1130"/>
      <c r="M112" s="1130"/>
      <c r="N112" s="1130"/>
      <c r="O112" s="1130"/>
      <c r="P112" s="1130"/>
      <c r="Q112" s="1130"/>
      <c r="R112" s="1130"/>
      <c r="S112" s="1130"/>
      <c r="T112" s="1130"/>
      <c r="U112" s="1130"/>
      <c r="V112" s="1130"/>
      <c r="W112" s="1130"/>
      <c r="X112" s="1130"/>
      <c r="Y112" s="1130"/>
      <c r="Z112" s="1130"/>
      <c r="AA112" s="1130"/>
    </row>
    <row r="113" spans="1:27" ht="15.75" customHeight="1">
      <c r="A113" s="1130"/>
      <c r="B113" s="1130"/>
      <c r="C113" s="1130"/>
      <c r="D113" s="1130"/>
      <c r="E113" s="1130"/>
      <c r="F113" s="1130"/>
      <c r="G113" s="1130"/>
      <c r="H113" s="1130"/>
      <c r="I113" s="1130"/>
      <c r="J113" s="1130"/>
      <c r="K113" s="1130"/>
      <c r="L113" s="1130"/>
      <c r="M113" s="1130"/>
      <c r="N113" s="1130"/>
      <c r="O113" s="1130"/>
      <c r="P113" s="1130"/>
      <c r="Q113" s="1130"/>
      <c r="R113" s="1130"/>
      <c r="S113" s="1130"/>
      <c r="T113" s="1130"/>
      <c r="U113" s="1130"/>
      <c r="V113" s="1130"/>
      <c r="W113" s="1130"/>
      <c r="X113" s="1130"/>
      <c r="Y113" s="1130"/>
      <c r="Z113" s="1130"/>
      <c r="AA113" s="1130"/>
    </row>
    <row r="114" spans="1:27" ht="15.75" customHeight="1">
      <c r="A114" s="1130"/>
      <c r="B114" s="1130"/>
      <c r="C114" s="1130"/>
      <c r="D114" s="1130"/>
      <c r="E114" s="1130"/>
      <c r="F114" s="1130"/>
      <c r="G114" s="1130"/>
      <c r="H114" s="1130"/>
      <c r="I114" s="1130"/>
      <c r="J114" s="1130"/>
      <c r="K114" s="1130"/>
      <c r="L114" s="1130"/>
      <c r="M114" s="1130"/>
      <c r="N114" s="1130"/>
      <c r="O114" s="1130"/>
      <c r="P114" s="1130"/>
      <c r="Q114" s="1130"/>
      <c r="R114" s="1130"/>
      <c r="S114" s="1130"/>
      <c r="T114" s="1130"/>
      <c r="U114" s="1130"/>
      <c r="V114" s="1130"/>
      <c r="W114" s="1130"/>
      <c r="X114" s="1130"/>
      <c r="Y114" s="1130"/>
      <c r="Z114" s="1130"/>
      <c r="AA114" s="1130"/>
    </row>
    <row r="115" spans="1:27" ht="15.75" customHeight="1">
      <c r="A115" s="1130"/>
      <c r="B115" s="1130"/>
      <c r="C115" s="1130"/>
      <c r="D115" s="1130"/>
      <c r="E115" s="1130"/>
      <c r="F115" s="1130"/>
      <c r="G115" s="1130"/>
      <c r="H115" s="1130"/>
      <c r="I115" s="1130"/>
      <c r="J115" s="1130"/>
      <c r="K115" s="1130"/>
      <c r="L115" s="1130"/>
      <c r="M115" s="1130"/>
      <c r="N115" s="1130"/>
      <c r="O115" s="1130"/>
      <c r="P115" s="1130"/>
      <c r="Q115" s="1130"/>
      <c r="R115" s="1130"/>
      <c r="S115" s="1130"/>
      <c r="T115" s="1130"/>
      <c r="U115" s="1130"/>
      <c r="V115" s="1130"/>
      <c r="W115" s="1130"/>
      <c r="X115" s="1130"/>
      <c r="Y115" s="1130"/>
      <c r="Z115" s="1130"/>
      <c r="AA115" s="1130"/>
    </row>
    <row r="116" spans="1:27" ht="15.75" customHeight="1">
      <c r="A116" s="1130"/>
      <c r="B116" s="1130"/>
      <c r="C116" s="1130"/>
      <c r="D116" s="1130"/>
      <c r="E116" s="1130"/>
      <c r="F116" s="1130"/>
      <c r="G116" s="1130"/>
      <c r="H116" s="1130"/>
      <c r="I116" s="1130"/>
      <c r="J116" s="1130"/>
      <c r="K116" s="1130"/>
      <c r="L116" s="1130"/>
      <c r="M116" s="1130"/>
      <c r="N116" s="1130"/>
      <c r="O116" s="1130"/>
      <c r="P116" s="1130"/>
      <c r="Q116" s="1130"/>
      <c r="R116" s="1130"/>
      <c r="S116" s="1130"/>
      <c r="T116" s="1130"/>
      <c r="U116" s="1130"/>
      <c r="V116" s="1130"/>
      <c r="W116" s="1130"/>
      <c r="X116" s="1130"/>
      <c r="Y116" s="1130"/>
      <c r="Z116" s="1130"/>
      <c r="AA116" s="1130"/>
    </row>
    <row r="117" spans="1:27" ht="15.75" customHeight="1">
      <c r="A117" s="1130"/>
      <c r="B117" s="1130"/>
      <c r="C117" s="1130"/>
      <c r="D117" s="1130"/>
      <c r="E117" s="1130"/>
      <c r="F117" s="1130"/>
      <c r="G117" s="1130"/>
      <c r="H117" s="1130"/>
      <c r="I117" s="1130"/>
      <c r="J117" s="1130"/>
      <c r="K117" s="1130"/>
      <c r="L117" s="1130"/>
      <c r="M117" s="1130"/>
      <c r="N117" s="1130"/>
      <c r="O117" s="1130"/>
      <c r="P117" s="1130"/>
      <c r="Q117" s="1130"/>
      <c r="R117" s="1130"/>
      <c r="S117" s="1130"/>
      <c r="T117" s="1130"/>
      <c r="U117" s="1130"/>
      <c r="V117" s="1130"/>
      <c r="W117" s="1130"/>
      <c r="X117" s="1130"/>
      <c r="Y117" s="1130"/>
      <c r="Z117" s="1130"/>
      <c r="AA117" s="1130"/>
    </row>
    <row r="118" spans="1:27" ht="15.75" customHeight="1">
      <c r="A118" s="1130"/>
      <c r="B118" s="1130"/>
      <c r="C118" s="1130"/>
      <c r="D118" s="1130"/>
      <c r="E118" s="1130"/>
      <c r="F118" s="1130"/>
      <c r="G118" s="1130"/>
      <c r="H118" s="1130"/>
      <c r="I118" s="1130"/>
      <c r="J118" s="1130"/>
      <c r="K118" s="1130"/>
      <c r="L118" s="1130"/>
      <c r="M118" s="1130"/>
      <c r="N118" s="1130"/>
      <c r="O118" s="1130"/>
      <c r="P118" s="1130"/>
      <c r="Q118" s="1130"/>
      <c r="R118" s="1130"/>
      <c r="S118" s="1130"/>
      <c r="T118" s="1130"/>
      <c r="U118" s="1130"/>
      <c r="V118" s="1130"/>
      <c r="W118" s="1130"/>
      <c r="X118" s="1130"/>
      <c r="Y118" s="1130"/>
      <c r="Z118" s="1130"/>
      <c r="AA118" s="1130"/>
    </row>
    <row r="119" spans="1:27" ht="15.75" customHeight="1">
      <c r="A119" s="1130"/>
      <c r="B119" s="1130"/>
      <c r="C119" s="1130"/>
      <c r="D119" s="1130"/>
      <c r="E119" s="1130"/>
      <c r="F119" s="1130"/>
      <c r="G119" s="1130"/>
      <c r="H119" s="1130"/>
      <c r="I119" s="1130"/>
      <c r="J119" s="1130"/>
      <c r="K119" s="1130"/>
      <c r="L119" s="1130"/>
      <c r="M119" s="1130"/>
      <c r="N119" s="1130"/>
      <c r="O119" s="1130"/>
      <c r="P119" s="1130"/>
      <c r="Q119" s="1130"/>
      <c r="R119" s="1130"/>
      <c r="S119" s="1130"/>
      <c r="T119" s="1130"/>
      <c r="U119" s="1130"/>
      <c r="V119" s="1130"/>
      <c r="W119" s="1130"/>
      <c r="X119" s="1130"/>
      <c r="Y119" s="1130"/>
      <c r="Z119" s="1130"/>
      <c r="AA119" s="1130"/>
    </row>
    <row r="120" spans="1:27" ht="15.75" customHeight="1">
      <c r="A120" s="1130"/>
      <c r="B120" s="1130"/>
      <c r="C120" s="1130"/>
      <c r="D120" s="1130"/>
      <c r="E120" s="1130"/>
      <c r="F120" s="1130"/>
      <c r="G120" s="1130"/>
      <c r="H120" s="1130"/>
      <c r="I120" s="1130"/>
      <c r="J120" s="1130"/>
      <c r="K120" s="1130"/>
      <c r="L120" s="1130"/>
      <c r="M120" s="1130"/>
      <c r="N120" s="1130"/>
      <c r="O120" s="1130"/>
      <c r="P120" s="1130"/>
      <c r="Q120" s="1130"/>
      <c r="R120" s="1130"/>
      <c r="S120" s="1130"/>
      <c r="T120" s="1130"/>
      <c r="U120" s="1130"/>
      <c r="V120" s="1130"/>
      <c r="W120" s="1130"/>
      <c r="X120" s="1130"/>
      <c r="Y120" s="1130"/>
      <c r="Z120" s="1130"/>
      <c r="AA120" s="1130"/>
    </row>
    <row r="121" spans="1:27" ht="15.75" customHeight="1">
      <c r="A121" s="1130"/>
      <c r="B121" s="1130"/>
      <c r="C121" s="1130"/>
      <c r="D121" s="1130"/>
      <c r="E121" s="1130"/>
      <c r="F121" s="1130"/>
      <c r="G121" s="1130"/>
      <c r="H121" s="1130"/>
      <c r="I121" s="1130"/>
      <c r="J121" s="1130"/>
      <c r="K121" s="1130"/>
      <c r="L121" s="1130"/>
      <c r="M121" s="1130"/>
      <c r="N121" s="1130"/>
      <c r="O121" s="1130"/>
      <c r="P121" s="1130"/>
      <c r="Q121" s="1130"/>
      <c r="R121" s="1130"/>
      <c r="S121" s="1130"/>
      <c r="T121" s="1130"/>
      <c r="U121" s="1130"/>
      <c r="V121" s="1130"/>
      <c r="W121" s="1130"/>
      <c r="X121" s="1130"/>
      <c r="Y121" s="1130"/>
      <c r="Z121" s="1130"/>
      <c r="AA121" s="1130"/>
    </row>
    <row r="122" spans="1:27" ht="15.75" customHeight="1">
      <c r="A122" s="1130"/>
      <c r="B122" s="1130"/>
      <c r="C122" s="1130"/>
      <c r="D122" s="1130"/>
      <c r="E122" s="1130"/>
      <c r="F122" s="1130"/>
      <c r="G122" s="1130"/>
      <c r="H122" s="1130"/>
      <c r="I122" s="1130"/>
      <c r="J122" s="1130"/>
      <c r="K122" s="1130"/>
      <c r="L122" s="1130"/>
      <c r="M122" s="1130"/>
      <c r="N122" s="1130"/>
      <c r="O122" s="1130"/>
      <c r="P122" s="1130"/>
      <c r="Q122" s="1130"/>
      <c r="R122" s="1130"/>
      <c r="S122" s="1130"/>
      <c r="T122" s="1130"/>
      <c r="U122" s="1130"/>
      <c r="V122" s="1130"/>
      <c r="W122" s="1130"/>
      <c r="X122" s="1130"/>
      <c r="Y122" s="1130"/>
      <c r="Z122" s="1130"/>
      <c r="AA122" s="1130"/>
    </row>
    <row r="123" spans="1:27" ht="15.75" customHeight="1">
      <c r="A123" s="1130"/>
      <c r="B123" s="1130"/>
      <c r="C123" s="1130"/>
      <c r="D123" s="1130"/>
      <c r="E123" s="1130"/>
      <c r="F123" s="1130"/>
      <c r="G123" s="1130"/>
      <c r="H123" s="1130"/>
      <c r="I123" s="1130"/>
      <c r="J123" s="1130"/>
      <c r="K123" s="1130"/>
      <c r="L123" s="1130"/>
      <c r="M123" s="1130"/>
      <c r="N123" s="1130"/>
      <c r="O123" s="1130"/>
      <c r="P123" s="1130"/>
      <c r="Q123" s="1130"/>
      <c r="R123" s="1130"/>
      <c r="S123" s="1130"/>
      <c r="T123" s="1130"/>
      <c r="U123" s="1130"/>
      <c r="V123" s="1130"/>
      <c r="W123" s="1130"/>
      <c r="X123" s="1130"/>
      <c r="Y123" s="1130"/>
      <c r="Z123" s="1130"/>
      <c r="AA123" s="1130"/>
    </row>
    <row r="124" spans="1:27" ht="15.75" customHeight="1">
      <c r="A124" s="1130"/>
      <c r="B124" s="1130"/>
      <c r="C124" s="1130"/>
      <c r="D124" s="1130"/>
      <c r="E124" s="1130"/>
      <c r="F124" s="1130"/>
      <c r="G124" s="1130"/>
      <c r="H124" s="1130"/>
      <c r="I124" s="1130"/>
      <c r="J124" s="1130"/>
      <c r="K124" s="1130"/>
      <c r="L124" s="1130"/>
      <c r="M124" s="1130"/>
      <c r="N124" s="1130"/>
      <c r="O124" s="1130"/>
      <c r="P124" s="1130"/>
      <c r="Q124" s="1130"/>
      <c r="R124" s="1130"/>
      <c r="S124" s="1130"/>
      <c r="T124" s="1130"/>
      <c r="U124" s="1130"/>
      <c r="V124" s="1130"/>
      <c r="W124" s="1130"/>
      <c r="X124" s="1130"/>
      <c r="Y124" s="1130"/>
      <c r="Z124" s="1130"/>
      <c r="AA124" s="1130"/>
    </row>
    <row r="125" spans="1:27" ht="15.75" customHeight="1">
      <c r="A125" s="1130"/>
      <c r="B125" s="1130"/>
      <c r="C125" s="1130"/>
      <c r="D125" s="1130"/>
      <c r="E125" s="1130"/>
      <c r="F125" s="1130"/>
      <c r="G125" s="1130"/>
      <c r="H125" s="1130"/>
      <c r="I125" s="1130"/>
      <c r="J125" s="1130"/>
      <c r="K125" s="1130"/>
      <c r="L125" s="1130"/>
      <c r="M125" s="1130"/>
      <c r="N125" s="1130"/>
      <c r="O125" s="1130"/>
      <c r="P125" s="1130"/>
      <c r="Q125" s="1130"/>
      <c r="R125" s="1130"/>
      <c r="S125" s="1130"/>
      <c r="T125" s="1130"/>
      <c r="U125" s="1130"/>
      <c r="V125" s="1130"/>
      <c r="W125" s="1130"/>
      <c r="X125" s="1130"/>
      <c r="Y125" s="1130"/>
      <c r="Z125" s="1130"/>
      <c r="AA125" s="1130"/>
    </row>
    <row r="126" spans="1:27" ht="15.75" customHeight="1">
      <c r="A126" s="1130"/>
      <c r="B126" s="1130"/>
      <c r="C126" s="1130"/>
      <c r="D126" s="1130"/>
      <c r="E126" s="1130"/>
      <c r="F126" s="1130"/>
      <c r="G126" s="1130"/>
      <c r="H126" s="1130"/>
      <c r="I126" s="1130"/>
      <c r="J126" s="1130"/>
      <c r="K126" s="1130"/>
      <c r="L126" s="1130"/>
      <c r="M126" s="1130"/>
      <c r="N126" s="1130"/>
      <c r="O126" s="1130"/>
      <c r="P126" s="1130"/>
      <c r="Q126" s="1130"/>
      <c r="R126" s="1130"/>
      <c r="S126" s="1130"/>
      <c r="T126" s="1130"/>
      <c r="U126" s="1130"/>
      <c r="V126" s="1130"/>
      <c r="W126" s="1130"/>
      <c r="X126" s="1130"/>
      <c r="Y126" s="1130"/>
      <c r="Z126" s="1130"/>
      <c r="AA126" s="1130"/>
    </row>
    <row r="127" spans="1:27" ht="15.75" customHeight="1">
      <c r="A127" s="1130"/>
      <c r="B127" s="1130"/>
      <c r="C127" s="1130"/>
      <c r="D127" s="1130"/>
      <c r="E127" s="1130"/>
      <c r="F127" s="1130"/>
      <c r="G127" s="1130"/>
      <c r="H127" s="1130"/>
      <c r="I127" s="1130"/>
      <c r="J127" s="1130"/>
      <c r="K127" s="1130"/>
      <c r="L127" s="1130"/>
      <c r="M127" s="1130"/>
      <c r="N127" s="1130"/>
      <c r="O127" s="1130"/>
      <c r="P127" s="1130"/>
      <c r="Q127" s="1130"/>
      <c r="R127" s="1130"/>
      <c r="S127" s="1130"/>
      <c r="T127" s="1130"/>
      <c r="U127" s="1130"/>
      <c r="V127" s="1130"/>
      <c r="W127" s="1130"/>
      <c r="X127" s="1130"/>
      <c r="Y127" s="1130"/>
      <c r="Z127" s="1130"/>
      <c r="AA127" s="1130"/>
    </row>
    <row r="128" spans="1:27" ht="15.75" customHeight="1">
      <c r="A128" s="1130"/>
      <c r="B128" s="1130"/>
      <c r="C128" s="1130"/>
      <c r="D128" s="1130"/>
      <c r="E128" s="1130"/>
      <c r="F128" s="1130"/>
      <c r="G128" s="1130"/>
      <c r="H128" s="1130"/>
      <c r="I128" s="1130"/>
      <c r="J128" s="1130"/>
      <c r="K128" s="1130"/>
      <c r="L128" s="1130"/>
      <c r="M128" s="1130"/>
      <c r="N128" s="1130"/>
      <c r="O128" s="1130"/>
      <c r="P128" s="1130"/>
      <c r="Q128" s="1130"/>
      <c r="R128" s="1130"/>
      <c r="S128" s="1130"/>
      <c r="T128" s="1130"/>
      <c r="U128" s="1130"/>
      <c r="V128" s="1130"/>
      <c r="W128" s="1130"/>
      <c r="X128" s="1130"/>
      <c r="Y128" s="1130"/>
      <c r="Z128" s="1130"/>
      <c r="AA128" s="1130"/>
    </row>
    <row r="129" spans="1:27" ht="15.75" customHeight="1">
      <c r="A129" s="1130"/>
      <c r="B129" s="1130"/>
      <c r="C129" s="1130"/>
      <c r="D129" s="1130"/>
      <c r="E129" s="1130"/>
      <c r="F129" s="1130"/>
      <c r="G129" s="1130"/>
      <c r="H129" s="1130"/>
      <c r="I129" s="1130"/>
      <c r="J129" s="1130"/>
      <c r="K129" s="1130"/>
      <c r="L129" s="1130"/>
      <c r="M129" s="1130"/>
      <c r="N129" s="1130"/>
      <c r="O129" s="1130"/>
      <c r="P129" s="1130"/>
      <c r="Q129" s="1130"/>
      <c r="R129" s="1130"/>
      <c r="S129" s="1130"/>
      <c r="T129" s="1130"/>
      <c r="U129" s="1130"/>
      <c r="V129" s="1130"/>
      <c r="W129" s="1130"/>
      <c r="X129" s="1130"/>
      <c r="Y129" s="1130"/>
      <c r="Z129" s="1130"/>
      <c r="AA129" s="1130"/>
    </row>
    <row r="130" spans="1:27" ht="15.75" customHeight="1">
      <c r="A130" s="1130"/>
      <c r="B130" s="1130"/>
      <c r="C130" s="1130"/>
      <c r="D130" s="1130"/>
      <c r="E130" s="1130"/>
      <c r="F130" s="1130"/>
      <c r="G130" s="1130"/>
      <c r="H130" s="1130"/>
      <c r="I130" s="1130"/>
      <c r="J130" s="1130"/>
      <c r="K130" s="1130"/>
      <c r="L130" s="1130"/>
      <c r="M130" s="1130"/>
      <c r="N130" s="1130"/>
      <c r="O130" s="1130"/>
      <c r="P130" s="1130"/>
      <c r="Q130" s="1130"/>
      <c r="R130" s="1130"/>
      <c r="S130" s="1130"/>
      <c r="T130" s="1130"/>
      <c r="U130" s="1130"/>
      <c r="V130" s="1130"/>
      <c r="W130" s="1130"/>
      <c r="X130" s="1130"/>
      <c r="Y130" s="1130"/>
      <c r="Z130" s="1130"/>
      <c r="AA130" s="1130"/>
    </row>
    <row r="131" spans="1:27" ht="15.75" customHeight="1">
      <c r="A131" s="1130"/>
      <c r="B131" s="1130"/>
      <c r="C131" s="1130"/>
      <c r="D131" s="1130"/>
      <c r="E131" s="1130"/>
      <c r="F131" s="1130"/>
      <c r="G131" s="1130"/>
      <c r="H131" s="1130"/>
      <c r="I131" s="1130"/>
      <c r="J131" s="1130"/>
      <c r="K131" s="1130"/>
      <c r="L131" s="1130"/>
      <c r="M131" s="1130"/>
      <c r="N131" s="1130"/>
      <c r="O131" s="1130"/>
      <c r="P131" s="1130"/>
      <c r="Q131" s="1130"/>
      <c r="R131" s="1130"/>
      <c r="S131" s="1130"/>
      <c r="T131" s="1130"/>
      <c r="U131" s="1130"/>
      <c r="V131" s="1130"/>
      <c r="W131" s="1130"/>
      <c r="X131" s="1130"/>
      <c r="Y131" s="1130"/>
      <c r="Z131" s="1130"/>
      <c r="AA131" s="1130"/>
    </row>
    <row r="132" spans="1:27" ht="15.75" customHeight="1">
      <c r="A132" s="1130"/>
      <c r="B132" s="1130"/>
      <c r="C132" s="1130"/>
      <c r="D132" s="1130"/>
      <c r="E132" s="1130"/>
      <c r="F132" s="1130"/>
      <c r="G132" s="1130"/>
      <c r="H132" s="1130"/>
      <c r="I132" s="1130"/>
      <c r="J132" s="1130"/>
      <c r="K132" s="1130"/>
      <c r="L132" s="1130"/>
      <c r="M132" s="1130"/>
      <c r="N132" s="1130"/>
      <c r="O132" s="1130"/>
      <c r="P132" s="1130"/>
      <c r="Q132" s="1130"/>
      <c r="R132" s="1130"/>
      <c r="S132" s="1130"/>
      <c r="T132" s="1130"/>
      <c r="U132" s="1130"/>
      <c r="V132" s="1130"/>
      <c r="W132" s="1130"/>
      <c r="X132" s="1130"/>
      <c r="Y132" s="1130"/>
      <c r="Z132" s="1130"/>
      <c r="AA132" s="1130"/>
    </row>
    <row r="133" spans="1:27" ht="15.75" customHeight="1">
      <c r="A133" s="1130"/>
      <c r="B133" s="1130"/>
      <c r="C133" s="1130"/>
      <c r="D133" s="1130"/>
      <c r="E133" s="1130"/>
      <c r="F133" s="1130"/>
      <c r="G133" s="1130"/>
      <c r="H133" s="1130"/>
      <c r="I133" s="1130"/>
      <c r="J133" s="1130"/>
      <c r="K133" s="1130"/>
      <c r="L133" s="1130"/>
      <c r="M133" s="1130"/>
      <c r="N133" s="1130"/>
      <c r="O133" s="1130"/>
      <c r="P133" s="1130"/>
      <c r="Q133" s="1130"/>
      <c r="R133" s="1130"/>
      <c r="S133" s="1130"/>
      <c r="T133" s="1130"/>
      <c r="U133" s="1130"/>
      <c r="V133" s="1130"/>
      <c r="W133" s="1130"/>
      <c r="X133" s="1130"/>
      <c r="Y133" s="1130"/>
      <c r="Z133" s="1130"/>
      <c r="AA133" s="1130"/>
    </row>
    <row r="134" spans="1:27" ht="15.75" customHeight="1">
      <c r="A134" s="1130"/>
      <c r="B134" s="1130"/>
      <c r="C134" s="1130"/>
      <c r="D134" s="1130"/>
      <c r="E134" s="1130"/>
      <c r="F134" s="1130"/>
      <c r="G134" s="1130"/>
      <c r="H134" s="1130"/>
      <c r="I134" s="1130"/>
      <c r="J134" s="1130"/>
      <c r="K134" s="1130"/>
      <c r="L134" s="1130"/>
      <c r="M134" s="1130"/>
      <c r="N134" s="1130"/>
      <c r="O134" s="1130"/>
      <c r="P134" s="1130"/>
      <c r="Q134" s="1130"/>
      <c r="R134" s="1130"/>
      <c r="S134" s="1130"/>
      <c r="T134" s="1130"/>
      <c r="U134" s="1130"/>
      <c r="V134" s="1130"/>
      <c r="W134" s="1130"/>
      <c r="X134" s="1130"/>
      <c r="Y134" s="1130"/>
      <c r="Z134" s="1130"/>
      <c r="AA134" s="1130"/>
    </row>
    <row r="135" spans="1:27" ht="15.75" customHeight="1">
      <c r="A135" s="1130"/>
      <c r="B135" s="1130"/>
      <c r="C135" s="1130"/>
      <c r="D135" s="1130"/>
      <c r="E135" s="1130"/>
      <c r="F135" s="1130"/>
      <c r="G135" s="1130"/>
      <c r="H135" s="1130"/>
      <c r="I135" s="1130"/>
      <c r="J135" s="1130"/>
      <c r="K135" s="1130"/>
      <c r="L135" s="1130"/>
      <c r="M135" s="1130"/>
      <c r="N135" s="1130"/>
      <c r="O135" s="1130"/>
      <c r="P135" s="1130"/>
      <c r="Q135" s="1130"/>
      <c r="R135" s="1130"/>
      <c r="S135" s="1130"/>
      <c r="T135" s="1130"/>
      <c r="U135" s="1130"/>
      <c r="V135" s="1130"/>
      <c r="W135" s="1130"/>
      <c r="X135" s="1130"/>
      <c r="Y135" s="1130"/>
      <c r="Z135" s="1130"/>
      <c r="AA135" s="1130"/>
    </row>
    <row r="136" spans="1:27" ht="15.75" customHeight="1">
      <c r="A136" s="1130"/>
      <c r="B136" s="1130"/>
      <c r="C136" s="1130"/>
      <c r="D136" s="1130"/>
      <c r="E136" s="1130"/>
      <c r="F136" s="1130"/>
      <c r="G136" s="1130"/>
      <c r="H136" s="1130"/>
      <c r="I136" s="1130"/>
      <c r="J136" s="1130"/>
      <c r="K136" s="1130"/>
      <c r="L136" s="1130"/>
      <c r="M136" s="1130"/>
      <c r="N136" s="1130"/>
      <c r="O136" s="1130"/>
      <c r="P136" s="1130"/>
      <c r="Q136" s="1130"/>
      <c r="R136" s="1130"/>
      <c r="S136" s="1130"/>
      <c r="T136" s="1130"/>
      <c r="U136" s="1130"/>
      <c r="V136" s="1130"/>
      <c r="W136" s="1130"/>
      <c r="X136" s="1130"/>
      <c r="Y136" s="1130"/>
      <c r="Z136" s="1130"/>
      <c r="AA136" s="1130"/>
    </row>
    <row r="137" spans="1:27" ht="15.75" customHeight="1">
      <c r="A137" s="1130"/>
      <c r="B137" s="1130"/>
      <c r="C137" s="1130"/>
      <c r="D137" s="1130"/>
      <c r="E137" s="1130"/>
      <c r="F137" s="1130"/>
      <c r="G137" s="1130"/>
      <c r="H137" s="1130"/>
      <c r="I137" s="1130"/>
      <c r="J137" s="1130"/>
      <c r="K137" s="1130"/>
      <c r="L137" s="1130"/>
      <c r="M137" s="1130"/>
      <c r="N137" s="1130"/>
      <c r="O137" s="1130"/>
      <c r="P137" s="1130"/>
      <c r="Q137" s="1130"/>
      <c r="R137" s="1130"/>
      <c r="S137" s="1130"/>
      <c r="T137" s="1130"/>
      <c r="U137" s="1130"/>
      <c r="V137" s="1130"/>
      <c r="W137" s="1130"/>
      <c r="X137" s="1130"/>
      <c r="Y137" s="1130"/>
      <c r="Z137" s="1130"/>
      <c r="AA137" s="1130"/>
    </row>
    <row r="138" spans="1:27" ht="15.75" customHeight="1">
      <c r="A138" s="1130"/>
      <c r="B138" s="1130"/>
      <c r="C138" s="1130"/>
      <c r="D138" s="1130"/>
      <c r="E138" s="1130"/>
      <c r="F138" s="1130"/>
      <c r="G138" s="1130"/>
      <c r="H138" s="1130"/>
      <c r="I138" s="1130"/>
      <c r="J138" s="1130"/>
      <c r="K138" s="1130"/>
      <c r="L138" s="1130"/>
      <c r="M138" s="1130"/>
      <c r="N138" s="1130"/>
      <c r="O138" s="1130"/>
      <c r="P138" s="1130"/>
      <c r="Q138" s="1130"/>
      <c r="R138" s="1130"/>
      <c r="S138" s="1130"/>
      <c r="T138" s="1130"/>
      <c r="U138" s="1130"/>
      <c r="V138" s="1130"/>
      <c r="W138" s="1130"/>
      <c r="X138" s="1130"/>
      <c r="Y138" s="1130"/>
      <c r="Z138" s="1130"/>
      <c r="AA138" s="1130"/>
    </row>
    <row r="139" spans="1:27" ht="15.75" customHeight="1">
      <c r="A139" s="1130"/>
      <c r="B139" s="1130"/>
      <c r="C139" s="1130"/>
      <c r="D139" s="1130"/>
      <c r="E139" s="1130"/>
      <c r="F139" s="1130"/>
      <c r="G139" s="1130"/>
      <c r="H139" s="1130"/>
      <c r="I139" s="1130"/>
      <c r="J139" s="1130"/>
      <c r="K139" s="1130"/>
      <c r="L139" s="1130"/>
      <c r="M139" s="1130"/>
      <c r="N139" s="1130"/>
      <c r="O139" s="1130"/>
      <c r="P139" s="1130"/>
      <c r="Q139" s="1130"/>
      <c r="R139" s="1130"/>
      <c r="S139" s="1130"/>
      <c r="T139" s="1130"/>
      <c r="U139" s="1130"/>
      <c r="V139" s="1130"/>
      <c r="W139" s="1130"/>
      <c r="X139" s="1130"/>
      <c r="Y139" s="1130"/>
      <c r="Z139" s="1130"/>
      <c r="AA139" s="1130"/>
    </row>
    <row r="140" spans="1:27" ht="15.75" customHeight="1">
      <c r="A140" s="1130"/>
      <c r="B140" s="1130"/>
      <c r="C140" s="1130"/>
      <c r="D140" s="1130"/>
      <c r="E140" s="1130"/>
      <c r="F140" s="1130"/>
      <c r="G140" s="1130"/>
      <c r="H140" s="1130"/>
      <c r="I140" s="1130"/>
      <c r="J140" s="1130"/>
      <c r="K140" s="1130"/>
      <c r="L140" s="1130"/>
      <c r="M140" s="1130"/>
      <c r="N140" s="1130"/>
      <c r="O140" s="1130"/>
      <c r="P140" s="1130"/>
      <c r="Q140" s="1130"/>
      <c r="R140" s="1130"/>
      <c r="S140" s="1130"/>
      <c r="T140" s="1130"/>
      <c r="U140" s="1130"/>
      <c r="V140" s="1130"/>
      <c r="W140" s="1130"/>
      <c r="X140" s="1130"/>
      <c r="Y140" s="1130"/>
      <c r="Z140" s="1130"/>
      <c r="AA140" s="1130"/>
    </row>
    <row r="141" spans="1:27" ht="15.75" customHeight="1">
      <c r="A141" s="1130"/>
      <c r="B141" s="1130"/>
      <c r="C141" s="1130"/>
      <c r="D141" s="1130"/>
      <c r="E141" s="1130"/>
      <c r="F141" s="1130"/>
      <c r="G141" s="1130"/>
      <c r="H141" s="1130"/>
      <c r="I141" s="1130"/>
      <c r="J141" s="1130"/>
      <c r="K141" s="1130"/>
      <c r="L141" s="1130"/>
      <c r="M141" s="1130"/>
      <c r="N141" s="1130"/>
      <c r="O141" s="1130"/>
      <c r="P141" s="1130"/>
      <c r="Q141" s="1130"/>
      <c r="R141" s="1130"/>
      <c r="S141" s="1130"/>
      <c r="T141" s="1130"/>
      <c r="U141" s="1130"/>
      <c r="V141" s="1130"/>
      <c r="W141" s="1130"/>
      <c r="X141" s="1130"/>
      <c r="Y141" s="1130"/>
      <c r="Z141" s="1130"/>
      <c r="AA141" s="1130"/>
    </row>
    <row r="142" spans="1:27" ht="15.75" customHeight="1">
      <c r="A142" s="1130"/>
      <c r="B142" s="1130"/>
      <c r="C142" s="1130"/>
      <c r="D142" s="1130"/>
      <c r="E142" s="1130"/>
      <c r="F142" s="1130"/>
      <c r="G142" s="1130"/>
      <c r="H142" s="1130"/>
      <c r="I142" s="1130"/>
      <c r="J142" s="1130"/>
      <c r="K142" s="1130"/>
      <c r="L142" s="1130"/>
      <c r="M142" s="1130"/>
      <c r="N142" s="1130"/>
      <c r="O142" s="1130"/>
      <c r="P142" s="1130"/>
      <c r="Q142" s="1130"/>
      <c r="R142" s="1130"/>
      <c r="S142" s="1130"/>
      <c r="T142" s="1130"/>
      <c r="U142" s="1130"/>
      <c r="V142" s="1130"/>
      <c r="W142" s="1130"/>
      <c r="X142" s="1130"/>
      <c r="Y142" s="1130"/>
      <c r="Z142" s="1130"/>
      <c r="AA142" s="1130"/>
    </row>
    <row r="143" spans="1:27" ht="15.75" customHeight="1">
      <c r="A143" s="1130"/>
      <c r="B143" s="1130"/>
      <c r="C143" s="1130"/>
      <c r="D143" s="1130"/>
      <c r="E143" s="1130"/>
      <c r="F143" s="1130"/>
      <c r="G143" s="1130"/>
      <c r="H143" s="1130"/>
      <c r="I143" s="1130"/>
      <c r="J143" s="1130"/>
      <c r="K143" s="1130"/>
      <c r="L143" s="1130"/>
      <c r="M143" s="1130"/>
      <c r="N143" s="1130"/>
      <c r="O143" s="1130"/>
      <c r="P143" s="1130"/>
      <c r="Q143" s="1130"/>
      <c r="R143" s="1130"/>
      <c r="S143" s="1130"/>
      <c r="T143" s="1130"/>
      <c r="U143" s="1130"/>
      <c r="V143" s="1130"/>
      <c r="W143" s="1130"/>
      <c r="X143" s="1130"/>
      <c r="Y143" s="1130"/>
      <c r="Z143" s="1130"/>
      <c r="AA143" s="1130"/>
    </row>
    <row r="144" spans="1:27" ht="15.75" customHeight="1">
      <c r="A144" s="1130"/>
      <c r="B144" s="1130"/>
      <c r="C144" s="1130"/>
      <c r="D144" s="1130"/>
      <c r="E144" s="1130"/>
      <c r="F144" s="1130"/>
      <c r="G144" s="1130"/>
      <c r="H144" s="1130"/>
      <c r="I144" s="1130"/>
      <c r="J144" s="1130"/>
      <c r="K144" s="1130"/>
      <c r="L144" s="1130"/>
      <c r="M144" s="1130"/>
      <c r="N144" s="1130"/>
      <c r="O144" s="1130"/>
      <c r="P144" s="1130"/>
      <c r="Q144" s="1130"/>
      <c r="R144" s="1130"/>
      <c r="S144" s="1130"/>
      <c r="T144" s="1130"/>
      <c r="U144" s="1130"/>
      <c r="V144" s="1130"/>
      <c r="W144" s="1130"/>
      <c r="X144" s="1130"/>
      <c r="Y144" s="1130"/>
      <c r="Z144" s="1130"/>
      <c r="AA144" s="1130"/>
    </row>
    <row r="145" spans="1:27" ht="15.75" customHeight="1">
      <c r="A145" s="1130"/>
      <c r="B145" s="1130"/>
      <c r="C145" s="1130"/>
      <c r="D145" s="1130"/>
      <c r="E145" s="1130"/>
      <c r="F145" s="1130"/>
      <c r="G145" s="1130"/>
      <c r="H145" s="1130"/>
      <c r="I145" s="1130"/>
      <c r="J145" s="1130"/>
      <c r="K145" s="1130"/>
      <c r="L145" s="1130"/>
      <c r="M145" s="1130"/>
      <c r="N145" s="1130"/>
      <c r="O145" s="1130"/>
      <c r="P145" s="1130"/>
      <c r="Q145" s="1130"/>
      <c r="R145" s="1130"/>
      <c r="S145" s="1130"/>
      <c r="T145" s="1130"/>
      <c r="U145" s="1130"/>
      <c r="V145" s="1130"/>
      <c r="W145" s="1130"/>
      <c r="X145" s="1130"/>
      <c r="Y145" s="1130"/>
      <c r="Z145" s="1130"/>
      <c r="AA145" s="1130"/>
    </row>
    <row r="146" spans="1:27" ht="15.75" customHeight="1">
      <c r="A146" s="1130"/>
      <c r="B146" s="1130"/>
      <c r="C146" s="1130"/>
      <c r="D146" s="1130"/>
      <c r="E146" s="1130"/>
      <c r="F146" s="1130"/>
      <c r="G146" s="1130"/>
      <c r="H146" s="1130"/>
      <c r="I146" s="1130"/>
      <c r="J146" s="1130"/>
      <c r="K146" s="1130"/>
      <c r="L146" s="1130"/>
      <c r="M146" s="1130"/>
      <c r="N146" s="1130"/>
      <c r="O146" s="1130"/>
      <c r="P146" s="1130"/>
      <c r="Q146" s="1130"/>
      <c r="R146" s="1130"/>
      <c r="S146" s="1130"/>
      <c r="T146" s="1130"/>
      <c r="U146" s="1130"/>
      <c r="V146" s="1130"/>
      <c r="W146" s="1130"/>
      <c r="X146" s="1130"/>
      <c r="Y146" s="1130"/>
      <c r="Z146" s="1130"/>
      <c r="AA146" s="1130"/>
    </row>
    <row r="147" spans="1:27" ht="15.75" customHeight="1">
      <c r="A147" s="1130"/>
      <c r="B147" s="1130"/>
      <c r="C147" s="1130"/>
      <c r="D147" s="1130"/>
      <c r="E147" s="1130"/>
      <c r="F147" s="1130"/>
      <c r="G147" s="1130"/>
      <c r="H147" s="1130"/>
      <c r="I147" s="1130"/>
      <c r="J147" s="1130"/>
      <c r="K147" s="1130"/>
      <c r="L147" s="1130"/>
      <c r="M147" s="1130"/>
      <c r="N147" s="1130"/>
      <c r="O147" s="1130"/>
      <c r="P147" s="1130"/>
      <c r="Q147" s="1130"/>
      <c r="R147" s="1130"/>
      <c r="S147" s="1130"/>
      <c r="T147" s="1130"/>
      <c r="U147" s="1130"/>
      <c r="V147" s="1130"/>
      <c r="W147" s="1130"/>
      <c r="X147" s="1130"/>
      <c r="Y147" s="1130"/>
      <c r="Z147" s="1130"/>
      <c r="AA147" s="1130"/>
    </row>
    <row r="148" spans="1:27" ht="15.75" customHeight="1">
      <c r="A148" s="1130"/>
      <c r="B148" s="1130"/>
      <c r="C148" s="1130"/>
      <c r="D148" s="1130"/>
      <c r="E148" s="1130"/>
      <c r="F148" s="1130"/>
      <c r="G148" s="1130"/>
      <c r="H148" s="1130"/>
      <c r="I148" s="1130"/>
      <c r="J148" s="1130"/>
      <c r="K148" s="1130"/>
      <c r="L148" s="1130"/>
      <c r="M148" s="1130"/>
      <c r="N148" s="1130"/>
      <c r="O148" s="1130"/>
      <c r="P148" s="1130"/>
      <c r="Q148" s="1130"/>
      <c r="R148" s="1130"/>
      <c r="S148" s="1130"/>
      <c r="T148" s="1130"/>
      <c r="U148" s="1130"/>
      <c r="V148" s="1130"/>
      <c r="W148" s="1130"/>
      <c r="X148" s="1130"/>
      <c r="Y148" s="1130"/>
      <c r="Z148" s="1130"/>
      <c r="AA148" s="1130"/>
    </row>
    <row r="149" spans="1:27" ht="15.75" customHeight="1">
      <c r="A149" s="1130"/>
      <c r="B149" s="1130"/>
      <c r="C149" s="1130"/>
      <c r="D149" s="1130"/>
      <c r="E149" s="1130"/>
      <c r="F149" s="1130"/>
      <c r="G149" s="1130"/>
      <c r="H149" s="1130"/>
      <c r="I149" s="1130"/>
      <c r="J149" s="1130"/>
      <c r="K149" s="1130"/>
      <c r="L149" s="1130"/>
      <c r="M149" s="1130"/>
      <c r="N149" s="1130"/>
      <c r="O149" s="1130"/>
      <c r="P149" s="1130"/>
      <c r="Q149" s="1130"/>
      <c r="R149" s="1130"/>
      <c r="S149" s="1130"/>
      <c r="T149" s="1130"/>
      <c r="U149" s="1130"/>
      <c r="V149" s="1130"/>
      <c r="W149" s="1130"/>
      <c r="X149" s="1130"/>
      <c r="Y149" s="1130"/>
      <c r="Z149" s="1130"/>
      <c r="AA149" s="1130"/>
    </row>
    <row r="150" spans="1:27" ht="15.75" customHeight="1">
      <c r="A150" s="1130"/>
      <c r="B150" s="1130"/>
      <c r="C150" s="1130"/>
      <c r="D150" s="1130"/>
      <c r="E150" s="1130"/>
      <c r="F150" s="1130"/>
      <c r="G150" s="1130"/>
      <c r="H150" s="1130"/>
      <c r="I150" s="1130"/>
      <c r="J150" s="1130"/>
      <c r="K150" s="1130"/>
      <c r="L150" s="1130"/>
      <c r="M150" s="1130"/>
      <c r="N150" s="1130"/>
      <c r="O150" s="1130"/>
      <c r="P150" s="1130"/>
      <c r="Q150" s="1130"/>
      <c r="R150" s="1130"/>
      <c r="S150" s="1130"/>
      <c r="T150" s="1130"/>
      <c r="U150" s="1130"/>
      <c r="V150" s="1130"/>
      <c r="W150" s="1130"/>
      <c r="X150" s="1130"/>
      <c r="Y150" s="1130"/>
      <c r="Z150" s="1130"/>
      <c r="AA150" s="1130"/>
    </row>
    <row r="151" spans="1:27" ht="15.75" customHeight="1">
      <c r="A151" s="1130"/>
      <c r="B151" s="1130"/>
      <c r="C151" s="1130"/>
      <c r="D151" s="1130"/>
      <c r="E151" s="1130"/>
      <c r="F151" s="1130"/>
      <c r="G151" s="1130"/>
      <c r="H151" s="1130"/>
      <c r="I151" s="1130"/>
      <c r="J151" s="1130"/>
      <c r="K151" s="1130"/>
      <c r="L151" s="1130"/>
      <c r="M151" s="1130"/>
      <c r="N151" s="1130"/>
      <c r="O151" s="1130"/>
      <c r="P151" s="1130"/>
      <c r="Q151" s="1130"/>
      <c r="R151" s="1130"/>
      <c r="S151" s="1130"/>
      <c r="T151" s="1130"/>
      <c r="U151" s="1130"/>
      <c r="V151" s="1130"/>
      <c r="W151" s="1130"/>
      <c r="X151" s="1130"/>
      <c r="Y151" s="1130"/>
      <c r="Z151" s="1130"/>
      <c r="AA151" s="1130"/>
    </row>
    <row r="152" spans="1:27" ht="15.75" customHeight="1">
      <c r="A152" s="1130"/>
      <c r="B152" s="1130"/>
      <c r="C152" s="1130"/>
      <c r="D152" s="1130"/>
      <c r="E152" s="1130"/>
      <c r="F152" s="1130"/>
      <c r="G152" s="1130"/>
      <c r="H152" s="1130"/>
      <c r="I152" s="1130"/>
      <c r="J152" s="1130"/>
      <c r="K152" s="1130"/>
      <c r="L152" s="1130"/>
      <c r="M152" s="1130"/>
      <c r="N152" s="1130"/>
      <c r="O152" s="1130"/>
      <c r="P152" s="1130"/>
      <c r="Q152" s="1130"/>
      <c r="R152" s="1130"/>
      <c r="S152" s="1130"/>
      <c r="T152" s="1130"/>
      <c r="U152" s="1130"/>
      <c r="V152" s="1130"/>
      <c r="W152" s="1130"/>
      <c r="X152" s="1130"/>
      <c r="Y152" s="1130"/>
      <c r="Z152" s="1130"/>
      <c r="AA152" s="1130"/>
    </row>
    <row r="153" spans="1:27" ht="15.75" customHeight="1">
      <c r="A153" s="1130"/>
      <c r="B153" s="1130"/>
      <c r="C153" s="1130"/>
      <c r="D153" s="1130"/>
      <c r="E153" s="1130"/>
      <c r="F153" s="1130"/>
      <c r="G153" s="1130"/>
      <c r="H153" s="1130"/>
      <c r="I153" s="1130"/>
      <c r="J153" s="1130"/>
      <c r="K153" s="1130"/>
      <c r="L153" s="1130"/>
      <c r="M153" s="1130"/>
      <c r="N153" s="1130"/>
      <c r="O153" s="1130"/>
      <c r="P153" s="1130"/>
      <c r="Q153" s="1130"/>
      <c r="R153" s="1130"/>
      <c r="S153" s="1130"/>
      <c r="T153" s="1130"/>
      <c r="U153" s="1130"/>
      <c r="V153" s="1130"/>
      <c r="W153" s="1130"/>
      <c r="X153" s="1130"/>
      <c r="Y153" s="1130"/>
      <c r="Z153" s="1130"/>
      <c r="AA153" s="1130"/>
    </row>
    <row r="154" spans="1:27" ht="15.75" customHeight="1">
      <c r="A154" s="1130"/>
      <c r="B154" s="1130"/>
      <c r="C154" s="1130"/>
      <c r="D154" s="1130"/>
      <c r="E154" s="1130"/>
      <c r="F154" s="1130"/>
      <c r="G154" s="1130"/>
      <c r="H154" s="1130"/>
      <c r="I154" s="1130"/>
      <c r="J154" s="1130"/>
      <c r="K154" s="1130"/>
      <c r="L154" s="1130"/>
      <c r="M154" s="1130"/>
      <c r="N154" s="1130"/>
      <c r="O154" s="1130"/>
      <c r="P154" s="1130"/>
      <c r="Q154" s="1130"/>
      <c r="R154" s="1130"/>
      <c r="S154" s="1130"/>
      <c r="T154" s="1130"/>
      <c r="U154" s="1130"/>
      <c r="V154" s="1130"/>
      <c r="W154" s="1130"/>
      <c r="X154" s="1130"/>
      <c r="Y154" s="1130"/>
      <c r="Z154" s="1130"/>
      <c r="AA154" s="1130"/>
    </row>
    <row r="155" spans="1:27" ht="15.75" customHeight="1">
      <c r="A155" s="1130"/>
      <c r="B155" s="1130"/>
      <c r="C155" s="1130"/>
      <c r="D155" s="1130"/>
      <c r="E155" s="1130"/>
      <c r="F155" s="1130"/>
      <c r="G155" s="1130"/>
      <c r="H155" s="1130"/>
      <c r="I155" s="1130"/>
      <c r="J155" s="1130"/>
      <c r="K155" s="1130"/>
      <c r="L155" s="1130"/>
      <c r="M155" s="1130"/>
      <c r="N155" s="1130"/>
      <c r="O155" s="1130"/>
      <c r="P155" s="1130"/>
      <c r="Q155" s="1130"/>
      <c r="R155" s="1130"/>
      <c r="S155" s="1130"/>
      <c r="T155" s="1130"/>
      <c r="U155" s="1130"/>
      <c r="V155" s="1130"/>
      <c r="W155" s="1130"/>
      <c r="X155" s="1130"/>
      <c r="Y155" s="1130"/>
      <c r="Z155" s="1130"/>
      <c r="AA155" s="1130"/>
    </row>
    <row r="156" spans="1:27" ht="15.75" customHeight="1">
      <c r="A156" s="1130"/>
      <c r="B156" s="1130"/>
      <c r="C156" s="1130"/>
      <c r="D156" s="1130"/>
      <c r="E156" s="1130"/>
      <c r="F156" s="1130"/>
      <c r="G156" s="1130"/>
      <c r="H156" s="1130"/>
      <c r="I156" s="1130"/>
      <c r="J156" s="1130"/>
      <c r="K156" s="1130"/>
      <c r="L156" s="1130"/>
      <c r="M156" s="1130"/>
      <c r="N156" s="1130"/>
      <c r="O156" s="1130"/>
      <c r="P156" s="1130"/>
      <c r="Q156" s="1130"/>
      <c r="R156" s="1130"/>
      <c r="S156" s="1130"/>
      <c r="T156" s="1130"/>
      <c r="U156" s="1130"/>
      <c r="V156" s="1130"/>
      <c r="W156" s="1130"/>
      <c r="X156" s="1130"/>
      <c r="Y156" s="1130"/>
      <c r="Z156" s="1130"/>
      <c r="AA156" s="1130"/>
    </row>
    <row r="157" spans="1:27" ht="15.75" customHeight="1">
      <c r="A157" s="1130"/>
      <c r="B157" s="1130"/>
      <c r="C157" s="1130"/>
      <c r="D157" s="1130"/>
      <c r="E157" s="1130"/>
      <c r="F157" s="1130"/>
      <c r="G157" s="1130"/>
      <c r="H157" s="1130"/>
      <c r="I157" s="1130"/>
      <c r="J157" s="1130"/>
      <c r="K157" s="1130"/>
      <c r="L157" s="1130"/>
      <c r="M157" s="1130"/>
      <c r="N157" s="1130"/>
      <c r="O157" s="1130"/>
      <c r="P157" s="1130"/>
      <c r="Q157" s="1130"/>
      <c r="R157" s="1130"/>
      <c r="S157" s="1130"/>
      <c r="T157" s="1130"/>
      <c r="U157" s="1130"/>
      <c r="V157" s="1130"/>
      <c r="W157" s="1130"/>
      <c r="X157" s="1130"/>
      <c r="Y157" s="1130"/>
      <c r="Z157" s="1130"/>
      <c r="AA157" s="1130"/>
    </row>
    <row r="158" spans="1:27" ht="15.75" customHeight="1">
      <c r="A158" s="1130"/>
      <c r="B158" s="1130"/>
      <c r="C158" s="1130"/>
      <c r="D158" s="1130"/>
      <c r="E158" s="1130"/>
      <c r="F158" s="1130"/>
      <c r="G158" s="1130"/>
      <c r="H158" s="1130"/>
      <c r="I158" s="1130"/>
      <c r="J158" s="1130"/>
      <c r="K158" s="1130"/>
      <c r="L158" s="1130"/>
      <c r="M158" s="1130"/>
      <c r="N158" s="1130"/>
      <c r="O158" s="1130"/>
      <c r="P158" s="1130"/>
      <c r="Q158" s="1130"/>
      <c r="R158" s="1130"/>
      <c r="S158" s="1130"/>
      <c r="T158" s="1130"/>
      <c r="U158" s="1130"/>
      <c r="V158" s="1130"/>
      <c r="W158" s="1130"/>
      <c r="X158" s="1130"/>
      <c r="Y158" s="1130"/>
      <c r="Z158" s="1130"/>
      <c r="AA158" s="1130"/>
    </row>
    <row r="159" spans="1:27" ht="15.75" customHeight="1">
      <c r="A159" s="1130"/>
      <c r="B159" s="1130"/>
      <c r="C159" s="1130"/>
      <c r="D159" s="1130"/>
      <c r="E159" s="1130"/>
      <c r="F159" s="1130"/>
      <c r="G159" s="1130"/>
      <c r="H159" s="1130"/>
      <c r="I159" s="1130"/>
      <c r="J159" s="1130"/>
      <c r="K159" s="1130"/>
      <c r="L159" s="1130"/>
      <c r="M159" s="1130"/>
      <c r="N159" s="1130"/>
      <c r="O159" s="1130"/>
      <c r="P159" s="1130"/>
      <c r="Q159" s="1130"/>
      <c r="R159" s="1130"/>
      <c r="S159" s="1130"/>
      <c r="T159" s="1130"/>
      <c r="U159" s="1130"/>
      <c r="V159" s="1130"/>
      <c r="W159" s="1130"/>
      <c r="X159" s="1130"/>
      <c r="Y159" s="1130"/>
      <c r="Z159" s="1130"/>
      <c r="AA159" s="1130"/>
    </row>
    <row r="160" spans="1:27" ht="15.75" customHeight="1">
      <c r="A160" s="1130"/>
      <c r="B160" s="1130"/>
      <c r="C160" s="1130"/>
      <c r="D160" s="1130"/>
      <c r="E160" s="1130"/>
      <c r="F160" s="1130"/>
      <c r="G160" s="1130"/>
      <c r="H160" s="1130"/>
      <c r="I160" s="1130"/>
      <c r="J160" s="1130"/>
      <c r="K160" s="1130"/>
      <c r="L160" s="1130"/>
      <c r="M160" s="1130"/>
      <c r="N160" s="1130"/>
      <c r="O160" s="1130"/>
      <c r="P160" s="1130"/>
      <c r="Q160" s="1130"/>
      <c r="R160" s="1130"/>
      <c r="S160" s="1130"/>
      <c r="T160" s="1130"/>
      <c r="U160" s="1130"/>
      <c r="V160" s="1130"/>
      <c r="W160" s="1130"/>
      <c r="X160" s="1130"/>
      <c r="Y160" s="1130"/>
      <c r="Z160" s="1130"/>
      <c r="AA160" s="1130"/>
    </row>
    <row r="161" spans="1:27" ht="15.75" customHeight="1">
      <c r="A161" s="1130"/>
      <c r="B161" s="1130"/>
      <c r="C161" s="1130"/>
      <c r="D161" s="1130"/>
      <c r="E161" s="1130"/>
      <c r="F161" s="1130"/>
      <c r="G161" s="1130"/>
      <c r="H161" s="1130"/>
      <c r="I161" s="1130"/>
      <c r="J161" s="1130"/>
      <c r="K161" s="1130"/>
      <c r="L161" s="1130"/>
      <c r="M161" s="1130"/>
      <c r="N161" s="1130"/>
      <c r="O161" s="1130"/>
      <c r="P161" s="1130"/>
      <c r="Q161" s="1130"/>
      <c r="R161" s="1130"/>
      <c r="S161" s="1130"/>
      <c r="T161" s="1130"/>
      <c r="U161" s="1130"/>
      <c r="V161" s="1130"/>
      <c r="W161" s="1130"/>
      <c r="X161" s="1130"/>
      <c r="Y161" s="1130"/>
      <c r="Z161" s="1130"/>
      <c r="AA161" s="1130"/>
    </row>
    <row r="162" spans="1:27" ht="15.75" customHeight="1">
      <c r="A162" s="1130"/>
      <c r="B162" s="1130"/>
      <c r="C162" s="1130"/>
      <c r="D162" s="1130"/>
      <c r="E162" s="1130"/>
      <c r="F162" s="1130"/>
      <c r="G162" s="1130"/>
      <c r="H162" s="1130"/>
      <c r="I162" s="1130"/>
      <c r="J162" s="1130"/>
      <c r="K162" s="1130"/>
      <c r="L162" s="1130"/>
      <c r="M162" s="1130"/>
      <c r="N162" s="1130"/>
      <c r="O162" s="1130"/>
      <c r="P162" s="1130"/>
      <c r="Q162" s="1130"/>
      <c r="R162" s="1130"/>
      <c r="S162" s="1130"/>
      <c r="T162" s="1130"/>
      <c r="U162" s="1130"/>
      <c r="V162" s="1130"/>
      <c r="W162" s="1130"/>
      <c r="X162" s="1130"/>
      <c r="Y162" s="1130"/>
      <c r="Z162" s="1130"/>
      <c r="AA162" s="1130"/>
    </row>
    <row r="163" spans="1:27" ht="15.75" customHeight="1">
      <c r="A163" s="1130"/>
      <c r="B163" s="1130"/>
      <c r="C163" s="1130"/>
      <c r="D163" s="1130"/>
      <c r="E163" s="1130"/>
      <c r="F163" s="1130"/>
      <c r="G163" s="1130"/>
      <c r="H163" s="1130"/>
      <c r="I163" s="1130"/>
      <c r="J163" s="1130"/>
      <c r="K163" s="1130"/>
      <c r="L163" s="1130"/>
      <c r="M163" s="1130"/>
      <c r="N163" s="1130"/>
      <c r="O163" s="1130"/>
      <c r="P163" s="1130"/>
      <c r="Q163" s="1130"/>
      <c r="R163" s="1130"/>
      <c r="S163" s="1130"/>
      <c r="T163" s="1130"/>
      <c r="U163" s="1130"/>
      <c r="V163" s="1130"/>
      <c r="W163" s="1130"/>
      <c r="X163" s="1130"/>
      <c r="Y163" s="1130"/>
      <c r="Z163" s="1130"/>
      <c r="AA163" s="1130"/>
    </row>
    <row r="164" spans="1:27" ht="15.75" customHeight="1">
      <c r="A164" s="1130"/>
      <c r="B164" s="1130"/>
      <c r="C164" s="1130"/>
      <c r="D164" s="1130"/>
      <c r="E164" s="1130"/>
      <c r="F164" s="1130"/>
      <c r="G164" s="1130"/>
      <c r="H164" s="1130"/>
      <c r="I164" s="1130"/>
      <c r="J164" s="1130"/>
      <c r="K164" s="1130"/>
      <c r="L164" s="1130"/>
      <c r="M164" s="1130"/>
      <c r="N164" s="1130"/>
      <c r="O164" s="1130"/>
      <c r="P164" s="1130"/>
      <c r="Q164" s="1130"/>
      <c r="R164" s="1130"/>
      <c r="S164" s="1130"/>
      <c r="T164" s="1130"/>
      <c r="U164" s="1130"/>
      <c r="V164" s="1130"/>
      <c r="W164" s="1130"/>
      <c r="X164" s="1130"/>
      <c r="Y164" s="1130"/>
      <c r="Z164" s="1130"/>
      <c r="AA164" s="1130"/>
    </row>
    <row r="165" spans="1:27" ht="15.75" customHeight="1">
      <c r="A165" s="1130"/>
      <c r="B165" s="1130"/>
      <c r="C165" s="1130"/>
      <c r="D165" s="1130"/>
      <c r="E165" s="1130"/>
      <c r="F165" s="1130"/>
      <c r="G165" s="1130"/>
      <c r="H165" s="1130"/>
      <c r="I165" s="1130"/>
      <c r="J165" s="1130"/>
      <c r="K165" s="1130"/>
      <c r="L165" s="1130"/>
      <c r="M165" s="1130"/>
      <c r="N165" s="1130"/>
      <c r="O165" s="1130"/>
      <c r="P165" s="1130"/>
      <c r="Q165" s="1130"/>
      <c r="R165" s="1130"/>
      <c r="S165" s="1130"/>
      <c r="T165" s="1130"/>
      <c r="U165" s="1130"/>
      <c r="V165" s="1130"/>
      <c r="W165" s="1130"/>
      <c r="X165" s="1130"/>
      <c r="Y165" s="1130"/>
      <c r="Z165" s="1130"/>
      <c r="AA165" s="1130"/>
    </row>
    <row r="166" spans="1:27" ht="15.75" customHeight="1">
      <c r="A166" s="1130"/>
      <c r="B166" s="1130"/>
      <c r="C166" s="1130"/>
      <c r="D166" s="1130"/>
      <c r="E166" s="1130"/>
      <c r="F166" s="1130"/>
      <c r="G166" s="1130"/>
      <c r="H166" s="1130"/>
      <c r="I166" s="1130"/>
      <c r="J166" s="1130"/>
      <c r="K166" s="1130"/>
      <c r="L166" s="1130"/>
      <c r="M166" s="1130"/>
      <c r="N166" s="1130"/>
      <c r="O166" s="1130"/>
      <c r="P166" s="1130"/>
      <c r="Q166" s="1130"/>
      <c r="R166" s="1130"/>
      <c r="S166" s="1130"/>
      <c r="T166" s="1130"/>
      <c r="U166" s="1130"/>
      <c r="V166" s="1130"/>
      <c r="W166" s="1130"/>
      <c r="X166" s="1130"/>
      <c r="Y166" s="1130"/>
      <c r="Z166" s="1130"/>
      <c r="AA166" s="1130"/>
    </row>
    <row r="167" spans="1:27" ht="15.75" customHeight="1">
      <c r="A167" s="1130"/>
      <c r="B167" s="1130"/>
      <c r="C167" s="1130"/>
      <c r="D167" s="1130"/>
      <c r="E167" s="1130"/>
      <c r="F167" s="1130"/>
      <c r="G167" s="1130"/>
      <c r="H167" s="1130"/>
      <c r="I167" s="1130"/>
      <c r="J167" s="1130"/>
      <c r="K167" s="1130"/>
      <c r="L167" s="1130"/>
      <c r="M167" s="1130"/>
      <c r="N167" s="1130"/>
      <c r="O167" s="1130"/>
      <c r="P167" s="1130"/>
      <c r="Q167" s="1130"/>
      <c r="R167" s="1130"/>
      <c r="S167" s="1130"/>
      <c r="T167" s="1130"/>
      <c r="U167" s="1130"/>
      <c r="V167" s="1130"/>
      <c r="W167" s="1130"/>
      <c r="X167" s="1130"/>
      <c r="Y167" s="1130"/>
      <c r="Z167" s="1130"/>
      <c r="AA167" s="1130"/>
    </row>
    <row r="168" spans="1:27" ht="15.75" customHeight="1">
      <c r="A168" s="1130"/>
      <c r="B168" s="1130"/>
      <c r="C168" s="1130"/>
      <c r="D168" s="1130"/>
      <c r="E168" s="1130"/>
      <c r="F168" s="1130"/>
      <c r="G168" s="1130"/>
      <c r="H168" s="1130"/>
      <c r="I168" s="1130"/>
      <c r="J168" s="1130"/>
      <c r="K168" s="1130"/>
      <c r="L168" s="1130"/>
      <c r="M168" s="1130"/>
      <c r="N168" s="1130"/>
      <c r="O168" s="1130"/>
      <c r="P168" s="1130"/>
      <c r="Q168" s="1130"/>
      <c r="R168" s="1130"/>
      <c r="S168" s="1130"/>
      <c r="T168" s="1130"/>
      <c r="U168" s="1130"/>
      <c r="V168" s="1130"/>
      <c r="W168" s="1130"/>
      <c r="X168" s="1130"/>
      <c r="Y168" s="1130"/>
      <c r="Z168" s="1130"/>
      <c r="AA168" s="1130"/>
    </row>
    <row r="169" spans="1:27" ht="15.75" customHeight="1">
      <c r="A169" s="1130"/>
      <c r="B169" s="1130"/>
      <c r="C169" s="1130"/>
      <c r="D169" s="1130"/>
      <c r="E169" s="1130"/>
      <c r="F169" s="1130"/>
      <c r="G169" s="1130"/>
      <c r="H169" s="1130"/>
      <c r="I169" s="1130"/>
      <c r="J169" s="1130"/>
      <c r="K169" s="1130"/>
      <c r="L169" s="1130"/>
      <c r="M169" s="1130"/>
      <c r="N169" s="1130"/>
      <c r="O169" s="1130"/>
      <c r="P169" s="1130"/>
      <c r="Q169" s="1130"/>
      <c r="R169" s="1130"/>
      <c r="S169" s="1130"/>
      <c r="T169" s="1130"/>
      <c r="U169" s="1130"/>
      <c r="V169" s="1130"/>
      <c r="W169" s="1130"/>
      <c r="X169" s="1130"/>
      <c r="Y169" s="1130"/>
      <c r="Z169" s="1130"/>
      <c r="AA169" s="1130"/>
    </row>
    <row r="170" spans="1:27" ht="15.75" customHeight="1">
      <c r="A170" s="1130"/>
      <c r="B170" s="1130"/>
      <c r="C170" s="1130"/>
      <c r="D170" s="1130"/>
      <c r="E170" s="1130"/>
      <c r="F170" s="1130"/>
      <c r="G170" s="1130"/>
      <c r="H170" s="1130"/>
      <c r="I170" s="1130"/>
      <c r="J170" s="1130"/>
      <c r="K170" s="1130"/>
      <c r="L170" s="1130"/>
      <c r="M170" s="1130"/>
      <c r="N170" s="1130"/>
      <c r="O170" s="1130"/>
      <c r="P170" s="1130"/>
      <c r="Q170" s="1130"/>
      <c r="R170" s="1130"/>
      <c r="S170" s="1130"/>
      <c r="T170" s="1130"/>
      <c r="U170" s="1130"/>
      <c r="V170" s="1130"/>
      <c r="W170" s="1130"/>
      <c r="X170" s="1130"/>
      <c r="Y170" s="1130"/>
      <c r="Z170" s="1130"/>
      <c r="AA170" s="1130"/>
    </row>
    <row r="171" spans="1:27" ht="15.75" customHeight="1">
      <c r="A171" s="1130"/>
      <c r="B171" s="1130"/>
      <c r="C171" s="1130"/>
      <c r="D171" s="1130"/>
      <c r="E171" s="1130"/>
      <c r="F171" s="1130"/>
      <c r="G171" s="1130"/>
      <c r="H171" s="1130"/>
      <c r="I171" s="1130"/>
      <c r="J171" s="1130"/>
      <c r="K171" s="1130"/>
      <c r="L171" s="1130"/>
      <c r="M171" s="1130"/>
      <c r="N171" s="1130"/>
      <c r="O171" s="1130"/>
      <c r="P171" s="1130"/>
      <c r="Q171" s="1130"/>
      <c r="R171" s="1130"/>
      <c r="S171" s="1130"/>
      <c r="T171" s="1130"/>
      <c r="U171" s="1130"/>
      <c r="V171" s="1130"/>
      <c r="W171" s="1130"/>
      <c r="X171" s="1130"/>
      <c r="Y171" s="1130"/>
      <c r="Z171" s="1130"/>
      <c r="AA171" s="1130"/>
    </row>
    <row r="172" spans="1:27" ht="15.75" customHeight="1">
      <c r="A172" s="1130"/>
      <c r="B172" s="1130"/>
      <c r="C172" s="1130"/>
      <c r="D172" s="1130"/>
      <c r="E172" s="1130"/>
      <c r="F172" s="1130"/>
      <c r="G172" s="1130"/>
      <c r="H172" s="1130"/>
      <c r="I172" s="1130"/>
      <c r="J172" s="1130"/>
      <c r="K172" s="1130"/>
      <c r="L172" s="1130"/>
      <c r="M172" s="1130"/>
      <c r="N172" s="1130"/>
      <c r="O172" s="1130"/>
      <c r="P172" s="1130"/>
      <c r="Q172" s="1130"/>
      <c r="R172" s="1130"/>
      <c r="S172" s="1130"/>
      <c r="T172" s="1130"/>
      <c r="U172" s="1130"/>
      <c r="V172" s="1130"/>
      <c r="W172" s="1130"/>
      <c r="X172" s="1130"/>
      <c r="Y172" s="1130"/>
      <c r="Z172" s="1130"/>
      <c r="AA172" s="1130"/>
    </row>
    <row r="173" spans="1:27" ht="15.75" customHeight="1">
      <c r="A173" s="1130"/>
      <c r="B173" s="1130"/>
      <c r="C173" s="1130"/>
      <c r="D173" s="1130"/>
      <c r="E173" s="1130"/>
      <c r="F173" s="1130"/>
      <c r="G173" s="1130"/>
      <c r="H173" s="1130"/>
      <c r="I173" s="1130"/>
      <c r="J173" s="1130"/>
      <c r="K173" s="1130"/>
      <c r="L173" s="1130"/>
      <c r="M173" s="1130"/>
      <c r="N173" s="1130"/>
      <c r="O173" s="1130"/>
      <c r="P173" s="1130"/>
      <c r="Q173" s="1130"/>
      <c r="R173" s="1130"/>
      <c r="S173" s="1130"/>
      <c r="T173" s="1130"/>
      <c r="U173" s="1130"/>
      <c r="V173" s="1130"/>
      <c r="W173" s="1130"/>
      <c r="X173" s="1130"/>
      <c r="Y173" s="1130"/>
      <c r="Z173" s="1130"/>
      <c r="AA173" s="1130"/>
    </row>
    <row r="174" spans="1:27" ht="15.75" customHeight="1">
      <c r="A174" s="1130"/>
      <c r="B174" s="1130"/>
      <c r="C174" s="1130"/>
      <c r="D174" s="1130"/>
      <c r="E174" s="1130"/>
      <c r="F174" s="1130"/>
      <c r="G174" s="1130"/>
      <c r="H174" s="1130"/>
      <c r="I174" s="1130"/>
      <c r="J174" s="1130"/>
      <c r="K174" s="1130"/>
      <c r="L174" s="1130"/>
      <c r="M174" s="1130"/>
      <c r="N174" s="1130"/>
      <c r="O174" s="1130"/>
      <c r="P174" s="1130"/>
      <c r="Q174" s="1130"/>
      <c r="R174" s="1130"/>
      <c r="S174" s="1130"/>
      <c r="T174" s="1130"/>
      <c r="U174" s="1130"/>
      <c r="V174" s="1130"/>
      <c r="W174" s="1130"/>
      <c r="X174" s="1130"/>
      <c r="Y174" s="1130"/>
      <c r="Z174" s="1130"/>
      <c r="AA174" s="1130"/>
    </row>
    <row r="175" spans="1:27" ht="15.75" customHeight="1">
      <c r="A175" s="1130"/>
      <c r="B175" s="1130"/>
      <c r="C175" s="1130"/>
      <c r="D175" s="1130"/>
      <c r="E175" s="1130"/>
      <c r="F175" s="1130"/>
      <c r="G175" s="1130"/>
      <c r="H175" s="1130"/>
      <c r="I175" s="1130"/>
      <c r="J175" s="1130"/>
      <c r="K175" s="1130"/>
      <c r="L175" s="1130"/>
      <c r="M175" s="1130"/>
      <c r="N175" s="1130"/>
      <c r="O175" s="1130"/>
      <c r="P175" s="1130"/>
      <c r="Q175" s="1130"/>
      <c r="R175" s="1130"/>
      <c r="S175" s="1130"/>
      <c r="T175" s="1130"/>
      <c r="U175" s="1130"/>
      <c r="V175" s="1130"/>
      <c r="W175" s="1130"/>
      <c r="X175" s="1130"/>
      <c r="Y175" s="1130"/>
      <c r="Z175" s="1130"/>
      <c r="AA175" s="1130"/>
    </row>
    <row r="176" spans="1:27" ht="15.75" customHeight="1">
      <c r="A176" s="1130"/>
      <c r="B176" s="1130"/>
      <c r="C176" s="1130"/>
      <c r="D176" s="1130"/>
      <c r="E176" s="1130"/>
      <c r="F176" s="1130"/>
      <c r="G176" s="1130"/>
      <c r="H176" s="1130"/>
      <c r="I176" s="1130"/>
      <c r="J176" s="1130"/>
      <c r="K176" s="1130"/>
      <c r="L176" s="1130"/>
      <c r="M176" s="1130"/>
      <c r="N176" s="1130"/>
      <c r="O176" s="1130"/>
      <c r="P176" s="1130"/>
      <c r="Q176" s="1130"/>
      <c r="R176" s="1130"/>
      <c r="S176" s="1130"/>
      <c r="T176" s="1130"/>
      <c r="U176" s="1130"/>
      <c r="V176" s="1130"/>
      <c r="W176" s="1130"/>
      <c r="X176" s="1130"/>
      <c r="Y176" s="1130"/>
      <c r="Z176" s="1130"/>
      <c r="AA176" s="1130"/>
    </row>
    <row r="177" spans="1:27" ht="15.75" customHeight="1">
      <c r="A177" s="1130"/>
      <c r="B177" s="1130"/>
      <c r="C177" s="1130"/>
      <c r="D177" s="1130"/>
      <c r="E177" s="1130"/>
      <c r="F177" s="1130"/>
      <c r="G177" s="1130"/>
      <c r="H177" s="1130"/>
      <c r="I177" s="1130"/>
      <c r="J177" s="1130"/>
      <c r="K177" s="1130"/>
      <c r="L177" s="1130"/>
      <c r="M177" s="1130"/>
      <c r="N177" s="1130"/>
      <c r="O177" s="1130"/>
      <c r="P177" s="1130"/>
      <c r="Q177" s="1130"/>
      <c r="R177" s="1130"/>
      <c r="S177" s="1130"/>
      <c r="T177" s="1130"/>
      <c r="U177" s="1130"/>
      <c r="V177" s="1130"/>
      <c r="W177" s="1130"/>
      <c r="X177" s="1130"/>
      <c r="Y177" s="1130"/>
      <c r="Z177" s="1130"/>
      <c r="AA177" s="1130"/>
    </row>
    <row r="178" spans="1:27" ht="15.75" customHeight="1">
      <c r="A178" s="1130"/>
      <c r="B178" s="1130"/>
      <c r="C178" s="1130"/>
      <c r="D178" s="1130"/>
      <c r="E178" s="1130"/>
      <c r="F178" s="1130"/>
      <c r="G178" s="1130"/>
      <c r="H178" s="1130"/>
      <c r="I178" s="1130"/>
      <c r="J178" s="1130"/>
      <c r="K178" s="1130"/>
      <c r="L178" s="1130"/>
      <c r="M178" s="1130"/>
      <c r="N178" s="1130"/>
      <c r="O178" s="1130"/>
      <c r="P178" s="1130"/>
      <c r="Q178" s="1130"/>
      <c r="R178" s="1130"/>
      <c r="S178" s="1130"/>
      <c r="T178" s="1130"/>
      <c r="U178" s="1130"/>
      <c r="V178" s="1130"/>
      <c r="W178" s="1130"/>
      <c r="X178" s="1130"/>
      <c r="Y178" s="1130"/>
      <c r="Z178" s="1130"/>
      <c r="AA178" s="1130"/>
    </row>
    <row r="179" spans="1:27" ht="15.75" customHeight="1">
      <c r="A179" s="1130"/>
      <c r="B179" s="1130"/>
      <c r="C179" s="1130"/>
      <c r="D179" s="1130"/>
      <c r="E179" s="1130"/>
      <c r="F179" s="1130"/>
      <c r="G179" s="1130"/>
      <c r="H179" s="1130"/>
      <c r="I179" s="1130"/>
      <c r="J179" s="1130"/>
      <c r="K179" s="1130"/>
      <c r="L179" s="1130"/>
      <c r="M179" s="1130"/>
      <c r="N179" s="1130"/>
      <c r="O179" s="1130"/>
      <c r="P179" s="1130"/>
      <c r="Q179" s="1130"/>
      <c r="R179" s="1130"/>
      <c r="S179" s="1130"/>
      <c r="T179" s="1130"/>
      <c r="U179" s="1130"/>
      <c r="V179" s="1130"/>
      <c r="W179" s="1130"/>
      <c r="X179" s="1130"/>
      <c r="Y179" s="1130"/>
      <c r="Z179" s="1130"/>
      <c r="AA179" s="1130"/>
    </row>
    <row r="180" spans="1:27" ht="15.75" customHeight="1">
      <c r="A180" s="1130"/>
      <c r="B180" s="1130"/>
      <c r="C180" s="1130"/>
      <c r="D180" s="1130"/>
      <c r="E180" s="1130"/>
      <c r="F180" s="1130"/>
      <c r="G180" s="1130"/>
      <c r="H180" s="1130"/>
      <c r="I180" s="1130"/>
      <c r="J180" s="1130"/>
      <c r="K180" s="1130"/>
      <c r="L180" s="1130"/>
      <c r="M180" s="1130"/>
      <c r="N180" s="1130"/>
      <c r="O180" s="1130"/>
      <c r="P180" s="1130"/>
      <c r="Q180" s="1130"/>
      <c r="R180" s="1130"/>
      <c r="S180" s="1130"/>
      <c r="T180" s="1130"/>
      <c r="U180" s="1130"/>
      <c r="V180" s="1130"/>
      <c r="W180" s="1130"/>
      <c r="X180" s="1130"/>
      <c r="Y180" s="1130"/>
      <c r="Z180" s="1130"/>
      <c r="AA180" s="1130"/>
    </row>
    <row r="181" spans="1:27" ht="15.75" customHeight="1">
      <c r="A181" s="1130"/>
      <c r="B181" s="1130"/>
      <c r="C181" s="1130"/>
      <c r="D181" s="1130"/>
      <c r="E181" s="1130"/>
      <c r="F181" s="1130"/>
      <c r="G181" s="1130"/>
      <c r="H181" s="1130"/>
      <c r="I181" s="1130"/>
      <c r="J181" s="1130"/>
      <c r="K181" s="1130"/>
      <c r="L181" s="1130"/>
      <c r="M181" s="1130"/>
      <c r="N181" s="1130"/>
      <c r="O181" s="1130"/>
      <c r="P181" s="1130"/>
      <c r="Q181" s="1130"/>
      <c r="R181" s="1130"/>
      <c r="S181" s="1130"/>
      <c r="T181" s="1130"/>
      <c r="U181" s="1130"/>
      <c r="V181" s="1130"/>
      <c r="W181" s="1130"/>
      <c r="X181" s="1130"/>
      <c r="Y181" s="1130"/>
      <c r="Z181" s="1130"/>
      <c r="AA181" s="1130"/>
    </row>
    <row r="182" spans="1:27" ht="15.75" customHeight="1">
      <c r="A182" s="1130"/>
      <c r="B182" s="1130"/>
      <c r="C182" s="1130"/>
      <c r="D182" s="1130"/>
      <c r="E182" s="1130"/>
      <c r="F182" s="1130"/>
      <c r="G182" s="1130"/>
      <c r="H182" s="1130"/>
      <c r="I182" s="1130"/>
      <c r="J182" s="1130"/>
      <c r="K182" s="1130"/>
      <c r="L182" s="1130"/>
      <c r="M182" s="1130"/>
      <c r="N182" s="1130"/>
      <c r="O182" s="1130"/>
      <c r="P182" s="1130"/>
      <c r="Q182" s="1130"/>
      <c r="R182" s="1130"/>
      <c r="S182" s="1130"/>
      <c r="T182" s="1130"/>
      <c r="U182" s="1130"/>
      <c r="V182" s="1130"/>
      <c r="W182" s="1130"/>
      <c r="X182" s="1130"/>
      <c r="Y182" s="1130"/>
      <c r="Z182" s="1130"/>
      <c r="AA182" s="1130"/>
    </row>
    <row r="183" spans="1:27" ht="15.75" customHeight="1">
      <c r="A183" s="1130"/>
      <c r="B183" s="1130"/>
      <c r="C183" s="1130"/>
      <c r="D183" s="1130"/>
      <c r="E183" s="1130"/>
      <c r="F183" s="1130"/>
      <c r="G183" s="1130"/>
      <c r="H183" s="1130"/>
      <c r="I183" s="1130"/>
      <c r="J183" s="1130"/>
      <c r="K183" s="1130"/>
      <c r="L183" s="1130"/>
      <c r="M183" s="1130"/>
      <c r="N183" s="1130"/>
      <c r="O183" s="1130"/>
      <c r="P183" s="1130"/>
      <c r="Q183" s="1130"/>
      <c r="R183" s="1130"/>
      <c r="S183" s="1130"/>
      <c r="T183" s="1130"/>
      <c r="U183" s="1130"/>
      <c r="V183" s="1130"/>
      <c r="W183" s="1130"/>
      <c r="X183" s="1130"/>
      <c r="Y183" s="1130"/>
      <c r="Z183" s="1130"/>
      <c r="AA183" s="1130"/>
    </row>
    <row r="184" spans="1:27" ht="15.75" customHeight="1">
      <c r="A184" s="1130"/>
      <c r="B184" s="1130"/>
      <c r="C184" s="1130"/>
      <c r="D184" s="1130"/>
      <c r="E184" s="1130"/>
      <c r="F184" s="1130"/>
      <c r="G184" s="1130"/>
      <c r="H184" s="1130"/>
      <c r="I184" s="1130"/>
      <c r="J184" s="1130"/>
      <c r="K184" s="1130"/>
      <c r="L184" s="1130"/>
      <c r="M184" s="1130"/>
      <c r="N184" s="1130"/>
      <c r="O184" s="1130"/>
      <c r="P184" s="1130"/>
      <c r="Q184" s="1130"/>
      <c r="R184" s="1130"/>
      <c r="S184" s="1130"/>
      <c r="T184" s="1130"/>
      <c r="U184" s="1130"/>
      <c r="V184" s="1130"/>
      <c r="W184" s="1130"/>
      <c r="X184" s="1130"/>
      <c r="Y184" s="1130"/>
      <c r="Z184" s="1130"/>
      <c r="AA184" s="1130"/>
    </row>
    <row r="185" spans="1:27" ht="15.75" customHeight="1">
      <c r="A185" s="1130"/>
      <c r="B185" s="1130"/>
      <c r="C185" s="1130"/>
      <c r="D185" s="1130"/>
      <c r="E185" s="1130"/>
      <c r="F185" s="1130"/>
      <c r="G185" s="1130"/>
      <c r="H185" s="1130"/>
      <c r="I185" s="1130"/>
      <c r="J185" s="1130"/>
      <c r="K185" s="1130"/>
      <c r="L185" s="1130"/>
      <c r="M185" s="1130"/>
      <c r="N185" s="1130"/>
      <c r="O185" s="1130"/>
      <c r="P185" s="1130"/>
      <c r="Q185" s="1130"/>
      <c r="R185" s="1130"/>
      <c r="S185" s="1130"/>
      <c r="T185" s="1130"/>
      <c r="U185" s="1130"/>
      <c r="V185" s="1130"/>
      <c r="W185" s="1130"/>
      <c r="X185" s="1130"/>
      <c r="Y185" s="1130"/>
      <c r="Z185" s="1130"/>
      <c r="AA185" s="1130"/>
    </row>
    <row r="186" spans="1:27" ht="15.75" customHeight="1">
      <c r="A186" s="1130"/>
      <c r="B186" s="1130"/>
      <c r="C186" s="1130"/>
      <c r="D186" s="1130"/>
      <c r="E186" s="1130"/>
      <c r="F186" s="1130"/>
      <c r="G186" s="1130"/>
      <c r="H186" s="1130"/>
      <c r="I186" s="1130"/>
      <c r="J186" s="1130"/>
      <c r="K186" s="1130"/>
      <c r="L186" s="1130"/>
      <c r="M186" s="1130"/>
      <c r="N186" s="1130"/>
      <c r="O186" s="1130"/>
      <c r="P186" s="1130"/>
      <c r="Q186" s="1130"/>
      <c r="R186" s="1130"/>
      <c r="S186" s="1130"/>
      <c r="T186" s="1130"/>
      <c r="U186" s="1130"/>
      <c r="V186" s="1130"/>
      <c r="W186" s="1130"/>
      <c r="X186" s="1130"/>
      <c r="Y186" s="1130"/>
      <c r="Z186" s="1130"/>
      <c r="AA186" s="1130"/>
    </row>
    <row r="187" spans="1:27" ht="15.75" customHeight="1">
      <c r="A187" s="1130"/>
      <c r="B187" s="1130"/>
      <c r="C187" s="1130"/>
      <c r="D187" s="1130"/>
      <c r="E187" s="1130"/>
      <c r="F187" s="1130"/>
      <c r="G187" s="1130"/>
      <c r="H187" s="1130"/>
      <c r="I187" s="1130"/>
      <c r="J187" s="1130"/>
      <c r="K187" s="1130"/>
      <c r="L187" s="1130"/>
      <c r="M187" s="1130"/>
      <c r="N187" s="1130"/>
      <c r="O187" s="1130"/>
      <c r="P187" s="1130"/>
      <c r="Q187" s="1130"/>
      <c r="R187" s="1130"/>
      <c r="S187" s="1130"/>
      <c r="T187" s="1130"/>
      <c r="U187" s="1130"/>
      <c r="V187" s="1130"/>
      <c r="W187" s="1130"/>
      <c r="X187" s="1130"/>
      <c r="Y187" s="1130"/>
      <c r="Z187" s="1130"/>
      <c r="AA187" s="1130"/>
    </row>
    <row r="188" spans="1:27" ht="15.75" customHeight="1">
      <c r="A188" s="1130"/>
      <c r="B188" s="1130"/>
      <c r="C188" s="1130"/>
      <c r="D188" s="1130"/>
      <c r="E188" s="1130"/>
      <c r="F188" s="1130"/>
      <c r="G188" s="1130"/>
      <c r="H188" s="1130"/>
      <c r="I188" s="1130"/>
      <c r="J188" s="1130"/>
      <c r="K188" s="1130"/>
      <c r="L188" s="1130"/>
      <c r="M188" s="1130"/>
      <c r="N188" s="1130"/>
      <c r="O188" s="1130"/>
      <c r="P188" s="1130"/>
      <c r="Q188" s="1130"/>
      <c r="R188" s="1130"/>
      <c r="S188" s="1130"/>
      <c r="T188" s="1130"/>
      <c r="U188" s="1130"/>
      <c r="V188" s="1130"/>
      <c r="W188" s="1130"/>
      <c r="X188" s="1130"/>
      <c r="Y188" s="1130"/>
      <c r="Z188" s="1130"/>
      <c r="AA188" s="1130"/>
    </row>
    <row r="189" spans="1:27" ht="15.75" customHeight="1">
      <c r="A189" s="1130"/>
      <c r="B189" s="1130"/>
      <c r="C189" s="1130"/>
      <c r="D189" s="1130"/>
      <c r="E189" s="1130"/>
      <c r="F189" s="1130"/>
      <c r="G189" s="1130"/>
      <c r="H189" s="1130"/>
      <c r="I189" s="1130"/>
      <c r="J189" s="1130"/>
      <c r="K189" s="1130"/>
      <c r="L189" s="1130"/>
      <c r="M189" s="1130"/>
      <c r="N189" s="1130"/>
      <c r="O189" s="1130"/>
      <c r="P189" s="1130"/>
      <c r="Q189" s="1130"/>
      <c r="R189" s="1130"/>
      <c r="S189" s="1130"/>
      <c r="T189" s="1130"/>
      <c r="U189" s="1130"/>
      <c r="V189" s="1130"/>
      <c r="W189" s="1130"/>
      <c r="X189" s="1130"/>
      <c r="Y189" s="1130"/>
      <c r="Z189" s="1130"/>
      <c r="AA189" s="1130"/>
    </row>
    <row r="190" spans="1:27" ht="15.75" customHeight="1">
      <c r="A190" s="1130"/>
      <c r="B190" s="1130"/>
      <c r="C190" s="1130"/>
      <c r="D190" s="1130"/>
      <c r="E190" s="1130"/>
      <c r="F190" s="1130"/>
      <c r="G190" s="1130"/>
      <c r="H190" s="1130"/>
      <c r="I190" s="1130"/>
      <c r="J190" s="1130"/>
      <c r="K190" s="1130"/>
      <c r="L190" s="1130"/>
      <c r="M190" s="1130"/>
      <c r="N190" s="1130"/>
      <c r="O190" s="1130"/>
      <c r="P190" s="1130"/>
      <c r="Q190" s="1130"/>
      <c r="R190" s="1130"/>
      <c r="S190" s="1130"/>
      <c r="T190" s="1130"/>
      <c r="U190" s="1130"/>
      <c r="V190" s="1130"/>
      <c r="W190" s="1130"/>
      <c r="X190" s="1130"/>
      <c r="Y190" s="1130"/>
      <c r="Z190" s="1130"/>
      <c r="AA190" s="1130"/>
    </row>
    <row r="191" spans="1:27" ht="15.75" customHeight="1">
      <c r="A191" s="1130"/>
      <c r="B191" s="1130"/>
      <c r="C191" s="1130"/>
      <c r="D191" s="1130"/>
      <c r="E191" s="1130"/>
      <c r="F191" s="1130"/>
      <c r="G191" s="1130"/>
      <c r="H191" s="1130"/>
      <c r="I191" s="1130"/>
      <c r="J191" s="1130"/>
      <c r="K191" s="1130"/>
      <c r="L191" s="1130"/>
      <c r="M191" s="1130"/>
      <c r="N191" s="1130"/>
      <c r="O191" s="1130"/>
      <c r="P191" s="1130"/>
      <c r="Q191" s="1130"/>
      <c r="R191" s="1130"/>
      <c r="S191" s="1130"/>
      <c r="T191" s="1130"/>
      <c r="U191" s="1130"/>
      <c r="V191" s="1130"/>
      <c r="W191" s="1130"/>
      <c r="X191" s="1130"/>
      <c r="Y191" s="1130"/>
      <c r="Z191" s="1130"/>
      <c r="AA191" s="1130"/>
    </row>
    <row r="192" spans="1:27" ht="15.75" customHeight="1">
      <c r="A192" s="1130"/>
      <c r="B192" s="1130"/>
      <c r="C192" s="1130"/>
      <c r="D192" s="1130"/>
      <c r="E192" s="1130"/>
      <c r="F192" s="1130"/>
      <c r="G192" s="1130"/>
      <c r="H192" s="1130"/>
      <c r="I192" s="1130"/>
      <c r="J192" s="1130"/>
      <c r="K192" s="1130"/>
      <c r="L192" s="1130"/>
      <c r="M192" s="1130"/>
      <c r="N192" s="1130"/>
      <c r="O192" s="1130"/>
      <c r="P192" s="1130"/>
      <c r="Q192" s="1130"/>
      <c r="R192" s="1130"/>
      <c r="S192" s="1130"/>
      <c r="T192" s="1130"/>
      <c r="U192" s="1130"/>
      <c r="V192" s="1130"/>
      <c r="W192" s="1130"/>
      <c r="X192" s="1130"/>
      <c r="Y192" s="1130"/>
      <c r="Z192" s="1130"/>
      <c r="AA192" s="1130"/>
    </row>
    <row r="193" spans="1:27" ht="15.75" customHeight="1">
      <c r="A193" s="1130"/>
      <c r="B193" s="1130"/>
      <c r="C193" s="1130"/>
      <c r="D193" s="1130"/>
      <c r="E193" s="1130"/>
      <c r="F193" s="1130"/>
      <c r="G193" s="1130"/>
      <c r="H193" s="1130"/>
      <c r="I193" s="1130"/>
      <c r="J193" s="1130"/>
      <c r="K193" s="1130"/>
      <c r="L193" s="1130"/>
      <c r="M193" s="1130"/>
      <c r="N193" s="1130"/>
      <c r="O193" s="1130"/>
      <c r="P193" s="1130"/>
      <c r="Q193" s="1130"/>
      <c r="R193" s="1130"/>
      <c r="S193" s="1130"/>
      <c r="T193" s="1130"/>
      <c r="U193" s="1130"/>
      <c r="V193" s="1130"/>
      <c r="W193" s="1130"/>
      <c r="X193" s="1130"/>
      <c r="Y193" s="1130"/>
      <c r="Z193" s="1130"/>
      <c r="AA193" s="1130"/>
    </row>
    <row r="194" spans="1:27" ht="15.75" customHeight="1">
      <c r="A194" s="1130"/>
      <c r="B194" s="1130"/>
      <c r="C194" s="1130"/>
      <c r="D194" s="1130"/>
      <c r="E194" s="1130"/>
      <c r="F194" s="1130"/>
      <c r="G194" s="1130"/>
      <c r="H194" s="1130"/>
      <c r="I194" s="1130"/>
      <c r="J194" s="1130"/>
      <c r="K194" s="1130"/>
      <c r="L194" s="1130"/>
      <c r="M194" s="1130"/>
      <c r="N194" s="1130"/>
      <c r="O194" s="1130"/>
      <c r="P194" s="1130"/>
      <c r="Q194" s="1130"/>
      <c r="R194" s="1130"/>
      <c r="S194" s="1130"/>
      <c r="T194" s="1130"/>
      <c r="U194" s="1130"/>
      <c r="V194" s="1130"/>
      <c r="W194" s="1130"/>
      <c r="X194" s="1130"/>
      <c r="Y194" s="1130"/>
      <c r="Z194" s="1130"/>
      <c r="AA194" s="1130"/>
    </row>
    <row r="195" spans="1:27" ht="15.75" customHeight="1">
      <c r="A195" s="1130"/>
      <c r="B195" s="1130"/>
      <c r="C195" s="1130"/>
      <c r="D195" s="1130"/>
      <c r="E195" s="1130"/>
      <c r="F195" s="1130"/>
      <c r="G195" s="1130"/>
      <c r="H195" s="1130"/>
      <c r="I195" s="1130"/>
      <c r="J195" s="1130"/>
      <c r="K195" s="1130"/>
      <c r="L195" s="1130"/>
      <c r="M195" s="1130"/>
      <c r="N195" s="1130"/>
      <c r="O195" s="1130"/>
      <c r="P195" s="1130"/>
      <c r="Q195" s="1130"/>
      <c r="R195" s="1130"/>
      <c r="S195" s="1130"/>
      <c r="T195" s="1130"/>
      <c r="U195" s="1130"/>
      <c r="V195" s="1130"/>
      <c r="W195" s="1130"/>
      <c r="X195" s="1130"/>
      <c r="Y195" s="1130"/>
      <c r="Z195" s="1130"/>
      <c r="AA195" s="1130"/>
    </row>
    <row r="196" spans="1:27" ht="15.75" customHeight="1">
      <c r="A196" s="1130"/>
      <c r="B196" s="1130"/>
      <c r="C196" s="1130"/>
      <c r="D196" s="1130"/>
      <c r="E196" s="1130"/>
      <c r="F196" s="1130"/>
      <c r="G196" s="1130"/>
      <c r="H196" s="1130"/>
      <c r="I196" s="1130"/>
      <c r="J196" s="1130"/>
      <c r="K196" s="1130"/>
      <c r="L196" s="1130"/>
      <c r="M196" s="1130"/>
      <c r="N196" s="1130"/>
      <c r="O196" s="1130"/>
      <c r="P196" s="1130"/>
      <c r="Q196" s="1130"/>
      <c r="R196" s="1130"/>
      <c r="S196" s="1130"/>
      <c r="T196" s="1130"/>
      <c r="U196" s="1130"/>
      <c r="V196" s="1130"/>
      <c r="W196" s="1130"/>
      <c r="X196" s="1130"/>
      <c r="Y196" s="1130"/>
      <c r="Z196" s="1130"/>
      <c r="AA196" s="1130"/>
    </row>
    <row r="197" spans="1:27" ht="15.75" customHeight="1">
      <c r="A197" s="1130"/>
      <c r="B197" s="1130"/>
      <c r="C197" s="1130"/>
      <c r="D197" s="1130"/>
      <c r="E197" s="1130"/>
      <c r="F197" s="1130"/>
      <c r="G197" s="1130"/>
      <c r="H197" s="1130"/>
      <c r="I197" s="1130"/>
      <c r="J197" s="1130"/>
      <c r="K197" s="1130"/>
      <c r="L197" s="1130"/>
      <c r="M197" s="1130"/>
      <c r="N197" s="1130"/>
      <c r="O197" s="1130"/>
      <c r="P197" s="1130"/>
      <c r="Q197" s="1130"/>
      <c r="R197" s="1130"/>
      <c r="S197" s="1130"/>
      <c r="T197" s="1130"/>
      <c r="U197" s="1130"/>
      <c r="V197" s="1130"/>
      <c r="W197" s="1130"/>
      <c r="X197" s="1130"/>
      <c r="Y197" s="1130"/>
      <c r="Z197" s="1130"/>
      <c r="AA197" s="1130"/>
    </row>
    <row r="198" spans="1:27" ht="15.75" customHeight="1">
      <c r="A198" s="1130"/>
      <c r="B198" s="1130"/>
      <c r="C198" s="1130"/>
      <c r="D198" s="1130"/>
      <c r="E198" s="1130"/>
      <c r="F198" s="1130"/>
      <c r="G198" s="1130"/>
      <c r="H198" s="1130"/>
      <c r="I198" s="1130"/>
      <c r="J198" s="1130"/>
      <c r="K198" s="1130"/>
      <c r="L198" s="1130"/>
      <c r="M198" s="1130"/>
      <c r="N198" s="1130"/>
      <c r="O198" s="1130"/>
      <c r="P198" s="1130"/>
      <c r="Q198" s="1130"/>
      <c r="R198" s="1130"/>
      <c r="S198" s="1130"/>
      <c r="T198" s="1130"/>
      <c r="U198" s="1130"/>
      <c r="V198" s="1130"/>
      <c r="W198" s="1130"/>
      <c r="X198" s="1130"/>
      <c r="Y198" s="1130"/>
      <c r="Z198" s="1130"/>
      <c r="AA198" s="1130"/>
    </row>
    <row r="199" spans="1:27" ht="15.75" customHeight="1">
      <c r="A199" s="1130"/>
      <c r="B199" s="1130"/>
      <c r="C199" s="1130"/>
      <c r="D199" s="1130"/>
      <c r="E199" s="1130"/>
      <c r="F199" s="1130"/>
      <c r="G199" s="1130"/>
      <c r="H199" s="1130"/>
      <c r="I199" s="1130"/>
      <c r="J199" s="1130"/>
      <c r="K199" s="1130"/>
      <c r="L199" s="1130"/>
      <c r="M199" s="1130"/>
      <c r="N199" s="1130"/>
      <c r="O199" s="1130"/>
      <c r="P199" s="1130"/>
      <c r="Q199" s="1130"/>
      <c r="R199" s="1130"/>
      <c r="S199" s="1130"/>
      <c r="T199" s="1130"/>
      <c r="U199" s="1130"/>
      <c r="V199" s="1130"/>
      <c r="W199" s="1130"/>
      <c r="X199" s="1130"/>
      <c r="Y199" s="1130"/>
      <c r="Z199" s="1130"/>
      <c r="AA199" s="1130"/>
    </row>
    <row r="200" spans="1:27" ht="15.75" customHeight="1">
      <c r="A200" s="1130"/>
      <c r="B200" s="1130"/>
      <c r="C200" s="1130"/>
      <c r="D200" s="1130"/>
      <c r="E200" s="1130"/>
      <c r="F200" s="1130"/>
      <c r="G200" s="1130"/>
      <c r="H200" s="1130"/>
      <c r="I200" s="1130"/>
      <c r="J200" s="1130"/>
      <c r="K200" s="1130"/>
      <c r="L200" s="1130"/>
      <c r="M200" s="1130"/>
      <c r="N200" s="1130"/>
      <c r="O200" s="1130"/>
      <c r="P200" s="1130"/>
      <c r="Q200" s="1130"/>
      <c r="R200" s="1130"/>
      <c r="S200" s="1130"/>
      <c r="T200" s="1130"/>
      <c r="U200" s="1130"/>
      <c r="V200" s="1130"/>
      <c r="W200" s="1130"/>
      <c r="X200" s="1130"/>
      <c r="Y200" s="1130"/>
      <c r="Z200" s="1130"/>
      <c r="AA200" s="1130"/>
    </row>
    <row r="201" spans="1:27" ht="15.75" customHeight="1">
      <c r="A201" s="1130"/>
      <c r="B201" s="1130"/>
      <c r="C201" s="1130"/>
      <c r="D201" s="1130"/>
      <c r="E201" s="1130"/>
      <c r="F201" s="1130"/>
      <c r="G201" s="1130"/>
      <c r="H201" s="1130"/>
      <c r="I201" s="1130"/>
      <c r="J201" s="1130"/>
      <c r="K201" s="1130"/>
      <c r="L201" s="1130"/>
      <c r="M201" s="1130"/>
      <c r="N201" s="1130"/>
      <c r="O201" s="1130"/>
      <c r="P201" s="1130"/>
      <c r="Q201" s="1130"/>
      <c r="R201" s="1130"/>
      <c r="S201" s="1130"/>
      <c r="T201" s="1130"/>
      <c r="U201" s="1130"/>
      <c r="V201" s="1130"/>
      <c r="W201" s="1130"/>
      <c r="X201" s="1130"/>
      <c r="Y201" s="1130"/>
      <c r="Z201" s="1130"/>
      <c r="AA201" s="1130"/>
    </row>
    <row r="202" spans="1:27" ht="15.75" customHeight="1">
      <c r="A202" s="1130"/>
      <c r="B202" s="1130"/>
      <c r="C202" s="1130"/>
      <c r="D202" s="1130"/>
      <c r="E202" s="1130"/>
      <c r="F202" s="1130"/>
      <c r="G202" s="1130"/>
      <c r="H202" s="1130"/>
      <c r="I202" s="1130"/>
      <c r="J202" s="1130"/>
      <c r="K202" s="1130"/>
      <c r="L202" s="1130"/>
      <c r="M202" s="1130"/>
      <c r="N202" s="1130"/>
      <c r="O202" s="1130"/>
      <c r="P202" s="1130"/>
      <c r="Q202" s="1130"/>
      <c r="R202" s="1130"/>
      <c r="S202" s="1130"/>
      <c r="T202" s="1130"/>
      <c r="U202" s="1130"/>
      <c r="V202" s="1130"/>
      <c r="W202" s="1130"/>
      <c r="X202" s="1130"/>
      <c r="Y202" s="1130"/>
      <c r="Z202" s="1130"/>
      <c r="AA202" s="1130"/>
    </row>
    <row r="203" spans="1:27" ht="15.75" customHeight="1">
      <c r="A203" s="1130"/>
      <c r="B203" s="1130"/>
      <c r="C203" s="1130"/>
      <c r="D203" s="1130"/>
      <c r="E203" s="1130"/>
      <c r="F203" s="1130"/>
      <c r="G203" s="1130"/>
      <c r="H203" s="1130"/>
      <c r="I203" s="1130"/>
      <c r="J203" s="1130"/>
      <c r="K203" s="1130"/>
      <c r="L203" s="1130"/>
      <c r="M203" s="1130"/>
      <c r="N203" s="1130"/>
      <c r="O203" s="1130"/>
      <c r="P203" s="1130"/>
      <c r="Q203" s="1130"/>
      <c r="R203" s="1130"/>
      <c r="S203" s="1130"/>
      <c r="T203" s="1130"/>
      <c r="U203" s="1130"/>
      <c r="V203" s="1130"/>
      <c r="W203" s="1130"/>
      <c r="X203" s="1130"/>
      <c r="Y203" s="1130"/>
      <c r="Z203" s="1130"/>
      <c r="AA203" s="1130"/>
    </row>
    <row r="204" spans="1:27" ht="15.75" customHeight="1">
      <c r="A204" s="1130"/>
      <c r="B204" s="1130"/>
      <c r="C204" s="1130"/>
      <c r="D204" s="1130"/>
      <c r="E204" s="1130"/>
      <c r="F204" s="1130"/>
      <c r="G204" s="1130"/>
      <c r="H204" s="1130"/>
      <c r="I204" s="1130"/>
      <c r="J204" s="1130"/>
      <c r="K204" s="1130"/>
      <c r="L204" s="1130"/>
      <c r="M204" s="1130"/>
      <c r="N204" s="1130"/>
      <c r="O204" s="1130"/>
      <c r="P204" s="1130"/>
      <c r="Q204" s="1130"/>
      <c r="R204" s="1130"/>
      <c r="S204" s="1130"/>
      <c r="T204" s="1130"/>
      <c r="U204" s="1130"/>
      <c r="V204" s="1130"/>
      <c r="W204" s="1130"/>
      <c r="X204" s="1130"/>
      <c r="Y204" s="1130"/>
      <c r="Z204" s="1130"/>
      <c r="AA204" s="1130"/>
    </row>
    <row r="205" spans="1:27" ht="15.75" customHeight="1">
      <c r="A205" s="1130"/>
      <c r="B205" s="1130"/>
      <c r="C205" s="1130"/>
      <c r="D205" s="1130"/>
      <c r="E205" s="1130"/>
      <c r="F205" s="1130"/>
      <c r="G205" s="1130"/>
      <c r="H205" s="1130"/>
      <c r="I205" s="1130"/>
      <c r="J205" s="1130"/>
      <c r="K205" s="1130"/>
      <c r="L205" s="1130"/>
      <c r="M205" s="1130"/>
      <c r="N205" s="1130"/>
      <c r="O205" s="1130"/>
      <c r="P205" s="1130"/>
      <c r="Q205" s="1130"/>
      <c r="R205" s="1130"/>
      <c r="S205" s="1130"/>
      <c r="T205" s="1130"/>
      <c r="U205" s="1130"/>
      <c r="V205" s="1130"/>
      <c r="W205" s="1130"/>
      <c r="X205" s="1130"/>
      <c r="Y205" s="1130"/>
      <c r="Z205" s="1130"/>
      <c r="AA205" s="1130"/>
    </row>
    <row r="206" spans="1:27" ht="15.75" customHeight="1">
      <c r="A206" s="1130"/>
      <c r="B206" s="1130"/>
      <c r="C206" s="1130"/>
      <c r="D206" s="1130"/>
      <c r="E206" s="1130"/>
      <c r="F206" s="1130"/>
      <c r="G206" s="1130"/>
      <c r="H206" s="1130"/>
      <c r="I206" s="1130"/>
      <c r="J206" s="1130"/>
      <c r="K206" s="1130"/>
      <c r="L206" s="1130"/>
      <c r="M206" s="1130"/>
      <c r="N206" s="1130"/>
      <c r="O206" s="1130"/>
      <c r="P206" s="1130"/>
      <c r="Q206" s="1130"/>
      <c r="R206" s="1130"/>
      <c r="S206" s="1130"/>
      <c r="T206" s="1130"/>
      <c r="U206" s="1130"/>
      <c r="V206" s="1130"/>
      <c r="W206" s="1130"/>
      <c r="X206" s="1130"/>
      <c r="Y206" s="1130"/>
      <c r="Z206" s="1130"/>
      <c r="AA206" s="1130"/>
    </row>
    <row r="207" spans="1:27" ht="15.75" customHeight="1">
      <c r="A207" s="1130"/>
      <c r="B207" s="1130"/>
      <c r="C207" s="1130"/>
      <c r="D207" s="1130"/>
      <c r="E207" s="1130"/>
      <c r="F207" s="1130"/>
      <c r="G207" s="1130"/>
      <c r="H207" s="1130"/>
      <c r="I207" s="1130"/>
      <c r="J207" s="1130"/>
      <c r="K207" s="1130"/>
      <c r="L207" s="1130"/>
      <c r="M207" s="1130"/>
      <c r="N207" s="1130"/>
      <c r="O207" s="1130"/>
      <c r="P207" s="1130"/>
      <c r="Q207" s="1130"/>
      <c r="R207" s="1130"/>
      <c r="S207" s="1130"/>
      <c r="T207" s="1130"/>
      <c r="U207" s="1130"/>
      <c r="V207" s="1130"/>
      <c r="W207" s="1130"/>
      <c r="X207" s="1130"/>
      <c r="Y207" s="1130"/>
      <c r="Z207" s="1130"/>
      <c r="AA207" s="1130"/>
    </row>
    <row r="208" spans="1:27" ht="15.75" customHeight="1">
      <c r="A208" s="1130"/>
      <c r="B208" s="1130"/>
      <c r="C208" s="1130"/>
      <c r="D208" s="1130"/>
      <c r="E208" s="1130"/>
      <c r="F208" s="1130"/>
      <c r="G208" s="1130"/>
      <c r="H208" s="1130"/>
      <c r="I208" s="1130"/>
      <c r="J208" s="1130"/>
      <c r="K208" s="1130"/>
      <c r="L208" s="1130"/>
      <c r="M208" s="1130"/>
      <c r="N208" s="1130"/>
      <c r="O208" s="1130"/>
      <c r="P208" s="1130"/>
      <c r="Q208" s="1130"/>
      <c r="R208" s="1130"/>
      <c r="S208" s="1130"/>
      <c r="T208" s="1130"/>
      <c r="U208" s="1130"/>
      <c r="V208" s="1130"/>
      <c r="W208" s="1130"/>
      <c r="X208" s="1130"/>
      <c r="Y208" s="1130"/>
      <c r="Z208" s="1130"/>
      <c r="AA208" s="1130"/>
    </row>
    <row r="209" spans="1:27" ht="15.75" customHeight="1">
      <c r="A209" s="1130"/>
      <c r="B209" s="1130"/>
      <c r="C209" s="1130"/>
      <c r="D209" s="1130"/>
      <c r="E209" s="1130"/>
      <c r="F209" s="1130"/>
      <c r="G209" s="1130"/>
      <c r="H209" s="1130"/>
      <c r="I209" s="1130"/>
      <c r="J209" s="1130"/>
      <c r="K209" s="1130"/>
      <c r="L209" s="1130"/>
      <c r="M209" s="1130"/>
      <c r="N209" s="1130"/>
      <c r="O209" s="1130"/>
      <c r="P209" s="1130"/>
      <c r="Q209" s="1130"/>
      <c r="R209" s="1130"/>
      <c r="S209" s="1130"/>
      <c r="T209" s="1130"/>
      <c r="U209" s="1130"/>
      <c r="V209" s="1130"/>
      <c r="W209" s="1130"/>
      <c r="X209" s="1130"/>
      <c r="Y209" s="1130"/>
      <c r="Z209" s="1130"/>
      <c r="AA209" s="1130"/>
    </row>
    <row r="210" spans="1:27" ht="15.75" customHeight="1">
      <c r="A210" s="1130"/>
      <c r="B210" s="1130"/>
      <c r="C210" s="1130"/>
      <c r="D210" s="1130"/>
      <c r="E210" s="1130"/>
      <c r="F210" s="1130"/>
      <c r="G210" s="1130"/>
      <c r="H210" s="1130"/>
      <c r="I210" s="1130"/>
      <c r="J210" s="1130"/>
      <c r="K210" s="1130"/>
      <c r="L210" s="1130"/>
      <c r="M210" s="1130"/>
      <c r="N210" s="1130"/>
      <c r="O210" s="1130"/>
      <c r="P210" s="1130"/>
      <c r="Q210" s="1130"/>
      <c r="R210" s="1130"/>
      <c r="S210" s="1130"/>
      <c r="T210" s="1130"/>
      <c r="U210" s="1130"/>
      <c r="V210" s="1130"/>
      <c r="W210" s="1130"/>
      <c r="X210" s="1130"/>
      <c r="Y210" s="1130"/>
      <c r="Z210" s="1130"/>
      <c r="AA210" s="1130"/>
    </row>
    <row r="211" spans="1:27" ht="15.75" customHeight="1">
      <c r="A211" s="1130"/>
      <c r="B211" s="1130"/>
      <c r="C211" s="1130"/>
      <c r="D211" s="1130"/>
      <c r="E211" s="1130"/>
      <c r="F211" s="1130"/>
      <c r="G211" s="1130"/>
      <c r="H211" s="1130"/>
      <c r="I211" s="1130"/>
      <c r="J211" s="1130"/>
      <c r="K211" s="1130"/>
      <c r="L211" s="1130"/>
      <c r="M211" s="1130"/>
      <c r="N211" s="1130"/>
      <c r="O211" s="1130"/>
      <c r="P211" s="1130"/>
      <c r="Q211" s="1130"/>
      <c r="R211" s="1130"/>
      <c r="S211" s="1130"/>
      <c r="T211" s="1130"/>
      <c r="U211" s="1130"/>
      <c r="V211" s="1130"/>
      <c r="W211" s="1130"/>
      <c r="X211" s="1130"/>
      <c r="Y211" s="1130"/>
      <c r="Z211" s="1130"/>
      <c r="AA211" s="1130"/>
    </row>
    <row r="212" spans="1:27" ht="15.75" customHeight="1">
      <c r="A212" s="1130"/>
      <c r="B212" s="1130"/>
      <c r="C212" s="1130"/>
      <c r="D212" s="1130"/>
      <c r="E212" s="1130"/>
      <c r="F212" s="1130"/>
      <c r="G212" s="1130"/>
      <c r="H212" s="1130"/>
      <c r="I212" s="1130"/>
      <c r="J212" s="1130"/>
      <c r="K212" s="1130"/>
      <c r="L212" s="1130"/>
      <c r="M212" s="1130"/>
      <c r="N212" s="1130"/>
      <c r="O212" s="1130"/>
      <c r="P212" s="1130"/>
      <c r="Q212" s="1130"/>
      <c r="R212" s="1130"/>
      <c r="S212" s="1130"/>
      <c r="T212" s="1130"/>
      <c r="U212" s="1130"/>
      <c r="V212" s="1130"/>
      <c r="W212" s="1130"/>
      <c r="X212" s="1130"/>
      <c r="Y212" s="1130"/>
      <c r="Z212" s="1130"/>
      <c r="AA212" s="1130"/>
    </row>
    <row r="213" spans="1:27" ht="15.75" customHeight="1">
      <c r="A213" s="1130"/>
      <c r="B213" s="1130"/>
      <c r="C213" s="1130"/>
      <c r="D213" s="1130"/>
      <c r="E213" s="1130"/>
      <c r="F213" s="1130"/>
      <c r="G213" s="1130"/>
      <c r="H213" s="1130"/>
      <c r="I213" s="1130"/>
      <c r="J213" s="1130"/>
      <c r="K213" s="1130"/>
      <c r="L213" s="1130"/>
      <c r="M213" s="1130"/>
      <c r="N213" s="1130"/>
      <c r="O213" s="1130"/>
      <c r="P213" s="1130"/>
      <c r="Q213" s="1130"/>
      <c r="R213" s="1130"/>
      <c r="S213" s="1130"/>
      <c r="T213" s="1130"/>
      <c r="U213" s="1130"/>
      <c r="V213" s="1130"/>
      <c r="W213" s="1130"/>
      <c r="X213" s="1130"/>
      <c r="Y213" s="1130"/>
      <c r="Z213" s="1130"/>
      <c r="AA213" s="1130"/>
    </row>
    <row r="214" spans="1:27" ht="15.75" customHeight="1">
      <c r="A214" s="1130"/>
      <c r="B214" s="1130"/>
      <c r="C214" s="1130"/>
      <c r="D214" s="1130"/>
      <c r="E214" s="1130"/>
      <c r="F214" s="1130"/>
      <c r="G214" s="1130"/>
      <c r="H214" s="1130"/>
      <c r="I214" s="1130"/>
      <c r="J214" s="1130"/>
      <c r="K214" s="1130"/>
      <c r="L214" s="1130"/>
      <c r="M214" s="1130"/>
      <c r="N214" s="1130"/>
      <c r="O214" s="1130"/>
      <c r="P214" s="1130"/>
      <c r="Q214" s="1130"/>
      <c r="R214" s="1130"/>
      <c r="S214" s="1130"/>
      <c r="T214" s="1130"/>
      <c r="U214" s="1130"/>
      <c r="V214" s="1130"/>
      <c r="W214" s="1130"/>
      <c r="X214" s="1130"/>
      <c r="Y214" s="1130"/>
      <c r="Z214" s="1130"/>
      <c r="AA214" s="1130"/>
    </row>
    <row r="215" spans="1:27" ht="15.75" customHeight="1">
      <c r="A215" s="1130"/>
      <c r="B215" s="1130"/>
      <c r="C215" s="1130"/>
      <c r="D215" s="1130"/>
      <c r="E215" s="1130"/>
      <c r="F215" s="1130"/>
      <c r="G215" s="1130"/>
      <c r="H215" s="1130"/>
      <c r="I215" s="1130"/>
      <c r="J215" s="1130"/>
      <c r="K215" s="1130"/>
      <c r="L215" s="1130"/>
      <c r="M215" s="1130"/>
      <c r="N215" s="1130"/>
      <c r="O215" s="1130"/>
      <c r="P215" s="1130"/>
      <c r="Q215" s="1130"/>
      <c r="R215" s="1130"/>
      <c r="S215" s="1130"/>
      <c r="T215" s="1130"/>
      <c r="U215" s="1130"/>
      <c r="V215" s="1130"/>
      <c r="W215" s="1130"/>
      <c r="X215" s="1130"/>
      <c r="Y215" s="1130"/>
      <c r="Z215" s="1130"/>
      <c r="AA215" s="1130"/>
    </row>
    <row r="216" spans="1:27" ht="15.75" customHeight="1">
      <c r="A216" s="1130"/>
      <c r="B216" s="1130"/>
      <c r="C216" s="1130"/>
      <c r="D216" s="1130"/>
      <c r="E216" s="1130"/>
      <c r="F216" s="1130"/>
      <c r="G216" s="1130"/>
      <c r="H216" s="1130"/>
      <c r="I216" s="1130"/>
      <c r="J216" s="1130"/>
      <c r="K216" s="1130"/>
      <c r="L216" s="1130"/>
      <c r="M216" s="1130"/>
      <c r="N216" s="1130"/>
      <c r="O216" s="1130"/>
      <c r="P216" s="1130"/>
      <c r="Q216" s="1130"/>
      <c r="R216" s="1130"/>
      <c r="S216" s="1130"/>
      <c r="T216" s="1130"/>
      <c r="U216" s="1130"/>
      <c r="V216" s="1130"/>
      <c r="W216" s="1130"/>
      <c r="X216" s="1130"/>
      <c r="Y216" s="1130"/>
      <c r="Z216" s="1130"/>
      <c r="AA216" s="1130"/>
    </row>
    <row r="217" spans="1:27" ht="15.75" customHeight="1">
      <c r="A217" s="1130"/>
      <c r="B217" s="1130"/>
      <c r="C217" s="1130"/>
      <c r="D217" s="1130"/>
      <c r="E217" s="1130"/>
      <c r="F217" s="1130"/>
      <c r="G217" s="1130"/>
      <c r="H217" s="1130"/>
      <c r="I217" s="1130"/>
      <c r="J217" s="1130"/>
      <c r="K217" s="1130"/>
      <c r="L217" s="1130"/>
      <c r="M217" s="1130"/>
      <c r="N217" s="1130"/>
      <c r="O217" s="1130"/>
      <c r="P217" s="1130"/>
      <c r="Q217" s="1130"/>
      <c r="R217" s="1130"/>
      <c r="S217" s="1130"/>
      <c r="T217" s="1130"/>
      <c r="U217" s="1130"/>
      <c r="V217" s="1130"/>
      <c r="W217" s="1130"/>
      <c r="X217" s="1130"/>
      <c r="Y217" s="1130"/>
      <c r="Z217" s="1130"/>
      <c r="AA217" s="1130"/>
    </row>
    <row r="218" spans="1:27" ht="15.75" customHeight="1">
      <c r="A218" s="1130"/>
      <c r="B218" s="1130"/>
      <c r="C218" s="1130"/>
      <c r="D218" s="1130"/>
      <c r="E218" s="1130"/>
      <c r="F218" s="1130"/>
      <c r="G218" s="1130"/>
      <c r="H218" s="1130"/>
      <c r="I218" s="1130"/>
      <c r="J218" s="1130"/>
      <c r="K218" s="1130"/>
      <c r="L218" s="1130"/>
      <c r="M218" s="1130"/>
      <c r="N218" s="1130"/>
      <c r="O218" s="1130"/>
      <c r="P218" s="1130"/>
      <c r="Q218" s="1130"/>
      <c r="R218" s="1130"/>
      <c r="S218" s="1130"/>
      <c r="T218" s="1130"/>
      <c r="U218" s="1130"/>
      <c r="V218" s="1130"/>
      <c r="W218" s="1130"/>
      <c r="X218" s="1130"/>
      <c r="Y218" s="1130"/>
      <c r="Z218" s="1130"/>
      <c r="AA218" s="1130"/>
    </row>
    <row r="219" spans="1:27" ht="15.75" customHeight="1">
      <c r="A219" s="1130"/>
      <c r="B219" s="1130"/>
      <c r="C219" s="1130"/>
      <c r="D219" s="1130"/>
      <c r="E219" s="1130"/>
      <c r="F219" s="1130"/>
      <c r="G219" s="1130"/>
      <c r="H219" s="1130"/>
      <c r="I219" s="1130"/>
      <c r="J219" s="1130"/>
      <c r="K219" s="1130"/>
      <c r="L219" s="1130"/>
      <c r="M219" s="1130"/>
      <c r="N219" s="1130"/>
      <c r="O219" s="1130"/>
      <c r="P219" s="1130"/>
      <c r="Q219" s="1130"/>
      <c r="R219" s="1130"/>
      <c r="S219" s="1130"/>
      <c r="T219" s="1130"/>
      <c r="U219" s="1130"/>
      <c r="V219" s="1130"/>
      <c r="W219" s="1130"/>
      <c r="X219" s="1130"/>
      <c r="Y219" s="1130"/>
      <c r="Z219" s="1130"/>
      <c r="AA219" s="1130"/>
    </row>
    <row r="220" spans="1:27" ht="15.75" customHeight="1">
      <c r="A220" s="1130"/>
      <c r="B220" s="1130"/>
      <c r="C220" s="1130"/>
      <c r="D220" s="1130"/>
      <c r="E220" s="1130"/>
      <c r="F220" s="1130"/>
      <c r="G220" s="1130"/>
      <c r="H220" s="1130"/>
      <c r="I220" s="1130"/>
      <c r="J220" s="1130"/>
      <c r="K220" s="1130"/>
      <c r="L220" s="1130"/>
      <c r="M220" s="1130"/>
      <c r="N220" s="1130"/>
      <c r="O220" s="1130"/>
      <c r="P220" s="1130"/>
      <c r="Q220" s="1130"/>
      <c r="R220" s="1130"/>
      <c r="S220" s="1130"/>
      <c r="T220" s="1130"/>
      <c r="U220" s="1130"/>
      <c r="V220" s="1130"/>
      <c r="W220" s="1130"/>
      <c r="X220" s="1130"/>
      <c r="Y220" s="1130"/>
      <c r="Z220" s="1130"/>
      <c r="AA220" s="1130"/>
    </row>
    <row r="221" spans="1:27" ht="15.75" customHeight="1">
      <c r="A221" s="1130"/>
      <c r="B221" s="1130"/>
      <c r="C221" s="1130"/>
      <c r="D221" s="1130"/>
      <c r="E221" s="1130"/>
      <c r="F221" s="1130"/>
      <c r="G221" s="1130"/>
      <c r="H221" s="1130"/>
      <c r="I221" s="1130"/>
      <c r="J221" s="1130"/>
      <c r="K221" s="1130"/>
      <c r="L221" s="1130"/>
      <c r="M221" s="1130"/>
      <c r="N221" s="1130"/>
      <c r="O221" s="1130"/>
      <c r="P221" s="1130"/>
      <c r="Q221" s="1130"/>
      <c r="R221" s="1130"/>
      <c r="S221" s="1130"/>
      <c r="T221" s="1130"/>
      <c r="U221" s="1130"/>
      <c r="V221" s="1130"/>
      <c r="W221" s="1130"/>
      <c r="X221" s="1130"/>
      <c r="Y221" s="1130"/>
      <c r="Z221" s="1130"/>
      <c r="AA221" s="1130"/>
    </row>
    <row r="222" spans="1:27" ht="15.75" customHeight="1">
      <c r="A222" s="1130"/>
      <c r="B222" s="1130"/>
      <c r="C222" s="1130"/>
      <c r="D222" s="1130"/>
      <c r="E222" s="1130"/>
      <c r="F222" s="1130"/>
      <c r="G222" s="1130"/>
      <c r="H222" s="1130"/>
      <c r="I222" s="1130"/>
      <c r="J222" s="1130"/>
      <c r="K222" s="1130"/>
      <c r="L222" s="1130"/>
      <c r="M222" s="1130"/>
      <c r="N222" s="1130"/>
      <c r="O222" s="1130"/>
      <c r="P222" s="1130"/>
      <c r="Q222" s="1130"/>
      <c r="R222" s="1130"/>
      <c r="S222" s="1130"/>
      <c r="T222" s="1130"/>
      <c r="U222" s="1130"/>
      <c r="V222" s="1130"/>
      <c r="W222" s="1130"/>
      <c r="X222" s="1130"/>
      <c r="Y222" s="1130"/>
      <c r="Z222" s="1130"/>
      <c r="AA222" s="1130"/>
    </row>
    <row r="223" spans="1:27" ht="15.75" customHeight="1">
      <c r="A223" s="1130"/>
      <c r="B223" s="1130"/>
      <c r="C223" s="1130"/>
      <c r="D223" s="1130"/>
      <c r="E223" s="1130"/>
      <c r="F223" s="1130"/>
      <c r="G223" s="1130"/>
      <c r="H223" s="1130"/>
      <c r="I223" s="1130"/>
      <c r="J223" s="1130"/>
      <c r="K223" s="1130"/>
      <c r="L223" s="1130"/>
      <c r="M223" s="1130"/>
      <c r="N223" s="1130"/>
      <c r="O223" s="1130"/>
      <c r="P223" s="1130"/>
      <c r="Q223" s="1130"/>
      <c r="R223" s="1130"/>
      <c r="S223" s="1130"/>
      <c r="T223" s="1130"/>
      <c r="U223" s="1130"/>
      <c r="V223" s="1130"/>
      <c r="W223" s="1130"/>
      <c r="X223" s="1130"/>
      <c r="Y223" s="1130"/>
      <c r="Z223" s="1130"/>
      <c r="AA223" s="1130"/>
    </row>
    <row r="224" spans="1:27" ht="15.75" customHeight="1">
      <c r="A224" s="1130"/>
      <c r="B224" s="1130"/>
      <c r="C224" s="1130"/>
      <c r="D224" s="1130"/>
      <c r="E224" s="1130"/>
      <c r="F224" s="1130"/>
      <c r="G224" s="1130"/>
      <c r="H224" s="1130"/>
      <c r="I224" s="1130"/>
      <c r="J224" s="1130"/>
      <c r="K224" s="1130"/>
      <c r="L224" s="1130"/>
      <c r="M224" s="1130"/>
      <c r="N224" s="1130"/>
      <c r="O224" s="1130"/>
      <c r="P224" s="1130"/>
      <c r="Q224" s="1130"/>
      <c r="R224" s="1130"/>
      <c r="S224" s="1130"/>
      <c r="T224" s="1130"/>
      <c r="U224" s="1130"/>
      <c r="V224" s="1130"/>
      <c r="W224" s="1130"/>
      <c r="X224" s="1130"/>
      <c r="Y224" s="1130"/>
      <c r="Z224" s="1130"/>
      <c r="AA224" s="1130"/>
    </row>
    <row r="225" spans="1:27" ht="15.75" customHeight="1">
      <c r="A225" s="1130"/>
      <c r="B225" s="1130"/>
      <c r="C225" s="1130"/>
      <c r="D225" s="1130"/>
      <c r="E225" s="1130"/>
      <c r="F225" s="1130"/>
      <c r="G225" s="1130"/>
      <c r="H225" s="1130"/>
      <c r="I225" s="1130"/>
      <c r="J225" s="1130"/>
      <c r="K225" s="1130"/>
      <c r="L225" s="1130"/>
      <c r="M225" s="1130"/>
      <c r="N225" s="1130"/>
      <c r="O225" s="1130"/>
      <c r="P225" s="1130"/>
      <c r="Q225" s="1130"/>
      <c r="R225" s="1130"/>
      <c r="S225" s="1130"/>
      <c r="T225" s="1130"/>
      <c r="U225" s="1130"/>
      <c r="V225" s="1130"/>
      <c r="W225" s="1130"/>
      <c r="X225" s="1130"/>
      <c r="Y225" s="1130"/>
      <c r="Z225" s="1130"/>
      <c r="AA225" s="1130"/>
    </row>
    <row r="226" spans="1:27" ht="15.75" customHeight="1">
      <c r="A226" s="1130"/>
      <c r="B226" s="1130"/>
      <c r="C226" s="1130"/>
      <c r="D226" s="1130"/>
      <c r="E226" s="1130"/>
      <c r="F226" s="1130"/>
      <c r="G226" s="1130"/>
      <c r="H226" s="1130"/>
      <c r="I226" s="1130"/>
      <c r="J226" s="1130"/>
      <c r="K226" s="1130"/>
      <c r="L226" s="1130"/>
      <c r="M226" s="1130"/>
      <c r="N226" s="1130"/>
      <c r="O226" s="1130"/>
      <c r="P226" s="1130"/>
      <c r="Q226" s="1130"/>
      <c r="R226" s="1130"/>
      <c r="S226" s="1130"/>
      <c r="T226" s="1130"/>
      <c r="U226" s="1130"/>
      <c r="V226" s="1130"/>
      <c r="W226" s="1130"/>
      <c r="X226" s="1130"/>
      <c r="Y226" s="1130"/>
      <c r="Z226" s="1130"/>
      <c r="AA226" s="1130"/>
    </row>
    <row r="227" spans="1:27" ht="15.75" customHeight="1">
      <c r="A227" s="1130"/>
      <c r="B227" s="1130"/>
      <c r="C227" s="1130"/>
      <c r="D227" s="1130"/>
      <c r="E227" s="1130"/>
      <c r="F227" s="1130"/>
      <c r="G227" s="1130"/>
      <c r="H227" s="1130"/>
      <c r="I227" s="1130"/>
      <c r="J227" s="1130"/>
      <c r="K227" s="1130"/>
      <c r="L227" s="1130"/>
      <c r="M227" s="1130"/>
      <c r="N227" s="1130"/>
      <c r="O227" s="1130"/>
      <c r="P227" s="1130"/>
      <c r="Q227" s="1130"/>
      <c r="R227" s="1130"/>
      <c r="S227" s="1130"/>
      <c r="T227" s="1130"/>
      <c r="U227" s="1130"/>
      <c r="V227" s="1130"/>
      <c r="W227" s="1130"/>
      <c r="X227" s="1130"/>
      <c r="Y227" s="1130"/>
      <c r="Z227" s="1130"/>
      <c r="AA227" s="1130"/>
    </row>
    <row r="228" spans="1:27" ht="15.75" customHeight="1">
      <c r="A228" s="1130"/>
      <c r="B228" s="1130"/>
      <c r="C228" s="1130"/>
      <c r="D228" s="1130"/>
      <c r="E228" s="1130"/>
      <c r="F228" s="1130"/>
      <c r="G228" s="1130"/>
      <c r="H228" s="1130"/>
      <c r="I228" s="1130"/>
      <c r="J228" s="1130"/>
      <c r="K228" s="1130"/>
      <c r="L228" s="1130"/>
      <c r="M228" s="1130"/>
      <c r="N228" s="1130"/>
      <c r="O228" s="1130"/>
      <c r="P228" s="1130"/>
      <c r="Q228" s="1130"/>
      <c r="R228" s="1130"/>
      <c r="S228" s="1130"/>
      <c r="T228" s="1130"/>
      <c r="U228" s="1130"/>
      <c r="V228" s="1130"/>
      <c r="W228" s="1130"/>
      <c r="X228" s="1130"/>
      <c r="Y228" s="1130"/>
      <c r="Z228" s="1130"/>
      <c r="AA228" s="1130"/>
    </row>
    <row r="229" spans="1:27" ht="15.75" customHeight="1">
      <c r="A229" s="1130"/>
      <c r="B229" s="1130"/>
      <c r="C229" s="1130"/>
      <c r="D229" s="1130"/>
      <c r="E229" s="1130"/>
      <c r="F229" s="1130"/>
      <c r="G229" s="1130"/>
      <c r="H229" s="1130"/>
      <c r="I229" s="1130"/>
      <c r="J229" s="1130"/>
      <c r="K229" s="1130"/>
      <c r="L229" s="1130"/>
      <c r="M229" s="1130"/>
      <c r="N229" s="1130"/>
      <c r="O229" s="1130"/>
      <c r="P229" s="1130"/>
      <c r="Q229" s="1130"/>
      <c r="R229" s="1130"/>
      <c r="S229" s="1130"/>
      <c r="T229" s="1130"/>
      <c r="U229" s="1130"/>
      <c r="V229" s="1130"/>
      <c r="W229" s="1130"/>
      <c r="X229" s="1130"/>
      <c r="Y229" s="1130"/>
      <c r="Z229" s="1130"/>
      <c r="AA229" s="1130"/>
    </row>
    <row r="230" spans="1:27" ht="15.75" customHeight="1">
      <c r="A230" s="1130"/>
      <c r="B230" s="1130"/>
      <c r="C230" s="1130"/>
      <c r="D230" s="1130"/>
      <c r="E230" s="1130"/>
      <c r="F230" s="1130"/>
      <c r="G230" s="1130"/>
      <c r="H230" s="1130"/>
      <c r="I230" s="1130"/>
      <c r="J230" s="1130"/>
      <c r="K230" s="1130"/>
      <c r="L230" s="1130"/>
      <c r="M230" s="1130"/>
      <c r="N230" s="1130"/>
      <c r="O230" s="1130"/>
      <c r="P230" s="1130"/>
      <c r="Q230" s="1130"/>
      <c r="R230" s="1130"/>
      <c r="S230" s="1130"/>
      <c r="T230" s="1130"/>
      <c r="U230" s="1130"/>
      <c r="V230" s="1130"/>
      <c r="W230" s="1130"/>
      <c r="X230" s="1130"/>
      <c r="Y230" s="1130"/>
      <c r="Z230" s="1130"/>
      <c r="AA230" s="1130"/>
    </row>
    <row r="231" spans="1:27" ht="15.75" customHeight="1">
      <c r="A231" s="1130"/>
      <c r="B231" s="1130"/>
      <c r="C231" s="1130"/>
      <c r="D231" s="1130"/>
      <c r="E231" s="1130"/>
      <c r="F231" s="1130"/>
      <c r="G231" s="1130"/>
      <c r="H231" s="1130"/>
      <c r="I231" s="1130"/>
      <c r="J231" s="1130"/>
      <c r="K231" s="1130"/>
      <c r="L231" s="1130"/>
      <c r="M231" s="1130"/>
      <c r="N231" s="1130"/>
      <c r="O231" s="1130"/>
      <c r="P231" s="1130"/>
      <c r="Q231" s="1130"/>
      <c r="R231" s="1130"/>
      <c r="S231" s="1130"/>
      <c r="T231" s="1130"/>
      <c r="U231" s="1130"/>
      <c r="V231" s="1130"/>
      <c r="W231" s="1130"/>
      <c r="X231" s="1130"/>
      <c r="Y231" s="1130"/>
      <c r="Z231" s="1130"/>
      <c r="AA231" s="1130"/>
    </row>
    <row r="232" spans="1:27" ht="15.75" customHeight="1">
      <c r="A232" s="1130"/>
      <c r="B232" s="1130"/>
      <c r="C232" s="1130"/>
      <c r="D232" s="1130"/>
      <c r="E232" s="1130"/>
      <c r="F232" s="1130"/>
      <c r="G232" s="1130"/>
      <c r="H232" s="1130"/>
      <c r="I232" s="1130"/>
      <c r="J232" s="1130"/>
      <c r="K232" s="1130"/>
      <c r="L232" s="1130"/>
      <c r="M232" s="1130"/>
      <c r="N232" s="1130"/>
      <c r="O232" s="1130"/>
      <c r="P232" s="1130"/>
      <c r="Q232" s="1130"/>
      <c r="R232" s="1130"/>
      <c r="S232" s="1130"/>
      <c r="T232" s="1130"/>
      <c r="U232" s="1130"/>
      <c r="V232" s="1130"/>
      <c r="W232" s="1130"/>
      <c r="X232" s="1130"/>
      <c r="Y232" s="1130"/>
      <c r="Z232" s="1130"/>
      <c r="AA232" s="1130"/>
    </row>
    <row r="233" spans="1:27" ht="15.75" customHeight="1">
      <c r="A233" s="1130"/>
      <c r="B233" s="1130"/>
      <c r="C233" s="1130"/>
      <c r="D233" s="1130"/>
      <c r="E233" s="1130"/>
      <c r="F233" s="1130"/>
      <c r="G233" s="1130"/>
      <c r="H233" s="1130"/>
      <c r="I233" s="1130"/>
      <c r="J233" s="1130"/>
      <c r="K233" s="1130"/>
      <c r="L233" s="1130"/>
      <c r="M233" s="1130"/>
      <c r="N233" s="1130"/>
      <c r="O233" s="1130"/>
      <c r="P233" s="1130"/>
      <c r="Q233" s="1130"/>
      <c r="R233" s="1130"/>
      <c r="S233" s="1130"/>
      <c r="T233" s="1130"/>
      <c r="U233" s="1130"/>
      <c r="V233" s="1130"/>
      <c r="W233" s="1130"/>
      <c r="X233" s="1130"/>
      <c r="Y233" s="1130"/>
      <c r="Z233" s="1130"/>
      <c r="AA233" s="1130"/>
    </row>
    <row r="234" spans="1:27" ht="15.75" customHeight="1">
      <c r="A234" s="1130"/>
      <c r="B234" s="1130"/>
      <c r="C234" s="1130"/>
      <c r="D234" s="1130"/>
      <c r="E234" s="1130"/>
      <c r="F234" s="1130"/>
      <c r="G234" s="1130"/>
      <c r="H234" s="1130"/>
      <c r="I234" s="1130"/>
      <c r="J234" s="1130"/>
      <c r="K234" s="1130"/>
      <c r="L234" s="1130"/>
      <c r="M234" s="1130"/>
      <c r="N234" s="1130"/>
      <c r="O234" s="1130"/>
      <c r="P234" s="1130"/>
      <c r="Q234" s="1130"/>
      <c r="R234" s="1130"/>
      <c r="S234" s="1130"/>
      <c r="T234" s="1130"/>
      <c r="U234" s="1130"/>
      <c r="V234" s="1130"/>
      <c r="W234" s="1130"/>
      <c r="X234" s="1130"/>
      <c r="Y234" s="1130"/>
      <c r="Z234" s="1130"/>
      <c r="AA234" s="1130"/>
    </row>
    <row r="235" spans="1:27" ht="15.75" customHeight="1">
      <c r="A235" s="1130"/>
      <c r="B235" s="1130"/>
      <c r="C235" s="1130"/>
      <c r="D235" s="1130"/>
      <c r="E235" s="1130"/>
      <c r="F235" s="1130"/>
      <c r="G235" s="1130"/>
      <c r="H235" s="1130"/>
      <c r="I235" s="1130"/>
      <c r="J235" s="1130"/>
      <c r="K235" s="1130"/>
      <c r="L235" s="1130"/>
      <c r="M235" s="1130"/>
      <c r="N235" s="1130"/>
      <c r="O235" s="1130"/>
      <c r="P235" s="1130"/>
      <c r="Q235" s="1130"/>
      <c r="R235" s="1130"/>
      <c r="S235" s="1130"/>
      <c r="T235" s="1130"/>
      <c r="U235" s="1130"/>
      <c r="V235" s="1130"/>
      <c r="W235" s="1130"/>
      <c r="X235" s="1130"/>
      <c r="Y235" s="1130"/>
      <c r="Z235" s="1130"/>
      <c r="AA235" s="1130"/>
    </row>
    <row r="236" spans="1:27" ht="15.75" customHeight="1">
      <c r="A236" s="1130"/>
      <c r="B236" s="1130"/>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c r="AA236" s="1130"/>
    </row>
    <row r="237" spans="1:27" ht="15.75" customHeight="1">
      <c r="A237" s="1130"/>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c r="AA237" s="1130"/>
    </row>
    <row r="238" spans="1:27" ht="15.75" customHeight="1">
      <c r="A238" s="1130"/>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c r="AA238" s="1130"/>
    </row>
    <row r="239" spans="1:27" ht="15.75" customHeight="1">
      <c r="A239" s="1130"/>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c r="AA239" s="1130"/>
    </row>
    <row r="240" spans="1:27" ht="15.75" customHeight="1">
      <c r="A240" s="1130"/>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c r="AA240" s="1130"/>
    </row>
    <row r="241" spans="1:27" ht="15.75" customHeight="1">
      <c r="A241" s="1130"/>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c r="AA241" s="1130"/>
    </row>
    <row r="242" spans="1:27" ht="15.75" customHeight="1">
      <c r="A242" s="1130"/>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c r="AA242" s="1130"/>
    </row>
    <row r="243" spans="1:27" ht="15.75" customHeight="1">
      <c r="A243" s="1130"/>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c r="AA243" s="1130"/>
    </row>
    <row r="244" spans="1:27" ht="15.75" customHeight="1">
      <c r="A244" s="1130"/>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c r="AA244" s="1130"/>
    </row>
    <row r="245" spans="1:27" ht="15.75" customHeight="1">
      <c r="A245" s="1130"/>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c r="AA245" s="1130"/>
    </row>
    <row r="246" spans="1:27" ht="15.75" customHeight="1">
      <c r="A246" s="1130"/>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c r="AA246" s="1130"/>
    </row>
    <row r="247" spans="1:27" ht="15.75" customHeight="1">
      <c r="A247" s="1130"/>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c r="AA247" s="1130"/>
    </row>
    <row r="248" spans="1:27" ht="15.75" customHeight="1">
      <c r="A248" s="1130"/>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c r="AA248" s="1130"/>
    </row>
    <row r="249" spans="1:27" ht="15.75" customHeight="1">
      <c r="A249" s="1130"/>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c r="AA249" s="1130"/>
    </row>
    <row r="250" spans="1:27" ht="15.75" customHeight="1">
      <c r="A250" s="1130"/>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c r="AA250" s="1130"/>
    </row>
    <row r="251" spans="1:27" ht="15.75" customHeight="1">
      <c r="A251" s="1130"/>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c r="AA251" s="1130"/>
    </row>
    <row r="252" spans="1:27" ht="15.75" customHeight="1">
      <c r="A252" s="1130"/>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c r="AA252" s="1130"/>
    </row>
    <row r="253" spans="1:27" ht="15.75" customHeight="1">
      <c r="A253" s="1130"/>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c r="AA253" s="1130"/>
    </row>
    <row r="254" spans="1:27" ht="15.75" customHeight="1">
      <c r="A254" s="1130"/>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c r="AA254" s="1130"/>
    </row>
    <row r="255" spans="1:27" ht="15.75" customHeight="1">
      <c r="A255" s="1130"/>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c r="AA255" s="1130"/>
    </row>
    <row r="256" spans="1:27" ht="15.75" customHeight="1">
      <c r="A256" s="1130"/>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c r="AA256" s="1130"/>
    </row>
    <row r="257" spans="1:27" ht="15.75" customHeight="1">
      <c r="A257" s="1130"/>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c r="AA257" s="1130"/>
    </row>
    <row r="258" spans="1:27" ht="15.75" customHeight="1">
      <c r="A258" s="1130"/>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c r="AA258" s="1130"/>
    </row>
    <row r="259" spans="1:27" ht="15.75" customHeight="1">
      <c r="A259" s="1130"/>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c r="AA259" s="1130"/>
    </row>
    <row r="260" spans="1:27" ht="15.75" customHeight="1">
      <c r="A260" s="1130"/>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c r="AA260" s="1130"/>
    </row>
    <row r="261" spans="1:27" ht="15.75" customHeight="1">
      <c r="A261" s="1130"/>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c r="AA261" s="1130"/>
    </row>
    <row r="262" spans="1:27" ht="15.75" customHeight="1">
      <c r="A262" s="1130"/>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c r="AA262" s="1130"/>
    </row>
    <row r="263" spans="1:27" ht="15.75" customHeight="1">
      <c r="A263" s="1130"/>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c r="AA263" s="1130"/>
    </row>
    <row r="264" spans="1:27" ht="15.75" customHeight="1">
      <c r="A264" s="1130"/>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c r="AA264" s="1130"/>
    </row>
    <row r="265" spans="1:27" ht="15.75" customHeight="1">
      <c r="A265" s="1130"/>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c r="AA265" s="1130"/>
    </row>
    <row r="266" spans="1:27" ht="15.75" customHeight="1">
      <c r="A266" s="1130"/>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c r="AA266" s="1130"/>
    </row>
    <row r="267" spans="1:27" ht="15.75" customHeight="1">
      <c r="A267" s="1130"/>
      <c r="B267" s="1130"/>
      <c r="C267" s="1130"/>
      <c r="D267" s="1130"/>
      <c r="E267" s="1130"/>
      <c r="F267" s="1130"/>
      <c r="G267" s="1130"/>
      <c r="H267" s="1130"/>
      <c r="I267" s="1130"/>
      <c r="J267" s="1130"/>
      <c r="K267" s="1130"/>
      <c r="L267" s="1130"/>
      <c r="M267" s="1130"/>
      <c r="N267" s="1130"/>
      <c r="O267" s="1130"/>
      <c r="P267" s="1130"/>
      <c r="Q267" s="1130"/>
      <c r="R267" s="1130"/>
      <c r="S267" s="1130"/>
      <c r="T267" s="1130"/>
      <c r="U267" s="1130"/>
      <c r="V267" s="1130"/>
      <c r="W267" s="1130"/>
      <c r="X267" s="1130"/>
      <c r="Y267" s="1130"/>
      <c r="Z267" s="1130"/>
      <c r="AA267" s="1130"/>
    </row>
    <row r="268" spans="1:27" ht="15.75" customHeight="1">
      <c r="A268" s="1130"/>
      <c r="B268" s="1130"/>
      <c r="C268" s="1130"/>
      <c r="D268" s="1130"/>
      <c r="E268" s="1130"/>
      <c r="F268" s="1130"/>
      <c r="G268" s="1130"/>
      <c r="H268" s="1130"/>
      <c r="I268" s="1130"/>
      <c r="J268" s="1130"/>
      <c r="K268" s="1130"/>
      <c r="L268" s="1130"/>
      <c r="M268" s="1130"/>
      <c r="N268" s="1130"/>
      <c r="O268" s="1130"/>
      <c r="P268" s="1130"/>
      <c r="Q268" s="1130"/>
      <c r="R268" s="1130"/>
      <c r="S268" s="1130"/>
      <c r="T268" s="1130"/>
      <c r="U268" s="1130"/>
      <c r="V268" s="1130"/>
      <c r="W268" s="1130"/>
      <c r="X268" s="1130"/>
      <c r="Y268" s="1130"/>
      <c r="Z268" s="1130"/>
      <c r="AA268" s="1130"/>
    </row>
    <row r="269" spans="1:27" ht="15.75" customHeight="1">
      <c r="A269" s="1130"/>
      <c r="B269" s="1130"/>
      <c r="C269" s="1130"/>
      <c r="D269" s="1130"/>
      <c r="E269" s="1130"/>
      <c r="F269" s="1130"/>
      <c r="G269" s="1130"/>
      <c r="H269" s="1130"/>
      <c r="I269" s="1130"/>
      <c r="J269" s="1130"/>
      <c r="K269" s="1130"/>
      <c r="L269" s="1130"/>
      <c r="M269" s="1130"/>
      <c r="N269" s="1130"/>
      <c r="O269" s="1130"/>
      <c r="P269" s="1130"/>
      <c r="Q269" s="1130"/>
      <c r="R269" s="1130"/>
      <c r="S269" s="1130"/>
      <c r="T269" s="1130"/>
      <c r="U269" s="1130"/>
      <c r="V269" s="1130"/>
      <c r="W269" s="1130"/>
      <c r="X269" s="1130"/>
      <c r="Y269" s="1130"/>
      <c r="Z269" s="1130"/>
      <c r="AA269" s="1130"/>
    </row>
    <row r="270" spans="1:27" ht="15.75" customHeight="1">
      <c r="A270" s="1130"/>
      <c r="B270" s="1130"/>
      <c r="C270" s="1130"/>
      <c r="D270" s="1130"/>
      <c r="E270" s="1130"/>
      <c r="F270" s="1130"/>
      <c r="G270" s="1130"/>
      <c r="H270" s="1130"/>
      <c r="I270" s="1130"/>
      <c r="J270" s="1130"/>
      <c r="K270" s="1130"/>
      <c r="L270" s="1130"/>
      <c r="M270" s="1130"/>
      <c r="N270" s="1130"/>
      <c r="O270" s="1130"/>
      <c r="P270" s="1130"/>
      <c r="Q270" s="1130"/>
      <c r="R270" s="1130"/>
      <c r="S270" s="1130"/>
      <c r="T270" s="1130"/>
      <c r="U270" s="1130"/>
      <c r="V270" s="1130"/>
      <c r="W270" s="1130"/>
      <c r="X270" s="1130"/>
      <c r="Y270" s="1130"/>
      <c r="Z270" s="1130"/>
      <c r="AA270" s="1130"/>
    </row>
    <row r="271" spans="1:27" ht="15.75" customHeight="1">
      <c r="A271" s="1130"/>
      <c r="B271" s="1130"/>
      <c r="C271" s="1130"/>
      <c r="D271" s="1130"/>
      <c r="E271" s="1130"/>
      <c r="F271" s="1130"/>
      <c r="G271" s="1130"/>
      <c r="H271" s="1130"/>
      <c r="I271" s="1130"/>
      <c r="J271" s="1130"/>
      <c r="K271" s="1130"/>
      <c r="L271" s="1130"/>
      <c r="M271" s="1130"/>
      <c r="N271" s="1130"/>
      <c r="O271" s="1130"/>
      <c r="P271" s="1130"/>
      <c r="Q271" s="1130"/>
      <c r="R271" s="1130"/>
      <c r="S271" s="1130"/>
      <c r="T271" s="1130"/>
      <c r="U271" s="1130"/>
      <c r="V271" s="1130"/>
      <c r="W271" s="1130"/>
      <c r="X271" s="1130"/>
      <c r="Y271" s="1130"/>
      <c r="Z271" s="1130"/>
      <c r="AA271" s="1130"/>
    </row>
    <row r="272" spans="1:27" ht="15.75" customHeight="1">
      <c r="A272" s="1130"/>
      <c r="B272" s="1130"/>
      <c r="C272" s="1130"/>
      <c r="D272" s="1130"/>
      <c r="E272" s="1130"/>
      <c r="F272" s="1130"/>
      <c r="G272" s="1130"/>
      <c r="H272" s="1130"/>
      <c r="I272" s="1130"/>
      <c r="J272" s="1130"/>
      <c r="K272" s="1130"/>
      <c r="L272" s="1130"/>
      <c r="M272" s="1130"/>
      <c r="N272" s="1130"/>
      <c r="O272" s="1130"/>
      <c r="P272" s="1130"/>
      <c r="Q272" s="1130"/>
      <c r="R272" s="1130"/>
      <c r="S272" s="1130"/>
      <c r="T272" s="1130"/>
      <c r="U272" s="1130"/>
      <c r="V272" s="1130"/>
      <c r="W272" s="1130"/>
      <c r="X272" s="1130"/>
      <c r="Y272" s="1130"/>
      <c r="Z272" s="1130"/>
      <c r="AA272" s="1130"/>
    </row>
    <row r="273" spans="1:27" ht="15.75" customHeight="1">
      <c r="A273" s="1130"/>
      <c r="B273" s="1130"/>
      <c r="C273" s="1130"/>
      <c r="D273" s="1130"/>
      <c r="E273" s="1130"/>
      <c r="F273" s="1130"/>
      <c r="G273" s="1130"/>
      <c r="H273" s="1130"/>
      <c r="I273" s="1130"/>
      <c r="J273" s="1130"/>
      <c r="K273" s="1130"/>
      <c r="L273" s="1130"/>
      <c r="M273" s="1130"/>
      <c r="N273" s="1130"/>
      <c r="O273" s="1130"/>
      <c r="P273" s="1130"/>
      <c r="Q273" s="1130"/>
      <c r="R273" s="1130"/>
      <c r="S273" s="1130"/>
      <c r="T273" s="1130"/>
      <c r="U273" s="1130"/>
      <c r="V273" s="1130"/>
      <c r="W273" s="1130"/>
      <c r="X273" s="1130"/>
      <c r="Y273" s="1130"/>
      <c r="Z273" s="1130"/>
      <c r="AA273" s="1130"/>
    </row>
    <row r="274" spans="1:27" ht="15.75" customHeight="1">
      <c r="A274" s="1130"/>
      <c r="B274" s="1130"/>
      <c r="C274" s="1130"/>
      <c r="D274" s="1130"/>
      <c r="E274" s="1130"/>
      <c r="F274" s="1130"/>
      <c r="G274" s="1130"/>
      <c r="H274" s="1130"/>
      <c r="I274" s="1130"/>
      <c r="J274" s="1130"/>
      <c r="K274" s="1130"/>
      <c r="L274" s="1130"/>
      <c r="M274" s="1130"/>
      <c r="N274" s="1130"/>
      <c r="O274" s="1130"/>
      <c r="P274" s="1130"/>
      <c r="Q274" s="1130"/>
      <c r="R274" s="1130"/>
      <c r="S274" s="1130"/>
      <c r="T274" s="1130"/>
      <c r="U274" s="1130"/>
      <c r="V274" s="1130"/>
      <c r="W274" s="1130"/>
      <c r="X274" s="1130"/>
      <c r="Y274" s="1130"/>
      <c r="Z274" s="1130"/>
      <c r="AA274" s="1130"/>
    </row>
    <row r="275" spans="1:27" ht="15.75" customHeight="1">
      <c r="A275" s="1130"/>
      <c r="B275" s="1130"/>
      <c r="C275" s="1130"/>
      <c r="D275" s="1130"/>
      <c r="E275" s="1130"/>
      <c r="F275" s="1130"/>
      <c r="G275" s="1130"/>
      <c r="H275" s="1130"/>
      <c r="I275" s="1130"/>
      <c r="J275" s="1130"/>
      <c r="K275" s="1130"/>
      <c r="L275" s="1130"/>
      <c r="M275" s="1130"/>
      <c r="N275" s="1130"/>
      <c r="O275" s="1130"/>
      <c r="P275" s="1130"/>
      <c r="Q275" s="1130"/>
      <c r="R275" s="1130"/>
      <c r="S275" s="1130"/>
      <c r="T275" s="1130"/>
      <c r="U275" s="1130"/>
      <c r="V275" s="1130"/>
      <c r="W275" s="1130"/>
      <c r="X275" s="1130"/>
      <c r="Y275" s="1130"/>
      <c r="Z275" s="1130"/>
      <c r="AA275" s="1130"/>
    </row>
    <row r="276" spans="1:27" ht="15.75" customHeight="1">
      <c r="A276" s="1130"/>
      <c r="B276" s="1130"/>
      <c r="C276" s="1130"/>
      <c r="D276" s="1130"/>
      <c r="E276" s="1130"/>
      <c r="F276" s="1130"/>
      <c r="G276" s="1130"/>
      <c r="H276" s="1130"/>
      <c r="I276" s="1130"/>
      <c r="J276" s="1130"/>
      <c r="K276" s="1130"/>
      <c r="L276" s="1130"/>
      <c r="M276" s="1130"/>
      <c r="N276" s="1130"/>
      <c r="O276" s="1130"/>
      <c r="P276" s="1130"/>
      <c r="Q276" s="1130"/>
      <c r="R276" s="1130"/>
      <c r="S276" s="1130"/>
      <c r="T276" s="1130"/>
      <c r="U276" s="1130"/>
      <c r="V276" s="1130"/>
      <c r="W276" s="1130"/>
      <c r="X276" s="1130"/>
      <c r="Y276" s="1130"/>
      <c r="Z276" s="1130"/>
      <c r="AA276" s="1130"/>
    </row>
    <row r="277" spans="1:27" ht="15.75" customHeight="1">
      <c r="A277" s="1130"/>
      <c r="B277" s="1130"/>
      <c r="C277" s="1130"/>
      <c r="D277" s="1130"/>
      <c r="E277" s="1130"/>
      <c r="F277" s="1130"/>
      <c r="G277" s="1130"/>
      <c r="H277" s="1130"/>
      <c r="I277" s="1130"/>
      <c r="J277" s="1130"/>
      <c r="K277" s="1130"/>
      <c r="L277" s="1130"/>
      <c r="M277" s="1130"/>
      <c r="N277" s="1130"/>
      <c r="O277" s="1130"/>
      <c r="P277" s="1130"/>
      <c r="Q277" s="1130"/>
      <c r="R277" s="1130"/>
      <c r="S277" s="1130"/>
      <c r="T277" s="1130"/>
      <c r="U277" s="1130"/>
      <c r="V277" s="1130"/>
      <c r="W277" s="1130"/>
      <c r="X277" s="1130"/>
      <c r="Y277" s="1130"/>
      <c r="Z277" s="1130"/>
      <c r="AA277" s="1130"/>
    </row>
    <row r="278" spans="1:27" ht="15.75" customHeight="1">
      <c r="A278" s="1130"/>
      <c r="B278" s="1130"/>
      <c r="C278" s="1130"/>
      <c r="D278" s="1130"/>
      <c r="E278" s="1130"/>
      <c r="F278" s="1130"/>
      <c r="G278" s="1130"/>
      <c r="H278" s="1130"/>
      <c r="I278" s="1130"/>
      <c r="J278" s="1130"/>
      <c r="K278" s="1130"/>
      <c r="L278" s="1130"/>
      <c r="M278" s="1130"/>
      <c r="N278" s="1130"/>
      <c r="O278" s="1130"/>
      <c r="P278" s="1130"/>
      <c r="Q278" s="1130"/>
      <c r="R278" s="1130"/>
      <c r="S278" s="1130"/>
      <c r="T278" s="1130"/>
      <c r="U278" s="1130"/>
      <c r="V278" s="1130"/>
      <c r="W278" s="1130"/>
      <c r="X278" s="1130"/>
      <c r="Y278" s="1130"/>
      <c r="Z278" s="1130"/>
      <c r="AA278" s="1130"/>
    </row>
    <row r="279" spans="1:27" ht="15.75" customHeight="1">
      <c r="A279" s="1130"/>
      <c r="B279" s="1130"/>
      <c r="C279" s="1130"/>
      <c r="D279" s="1130"/>
      <c r="E279" s="1130"/>
      <c r="F279" s="1130"/>
      <c r="G279" s="1130"/>
      <c r="H279" s="1130"/>
      <c r="I279" s="1130"/>
      <c r="J279" s="1130"/>
      <c r="K279" s="1130"/>
      <c r="L279" s="1130"/>
      <c r="M279" s="1130"/>
      <c r="N279" s="1130"/>
      <c r="O279" s="1130"/>
      <c r="P279" s="1130"/>
      <c r="Q279" s="1130"/>
      <c r="R279" s="1130"/>
      <c r="S279" s="1130"/>
      <c r="T279" s="1130"/>
      <c r="U279" s="1130"/>
      <c r="V279" s="1130"/>
      <c r="W279" s="1130"/>
      <c r="X279" s="1130"/>
      <c r="Y279" s="1130"/>
      <c r="Z279" s="1130"/>
      <c r="AA279" s="1130"/>
    </row>
    <row r="280" spans="1:27" ht="15.75" customHeight="1">
      <c r="A280" s="1130"/>
      <c r="B280" s="1130"/>
      <c r="C280" s="1130"/>
      <c r="D280" s="1130"/>
      <c r="E280" s="1130"/>
      <c r="F280" s="1130"/>
      <c r="G280" s="1130"/>
      <c r="H280" s="1130"/>
      <c r="I280" s="1130"/>
      <c r="J280" s="1130"/>
      <c r="K280" s="1130"/>
      <c r="L280" s="1130"/>
      <c r="M280" s="1130"/>
      <c r="N280" s="1130"/>
      <c r="O280" s="1130"/>
      <c r="P280" s="1130"/>
      <c r="Q280" s="1130"/>
      <c r="R280" s="1130"/>
      <c r="S280" s="1130"/>
      <c r="T280" s="1130"/>
      <c r="U280" s="1130"/>
      <c r="V280" s="1130"/>
      <c r="W280" s="1130"/>
      <c r="X280" s="1130"/>
      <c r="Y280" s="1130"/>
      <c r="Z280" s="1130"/>
      <c r="AA280" s="1130"/>
    </row>
    <row r="281" spans="1:27" ht="15.75" customHeight="1">
      <c r="A281" s="1130"/>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c r="AA281" s="1130"/>
    </row>
    <row r="282" spans="1:27" ht="15.75" customHeight="1">
      <c r="A282" s="1130"/>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c r="AA282" s="1130"/>
    </row>
    <row r="283" spans="1:27" ht="15.75" customHeight="1">
      <c r="A283" s="1130"/>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c r="AA283" s="1130"/>
    </row>
    <row r="284" spans="1:27" ht="15.75" customHeight="1">
      <c r="A284" s="1130"/>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c r="AA284" s="1130"/>
    </row>
    <row r="285" spans="1:27" ht="15.75" customHeight="1">
      <c r="A285" s="1130"/>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c r="AA285" s="1130"/>
    </row>
    <row r="286" spans="1:27" ht="15.75" customHeight="1">
      <c r="A286" s="1130"/>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c r="AA286" s="1130"/>
    </row>
    <row r="287" spans="1:27" ht="15.75" customHeight="1">
      <c r="A287" s="1130"/>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c r="AA287" s="1130"/>
    </row>
    <row r="288" spans="1:27" ht="15.75" customHeight="1">
      <c r="A288" s="1130"/>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c r="AA288" s="1130"/>
    </row>
    <row r="289" spans="1:27" ht="15.75" customHeight="1">
      <c r="A289" s="1130"/>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c r="AA289" s="1130"/>
    </row>
    <row r="290" spans="1:27" ht="15.75" customHeight="1">
      <c r="A290" s="1130"/>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c r="AA290" s="1130"/>
    </row>
    <row r="291" spans="1:27" ht="15.75" customHeight="1">
      <c r="A291" s="1130"/>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c r="AA291" s="1130"/>
    </row>
    <row r="292" spans="1:27" ht="15.75" customHeight="1">
      <c r="A292" s="1130"/>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c r="AA292" s="1130"/>
    </row>
    <row r="293" spans="1:27" ht="15.75" customHeight="1">
      <c r="A293" s="1130"/>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c r="AA293" s="1130"/>
    </row>
    <row r="294" spans="1:27" ht="15.75" customHeight="1">
      <c r="A294" s="1130"/>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c r="AA294" s="1130"/>
    </row>
    <row r="295" spans="1:27" ht="15.75" customHeight="1">
      <c r="A295" s="1130"/>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c r="AA295" s="1130"/>
    </row>
    <row r="296" spans="1:27" ht="15.75" customHeight="1">
      <c r="A296" s="1130"/>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c r="AA296" s="1130"/>
    </row>
    <row r="297" spans="1:27" ht="15.75" customHeight="1">
      <c r="A297" s="1130"/>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c r="AA297" s="1130"/>
    </row>
    <row r="298" spans="1:27" ht="15.75" customHeight="1">
      <c r="A298" s="1130"/>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c r="AA298" s="1130"/>
    </row>
    <row r="299" spans="1:27" ht="15.75" customHeight="1">
      <c r="A299" s="1130"/>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c r="AA299" s="1130"/>
    </row>
    <row r="300" spans="1:27" ht="15.75" customHeight="1">
      <c r="A300" s="1130"/>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c r="AA300" s="1130"/>
    </row>
    <row r="301" spans="1:27" ht="15.75" customHeight="1">
      <c r="A301" s="1130"/>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c r="AA301" s="1130"/>
    </row>
    <row r="302" spans="1:27" ht="15.75" customHeight="1">
      <c r="A302" s="1130"/>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c r="AA302" s="1130"/>
    </row>
    <row r="303" spans="1:27" ht="15.75" customHeight="1">
      <c r="A303" s="1130"/>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c r="AA303" s="1130"/>
    </row>
    <row r="304" spans="1:27" ht="15.75" customHeight="1">
      <c r="A304" s="1130"/>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c r="AA304" s="1130"/>
    </row>
    <row r="305" spans="1:27" ht="15.75" customHeight="1">
      <c r="A305" s="1130"/>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c r="AA305" s="1130"/>
    </row>
    <row r="306" spans="1:27" ht="15.75" customHeight="1">
      <c r="A306" s="1130"/>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c r="AA306" s="1130"/>
    </row>
    <row r="307" spans="1:27" ht="15.75" customHeight="1">
      <c r="A307" s="1130"/>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c r="AA307" s="1130"/>
    </row>
    <row r="308" spans="1:27" ht="15.75" customHeight="1">
      <c r="A308" s="1130"/>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c r="AA308" s="1130"/>
    </row>
    <row r="309" spans="1:27" ht="15.75" customHeight="1">
      <c r="A309" s="1130"/>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c r="AA309" s="1130"/>
    </row>
    <row r="310" spans="1:27" ht="15.75" customHeight="1">
      <c r="A310" s="1130"/>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c r="AA310" s="1130"/>
    </row>
    <row r="311" spans="1:27" ht="15.75" customHeight="1">
      <c r="A311" s="1130"/>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c r="AA311" s="1130"/>
    </row>
    <row r="312" spans="1:27" ht="15.75" customHeight="1">
      <c r="A312" s="1130"/>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c r="AA312" s="1130"/>
    </row>
    <row r="313" spans="1:27" ht="15.75" customHeight="1">
      <c r="A313" s="1130"/>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c r="AA313" s="1130"/>
    </row>
    <row r="314" spans="1:27" ht="15.75" customHeight="1">
      <c r="A314" s="1130"/>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c r="AA314" s="1130"/>
    </row>
    <row r="315" spans="1:27" ht="15.75" customHeight="1">
      <c r="A315" s="1130"/>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c r="AA315" s="1130"/>
    </row>
    <row r="316" spans="1:27" ht="15.75" customHeight="1">
      <c r="A316" s="1130"/>
      <c r="B316" s="1130"/>
      <c r="C316" s="1130"/>
      <c r="D316" s="1130"/>
      <c r="E316" s="1130"/>
      <c r="F316" s="1130"/>
      <c r="G316" s="1130"/>
      <c r="H316" s="1130"/>
      <c r="I316" s="1130"/>
      <c r="J316" s="1130"/>
      <c r="K316" s="1130"/>
      <c r="L316" s="1130"/>
      <c r="M316" s="1130"/>
      <c r="N316" s="1130"/>
      <c r="O316" s="1130"/>
      <c r="P316" s="1130"/>
      <c r="Q316" s="1130"/>
      <c r="R316" s="1130"/>
      <c r="S316" s="1130"/>
      <c r="T316" s="1130"/>
      <c r="U316" s="1130"/>
      <c r="V316" s="1130"/>
      <c r="W316" s="1130"/>
      <c r="X316" s="1130"/>
      <c r="Y316" s="1130"/>
      <c r="Z316" s="1130"/>
      <c r="AA316" s="1130"/>
    </row>
    <row r="317" spans="1:27" ht="15.75" customHeight="1">
      <c r="A317" s="1130"/>
      <c r="B317" s="1130"/>
      <c r="C317" s="1130"/>
      <c r="D317" s="1130"/>
      <c r="E317" s="1130"/>
      <c r="F317" s="1130"/>
      <c r="G317" s="1130"/>
      <c r="H317" s="1130"/>
      <c r="I317" s="1130"/>
      <c r="J317" s="1130"/>
      <c r="K317" s="1130"/>
      <c r="L317" s="1130"/>
      <c r="M317" s="1130"/>
      <c r="N317" s="1130"/>
      <c r="O317" s="1130"/>
      <c r="P317" s="1130"/>
      <c r="Q317" s="1130"/>
      <c r="R317" s="1130"/>
      <c r="S317" s="1130"/>
      <c r="T317" s="1130"/>
      <c r="U317" s="1130"/>
      <c r="V317" s="1130"/>
      <c r="W317" s="1130"/>
      <c r="X317" s="1130"/>
      <c r="Y317" s="1130"/>
      <c r="Z317" s="1130"/>
      <c r="AA317" s="1130"/>
    </row>
    <row r="318" spans="1:27" ht="15.75" customHeight="1">
      <c r="A318" s="1130"/>
      <c r="B318" s="1130"/>
      <c r="C318" s="1130"/>
      <c r="D318" s="1130"/>
      <c r="E318" s="1130"/>
      <c r="F318" s="1130"/>
      <c r="G318" s="1130"/>
      <c r="H318" s="1130"/>
      <c r="I318" s="1130"/>
      <c r="J318" s="1130"/>
      <c r="K318" s="1130"/>
      <c r="L318" s="1130"/>
      <c r="M318" s="1130"/>
      <c r="N318" s="1130"/>
      <c r="O318" s="1130"/>
      <c r="P318" s="1130"/>
      <c r="Q318" s="1130"/>
      <c r="R318" s="1130"/>
      <c r="S318" s="1130"/>
      <c r="T318" s="1130"/>
      <c r="U318" s="1130"/>
      <c r="V318" s="1130"/>
      <c r="W318" s="1130"/>
      <c r="X318" s="1130"/>
      <c r="Y318" s="1130"/>
      <c r="Z318" s="1130"/>
      <c r="AA318" s="1130"/>
    </row>
    <row r="319" spans="1:27" ht="15.75" customHeight="1">
      <c r="A319" s="1130"/>
      <c r="B319" s="1130"/>
      <c r="C319" s="1130"/>
      <c r="D319" s="1130"/>
      <c r="E319" s="1130"/>
      <c r="F319" s="1130"/>
      <c r="G319" s="1130"/>
      <c r="H319" s="1130"/>
      <c r="I319" s="1130"/>
      <c r="J319" s="1130"/>
      <c r="K319" s="1130"/>
      <c r="L319" s="1130"/>
      <c r="M319" s="1130"/>
      <c r="N319" s="1130"/>
      <c r="O319" s="1130"/>
      <c r="P319" s="1130"/>
      <c r="Q319" s="1130"/>
      <c r="R319" s="1130"/>
      <c r="S319" s="1130"/>
      <c r="T319" s="1130"/>
      <c r="U319" s="1130"/>
      <c r="V319" s="1130"/>
      <c r="W319" s="1130"/>
      <c r="X319" s="1130"/>
      <c r="Y319" s="1130"/>
      <c r="Z319" s="1130"/>
      <c r="AA319" s="1130"/>
    </row>
    <row r="320" spans="1:27" ht="15.75" customHeight="1">
      <c r="A320" s="1130"/>
      <c r="B320" s="1130"/>
      <c r="C320" s="1130"/>
      <c r="D320" s="1130"/>
      <c r="E320" s="1130"/>
      <c r="F320" s="1130"/>
      <c r="G320" s="1130"/>
      <c r="H320" s="1130"/>
      <c r="I320" s="1130"/>
      <c r="J320" s="1130"/>
      <c r="K320" s="1130"/>
      <c r="L320" s="1130"/>
      <c r="M320" s="1130"/>
      <c r="N320" s="1130"/>
      <c r="O320" s="1130"/>
      <c r="P320" s="1130"/>
      <c r="Q320" s="1130"/>
      <c r="R320" s="1130"/>
      <c r="S320" s="1130"/>
      <c r="T320" s="1130"/>
      <c r="U320" s="1130"/>
      <c r="V320" s="1130"/>
      <c r="W320" s="1130"/>
      <c r="X320" s="1130"/>
      <c r="Y320" s="1130"/>
      <c r="Z320" s="1130"/>
      <c r="AA320" s="1130"/>
    </row>
    <row r="321" spans="1:27" ht="15.75" customHeight="1">
      <c r="A321" s="1130"/>
      <c r="B321" s="1130"/>
      <c r="C321" s="1130"/>
      <c r="D321" s="1130"/>
      <c r="E321" s="1130"/>
      <c r="F321" s="1130"/>
      <c r="G321" s="1130"/>
      <c r="H321" s="1130"/>
      <c r="I321" s="1130"/>
      <c r="J321" s="1130"/>
      <c r="K321" s="1130"/>
      <c r="L321" s="1130"/>
      <c r="M321" s="1130"/>
      <c r="N321" s="1130"/>
      <c r="O321" s="1130"/>
      <c r="P321" s="1130"/>
      <c r="Q321" s="1130"/>
      <c r="R321" s="1130"/>
      <c r="S321" s="1130"/>
      <c r="T321" s="1130"/>
      <c r="U321" s="1130"/>
      <c r="V321" s="1130"/>
      <c r="W321" s="1130"/>
      <c r="X321" s="1130"/>
      <c r="Y321" s="1130"/>
      <c r="Z321" s="1130"/>
      <c r="AA321" s="1130"/>
    </row>
    <row r="322" spans="1:27" ht="15.75" customHeight="1">
      <c r="A322" s="1130"/>
      <c r="B322" s="1130"/>
      <c r="C322" s="1130"/>
      <c r="D322" s="1130"/>
      <c r="E322" s="1130"/>
      <c r="F322" s="1130"/>
      <c r="G322" s="1130"/>
      <c r="H322" s="1130"/>
      <c r="I322" s="1130"/>
      <c r="J322" s="1130"/>
      <c r="K322" s="1130"/>
      <c r="L322" s="1130"/>
      <c r="M322" s="1130"/>
      <c r="N322" s="1130"/>
      <c r="O322" s="1130"/>
      <c r="P322" s="1130"/>
      <c r="Q322" s="1130"/>
      <c r="R322" s="1130"/>
      <c r="S322" s="1130"/>
      <c r="T322" s="1130"/>
      <c r="U322" s="1130"/>
      <c r="V322" s="1130"/>
      <c r="W322" s="1130"/>
      <c r="X322" s="1130"/>
      <c r="Y322" s="1130"/>
      <c r="Z322" s="1130"/>
      <c r="AA322" s="1130"/>
    </row>
    <row r="323" spans="1:27" ht="15.75" customHeight="1">
      <c r="A323" s="1130"/>
      <c r="B323" s="1130"/>
      <c r="C323" s="1130"/>
      <c r="D323" s="1130"/>
      <c r="E323" s="1130"/>
      <c r="F323" s="1130"/>
      <c r="G323" s="1130"/>
      <c r="H323" s="1130"/>
      <c r="I323" s="1130"/>
      <c r="J323" s="1130"/>
      <c r="K323" s="1130"/>
      <c r="L323" s="1130"/>
      <c r="M323" s="1130"/>
      <c r="N323" s="1130"/>
      <c r="O323" s="1130"/>
      <c r="P323" s="1130"/>
      <c r="Q323" s="1130"/>
      <c r="R323" s="1130"/>
      <c r="S323" s="1130"/>
      <c r="T323" s="1130"/>
      <c r="U323" s="1130"/>
      <c r="V323" s="1130"/>
      <c r="W323" s="1130"/>
      <c r="X323" s="1130"/>
      <c r="Y323" s="1130"/>
      <c r="Z323" s="1130"/>
      <c r="AA323" s="1130"/>
    </row>
    <row r="324" spans="1:27" ht="15.75" customHeight="1">
      <c r="A324" s="1130"/>
      <c r="B324" s="1130"/>
      <c r="C324" s="1130"/>
      <c r="D324" s="1130"/>
      <c r="E324" s="1130"/>
      <c r="F324" s="1130"/>
      <c r="G324" s="1130"/>
      <c r="H324" s="1130"/>
      <c r="I324" s="1130"/>
      <c r="J324" s="1130"/>
      <c r="K324" s="1130"/>
      <c r="L324" s="1130"/>
      <c r="M324" s="1130"/>
      <c r="N324" s="1130"/>
      <c r="O324" s="1130"/>
      <c r="P324" s="1130"/>
      <c r="Q324" s="1130"/>
      <c r="R324" s="1130"/>
      <c r="S324" s="1130"/>
      <c r="T324" s="1130"/>
      <c r="U324" s="1130"/>
      <c r="V324" s="1130"/>
      <c r="W324" s="1130"/>
      <c r="X324" s="1130"/>
      <c r="Y324" s="1130"/>
      <c r="Z324" s="1130"/>
      <c r="AA324" s="1130"/>
    </row>
    <row r="325" spans="1:27" ht="15.75" customHeight="1">
      <c r="A325" s="1130"/>
      <c r="B325" s="1130"/>
      <c r="C325" s="1130"/>
      <c r="D325" s="1130"/>
      <c r="E325" s="1130"/>
      <c r="F325" s="1130"/>
      <c r="G325" s="1130"/>
      <c r="H325" s="1130"/>
      <c r="I325" s="1130"/>
      <c r="J325" s="1130"/>
      <c r="K325" s="1130"/>
      <c r="L325" s="1130"/>
      <c r="M325" s="1130"/>
      <c r="N325" s="1130"/>
      <c r="O325" s="1130"/>
      <c r="P325" s="1130"/>
      <c r="Q325" s="1130"/>
      <c r="R325" s="1130"/>
      <c r="S325" s="1130"/>
      <c r="T325" s="1130"/>
      <c r="U325" s="1130"/>
      <c r="V325" s="1130"/>
      <c r="W325" s="1130"/>
      <c r="X325" s="1130"/>
      <c r="Y325" s="1130"/>
      <c r="Z325" s="1130"/>
      <c r="AA325" s="1130"/>
    </row>
    <row r="326" spans="1:27" ht="15.75" customHeight="1">
      <c r="A326" s="1130"/>
      <c r="B326" s="1130"/>
      <c r="C326" s="1130"/>
      <c r="D326" s="1130"/>
      <c r="E326" s="1130"/>
      <c r="F326" s="1130"/>
      <c r="G326" s="1130"/>
      <c r="H326" s="1130"/>
      <c r="I326" s="1130"/>
      <c r="J326" s="1130"/>
      <c r="K326" s="1130"/>
      <c r="L326" s="1130"/>
      <c r="M326" s="1130"/>
      <c r="N326" s="1130"/>
      <c r="O326" s="1130"/>
      <c r="P326" s="1130"/>
      <c r="Q326" s="1130"/>
      <c r="R326" s="1130"/>
      <c r="S326" s="1130"/>
      <c r="T326" s="1130"/>
      <c r="U326" s="1130"/>
      <c r="V326" s="1130"/>
      <c r="W326" s="1130"/>
      <c r="X326" s="1130"/>
      <c r="Y326" s="1130"/>
      <c r="Z326" s="1130"/>
      <c r="AA326" s="1130"/>
    </row>
    <row r="327" spans="1:27" ht="15.75" customHeight="1">
      <c r="A327" s="1130"/>
      <c r="B327" s="1130"/>
      <c r="C327" s="1130"/>
      <c r="D327" s="1130"/>
      <c r="E327" s="1130"/>
      <c r="F327" s="1130"/>
      <c r="G327" s="1130"/>
      <c r="H327" s="1130"/>
      <c r="I327" s="1130"/>
      <c r="J327" s="1130"/>
      <c r="K327" s="1130"/>
      <c r="L327" s="1130"/>
      <c r="M327" s="1130"/>
      <c r="N327" s="1130"/>
      <c r="O327" s="1130"/>
      <c r="P327" s="1130"/>
      <c r="Q327" s="1130"/>
      <c r="R327" s="1130"/>
      <c r="S327" s="1130"/>
      <c r="T327" s="1130"/>
      <c r="U327" s="1130"/>
      <c r="V327" s="1130"/>
      <c r="W327" s="1130"/>
      <c r="X327" s="1130"/>
      <c r="Y327" s="1130"/>
      <c r="Z327" s="1130"/>
      <c r="AA327" s="1130"/>
    </row>
    <row r="328" spans="1:27" ht="15.75" customHeight="1">
      <c r="A328" s="1130"/>
      <c r="B328" s="1130"/>
      <c r="C328" s="1130"/>
      <c r="D328" s="1130"/>
      <c r="E328" s="1130"/>
      <c r="F328" s="1130"/>
      <c r="G328" s="1130"/>
      <c r="H328" s="1130"/>
      <c r="I328" s="1130"/>
      <c r="J328" s="1130"/>
      <c r="K328" s="1130"/>
      <c r="L328" s="1130"/>
      <c r="M328" s="1130"/>
      <c r="N328" s="1130"/>
      <c r="O328" s="1130"/>
      <c r="P328" s="1130"/>
      <c r="Q328" s="1130"/>
      <c r="R328" s="1130"/>
      <c r="S328" s="1130"/>
      <c r="T328" s="1130"/>
      <c r="U328" s="1130"/>
      <c r="V328" s="1130"/>
      <c r="W328" s="1130"/>
      <c r="X328" s="1130"/>
      <c r="Y328" s="1130"/>
      <c r="Z328" s="1130"/>
      <c r="AA328" s="1130"/>
    </row>
    <row r="329" spans="1:27" ht="15.75" customHeight="1">
      <c r="A329" s="1130"/>
      <c r="B329" s="1130"/>
      <c r="C329" s="1130"/>
      <c r="D329" s="1130"/>
      <c r="E329" s="1130"/>
      <c r="F329" s="1130"/>
      <c r="G329" s="1130"/>
      <c r="H329" s="1130"/>
      <c r="I329" s="1130"/>
      <c r="J329" s="1130"/>
      <c r="K329" s="1130"/>
      <c r="L329" s="1130"/>
      <c r="M329" s="1130"/>
      <c r="N329" s="1130"/>
      <c r="O329" s="1130"/>
      <c r="P329" s="1130"/>
      <c r="Q329" s="1130"/>
      <c r="R329" s="1130"/>
      <c r="S329" s="1130"/>
      <c r="T329" s="1130"/>
      <c r="U329" s="1130"/>
      <c r="V329" s="1130"/>
      <c r="W329" s="1130"/>
      <c r="X329" s="1130"/>
      <c r="Y329" s="1130"/>
      <c r="Z329" s="1130"/>
      <c r="AA329" s="1130"/>
    </row>
    <row r="330" spans="1:27" ht="15.75" customHeight="1">
      <c r="A330" s="1130"/>
      <c r="B330" s="1130"/>
      <c r="C330" s="1130"/>
      <c r="D330" s="1130"/>
      <c r="E330" s="1130"/>
      <c r="F330" s="1130"/>
      <c r="G330" s="1130"/>
      <c r="H330" s="1130"/>
      <c r="I330" s="1130"/>
      <c r="J330" s="1130"/>
      <c r="K330" s="1130"/>
      <c r="L330" s="1130"/>
      <c r="M330" s="1130"/>
      <c r="N330" s="1130"/>
      <c r="O330" s="1130"/>
      <c r="P330" s="1130"/>
      <c r="Q330" s="1130"/>
      <c r="R330" s="1130"/>
      <c r="S330" s="1130"/>
      <c r="T330" s="1130"/>
      <c r="U330" s="1130"/>
      <c r="V330" s="1130"/>
      <c r="W330" s="1130"/>
      <c r="X330" s="1130"/>
      <c r="Y330" s="1130"/>
      <c r="Z330" s="1130"/>
      <c r="AA330" s="1130"/>
    </row>
    <row r="331" spans="1:27" ht="15.75" customHeight="1">
      <c r="A331" s="1130"/>
      <c r="B331" s="1130"/>
      <c r="C331" s="1130"/>
      <c r="D331" s="1130"/>
      <c r="E331" s="1130"/>
      <c r="F331" s="1130"/>
      <c r="G331" s="1130"/>
      <c r="H331" s="1130"/>
      <c r="I331" s="1130"/>
      <c r="J331" s="1130"/>
      <c r="K331" s="1130"/>
      <c r="L331" s="1130"/>
      <c r="M331" s="1130"/>
      <c r="N331" s="1130"/>
      <c r="O331" s="1130"/>
      <c r="P331" s="1130"/>
      <c r="Q331" s="1130"/>
      <c r="R331" s="1130"/>
      <c r="S331" s="1130"/>
      <c r="T331" s="1130"/>
      <c r="U331" s="1130"/>
      <c r="V331" s="1130"/>
      <c r="W331" s="1130"/>
      <c r="X331" s="1130"/>
      <c r="Y331" s="1130"/>
      <c r="Z331" s="1130"/>
      <c r="AA331" s="1130"/>
    </row>
    <row r="332" spans="1:27" ht="15.75" customHeight="1">
      <c r="A332" s="1130"/>
      <c r="B332" s="1130"/>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c r="AA332" s="1130"/>
    </row>
    <row r="333" spans="1:27" ht="15.75" customHeight="1">
      <c r="A333" s="1130"/>
      <c r="B333" s="1130"/>
      <c r="C333" s="1130"/>
      <c r="D333" s="1130"/>
      <c r="E333" s="1130"/>
      <c r="F333" s="1130"/>
      <c r="G333" s="1130"/>
      <c r="H333" s="1130"/>
      <c r="I333" s="1130"/>
      <c r="J333" s="1130"/>
      <c r="K333" s="1130"/>
      <c r="L333" s="1130"/>
      <c r="M333" s="1130"/>
      <c r="N333" s="1130"/>
      <c r="O333" s="1130"/>
      <c r="P333" s="1130"/>
      <c r="Q333" s="1130"/>
      <c r="R333" s="1130"/>
      <c r="S333" s="1130"/>
      <c r="T333" s="1130"/>
      <c r="U333" s="1130"/>
      <c r="V333" s="1130"/>
      <c r="W333" s="1130"/>
      <c r="X333" s="1130"/>
      <c r="Y333" s="1130"/>
      <c r="Z333" s="1130"/>
      <c r="AA333" s="1130"/>
    </row>
    <row r="334" spans="1:27" ht="15.75" customHeight="1">
      <c r="A334" s="1130"/>
      <c r="B334" s="1130"/>
      <c r="C334" s="1130"/>
      <c r="D334" s="1130"/>
      <c r="E334" s="1130"/>
      <c r="F334" s="1130"/>
      <c r="G334" s="1130"/>
      <c r="H334" s="1130"/>
      <c r="I334" s="1130"/>
      <c r="J334" s="1130"/>
      <c r="K334" s="1130"/>
      <c r="L334" s="1130"/>
      <c r="M334" s="1130"/>
      <c r="N334" s="1130"/>
      <c r="O334" s="1130"/>
      <c r="P334" s="1130"/>
      <c r="Q334" s="1130"/>
      <c r="R334" s="1130"/>
      <c r="S334" s="1130"/>
      <c r="T334" s="1130"/>
      <c r="U334" s="1130"/>
      <c r="V334" s="1130"/>
      <c r="W334" s="1130"/>
      <c r="X334" s="1130"/>
      <c r="Y334" s="1130"/>
      <c r="Z334" s="1130"/>
      <c r="AA334" s="1130"/>
    </row>
    <row r="335" spans="1:27" ht="15.75" customHeight="1">
      <c r="A335" s="1130"/>
      <c r="B335" s="1130"/>
      <c r="C335" s="1130"/>
      <c r="D335" s="1130"/>
      <c r="E335" s="1130"/>
      <c r="F335" s="1130"/>
      <c r="G335" s="1130"/>
      <c r="H335" s="1130"/>
      <c r="I335" s="1130"/>
      <c r="J335" s="1130"/>
      <c r="K335" s="1130"/>
      <c r="L335" s="1130"/>
      <c r="M335" s="1130"/>
      <c r="N335" s="1130"/>
      <c r="O335" s="1130"/>
      <c r="P335" s="1130"/>
      <c r="Q335" s="1130"/>
      <c r="R335" s="1130"/>
      <c r="S335" s="1130"/>
      <c r="T335" s="1130"/>
      <c r="U335" s="1130"/>
      <c r="V335" s="1130"/>
      <c r="W335" s="1130"/>
      <c r="X335" s="1130"/>
      <c r="Y335" s="1130"/>
      <c r="Z335" s="1130"/>
      <c r="AA335" s="1130"/>
    </row>
    <row r="336" spans="1:27" ht="15.75" customHeight="1">
      <c r="A336" s="1130"/>
      <c r="B336" s="1130"/>
      <c r="C336" s="1130"/>
      <c r="D336" s="1130"/>
      <c r="E336" s="1130"/>
      <c r="F336" s="1130"/>
      <c r="G336" s="1130"/>
      <c r="H336" s="1130"/>
      <c r="I336" s="1130"/>
      <c r="J336" s="1130"/>
      <c r="K336" s="1130"/>
      <c r="L336" s="1130"/>
      <c r="M336" s="1130"/>
      <c r="N336" s="1130"/>
      <c r="O336" s="1130"/>
      <c r="P336" s="1130"/>
      <c r="Q336" s="1130"/>
      <c r="R336" s="1130"/>
      <c r="S336" s="1130"/>
      <c r="T336" s="1130"/>
      <c r="U336" s="1130"/>
      <c r="V336" s="1130"/>
      <c r="W336" s="1130"/>
      <c r="X336" s="1130"/>
      <c r="Y336" s="1130"/>
      <c r="Z336" s="1130"/>
      <c r="AA336" s="1130"/>
    </row>
    <row r="337" spans="1:27" ht="15.75" customHeight="1">
      <c r="A337" s="1130"/>
      <c r="B337" s="1130"/>
      <c r="C337" s="1130"/>
      <c r="D337" s="1130"/>
      <c r="E337" s="1130"/>
      <c r="F337" s="1130"/>
      <c r="G337" s="1130"/>
      <c r="H337" s="1130"/>
      <c r="I337" s="1130"/>
      <c r="J337" s="1130"/>
      <c r="K337" s="1130"/>
      <c r="L337" s="1130"/>
      <c r="M337" s="1130"/>
      <c r="N337" s="1130"/>
      <c r="O337" s="1130"/>
      <c r="P337" s="1130"/>
      <c r="Q337" s="1130"/>
      <c r="R337" s="1130"/>
      <c r="S337" s="1130"/>
      <c r="T337" s="1130"/>
      <c r="U337" s="1130"/>
      <c r="V337" s="1130"/>
      <c r="W337" s="1130"/>
      <c r="X337" s="1130"/>
      <c r="Y337" s="1130"/>
      <c r="Z337" s="1130"/>
      <c r="AA337" s="1130"/>
    </row>
    <row r="338" spans="1:27" ht="15.75" customHeight="1">
      <c r="A338" s="1130"/>
      <c r="B338" s="1130"/>
      <c r="C338" s="1130"/>
      <c r="D338" s="1130"/>
      <c r="E338" s="1130"/>
      <c r="F338" s="1130"/>
      <c r="G338" s="1130"/>
      <c r="H338" s="1130"/>
      <c r="I338" s="1130"/>
      <c r="J338" s="1130"/>
      <c r="K338" s="1130"/>
      <c r="L338" s="1130"/>
      <c r="M338" s="1130"/>
      <c r="N338" s="1130"/>
      <c r="O338" s="1130"/>
      <c r="P338" s="1130"/>
      <c r="Q338" s="1130"/>
      <c r="R338" s="1130"/>
      <c r="S338" s="1130"/>
      <c r="T338" s="1130"/>
      <c r="U338" s="1130"/>
      <c r="V338" s="1130"/>
      <c r="W338" s="1130"/>
      <c r="X338" s="1130"/>
      <c r="Y338" s="1130"/>
      <c r="Z338" s="1130"/>
      <c r="AA338" s="1130"/>
    </row>
    <row r="339" spans="1:27" ht="15.75" customHeight="1">
      <c r="A339" s="1130"/>
      <c r="B339" s="1130"/>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c r="AA339" s="1130"/>
    </row>
    <row r="340" spans="1:27" ht="15.75" customHeight="1">
      <c r="A340" s="1130"/>
      <c r="B340" s="1130"/>
      <c r="C340" s="1130"/>
      <c r="D340" s="1130"/>
      <c r="E340" s="1130"/>
      <c r="F340" s="1130"/>
      <c r="G340" s="1130"/>
      <c r="H340" s="1130"/>
      <c r="I340" s="1130"/>
      <c r="J340" s="1130"/>
      <c r="K340" s="1130"/>
      <c r="L340" s="1130"/>
      <c r="M340" s="1130"/>
      <c r="N340" s="1130"/>
      <c r="O340" s="1130"/>
      <c r="P340" s="1130"/>
      <c r="Q340" s="1130"/>
      <c r="R340" s="1130"/>
      <c r="S340" s="1130"/>
      <c r="T340" s="1130"/>
      <c r="U340" s="1130"/>
      <c r="V340" s="1130"/>
      <c r="W340" s="1130"/>
      <c r="X340" s="1130"/>
      <c r="Y340" s="1130"/>
      <c r="Z340" s="1130"/>
      <c r="AA340" s="1130"/>
    </row>
    <row r="341" spans="1:27" ht="15.75" customHeight="1">
      <c r="A341" s="1130"/>
      <c r="B341" s="1130"/>
      <c r="C341" s="1130"/>
      <c r="D341" s="1130"/>
      <c r="E341" s="1130"/>
      <c r="F341" s="1130"/>
      <c r="G341" s="1130"/>
      <c r="H341" s="1130"/>
      <c r="I341" s="1130"/>
      <c r="J341" s="1130"/>
      <c r="K341" s="1130"/>
      <c r="L341" s="1130"/>
      <c r="M341" s="1130"/>
      <c r="N341" s="1130"/>
      <c r="O341" s="1130"/>
      <c r="P341" s="1130"/>
      <c r="Q341" s="1130"/>
      <c r="R341" s="1130"/>
      <c r="S341" s="1130"/>
      <c r="T341" s="1130"/>
      <c r="U341" s="1130"/>
      <c r="V341" s="1130"/>
      <c r="W341" s="1130"/>
      <c r="X341" s="1130"/>
      <c r="Y341" s="1130"/>
      <c r="Z341" s="1130"/>
      <c r="AA341" s="1130"/>
    </row>
    <row r="342" spans="1:27" ht="15.75" customHeight="1">
      <c r="A342" s="1130"/>
      <c r="B342" s="1130"/>
      <c r="C342" s="1130"/>
      <c r="D342" s="1130"/>
      <c r="E342" s="1130"/>
      <c r="F342" s="1130"/>
      <c r="G342" s="1130"/>
      <c r="H342" s="1130"/>
      <c r="I342" s="1130"/>
      <c r="J342" s="1130"/>
      <c r="K342" s="1130"/>
      <c r="L342" s="1130"/>
      <c r="M342" s="1130"/>
      <c r="N342" s="1130"/>
      <c r="O342" s="1130"/>
      <c r="P342" s="1130"/>
      <c r="Q342" s="1130"/>
      <c r="R342" s="1130"/>
      <c r="S342" s="1130"/>
      <c r="T342" s="1130"/>
      <c r="U342" s="1130"/>
      <c r="V342" s="1130"/>
      <c r="W342" s="1130"/>
      <c r="X342" s="1130"/>
      <c r="Y342" s="1130"/>
      <c r="Z342" s="1130"/>
      <c r="AA342" s="1130"/>
    </row>
    <row r="343" spans="1:27" ht="15.75" customHeight="1">
      <c r="A343" s="1130"/>
      <c r="B343" s="1130"/>
      <c r="C343" s="1130"/>
      <c r="D343" s="1130"/>
      <c r="E343" s="1130"/>
      <c r="F343" s="1130"/>
      <c r="G343" s="1130"/>
      <c r="H343" s="1130"/>
      <c r="I343" s="1130"/>
      <c r="J343" s="1130"/>
      <c r="K343" s="1130"/>
      <c r="L343" s="1130"/>
      <c r="M343" s="1130"/>
      <c r="N343" s="1130"/>
      <c r="O343" s="1130"/>
      <c r="P343" s="1130"/>
      <c r="Q343" s="1130"/>
      <c r="R343" s="1130"/>
      <c r="S343" s="1130"/>
      <c r="T343" s="1130"/>
      <c r="U343" s="1130"/>
      <c r="V343" s="1130"/>
      <c r="W343" s="1130"/>
      <c r="X343" s="1130"/>
      <c r="Y343" s="1130"/>
      <c r="Z343" s="1130"/>
      <c r="AA343" s="1130"/>
    </row>
    <row r="344" spans="1:27" ht="15.75" customHeight="1">
      <c r="A344" s="1130"/>
      <c r="B344" s="1130"/>
      <c r="C344" s="1130"/>
      <c r="D344" s="1130"/>
      <c r="E344" s="1130"/>
      <c r="F344" s="1130"/>
      <c r="G344" s="1130"/>
      <c r="H344" s="1130"/>
      <c r="I344" s="1130"/>
      <c r="J344" s="1130"/>
      <c r="K344" s="1130"/>
      <c r="L344" s="1130"/>
      <c r="M344" s="1130"/>
      <c r="N344" s="1130"/>
      <c r="O344" s="1130"/>
      <c r="P344" s="1130"/>
      <c r="Q344" s="1130"/>
      <c r="R344" s="1130"/>
      <c r="S344" s="1130"/>
      <c r="T344" s="1130"/>
      <c r="U344" s="1130"/>
      <c r="V344" s="1130"/>
      <c r="W344" s="1130"/>
      <c r="X344" s="1130"/>
      <c r="Y344" s="1130"/>
      <c r="Z344" s="1130"/>
      <c r="AA344" s="1130"/>
    </row>
    <row r="345" spans="1:27" ht="15.75" customHeight="1">
      <c r="A345" s="1130"/>
      <c r="B345" s="1130"/>
      <c r="C345" s="1130"/>
      <c r="D345" s="1130"/>
      <c r="E345" s="1130"/>
      <c r="F345" s="1130"/>
      <c r="G345" s="1130"/>
      <c r="H345" s="1130"/>
      <c r="I345" s="1130"/>
      <c r="J345" s="1130"/>
      <c r="K345" s="1130"/>
      <c r="L345" s="1130"/>
      <c r="M345" s="1130"/>
      <c r="N345" s="1130"/>
      <c r="O345" s="1130"/>
      <c r="P345" s="1130"/>
      <c r="Q345" s="1130"/>
      <c r="R345" s="1130"/>
      <c r="S345" s="1130"/>
      <c r="T345" s="1130"/>
      <c r="U345" s="1130"/>
      <c r="V345" s="1130"/>
      <c r="W345" s="1130"/>
      <c r="X345" s="1130"/>
      <c r="Y345" s="1130"/>
      <c r="Z345" s="1130"/>
      <c r="AA345" s="1130"/>
    </row>
    <row r="346" spans="1:27" ht="15.75" customHeight="1">
      <c r="A346" s="1130"/>
      <c r="B346" s="1130"/>
      <c r="C346" s="1130"/>
      <c r="D346" s="1130"/>
      <c r="E346" s="1130"/>
      <c r="F346" s="1130"/>
      <c r="G346" s="1130"/>
      <c r="H346" s="1130"/>
      <c r="I346" s="1130"/>
      <c r="J346" s="1130"/>
      <c r="K346" s="1130"/>
      <c r="L346" s="1130"/>
      <c r="M346" s="1130"/>
      <c r="N346" s="1130"/>
      <c r="O346" s="1130"/>
      <c r="P346" s="1130"/>
      <c r="Q346" s="1130"/>
      <c r="R346" s="1130"/>
      <c r="S346" s="1130"/>
      <c r="T346" s="1130"/>
      <c r="U346" s="1130"/>
      <c r="V346" s="1130"/>
      <c r="W346" s="1130"/>
      <c r="X346" s="1130"/>
      <c r="Y346" s="1130"/>
      <c r="Z346" s="1130"/>
      <c r="AA346" s="1130"/>
    </row>
    <row r="347" spans="1:27" ht="15.75" customHeight="1">
      <c r="A347" s="1130"/>
      <c r="B347" s="1130"/>
      <c r="C347" s="1130"/>
      <c r="D347" s="1130"/>
      <c r="E347" s="1130"/>
      <c r="F347" s="1130"/>
      <c r="G347" s="1130"/>
      <c r="H347" s="1130"/>
      <c r="I347" s="1130"/>
      <c r="J347" s="1130"/>
      <c r="K347" s="1130"/>
      <c r="L347" s="1130"/>
      <c r="M347" s="1130"/>
      <c r="N347" s="1130"/>
      <c r="O347" s="1130"/>
      <c r="P347" s="1130"/>
      <c r="Q347" s="1130"/>
      <c r="R347" s="1130"/>
      <c r="S347" s="1130"/>
      <c r="T347" s="1130"/>
      <c r="U347" s="1130"/>
      <c r="V347" s="1130"/>
      <c r="W347" s="1130"/>
      <c r="X347" s="1130"/>
      <c r="Y347" s="1130"/>
      <c r="Z347" s="1130"/>
      <c r="AA347" s="1130"/>
    </row>
    <row r="348" spans="1:27" ht="15.75" customHeight="1">
      <c r="A348" s="1130"/>
      <c r="B348" s="1130"/>
      <c r="C348" s="1130"/>
      <c r="D348" s="1130"/>
      <c r="E348" s="1130"/>
      <c r="F348" s="1130"/>
      <c r="G348" s="1130"/>
      <c r="H348" s="1130"/>
      <c r="I348" s="1130"/>
      <c r="J348" s="1130"/>
      <c r="K348" s="1130"/>
      <c r="L348" s="1130"/>
      <c r="M348" s="1130"/>
      <c r="N348" s="1130"/>
      <c r="O348" s="1130"/>
      <c r="P348" s="1130"/>
      <c r="Q348" s="1130"/>
      <c r="R348" s="1130"/>
      <c r="S348" s="1130"/>
      <c r="T348" s="1130"/>
      <c r="U348" s="1130"/>
      <c r="V348" s="1130"/>
      <c r="W348" s="1130"/>
      <c r="X348" s="1130"/>
      <c r="Y348" s="1130"/>
      <c r="Z348" s="1130"/>
      <c r="AA348" s="1130"/>
    </row>
    <row r="349" spans="1:27" ht="15.75" customHeight="1">
      <c r="A349" s="1130"/>
      <c r="B349" s="1130"/>
      <c r="C349" s="1130"/>
      <c r="D349" s="1130"/>
      <c r="E349" s="1130"/>
      <c r="F349" s="1130"/>
      <c r="G349" s="1130"/>
      <c r="H349" s="1130"/>
      <c r="I349" s="1130"/>
      <c r="J349" s="1130"/>
      <c r="K349" s="1130"/>
      <c r="L349" s="1130"/>
      <c r="M349" s="1130"/>
      <c r="N349" s="1130"/>
      <c r="O349" s="1130"/>
      <c r="P349" s="1130"/>
      <c r="Q349" s="1130"/>
      <c r="R349" s="1130"/>
      <c r="S349" s="1130"/>
      <c r="T349" s="1130"/>
      <c r="U349" s="1130"/>
      <c r="V349" s="1130"/>
      <c r="W349" s="1130"/>
      <c r="X349" s="1130"/>
      <c r="Y349" s="1130"/>
      <c r="Z349" s="1130"/>
      <c r="AA349" s="1130"/>
    </row>
    <row r="350" spans="1:27" ht="15.75" customHeight="1">
      <c r="A350" s="1130"/>
      <c r="B350" s="1130"/>
      <c r="C350" s="1130"/>
      <c r="D350" s="1130"/>
      <c r="E350" s="1130"/>
      <c r="F350" s="1130"/>
      <c r="G350" s="1130"/>
      <c r="H350" s="1130"/>
      <c r="I350" s="1130"/>
      <c r="J350" s="1130"/>
      <c r="K350" s="1130"/>
      <c r="L350" s="1130"/>
      <c r="M350" s="1130"/>
      <c r="N350" s="1130"/>
      <c r="O350" s="1130"/>
      <c r="P350" s="1130"/>
      <c r="Q350" s="1130"/>
      <c r="R350" s="1130"/>
      <c r="S350" s="1130"/>
      <c r="T350" s="1130"/>
      <c r="U350" s="1130"/>
      <c r="V350" s="1130"/>
      <c r="W350" s="1130"/>
      <c r="X350" s="1130"/>
      <c r="Y350" s="1130"/>
      <c r="Z350" s="1130"/>
      <c r="AA350" s="1130"/>
    </row>
    <row r="351" spans="1:27" ht="15.75" customHeight="1">
      <c r="A351" s="1130"/>
      <c r="B351" s="1130"/>
      <c r="C351" s="1130"/>
      <c r="D351" s="1130"/>
      <c r="E351" s="1130"/>
      <c r="F351" s="1130"/>
      <c r="G351" s="1130"/>
      <c r="H351" s="1130"/>
      <c r="I351" s="1130"/>
      <c r="J351" s="1130"/>
      <c r="K351" s="1130"/>
      <c r="L351" s="1130"/>
      <c r="M351" s="1130"/>
      <c r="N351" s="1130"/>
      <c r="O351" s="1130"/>
      <c r="P351" s="1130"/>
      <c r="Q351" s="1130"/>
      <c r="R351" s="1130"/>
      <c r="S351" s="1130"/>
      <c r="T351" s="1130"/>
      <c r="U351" s="1130"/>
      <c r="V351" s="1130"/>
      <c r="W351" s="1130"/>
      <c r="X351" s="1130"/>
      <c r="Y351" s="1130"/>
      <c r="Z351" s="1130"/>
      <c r="AA351" s="1130"/>
    </row>
    <row r="352" spans="1:27" ht="15.75" customHeight="1">
      <c r="A352" s="1130"/>
      <c r="B352" s="1130"/>
      <c r="C352" s="1130"/>
      <c r="D352" s="1130"/>
      <c r="E352" s="1130"/>
      <c r="F352" s="1130"/>
      <c r="G352" s="1130"/>
      <c r="H352" s="1130"/>
      <c r="I352" s="1130"/>
      <c r="J352" s="1130"/>
      <c r="K352" s="1130"/>
      <c r="L352" s="1130"/>
      <c r="M352" s="1130"/>
      <c r="N352" s="1130"/>
      <c r="O352" s="1130"/>
      <c r="P352" s="1130"/>
      <c r="Q352" s="1130"/>
      <c r="R352" s="1130"/>
      <c r="S352" s="1130"/>
      <c r="T352" s="1130"/>
      <c r="U352" s="1130"/>
      <c r="V352" s="1130"/>
      <c r="W352" s="1130"/>
      <c r="X352" s="1130"/>
      <c r="Y352" s="1130"/>
      <c r="Z352" s="1130"/>
      <c r="AA352" s="1130"/>
    </row>
    <row r="353" spans="1:27" ht="15.75" customHeight="1">
      <c r="A353" s="1130"/>
      <c r="B353" s="1130"/>
      <c r="C353" s="1130"/>
      <c r="D353" s="1130"/>
      <c r="E353" s="1130"/>
      <c r="F353" s="1130"/>
      <c r="G353" s="1130"/>
      <c r="H353" s="1130"/>
      <c r="I353" s="1130"/>
      <c r="J353" s="1130"/>
      <c r="K353" s="1130"/>
      <c r="L353" s="1130"/>
      <c r="M353" s="1130"/>
      <c r="N353" s="1130"/>
      <c r="O353" s="1130"/>
      <c r="P353" s="1130"/>
      <c r="Q353" s="1130"/>
      <c r="R353" s="1130"/>
      <c r="S353" s="1130"/>
      <c r="T353" s="1130"/>
      <c r="U353" s="1130"/>
      <c r="V353" s="1130"/>
      <c r="W353" s="1130"/>
      <c r="X353" s="1130"/>
      <c r="Y353" s="1130"/>
      <c r="Z353" s="1130"/>
      <c r="AA353" s="1130"/>
    </row>
    <row r="354" spans="1:27" ht="15.75" customHeight="1">
      <c r="A354" s="1130"/>
      <c r="B354" s="1130"/>
      <c r="C354" s="1130"/>
      <c r="D354" s="1130"/>
      <c r="E354" s="1130"/>
      <c r="F354" s="1130"/>
      <c r="G354" s="1130"/>
      <c r="H354" s="1130"/>
      <c r="I354" s="1130"/>
      <c r="J354" s="1130"/>
      <c r="K354" s="1130"/>
      <c r="L354" s="1130"/>
      <c r="M354" s="1130"/>
      <c r="N354" s="1130"/>
      <c r="O354" s="1130"/>
      <c r="P354" s="1130"/>
      <c r="Q354" s="1130"/>
      <c r="R354" s="1130"/>
      <c r="S354" s="1130"/>
      <c r="T354" s="1130"/>
      <c r="U354" s="1130"/>
      <c r="V354" s="1130"/>
      <c r="W354" s="1130"/>
      <c r="X354" s="1130"/>
      <c r="Y354" s="1130"/>
      <c r="Z354" s="1130"/>
      <c r="AA354" s="1130"/>
    </row>
    <row r="355" spans="1:27" ht="15.75" customHeight="1">
      <c r="A355" s="1130"/>
      <c r="B355" s="1130"/>
      <c r="C355" s="1130"/>
      <c r="D355" s="1130"/>
      <c r="E355" s="1130"/>
      <c r="F355" s="1130"/>
      <c r="G355" s="1130"/>
      <c r="H355" s="1130"/>
      <c r="I355" s="1130"/>
      <c r="J355" s="1130"/>
      <c r="K355" s="1130"/>
      <c r="L355" s="1130"/>
      <c r="M355" s="1130"/>
      <c r="N355" s="1130"/>
      <c r="O355" s="1130"/>
      <c r="P355" s="1130"/>
      <c r="Q355" s="1130"/>
      <c r="R355" s="1130"/>
      <c r="S355" s="1130"/>
      <c r="T355" s="1130"/>
      <c r="U355" s="1130"/>
      <c r="V355" s="1130"/>
      <c r="W355" s="1130"/>
      <c r="X355" s="1130"/>
      <c r="Y355" s="1130"/>
      <c r="Z355" s="1130"/>
      <c r="AA355" s="1130"/>
    </row>
    <row r="356" spans="1:27" ht="15.75" customHeight="1">
      <c r="A356" s="1130"/>
      <c r="B356" s="1130"/>
      <c r="C356" s="1130"/>
      <c r="D356" s="1130"/>
      <c r="E356" s="1130"/>
      <c r="F356" s="1130"/>
      <c r="G356" s="1130"/>
      <c r="H356" s="1130"/>
      <c r="I356" s="1130"/>
      <c r="J356" s="1130"/>
      <c r="K356" s="1130"/>
      <c r="L356" s="1130"/>
      <c r="M356" s="1130"/>
      <c r="N356" s="1130"/>
      <c r="O356" s="1130"/>
      <c r="P356" s="1130"/>
      <c r="Q356" s="1130"/>
      <c r="R356" s="1130"/>
      <c r="S356" s="1130"/>
      <c r="T356" s="1130"/>
      <c r="U356" s="1130"/>
      <c r="V356" s="1130"/>
      <c r="W356" s="1130"/>
      <c r="X356" s="1130"/>
      <c r="Y356" s="1130"/>
      <c r="Z356" s="1130"/>
      <c r="AA356" s="1130"/>
    </row>
    <row r="357" spans="1:27" ht="15.75" customHeight="1">
      <c r="A357" s="1130"/>
      <c r="B357" s="1130"/>
      <c r="C357" s="1130"/>
      <c r="D357" s="1130"/>
      <c r="E357" s="1130"/>
      <c r="F357" s="1130"/>
      <c r="G357" s="1130"/>
      <c r="H357" s="1130"/>
      <c r="I357" s="1130"/>
      <c r="J357" s="1130"/>
      <c r="K357" s="1130"/>
      <c r="L357" s="1130"/>
      <c r="M357" s="1130"/>
      <c r="N357" s="1130"/>
      <c r="O357" s="1130"/>
      <c r="P357" s="1130"/>
      <c r="Q357" s="1130"/>
      <c r="R357" s="1130"/>
      <c r="S357" s="1130"/>
      <c r="T357" s="1130"/>
      <c r="U357" s="1130"/>
      <c r="V357" s="1130"/>
      <c r="W357" s="1130"/>
      <c r="X357" s="1130"/>
      <c r="Y357" s="1130"/>
      <c r="Z357" s="1130"/>
      <c r="AA357" s="1130"/>
    </row>
    <row r="358" spans="1:27" ht="15.75" customHeight="1">
      <c r="A358" s="1130"/>
      <c r="B358" s="1130"/>
      <c r="C358" s="1130"/>
      <c r="D358" s="1130"/>
      <c r="E358" s="1130"/>
      <c r="F358" s="1130"/>
      <c r="G358" s="1130"/>
      <c r="H358" s="1130"/>
      <c r="I358" s="1130"/>
      <c r="J358" s="1130"/>
      <c r="K358" s="1130"/>
      <c r="L358" s="1130"/>
      <c r="M358" s="1130"/>
      <c r="N358" s="1130"/>
      <c r="O358" s="1130"/>
      <c r="P358" s="1130"/>
      <c r="Q358" s="1130"/>
      <c r="R358" s="1130"/>
      <c r="S358" s="1130"/>
      <c r="T358" s="1130"/>
      <c r="U358" s="1130"/>
      <c r="V358" s="1130"/>
      <c r="W358" s="1130"/>
      <c r="X358" s="1130"/>
      <c r="Y358" s="1130"/>
      <c r="Z358" s="1130"/>
      <c r="AA358" s="1130"/>
    </row>
    <row r="359" spans="1:27" ht="15.75" customHeight="1">
      <c r="A359" s="1130"/>
      <c r="B359" s="1130"/>
      <c r="C359" s="1130"/>
      <c r="D359" s="1130"/>
      <c r="E359" s="1130"/>
      <c r="F359" s="1130"/>
      <c r="G359" s="1130"/>
      <c r="H359" s="1130"/>
      <c r="I359" s="1130"/>
      <c r="J359" s="1130"/>
      <c r="K359" s="1130"/>
      <c r="L359" s="1130"/>
      <c r="M359" s="1130"/>
      <c r="N359" s="1130"/>
      <c r="O359" s="1130"/>
      <c r="P359" s="1130"/>
      <c r="Q359" s="1130"/>
      <c r="R359" s="1130"/>
      <c r="S359" s="1130"/>
      <c r="T359" s="1130"/>
      <c r="U359" s="1130"/>
      <c r="V359" s="1130"/>
      <c r="W359" s="1130"/>
      <c r="X359" s="1130"/>
      <c r="Y359" s="1130"/>
      <c r="Z359" s="1130"/>
      <c r="AA359" s="1130"/>
    </row>
    <row r="360" spans="1:27" ht="15.75" customHeight="1">
      <c r="A360" s="1130"/>
      <c r="B360" s="1130"/>
      <c r="C360" s="1130"/>
      <c r="D360" s="1130"/>
      <c r="E360" s="1130"/>
      <c r="F360" s="1130"/>
      <c r="G360" s="1130"/>
      <c r="H360" s="1130"/>
      <c r="I360" s="1130"/>
      <c r="J360" s="1130"/>
      <c r="K360" s="1130"/>
      <c r="L360" s="1130"/>
      <c r="M360" s="1130"/>
      <c r="N360" s="1130"/>
      <c r="O360" s="1130"/>
      <c r="P360" s="1130"/>
      <c r="Q360" s="1130"/>
      <c r="R360" s="1130"/>
      <c r="S360" s="1130"/>
      <c r="T360" s="1130"/>
      <c r="U360" s="1130"/>
      <c r="V360" s="1130"/>
      <c r="W360" s="1130"/>
      <c r="X360" s="1130"/>
      <c r="Y360" s="1130"/>
      <c r="Z360" s="1130"/>
      <c r="AA360" s="1130"/>
    </row>
    <row r="361" spans="1:27" ht="15.75" customHeight="1">
      <c r="A361" s="1130"/>
      <c r="B361" s="1130"/>
      <c r="C361" s="1130"/>
      <c r="D361" s="1130"/>
      <c r="E361" s="1130"/>
      <c r="F361" s="1130"/>
      <c r="G361" s="1130"/>
      <c r="H361" s="1130"/>
      <c r="I361" s="1130"/>
      <c r="J361" s="1130"/>
      <c r="K361" s="1130"/>
      <c r="L361" s="1130"/>
      <c r="M361" s="1130"/>
      <c r="N361" s="1130"/>
      <c r="O361" s="1130"/>
      <c r="P361" s="1130"/>
      <c r="Q361" s="1130"/>
      <c r="R361" s="1130"/>
      <c r="S361" s="1130"/>
      <c r="T361" s="1130"/>
      <c r="U361" s="1130"/>
      <c r="V361" s="1130"/>
      <c r="W361" s="1130"/>
      <c r="X361" s="1130"/>
      <c r="Y361" s="1130"/>
      <c r="Z361" s="1130"/>
      <c r="AA361" s="1130"/>
    </row>
    <row r="362" spans="1:27" ht="15.75" customHeight="1">
      <c r="A362" s="1130"/>
      <c r="B362" s="1130"/>
      <c r="C362" s="1130"/>
      <c r="D362" s="1130"/>
      <c r="E362" s="1130"/>
      <c r="F362" s="1130"/>
      <c r="G362" s="1130"/>
      <c r="H362" s="1130"/>
      <c r="I362" s="1130"/>
      <c r="J362" s="1130"/>
      <c r="K362" s="1130"/>
      <c r="L362" s="1130"/>
      <c r="M362" s="1130"/>
      <c r="N362" s="1130"/>
      <c r="O362" s="1130"/>
      <c r="P362" s="1130"/>
      <c r="Q362" s="1130"/>
      <c r="R362" s="1130"/>
      <c r="S362" s="1130"/>
      <c r="T362" s="1130"/>
      <c r="U362" s="1130"/>
      <c r="V362" s="1130"/>
      <c r="W362" s="1130"/>
      <c r="X362" s="1130"/>
      <c r="Y362" s="1130"/>
      <c r="Z362" s="1130"/>
      <c r="AA362" s="1130"/>
    </row>
    <row r="363" spans="1:27" ht="15.75" customHeight="1">
      <c r="A363" s="1130"/>
      <c r="B363" s="1130"/>
      <c r="C363" s="1130"/>
      <c r="D363" s="1130"/>
      <c r="E363" s="1130"/>
      <c r="F363" s="1130"/>
      <c r="G363" s="1130"/>
      <c r="H363" s="1130"/>
      <c r="I363" s="1130"/>
      <c r="J363" s="1130"/>
      <c r="K363" s="1130"/>
      <c r="L363" s="1130"/>
      <c r="M363" s="1130"/>
      <c r="N363" s="1130"/>
      <c r="O363" s="1130"/>
      <c r="P363" s="1130"/>
      <c r="Q363" s="1130"/>
      <c r="R363" s="1130"/>
      <c r="S363" s="1130"/>
      <c r="T363" s="1130"/>
      <c r="U363" s="1130"/>
      <c r="V363" s="1130"/>
      <c r="W363" s="1130"/>
      <c r="X363" s="1130"/>
      <c r="Y363" s="1130"/>
      <c r="Z363" s="1130"/>
      <c r="AA363" s="1130"/>
    </row>
    <row r="364" spans="1:27" ht="15.75" customHeight="1">
      <c r="A364" s="1130"/>
      <c r="B364" s="1130"/>
      <c r="C364" s="1130"/>
      <c r="D364" s="1130"/>
      <c r="E364" s="1130"/>
      <c r="F364" s="1130"/>
      <c r="G364" s="1130"/>
      <c r="H364" s="1130"/>
      <c r="I364" s="1130"/>
      <c r="J364" s="1130"/>
      <c r="K364" s="1130"/>
      <c r="L364" s="1130"/>
      <c r="M364" s="1130"/>
      <c r="N364" s="1130"/>
      <c r="O364" s="1130"/>
      <c r="P364" s="1130"/>
      <c r="Q364" s="1130"/>
      <c r="R364" s="1130"/>
      <c r="S364" s="1130"/>
      <c r="T364" s="1130"/>
      <c r="U364" s="1130"/>
      <c r="V364" s="1130"/>
      <c r="W364" s="1130"/>
      <c r="X364" s="1130"/>
      <c r="Y364" s="1130"/>
      <c r="Z364" s="1130"/>
      <c r="AA364" s="1130"/>
    </row>
    <row r="365" spans="1:27" ht="15.75" customHeight="1">
      <c r="A365" s="1130"/>
      <c r="B365" s="1130"/>
      <c r="C365" s="1130"/>
      <c r="D365" s="1130"/>
      <c r="E365" s="1130"/>
      <c r="F365" s="1130"/>
      <c r="G365" s="1130"/>
      <c r="H365" s="1130"/>
      <c r="I365" s="1130"/>
      <c r="J365" s="1130"/>
      <c r="K365" s="1130"/>
      <c r="L365" s="1130"/>
      <c r="M365" s="1130"/>
      <c r="N365" s="1130"/>
      <c r="O365" s="1130"/>
      <c r="P365" s="1130"/>
      <c r="Q365" s="1130"/>
      <c r="R365" s="1130"/>
      <c r="S365" s="1130"/>
      <c r="T365" s="1130"/>
      <c r="U365" s="1130"/>
      <c r="V365" s="1130"/>
      <c r="W365" s="1130"/>
      <c r="X365" s="1130"/>
      <c r="Y365" s="1130"/>
      <c r="Z365" s="1130"/>
      <c r="AA365" s="1130"/>
    </row>
    <row r="366" spans="1:27" ht="15.75" customHeight="1">
      <c r="A366" s="1130"/>
      <c r="B366" s="1130"/>
      <c r="C366" s="1130"/>
      <c r="D366" s="1130"/>
      <c r="E366" s="1130"/>
      <c r="F366" s="1130"/>
      <c r="G366" s="1130"/>
      <c r="H366" s="1130"/>
      <c r="I366" s="1130"/>
      <c r="J366" s="1130"/>
      <c r="K366" s="1130"/>
      <c r="L366" s="1130"/>
      <c r="M366" s="1130"/>
      <c r="N366" s="1130"/>
      <c r="O366" s="1130"/>
      <c r="P366" s="1130"/>
      <c r="Q366" s="1130"/>
      <c r="R366" s="1130"/>
      <c r="S366" s="1130"/>
      <c r="T366" s="1130"/>
      <c r="U366" s="1130"/>
      <c r="V366" s="1130"/>
      <c r="W366" s="1130"/>
      <c r="X366" s="1130"/>
      <c r="Y366" s="1130"/>
      <c r="Z366" s="1130"/>
      <c r="AA366" s="1130"/>
    </row>
    <row r="367" spans="1:27" ht="15.75" customHeight="1">
      <c r="A367" s="1130"/>
      <c r="B367" s="1130"/>
      <c r="C367" s="1130"/>
      <c r="D367" s="1130"/>
      <c r="E367" s="1130"/>
      <c r="F367" s="1130"/>
      <c r="G367" s="1130"/>
      <c r="H367" s="1130"/>
      <c r="I367" s="1130"/>
      <c r="J367" s="1130"/>
      <c r="K367" s="1130"/>
      <c r="L367" s="1130"/>
      <c r="M367" s="1130"/>
      <c r="N367" s="1130"/>
      <c r="O367" s="1130"/>
      <c r="P367" s="1130"/>
      <c r="Q367" s="1130"/>
      <c r="R367" s="1130"/>
      <c r="S367" s="1130"/>
      <c r="T367" s="1130"/>
      <c r="U367" s="1130"/>
      <c r="V367" s="1130"/>
      <c r="W367" s="1130"/>
      <c r="X367" s="1130"/>
      <c r="Y367" s="1130"/>
      <c r="Z367" s="1130"/>
      <c r="AA367" s="1130"/>
    </row>
    <row r="368" spans="1:27" ht="15.75" customHeight="1">
      <c r="A368" s="1130"/>
      <c r="B368" s="1130"/>
      <c r="C368" s="1130"/>
      <c r="D368" s="1130"/>
      <c r="E368" s="1130"/>
      <c r="F368" s="1130"/>
      <c r="G368" s="1130"/>
      <c r="H368" s="1130"/>
      <c r="I368" s="1130"/>
      <c r="J368" s="1130"/>
      <c r="K368" s="1130"/>
      <c r="L368" s="1130"/>
      <c r="M368" s="1130"/>
      <c r="N368" s="1130"/>
      <c r="O368" s="1130"/>
      <c r="P368" s="1130"/>
      <c r="Q368" s="1130"/>
      <c r="R368" s="1130"/>
      <c r="S368" s="1130"/>
      <c r="T368" s="1130"/>
      <c r="U368" s="1130"/>
      <c r="V368" s="1130"/>
      <c r="W368" s="1130"/>
      <c r="X368" s="1130"/>
      <c r="Y368" s="1130"/>
      <c r="Z368" s="1130"/>
      <c r="AA368" s="1130"/>
    </row>
    <row r="369" spans="1:27" ht="15.75" customHeight="1">
      <c r="A369" s="1130"/>
      <c r="B369" s="1130"/>
      <c r="C369" s="1130"/>
      <c r="D369" s="1130"/>
      <c r="E369" s="1130"/>
      <c r="F369" s="1130"/>
      <c r="G369" s="1130"/>
      <c r="H369" s="1130"/>
      <c r="I369" s="1130"/>
      <c r="J369" s="1130"/>
      <c r="K369" s="1130"/>
      <c r="L369" s="1130"/>
      <c r="M369" s="1130"/>
      <c r="N369" s="1130"/>
      <c r="O369" s="1130"/>
      <c r="P369" s="1130"/>
      <c r="Q369" s="1130"/>
      <c r="R369" s="1130"/>
      <c r="S369" s="1130"/>
      <c r="T369" s="1130"/>
      <c r="U369" s="1130"/>
      <c r="V369" s="1130"/>
      <c r="W369" s="1130"/>
      <c r="X369" s="1130"/>
      <c r="Y369" s="1130"/>
      <c r="Z369" s="1130"/>
      <c r="AA369" s="1130"/>
    </row>
    <row r="370" spans="1:27" ht="15.75" customHeight="1">
      <c r="A370" s="1130"/>
      <c r="B370" s="1130"/>
      <c r="C370" s="1130"/>
      <c r="D370" s="1130"/>
      <c r="E370" s="1130"/>
      <c r="F370" s="1130"/>
      <c r="G370" s="1130"/>
      <c r="H370" s="1130"/>
      <c r="I370" s="1130"/>
      <c r="J370" s="1130"/>
      <c r="K370" s="1130"/>
      <c r="L370" s="1130"/>
      <c r="M370" s="1130"/>
      <c r="N370" s="1130"/>
      <c r="O370" s="1130"/>
      <c r="P370" s="1130"/>
      <c r="Q370" s="1130"/>
      <c r="R370" s="1130"/>
      <c r="S370" s="1130"/>
      <c r="T370" s="1130"/>
      <c r="U370" s="1130"/>
      <c r="V370" s="1130"/>
      <c r="W370" s="1130"/>
      <c r="X370" s="1130"/>
      <c r="Y370" s="1130"/>
      <c r="Z370" s="1130"/>
      <c r="AA370" s="1130"/>
    </row>
    <row r="371" spans="1:27" ht="15.75" customHeight="1">
      <c r="A371" s="1130"/>
      <c r="B371" s="1130"/>
      <c r="C371" s="1130"/>
      <c r="D371" s="1130"/>
      <c r="E371" s="1130"/>
      <c r="F371" s="1130"/>
      <c r="G371" s="1130"/>
      <c r="H371" s="1130"/>
      <c r="I371" s="1130"/>
      <c r="J371" s="1130"/>
      <c r="K371" s="1130"/>
      <c r="L371" s="1130"/>
      <c r="M371" s="1130"/>
      <c r="N371" s="1130"/>
      <c r="O371" s="1130"/>
      <c r="P371" s="1130"/>
      <c r="Q371" s="1130"/>
      <c r="R371" s="1130"/>
      <c r="S371" s="1130"/>
      <c r="T371" s="1130"/>
      <c r="U371" s="1130"/>
      <c r="V371" s="1130"/>
      <c r="W371" s="1130"/>
      <c r="X371" s="1130"/>
      <c r="Y371" s="1130"/>
      <c r="Z371" s="1130"/>
      <c r="AA371" s="1130"/>
    </row>
    <row r="372" spans="1:27" ht="15.75" customHeight="1">
      <c r="A372" s="1130"/>
      <c r="B372" s="1130"/>
      <c r="C372" s="1130"/>
      <c r="D372" s="1130"/>
      <c r="E372" s="1130"/>
      <c r="F372" s="1130"/>
      <c r="G372" s="1130"/>
      <c r="H372" s="1130"/>
      <c r="I372" s="1130"/>
      <c r="J372" s="1130"/>
      <c r="K372" s="1130"/>
      <c r="L372" s="1130"/>
      <c r="M372" s="1130"/>
      <c r="N372" s="1130"/>
      <c r="O372" s="1130"/>
      <c r="P372" s="1130"/>
      <c r="Q372" s="1130"/>
      <c r="R372" s="1130"/>
      <c r="S372" s="1130"/>
      <c r="T372" s="1130"/>
      <c r="U372" s="1130"/>
      <c r="V372" s="1130"/>
      <c r="W372" s="1130"/>
      <c r="X372" s="1130"/>
      <c r="Y372" s="1130"/>
      <c r="Z372" s="1130"/>
      <c r="AA372" s="1130"/>
    </row>
    <row r="373" spans="1:27" ht="15.75" customHeight="1">
      <c r="A373" s="1130"/>
      <c r="B373" s="1130"/>
      <c r="C373" s="1130"/>
      <c r="D373" s="1130"/>
      <c r="E373" s="1130"/>
      <c r="F373" s="1130"/>
      <c r="G373" s="1130"/>
      <c r="H373" s="1130"/>
      <c r="I373" s="1130"/>
      <c r="J373" s="1130"/>
      <c r="K373" s="1130"/>
      <c r="L373" s="1130"/>
      <c r="M373" s="1130"/>
      <c r="N373" s="1130"/>
      <c r="O373" s="1130"/>
      <c r="P373" s="1130"/>
      <c r="Q373" s="1130"/>
      <c r="R373" s="1130"/>
      <c r="S373" s="1130"/>
      <c r="T373" s="1130"/>
      <c r="U373" s="1130"/>
      <c r="V373" s="1130"/>
      <c r="W373" s="1130"/>
      <c r="X373" s="1130"/>
      <c r="Y373" s="1130"/>
      <c r="Z373" s="1130"/>
      <c r="AA373" s="1130"/>
    </row>
    <row r="374" spans="1:27" ht="15.75" customHeight="1">
      <c r="A374" s="1130"/>
      <c r="B374" s="1130"/>
      <c r="C374" s="1130"/>
      <c r="D374" s="1130"/>
      <c r="E374" s="1130"/>
      <c r="F374" s="1130"/>
      <c r="G374" s="1130"/>
      <c r="H374" s="1130"/>
      <c r="I374" s="1130"/>
      <c r="J374" s="1130"/>
      <c r="K374" s="1130"/>
      <c r="L374" s="1130"/>
      <c r="M374" s="1130"/>
      <c r="N374" s="1130"/>
      <c r="O374" s="1130"/>
      <c r="P374" s="1130"/>
      <c r="Q374" s="1130"/>
      <c r="R374" s="1130"/>
      <c r="S374" s="1130"/>
      <c r="T374" s="1130"/>
      <c r="U374" s="1130"/>
      <c r="V374" s="1130"/>
      <c r="W374" s="1130"/>
      <c r="X374" s="1130"/>
      <c r="Y374" s="1130"/>
      <c r="Z374" s="1130"/>
      <c r="AA374" s="1130"/>
    </row>
    <row r="375" spans="1:27" ht="15.75" customHeight="1">
      <c r="A375" s="1130"/>
      <c r="B375" s="1130"/>
      <c r="C375" s="1130"/>
      <c r="D375" s="1130"/>
      <c r="E375" s="1130"/>
      <c r="F375" s="1130"/>
      <c r="G375" s="1130"/>
      <c r="H375" s="1130"/>
      <c r="I375" s="1130"/>
      <c r="J375" s="1130"/>
      <c r="K375" s="1130"/>
      <c r="L375" s="1130"/>
      <c r="M375" s="1130"/>
      <c r="N375" s="1130"/>
      <c r="O375" s="1130"/>
      <c r="P375" s="1130"/>
      <c r="Q375" s="1130"/>
      <c r="R375" s="1130"/>
      <c r="S375" s="1130"/>
      <c r="T375" s="1130"/>
      <c r="U375" s="1130"/>
      <c r="V375" s="1130"/>
      <c r="W375" s="1130"/>
      <c r="X375" s="1130"/>
      <c r="Y375" s="1130"/>
      <c r="Z375" s="1130"/>
      <c r="AA375" s="1130"/>
    </row>
    <row r="376" spans="1:27" ht="15.75" customHeight="1">
      <c r="A376" s="1130"/>
      <c r="B376" s="1130"/>
      <c r="C376" s="1130"/>
      <c r="D376" s="1130"/>
      <c r="E376" s="1130"/>
      <c r="F376" s="1130"/>
      <c r="G376" s="1130"/>
      <c r="H376" s="1130"/>
      <c r="I376" s="1130"/>
      <c r="J376" s="1130"/>
      <c r="K376" s="1130"/>
      <c r="L376" s="1130"/>
      <c r="M376" s="1130"/>
      <c r="N376" s="1130"/>
      <c r="O376" s="1130"/>
      <c r="P376" s="1130"/>
      <c r="Q376" s="1130"/>
      <c r="R376" s="1130"/>
      <c r="S376" s="1130"/>
      <c r="T376" s="1130"/>
      <c r="U376" s="1130"/>
      <c r="V376" s="1130"/>
      <c r="W376" s="1130"/>
      <c r="X376" s="1130"/>
      <c r="Y376" s="1130"/>
      <c r="Z376" s="1130"/>
      <c r="AA376" s="1130"/>
    </row>
    <row r="377" spans="1:27" ht="15.75" customHeight="1">
      <c r="A377" s="1130"/>
      <c r="B377" s="1130"/>
      <c r="C377" s="1130"/>
      <c r="D377" s="1130"/>
      <c r="E377" s="1130"/>
      <c r="F377" s="1130"/>
      <c r="G377" s="1130"/>
      <c r="H377" s="1130"/>
      <c r="I377" s="1130"/>
      <c r="J377" s="1130"/>
      <c r="K377" s="1130"/>
      <c r="L377" s="1130"/>
      <c r="M377" s="1130"/>
      <c r="N377" s="1130"/>
      <c r="O377" s="1130"/>
      <c r="P377" s="1130"/>
      <c r="Q377" s="1130"/>
      <c r="R377" s="1130"/>
      <c r="S377" s="1130"/>
      <c r="T377" s="1130"/>
      <c r="U377" s="1130"/>
      <c r="V377" s="1130"/>
      <c r="W377" s="1130"/>
      <c r="X377" s="1130"/>
      <c r="Y377" s="1130"/>
      <c r="Z377" s="1130"/>
      <c r="AA377" s="1130"/>
    </row>
    <row r="378" spans="1:27" ht="15.75" customHeight="1">
      <c r="A378" s="1130"/>
      <c r="B378" s="1130"/>
      <c r="C378" s="1130"/>
      <c r="D378" s="1130"/>
      <c r="E378" s="1130"/>
      <c r="F378" s="1130"/>
      <c r="G378" s="1130"/>
      <c r="H378" s="1130"/>
      <c r="I378" s="1130"/>
      <c r="J378" s="1130"/>
      <c r="K378" s="1130"/>
      <c r="L378" s="1130"/>
      <c r="M378" s="1130"/>
      <c r="N378" s="1130"/>
      <c r="O378" s="1130"/>
      <c r="P378" s="1130"/>
      <c r="Q378" s="1130"/>
      <c r="R378" s="1130"/>
      <c r="S378" s="1130"/>
      <c r="T378" s="1130"/>
      <c r="U378" s="1130"/>
      <c r="V378" s="1130"/>
      <c r="W378" s="1130"/>
      <c r="X378" s="1130"/>
      <c r="Y378" s="1130"/>
      <c r="Z378" s="1130"/>
      <c r="AA378" s="1130"/>
    </row>
    <row r="379" spans="1:27" ht="15.75" customHeight="1">
      <c r="A379" s="1130"/>
      <c r="B379" s="1130"/>
      <c r="C379" s="1130"/>
      <c r="D379" s="1130"/>
      <c r="E379" s="1130"/>
      <c r="F379" s="1130"/>
      <c r="G379" s="1130"/>
      <c r="H379" s="1130"/>
      <c r="I379" s="1130"/>
      <c r="J379" s="1130"/>
      <c r="K379" s="1130"/>
      <c r="L379" s="1130"/>
      <c r="M379" s="1130"/>
      <c r="N379" s="1130"/>
      <c r="O379" s="1130"/>
      <c r="P379" s="1130"/>
      <c r="Q379" s="1130"/>
      <c r="R379" s="1130"/>
      <c r="S379" s="1130"/>
      <c r="T379" s="1130"/>
      <c r="U379" s="1130"/>
      <c r="V379" s="1130"/>
      <c r="W379" s="1130"/>
      <c r="X379" s="1130"/>
      <c r="Y379" s="1130"/>
      <c r="Z379" s="1130"/>
      <c r="AA379" s="1130"/>
    </row>
    <row r="380" spans="1:27" ht="15.75" customHeight="1">
      <c r="A380" s="1130"/>
      <c r="B380" s="1130"/>
      <c r="C380" s="1130"/>
      <c r="D380" s="1130"/>
      <c r="E380" s="1130"/>
      <c r="F380" s="1130"/>
      <c r="G380" s="1130"/>
      <c r="H380" s="1130"/>
      <c r="I380" s="1130"/>
      <c r="J380" s="1130"/>
      <c r="K380" s="1130"/>
      <c r="L380" s="1130"/>
      <c r="M380" s="1130"/>
      <c r="N380" s="1130"/>
      <c r="O380" s="1130"/>
      <c r="P380" s="1130"/>
      <c r="Q380" s="1130"/>
      <c r="R380" s="1130"/>
      <c r="S380" s="1130"/>
      <c r="T380" s="1130"/>
      <c r="U380" s="1130"/>
      <c r="V380" s="1130"/>
      <c r="W380" s="1130"/>
      <c r="X380" s="1130"/>
      <c r="Y380" s="1130"/>
      <c r="Z380" s="1130"/>
      <c r="AA380" s="1130"/>
    </row>
    <row r="381" spans="1:27" ht="15.75" customHeight="1">
      <c r="A381" s="1130"/>
      <c r="B381" s="1130"/>
      <c r="C381" s="1130"/>
      <c r="D381" s="1130"/>
      <c r="E381" s="1130"/>
      <c r="F381" s="1130"/>
      <c r="G381" s="1130"/>
      <c r="H381" s="1130"/>
      <c r="I381" s="1130"/>
      <c r="J381" s="1130"/>
      <c r="K381" s="1130"/>
      <c r="L381" s="1130"/>
      <c r="M381" s="1130"/>
      <c r="N381" s="1130"/>
      <c r="O381" s="1130"/>
      <c r="P381" s="1130"/>
      <c r="Q381" s="1130"/>
      <c r="R381" s="1130"/>
      <c r="S381" s="1130"/>
      <c r="T381" s="1130"/>
      <c r="U381" s="1130"/>
      <c r="V381" s="1130"/>
      <c r="W381" s="1130"/>
      <c r="X381" s="1130"/>
      <c r="Y381" s="1130"/>
      <c r="Z381" s="1130"/>
      <c r="AA381" s="1130"/>
    </row>
    <row r="382" spans="1:27" ht="15.75" customHeight="1">
      <c r="A382" s="1130"/>
      <c r="B382" s="1130"/>
      <c r="C382" s="1130"/>
      <c r="D382" s="1130"/>
      <c r="E382" s="1130"/>
      <c r="F382" s="1130"/>
      <c r="G382" s="1130"/>
      <c r="H382" s="1130"/>
      <c r="I382" s="1130"/>
      <c r="J382" s="1130"/>
      <c r="K382" s="1130"/>
      <c r="L382" s="1130"/>
      <c r="M382" s="1130"/>
      <c r="N382" s="1130"/>
      <c r="O382" s="1130"/>
      <c r="P382" s="1130"/>
      <c r="Q382" s="1130"/>
      <c r="R382" s="1130"/>
      <c r="S382" s="1130"/>
      <c r="T382" s="1130"/>
      <c r="U382" s="1130"/>
      <c r="V382" s="1130"/>
      <c r="W382" s="1130"/>
      <c r="X382" s="1130"/>
      <c r="Y382" s="1130"/>
      <c r="Z382" s="1130"/>
      <c r="AA382" s="1130"/>
    </row>
    <row r="383" spans="1:27" ht="15.75" customHeight="1">
      <c r="A383" s="1130"/>
      <c r="B383" s="1130"/>
      <c r="C383" s="1130"/>
      <c r="D383" s="1130"/>
      <c r="E383" s="1130"/>
      <c r="F383" s="1130"/>
      <c r="G383" s="1130"/>
      <c r="H383" s="1130"/>
      <c r="I383" s="1130"/>
      <c r="J383" s="1130"/>
      <c r="K383" s="1130"/>
      <c r="L383" s="1130"/>
      <c r="M383" s="1130"/>
      <c r="N383" s="1130"/>
      <c r="O383" s="1130"/>
      <c r="P383" s="1130"/>
      <c r="Q383" s="1130"/>
      <c r="R383" s="1130"/>
      <c r="S383" s="1130"/>
      <c r="T383" s="1130"/>
      <c r="U383" s="1130"/>
      <c r="V383" s="1130"/>
      <c r="W383" s="1130"/>
      <c r="X383" s="1130"/>
      <c r="Y383" s="1130"/>
      <c r="Z383" s="1130"/>
      <c r="AA383" s="1130"/>
    </row>
    <row r="384" spans="1:27" ht="15.75" customHeight="1">
      <c r="A384" s="1130"/>
      <c r="B384" s="1130"/>
      <c r="C384" s="1130"/>
      <c r="D384" s="1130"/>
      <c r="E384" s="1130"/>
      <c r="F384" s="1130"/>
      <c r="G384" s="1130"/>
      <c r="H384" s="1130"/>
      <c r="I384" s="1130"/>
      <c r="J384" s="1130"/>
      <c r="K384" s="1130"/>
      <c r="L384" s="1130"/>
      <c r="M384" s="1130"/>
      <c r="N384" s="1130"/>
      <c r="O384" s="1130"/>
      <c r="P384" s="1130"/>
      <c r="Q384" s="1130"/>
      <c r="R384" s="1130"/>
      <c r="S384" s="1130"/>
      <c r="T384" s="1130"/>
      <c r="U384" s="1130"/>
      <c r="V384" s="1130"/>
      <c r="W384" s="1130"/>
      <c r="X384" s="1130"/>
      <c r="Y384" s="1130"/>
      <c r="Z384" s="1130"/>
      <c r="AA384" s="1130"/>
    </row>
    <row r="385" spans="1:27" ht="15.75" customHeight="1">
      <c r="A385" s="1130"/>
      <c r="B385" s="1130"/>
      <c r="C385" s="1130"/>
      <c r="D385" s="1130"/>
      <c r="E385" s="1130"/>
      <c r="F385" s="1130"/>
      <c r="G385" s="1130"/>
      <c r="H385" s="1130"/>
      <c r="I385" s="1130"/>
      <c r="J385" s="1130"/>
      <c r="K385" s="1130"/>
      <c r="L385" s="1130"/>
      <c r="M385" s="1130"/>
      <c r="N385" s="1130"/>
      <c r="O385" s="1130"/>
      <c r="P385" s="1130"/>
      <c r="Q385" s="1130"/>
      <c r="R385" s="1130"/>
      <c r="S385" s="1130"/>
      <c r="T385" s="1130"/>
      <c r="U385" s="1130"/>
      <c r="V385" s="1130"/>
      <c r="W385" s="1130"/>
      <c r="X385" s="1130"/>
      <c r="Y385" s="1130"/>
      <c r="Z385" s="1130"/>
      <c r="AA385" s="1130"/>
    </row>
    <row r="386" spans="1:27" ht="15.75" customHeight="1">
      <c r="A386" s="1130"/>
      <c r="B386" s="1130"/>
      <c r="C386" s="1130"/>
      <c r="D386" s="1130"/>
      <c r="E386" s="1130"/>
      <c r="F386" s="1130"/>
      <c r="G386" s="1130"/>
      <c r="H386" s="1130"/>
      <c r="I386" s="1130"/>
      <c r="J386" s="1130"/>
      <c r="K386" s="1130"/>
      <c r="L386" s="1130"/>
      <c r="M386" s="1130"/>
      <c r="N386" s="1130"/>
      <c r="O386" s="1130"/>
      <c r="P386" s="1130"/>
      <c r="Q386" s="1130"/>
      <c r="R386" s="1130"/>
      <c r="S386" s="1130"/>
      <c r="T386" s="1130"/>
      <c r="U386" s="1130"/>
      <c r="V386" s="1130"/>
      <c r="W386" s="1130"/>
      <c r="X386" s="1130"/>
      <c r="Y386" s="1130"/>
      <c r="Z386" s="1130"/>
      <c r="AA386" s="1130"/>
    </row>
    <row r="387" spans="1:27" ht="15.75" customHeight="1">
      <c r="A387" s="1130"/>
      <c r="B387" s="1130"/>
      <c r="C387" s="1130"/>
      <c r="D387" s="1130"/>
      <c r="E387" s="1130"/>
      <c r="F387" s="1130"/>
      <c r="G387" s="1130"/>
      <c r="H387" s="1130"/>
      <c r="I387" s="1130"/>
      <c r="J387" s="1130"/>
      <c r="K387" s="1130"/>
      <c r="L387" s="1130"/>
      <c r="M387" s="1130"/>
      <c r="N387" s="1130"/>
      <c r="O387" s="1130"/>
      <c r="P387" s="1130"/>
      <c r="Q387" s="1130"/>
      <c r="R387" s="1130"/>
      <c r="S387" s="1130"/>
      <c r="T387" s="1130"/>
      <c r="U387" s="1130"/>
      <c r="V387" s="1130"/>
      <c r="W387" s="1130"/>
      <c r="X387" s="1130"/>
      <c r="Y387" s="1130"/>
      <c r="Z387" s="1130"/>
      <c r="AA387" s="1130"/>
    </row>
    <row r="388" spans="1:27" ht="15.75" customHeight="1">
      <c r="A388" s="1130"/>
      <c r="B388" s="1130"/>
      <c r="C388" s="1130"/>
      <c r="D388" s="1130"/>
      <c r="E388" s="1130"/>
      <c r="F388" s="1130"/>
      <c r="G388" s="1130"/>
      <c r="H388" s="1130"/>
      <c r="I388" s="1130"/>
      <c r="J388" s="1130"/>
      <c r="K388" s="1130"/>
      <c r="L388" s="1130"/>
      <c r="M388" s="1130"/>
      <c r="N388" s="1130"/>
      <c r="O388" s="1130"/>
      <c r="P388" s="1130"/>
      <c r="Q388" s="1130"/>
      <c r="R388" s="1130"/>
      <c r="S388" s="1130"/>
      <c r="T388" s="1130"/>
      <c r="U388" s="1130"/>
      <c r="V388" s="1130"/>
      <c r="W388" s="1130"/>
      <c r="X388" s="1130"/>
      <c r="Y388" s="1130"/>
      <c r="Z388" s="1130"/>
      <c r="AA388" s="1130"/>
    </row>
    <row r="389" spans="1:27" ht="15.75" customHeight="1">
      <c r="A389" s="1130"/>
      <c r="B389" s="1130"/>
      <c r="C389" s="1130"/>
      <c r="D389" s="1130"/>
      <c r="E389" s="1130"/>
      <c r="F389" s="1130"/>
      <c r="G389" s="1130"/>
      <c r="H389" s="1130"/>
      <c r="I389" s="1130"/>
      <c r="J389" s="1130"/>
      <c r="K389" s="1130"/>
      <c r="L389" s="1130"/>
      <c r="M389" s="1130"/>
      <c r="N389" s="1130"/>
      <c r="O389" s="1130"/>
      <c r="P389" s="1130"/>
      <c r="Q389" s="1130"/>
      <c r="R389" s="1130"/>
      <c r="S389" s="1130"/>
      <c r="T389" s="1130"/>
      <c r="U389" s="1130"/>
      <c r="V389" s="1130"/>
      <c r="W389" s="1130"/>
      <c r="X389" s="1130"/>
      <c r="Y389" s="1130"/>
      <c r="Z389" s="1130"/>
      <c r="AA389" s="1130"/>
    </row>
    <row r="390" spans="1:27" ht="15.75" customHeight="1">
      <c r="A390" s="1130"/>
      <c r="B390" s="1130"/>
      <c r="C390" s="1130"/>
      <c r="D390" s="1130"/>
      <c r="E390" s="1130"/>
      <c r="F390" s="1130"/>
      <c r="G390" s="1130"/>
      <c r="H390" s="1130"/>
      <c r="I390" s="1130"/>
      <c r="J390" s="1130"/>
      <c r="K390" s="1130"/>
      <c r="L390" s="1130"/>
      <c r="M390" s="1130"/>
      <c r="N390" s="1130"/>
      <c r="O390" s="1130"/>
      <c r="P390" s="1130"/>
      <c r="Q390" s="1130"/>
      <c r="R390" s="1130"/>
      <c r="S390" s="1130"/>
      <c r="T390" s="1130"/>
      <c r="U390" s="1130"/>
      <c r="V390" s="1130"/>
      <c r="W390" s="1130"/>
      <c r="X390" s="1130"/>
      <c r="Y390" s="1130"/>
      <c r="Z390" s="1130"/>
      <c r="AA390" s="1130"/>
    </row>
    <row r="391" spans="1:27" ht="15.75" customHeight="1">
      <c r="A391" s="1130"/>
      <c r="B391" s="1130"/>
      <c r="C391" s="1130"/>
      <c r="D391" s="1130"/>
      <c r="E391" s="1130"/>
      <c r="F391" s="1130"/>
      <c r="G391" s="1130"/>
      <c r="H391" s="1130"/>
      <c r="I391" s="1130"/>
      <c r="J391" s="1130"/>
      <c r="K391" s="1130"/>
      <c r="L391" s="1130"/>
      <c r="M391" s="1130"/>
      <c r="N391" s="1130"/>
      <c r="O391" s="1130"/>
      <c r="P391" s="1130"/>
      <c r="Q391" s="1130"/>
      <c r="R391" s="1130"/>
      <c r="S391" s="1130"/>
      <c r="T391" s="1130"/>
      <c r="U391" s="1130"/>
      <c r="V391" s="1130"/>
      <c r="W391" s="1130"/>
      <c r="X391" s="1130"/>
      <c r="Y391" s="1130"/>
      <c r="Z391" s="1130"/>
      <c r="AA391" s="1130"/>
    </row>
    <row r="392" spans="1:27" ht="15.75" customHeight="1">
      <c r="A392" s="1130"/>
      <c r="B392" s="1130"/>
      <c r="C392" s="1130"/>
      <c r="D392" s="1130"/>
      <c r="E392" s="1130"/>
      <c r="F392" s="1130"/>
      <c r="G392" s="1130"/>
      <c r="H392" s="1130"/>
      <c r="I392" s="1130"/>
      <c r="J392" s="1130"/>
      <c r="K392" s="1130"/>
      <c r="L392" s="1130"/>
      <c r="M392" s="1130"/>
      <c r="N392" s="1130"/>
      <c r="O392" s="1130"/>
      <c r="P392" s="1130"/>
      <c r="Q392" s="1130"/>
      <c r="R392" s="1130"/>
      <c r="S392" s="1130"/>
      <c r="T392" s="1130"/>
      <c r="U392" s="1130"/>
      <c r="V392" s="1130"/>
      <c r="W392" s="1130"/>
      <c r="X392" s="1130"/>
      <c r="Y392" s="1130"/>
      <c r="Z392" s="1130"/>
      <c r="AA392" s="1130"/>
    </row>
    <row r="393" spans="1:27" ht="15.75" customHeight="1">
      <c r="A393" s="1130"/>
      <c r="B393" s="1130"/>
      <c r="C393" s="1130"/>
      <c r="D393" s="1130"/>
      <c r="E393" s="1130"/>
      <c r="F393" s="1130"/>
      <c r="G393" s="1130"/>
      <c r="H393" s="1130"/>
      <c r="I393" s="1130"/>
      <c r="J393" s="1130"/>
      <c r="K393" s="1130"/>
      <c r="L393" s="1130"/>
      <c r="M393" s="1130"/>
      <c r="N393" s="1130"/>
      <c r="O393" s="1130"/>
      <c r="P393" s="1130"/>
      <c r="Q393" s="1130"/>
      <c r="R393" s="1130"/>
      <c r="S393" s="1130"/>
      <c r="T393" s="1130"/>
      <c r="U393" s="1130"/>
      <c r="V393" s="1130"/>
      <c r="W393" s="1130"/>
      <c r="X393" s="1130"/>
      <c r="Y393" s="1130"/>
      <c r="Z393" s="1130"/>
      <c r="AA393" s="1130"/>
    </row>
    <row r="394" spans="1:27" ht="15.75" customHeight="1">
      <c r="A394" s="1130"/>
      <c r="B394" s="1130"/>
      <c r="C394" s="1130"/>
      <c r="D394" s="1130"/>
      <c r="E394" s="1130"/>
      <c r="F394" s="1130"/>
      <c r="G394" s="1130"/>
      <c r="H394" s="1130"/>
      <c r="I394" s="1130"/>
      <c r="J394" s="1130"/>
      <c r="K394" s="1130"/>
      <c r="L394" s="1130"/>
      <c r="M394" s="1130"/>
      <c r="N394" s="1130"/>
      <c r="O394" s="1130"/>
      <c r="P394" s="1130"/>
      <c r="Q394" s="1130"/>
      <c r="R394" s="1130"/>
      <c r="S394" s="1130"/>
      <c r="T394" s="1130"/>
      <c r="U394" s="1130"/>
      <c r="V394" s="1130"/>
      <c r="W394" s="1130"/>
      <c r="X394" s="1130"/>
      <c r="Y394" s="1130"/>
      <c r="Z394" s="1130"/>
      <c r="AA394" s="1130"/>
    </row>
    <row r="395" spans="1:27" ht="15.75" customHeight="1">
      <c r="A395" s="1130"/>
      <c r="B395" s="1130"/>
      <c r="C395" s="1130"/>
      <c r="D395" s="1130"/>
      <c r="E395" s="1130"/>
      <c r="F395" s="1130"/>
      <c r="G395" s="1130"/>
      <c r="H395" s="1130"/>
      <c r="I395" s="1130"/>
      <c r="J395" s="1130"/>
      <c r="K395" s="1130"/>
      <c r="L395" s="1130"/>
      <c r="M395" s="1130"/>
      <c r="N395" s="1130"/>
      <c r="O395" s="1130"/>
      <c r="P395" s="1130"/>
      <c r="Q395" s="1130"/>
      <c r="R395" s="1130"/>
      <c r="S395" s="1130"/>
      <c r="T395" s="1130"/>
      <c r="U395" s="1130"/>
      <c r="V395" s="1130"/>
      <c r="W395" s="1130"/>
      <c r="X395" s="1130"/>
      <c r="Y395" s="1130"/>
      <c r="Z395" s="1130"/>
      <c r="AA395" s="1130"/>
    </row>
    <row r="396" spans="1:27" ht="15.75" customHeight="1">
      <c r="A396" s="1130"/>
      <c r="B396" s="1130"/>
      <c r="C396" s="1130"/>
      <c r="D396" s="1130"/>
      <c r="E396" s="1130"/>
      <c r="F396" s="1130"/>
      <c r="G396" s="1130"/>
      <c r="H396" s="1130"/>
      <c r="I396" s="1130"/>
      <c r="J396" s="1130"/>
      <c r="K396" s="1130"/>
      <c r="L396" s="1130"/>
      <c r="M396" s="1130"/>
      <c r="N396" s="1130"/>
      <c r="O396" s="1130"/>
      <c r="P396" s="1130"/>
      <c r="Q396" s="1130"/>
      <c r="R396" s="1130"/>
      <c r="S396" s="1130"/>
      <c r="T396" s="1130"/>
      <c r="U396" s="1130"/>
      <c r="V396" s="1130"/>
      <c r="W396" s="1130"/>
      <c r="X396" s="1130"/>
      <c r="Y396" s="1130"/>
      <c r="Z396" s="1130"/>
      <c r="AA396" s="1130"/>
    </row>
    <row r="397" spans="1:27" ht="15.75" customHeight="1">
      <c r="A397" s="1130"/>
      <c r="B397" s="1130"/>
      <c r="C397" s="1130"/>
      <c r="D397" s="1130"/>
      <c r="E397" s="1130"/>
      <c r="F397" s="1130"/>
      <c r="G397" s="1130"/>
      <c r="H397" s="1130"/>
      <c r="I397" s="1130"/>
      <c r="J397" s="1130"/>
      <c r="K397" s="1130"/>
      <c r="L397" s="1130"/>
      <c r="M397" s="1130"/>
      <c r="N397" s="1130"/>
      <c r="O397" s="1130"/>
      <c r="P397" s="1130"/>
      <c r="Q397" s="1130"/>
      <c r="R397" s="1130"/>
      <c r="S397" s="1130"/>
      <c r="T397" s="1130"/>
      <c r="U397" s="1130"/>
      <c r="V397" s="1130"/>
      <c r="W397" s="1130"/>
      <c r="X397" s="1130"/>
      <c r="Y397" s="1130"/>
      <c r="Z397" s="1130"/>
      <c r="AA397" s="1130"/>
    </row>
    <row r="398" spans="1:27" ht="15.75" customHeight="1">
      <c r="A398" s="1130"/>
      <c r="B398" s="1130"/>
      <c r="C398" s="1130"/>
      <c r="D398" s="1130"/>
      <c r="E398" s="1130"/>
      <c r="F398" s="1130"/>
      <c r="G398" s="1130"/>
      <c r="H398" s="1130"/>
      <c r="I398" s="1130"/>
      <c r="J398" s="1130"/>
      <c r="K398" s="1130"/>
      <c r="L398" s="1130"/>
      <c r="M398" s="1130"/>
      <c r="N398" s="1130"/>
      <c r="O398" s="1130"/>
      <c r="P398" s="1130"/>
      <c r="Q398" s="1130"/>
      <c r="R398" s="1130"/>
      <c r="S398" s="1130"/>
      <c r="T398" s="1130"/>
      <c r="U398" s="1130"/>
      <c r="V398" s="1130"/>
      <c r="W398" s="1130"/>
      <c r="X398" s="1130"/>
      <c r="Y398" s="1130"/>
      <c r="Z398" s="1130"/>
      <c r="AA398" s="1130"/>
    </row>
    <row r="399" spans="1:27" ht="15.75" customHeight="1">
      <c r="A399" s="1130"/>
      <c r="B399" s="1130"/>
      <c r="C399" s="1130"/>
      <c r="D399" s="1130"/>
      <c r="E399" s="1130"/>
      <c r="F399" s="1130"/>
      <c r="G399" s="1130"/>
      <c r="H399" s="1130"/>
      <c r="I399" s="1130"/>
      <c r="J399" s="1130"/>
      <c r="K399" s="1130"/>
      <c r="L399" s="1130"/>
      <c r="M399" s="1130"/>
      <c r="N399" s="1130"/>
      <c r="O399" s="1130"/>
      <c r="P399" s="1130"/>
      <c r="Q399" s="1130"/>
      <c r="R399" s="1130"/>
      <c r="S399" s="1130"/>
      <c r="T399" s="1130"/>
      <c r="U399" s="1130"/>
      <c r="V399" s="1130"/>
      <c r="W399" s="1130"/>
      <c r="X399" s="1130"/>
      <c r="Y399" s="1130"/>
      <c r="Z399" s="1130"/>
      <c r="AA399" s="1130"/>
    </row>
    <row r="400" spans="1:27" ht="15.75" customHeight="1">
      <c r="A400" s="1130"/>
      <c r="B400" s="1130"/>
      <c r="C400" s="1130"/>
      <c r="D400" s="1130"/>
      <c r="E400" s="1130"/>
      <c r="F400" s="1130"/>
      <c r="G400" s="1130"/>
      <c r="H400" s="1130"/>
      <c r="I400" s="1130"/>
      <c r="J400" s="1130"/>
      <c r="K400" s="1130"/>
      <c r="L400" s="1130"/>
      <c r="M400" s="1130"/>
      <c r="N400" s="1130"/>
      <c r="O400" s="1130"/>
      <c r="P400" s="1130"/>
      <c r="Q400" s="1130"/>
      <c r="R400" s="1130"/>
      <c r="S400" s="1130"/>
      <c r="T400" s="1130"/>
      <c r="U400" s="1130"/>
      <c r="V400" s="1130"/>
      <c r="W400" s="1130"/>
      <c r="X400" s="1130"/>
      <c r="Y400" s="1130"/>
      <c r="Z400" s="1130"/>
      <c r="AA400" s="1130"/>
    </row>
    <row r="401" spans="1:27" ht="15.75" customHeight="1">
      <c r="A401" s="1130"/>
      <c r="B401" s="1130"/>
      <c r="C401" s="1130"/>
      <c r="D401" s="1130"/>
      <c r="E401" s="1130"/>
      <c r="F401" s="1130"/>
      <c r="G401" s="1130"/>
      <c r="H401" s="1130"/>
      <c r="I401" s="1130"/>
      <c r="J401" s="1130"/>
      <c r="K401" s="1130"/>
      <c r="L401" s="1130"/>
      <c r="M401" s="1130"/>
      <c r="N401" s="1130"/>
      <c r="O401" s="1130"/>
      <c r="P401" s="1130"/>
      <c r="Q401" s="1130"/>
      <c r="R401" s="1130"/>
      <c r="S401" s="1130"/>
      <c r="T401" s="1130"/>
      <c r="U401" s="1130"/>
      <c r="V401" s="1130"/>
      <c r="W401" s="1130"/>
      <c r="X401" s="1130"/>
      <c r="Y401" s="1130"/>
      <c r="Z401" s="1130"/>
      <c r="AA401" s="1130"/>
    </row>
    <row r="402" spans="1:27" ht="15.75" customHeight="1">
      <c r="A402" s="1130"/>
      <c r="B402" s="1130"/>
      <c r="C402" s="1130"/>
      <c r="D402" s="1130"/>
      <c r="E402" s="1130"/>
      <c r="F402" s="1130"/>
      <c r="G402" s="1130"/>
      <c r="H402" s="1130"/>
      <c r="I402" s="1130"/>
      <c r="J402" s="1130"/>
      <c r="K402" s="1130"/>
      <c r="L402" s="1130"/>
      <c r="M402" s="1130"/>
      <c r="N402" s="1130"/>
      <c r="O402" s="1130"/>
      <c r="P402" s="1130"/>
      <c r="Q402" s="1130"/>
      <c r="R402" s="1130"/>
      <c r="S402" s="1130"/>
      <c r="T402" s="1130"/>
      <c r="U402" s="1130"/>
      <c r="V402" s="1130"/>
      <c r="W402" s="1130"/>
      <c r="X402" s="1130"/>
      <c r="Y402" s="1130"/>
      <c r="Z402" s="1130"/>
      <c r="AA402" s="1130"/>
    </row>
    <row r="403" spans="1:27" ht="15.75" customHeight="1">
      <c r="A403" s="1130"/>
      <c r="B403" s="1130"/>
      <c r="C403" s="1130"/>
      <c r="D403" s="1130"/>
      <c r="E403" s="1130"/>
      <c r="F403" s="1130"/>
      <c r="G403" s="1130"/>
      <c r="H403" s="1130"/>
      <c r="I403" s="1130"/>
      <c r="J403" s="1130"/>
      <c r="K403" s="1130"/>
      <c r="L403" s="1130"/>
      <c r="M403" s="1130"/>
      <c r="N403" s="1130"/>
      <c r="O403" s="1130"/>
      <c r="P403" s="1130"/>
      <c r="Q403" s="1130"/>
      <c r="R403" s="1130"/>
      <c r="S403" s="1130"/>
      <c r="T403" s="1130"/>
      <c r="U403" s="1130"/>
      <c r="V403" s="1130"/>
      <c r="W403" s="1130"/>
      <c r="X403" s="1130"/>
      <c r="Y403" s="1130"/>
      <c r="Z403" s="1130"/>
      <c r="AA403" s="1130"/>
    </row>
    <row r="404" spans="1:27" ht="15.75" customHeight="1">
      <c r="A404" s="1130"/>
      <c r="B404" s="1130"/>
      <c r="C404" s="1130"/>
      <c r="D404" s="1130"/>
      <c r="E404" s="1130"/>
      <c r="F404" s="1130"/>
      <c r="G404" s="1130"/>
      <c r="H404" s="1130"/>
      <c r="I404" s="1130"/>
      <c r="J404" s="1130"/>
      <c r="K404" s="1130"/>
      <c r="L404" s="1130"/>
      <c r="M404" s="1130"/>
      <c r="N404" s="1130"/>
      <c r="O404" s="1130"/>
      <c r="P404" s="1130"/>
      <c r="Q404" s="1130"/>
      <c r="R404" s="1130"/>
      <c r="S404" s="1130"/>
      <c r="T404" s="1130"/>
      <c r="U404" s="1130"/>
      <c r="V404" s="1130"/>
      <c r="W404" s="1130"/>
      <c r="X404" s="1130"/>
      <c r="Y404" s="1130"/>
      <c r="Z404" s="1130"/>
      <c r="AA404" s="1130"/>
    </row>
    <row r="405" spans="1:27" ht="15.75" customHeight="1">
      <c r="A405" s="1130"/>
      <c r="B405" s="1130"/>
      <c r="C405" s="1130"/>
      <c r="D405" s="1130"/>
      <c r="E405" s="1130"/>
      <c r="F405" s="1130"/>
      <c r="G405" s="1130"/>
      <c r="H405" s="1130"/>
      <c r="I405" s="1130"/>
      <c r="J405" s="1130"/>
      <c r="K405" s="1130"/>
      <c r="L405" s="1130"/>
      <c r="M405" s="1130"/>
      <c r="N405" s="1130"/>
      <c r="O405" s="1130"/>
      <c r="P405" s="1130"/>
      <c r="Q405" s="1130"/>
      <c r="R405" s="1130"/>
      <c r="S405" s="1130"/>
      <c r="T405" s="1130"/>
      <c r="U405" s="1130"/>
      <c r="V405" s="1130"/>
      <c r="W405" s="1130"/>
      <c r="X405" s="1130"/>
      <c r="Y405" s="1130"/>
      <c r="Z405" s="1130"/>
      <c r="AA405" s="1130"/>
    </row>
    <row r="406" spans="1:27" ht="15.75" customHeight="1">
      <c r="A406" s="1130"/>
      <c r="B406" s="1130"/>
      <c r="C406" s="1130"/>
      <c r="D406" s="1130"/>
      <c r="E406" s="1130"/>
      <c r="F406" s="1130"/>
      <c r="G406" s="1130"/>
      <c r="H406" s="1130"/>
      <c r="I406" s="1130"/>
      <c r="J406" s="1130"/>
      <c r="K406" s="1130"/>
      <c r="L406" s="1130"/>
      <c r="M406" s="1130"/>
      <c r="N406" s="1130"/>
      <c r="O406" s="1130"/>
      <c r="P406" s="1130"/>
      <c r="Q406" s="1130"/>
      <c r="R406" s="1130"/>
      <c r="S406" s="1130"/>
      <c r="T406" s="1130"/>
      <c r="U406" s="1130"/>
      <c r="V406" s="1130"/>
      <c r="W406" s="1130"/>
      <c r="X406" s="1130"/>
      <c r="Y406" s="1130"/>
      <c r="Z406" s="1130"/>
      <c r="AA406" s="1130"/>
    </row>
    <row r="407" spans="1:27" ht="15.75" customHeight="1">
      <c r="A407" s="1130"/>
      <c r="B407" s="1130"/>
      <c r="C407" s="1130"/>
      <c r="D407" s="1130"/>
      <c r="E407" s="1130"/>
      <c r="F407" s="1130"/>
      <c r="G407" s="1130"/>
      <c r="H407" s="1130"/>
      <c r="I407" s="1130"/>
      <c r="J407" s="1130"/>
      <c r="K407" s="1130"/>
      <c r="L407" s="1130"/>
      <c r="M407" s="1130"/>
      <c r="N407" s="1130"/>
      <c r="O407" s="1130"/>
      <c r="P407" s="1130"/>
      <c r="Q407" s="1130"/>
      <c r="R407" s="1130"/>
      <c r="S407" s="1130"/>
      <c r="T407" s="1130"/>
      <c r="U407" s="1130"/>
      <c r="V407" s="1130"/>
      <c r="W407" s="1130"/>
      <c r="X407" s="1130"/>
      <c r="Y407" s="1130"/>
      <c r="Z407" s="1130"/>
      <c r="AA407" s="1130"/>
    </row>
    <row r="408" spans="1:27" ht="15.75" customHeight="1">
      <c r="A408" s="1130"/>
      <c r="B408" s="1130"/>
      <c r="C408" s="1130"/>
      <c r="D408" s="1130"/>
      <c r="E408" s="1130"/>
      <c r="F408" s="1130"/>
      <c r="G408" s="1130"/>
      <c r="H408" s="1130"/>
      <c r="I408" s="1130"/>
      <c r="J408" s="1130"/>
      <c r="K408" s="1130"/>
      <c r="L408" s="1130"/>
      <c r="M408" s="1130"/>
      <c r="N408" s="1130"/>
      <c r="O408" s="1130"/>
      <c r="P408" s="1130"/>
      <c r="Q408" s="1130"/>
      <c r="R408" s="1130"/>
      <c r="S408" s="1130"/>
      <c r="T408" s="1130"/>
      <c r="U408" s="1130"/>
      <c r="V408" s="1130"/>
      <c r="W408" s="1130"/>
      <c r="X408" s="1130"/>
      <c r="Y408" s="1130"/>
      <c r="Z408" s="1130"/>
      <c r="AA408" s="1130"/>
    </row>
    <row r="409" spans="1:27" ht="15.75" customHeight="1">
      <c r="A409" s="1130"/>
      <c r="B409" s="1130"/>
      <c r="C409" s="1130"/>
      <c r="D409" s="1130"/>
      <c r="E409" s="1130"/>
      <c r="F409" s="1130"/>
      <c r="G409" s="1130"/>
      <c r="H409" s="1130"/>
      <c r="I409" s="1130"/>
      <c r="J409" s="1130"/>
      <c r="K409" s="1130"/>
      <c r="L409" s="1130"/>
      <c r="M409" s="1130"/>
      <c r="N409" s="1130"/>
      <c r="O409" s="1130"/>
      <c r="P409" s="1130"/>
      <c r="Q409" s="1130"/>
      <c r="R409" s="1130"/>
      <c r="S409" s="1130"/>
      <c r="T409" s="1130"/>
      <c r="U409" s="1130"/>
      <c r="V409" s="1130"/>
      <c r="W409" s="1130"/>
      <c r="X409" s="1130"/>
      <c r="Y409" s="1130"/>
      <c r="Z409" s="1130"/>
      <c r="AA409" s="1130"/>
    </row>
    <row r="410" spans="1:27" ht="15.75" customHeight="1">
      <c r="A410" s="1130"/>
      <c r="B410" s="1130"/>
      <c r="C410" s="1130"/>
      <c r="D410" s="1130"/>
      <c r="E410" s="1130"/>
      <c r="F410" s="1130"/>
      <c r="G410" s="1130"/>
      <c r="H410" s="1130"/>
      <c r="I410" s="1130"/>
      <c r="J410" s="1130"/>
      <c r="K410" s="1130"/>
      <c r="L410" s="1130"/>
      <c r="M410" s="1130"/>
      <c r="N410" s="1130"/>
      <c r="O410" s="1130"/>
      <c r="P410" s="1130"/>
      <c r="Q410" s="1130"/>
      <c r="R410" s="1130"/>
      <c r="S410" s="1130"/>
      <c r="T410" s="1130"/>
      <c r="U410" s="1130"/>
      <c r="V410" s="1130"/>
      <c r="W410" s="1130"/>
      <c r="X410" s="1130"/>
      <c r="Y410" s="1130"/>
      <c r="Z410" s="1130"/>
      <c r="AA410" s="1130"/>
    </row>
    <row r="411" spans="1:27" ht="15.75" customHeight="1">
      <c r="A411" s="1130"/>
      <c r="B411" s="1130"/>
      <c r="C411" s="1130"/>
      <c r="D411" s="1130"/>
      <c r="E411" s="1130"/>
      <c r="F411" s="1130"/>
      <c r="G411" s="1130"/>
      <c r="H411" s="1130"/>
      <c r="I411" s="1130"/>
      <c r="J411" s="1130"/>
      <c r="K411" s="1130"/>
      <c r="L411" s="1130"/>
      <c r="M411" s="1130"/>
      <c r="N411" s="1130"/>
      <c r="O411" s="1130"/>
      <c r="P411" s="1130"/>
      <c r="Q411" s="1130"/>
      <c r="R411" s="1130"/>
      <c r="S411" s="1130"/>
      <c r="T411" s="1130"/>
      <c r="U411" s="1130"/>
      <c r="V411" s="1130"/>
      <c r="W411" s="1130"/>
      <c r="X411" s="1130"/>
      <c r="Y411" s="1130"/>
      <c r="Z411" s="1130"/>
      <c r="AA411" s="1130"/>
    </row>
    <row r="412" spans="1:27" ht="15.75" customHeight="1">
      <c r="A412" s="1130"/>
      <c r="B412" s="1130"/>
      <c r="C412" s="1130"/>
      <c r="D412" s="1130"/>
      <c r="E412" s="1130"/>
      <c r="F412" s="1130"/>
      <c r="G412" s="1130"/>
      <c r="H412" s="1130"/>
      <c r="I412" s="1130"/>
      <c r="J412" s="1130"/>
      <c r="K412" s="1130"/>
      <c r="L412" s="1130"/>
      <c r="M412" s="1130"/>
      <c r="N412" s="1130"/>
      <c r="O412" s="1130"/>
      <c r="P412" s="1130"/>
      <c r="Q412" s="1130"/>
      <c r="R412" s="1130"/>
      <c r="S412" s="1130"/>
      <c r="T412" s="1130"/>
      <c r="U412" s="1130"/>
      <c r="V412" s="1130"/>
      <c r="W412" s="1130"/>
      <c r="X412" s="1130"/>
      <c r="Y412" s="1130"/>
      <c r="Z412" s="1130"/>
      <c r="AA412" s="1130"/>
    </row>
    <row r="413" spans="1:27" ht="15.75" customHeight="1">
      <c r="A413" s="1130"/>
      <c r="B413" s="1130"/>
      <c r="C413" s="1130"/>
      <c r="D413" s="1130"/>
      <c r="E413" s="1130"/>
      <c r="F413" s="1130"/>
      <c r="G413" s="1130"/>
      <c r="H413" s="1130"/>
      <c r="I413" s="1130"/>
      <c r="J413" s="1130"/>
      <c r="K413" s="1130"/>
      <c r="L413" s="1130"/>
      <c r="M413" s="1130"/>
      <c r="N413" s="1130"/>
      <c r="O413" s="1130"/>
      <c r="P413" s="1130"/>
      <c r="Q413" s="1130"/>
      <c r="R413" s="1130"/>
      <c r="S413" s="1130"/>
      <c r="T413" s="1130"/>
      <c r="U413" s="1130"/>
      <c r="V413" s="1130"/>
      <c r="W413" s="1130"/>
      <c r="X413" s="1130"/>
      <c r="Y413" s="1130"/>
      <c r="Z413" s="1130"/>
      <c r="AA413" s="1130"/>
    </row>
    <row r="414" spans="1:27" ht="15.75" customHeight="1">
      <c r="A414" s="1130"/>
      <c r="B414" s="1130"/>
      <c r="C414" s="1130"/>
      <c r="D414" s="1130"/>
      <c r="E414" s="1130"/>
      <c r="F414" s="1130"/>
      <c r="G414" s="1130"/>
      <c r="H414" s="1130"/>
      <c r="I414" s="1130"/>
      <c r="J414" s="1130"/>
      <c r="K414" s="1130"/>
      <c r="L414" s="1130"/>
      <c r="M414" s="1130"/>
      <c r="N414" s="1130"/>
      <c r="O414" s="1130"/>
      <c r="P414" s="1130"/>
      <c r="Q414" s="1130"/>
      <c r="R414" s="1130"/>
      <c r="S414" s="1130"/>
      <c r="T414" s="1130"/>
      <c r="U414" s="1130"/>
      <c r="V414" s="1130"/>
      <c r="W414" s="1130"/>
      <c r="X414" s="1130"/>
      <c r="Y414" s="1130"/>
      <c r="Z414" s="1130"/>
      <c r="AA414" s="1130"/>
    </row>
    <row r="415" spans="1:27" ht="15.75" customHeight="1">
      <c r="A415" s="1130"/>
      <c r="B415" s="1130"/>
      <c r="C415" s="1130"/>
      <c r="D415" s="1130"/>
      <c r="E415" s="1130"/>
      <c r="F415" s="1130"/>
      <c r="G415" s="1130"/>
      <c r="H415" s="1130"/>
      <c r="I415" s="1130"/>
      <c r="J415" s="1130"/>
      <c r="K415" s="1130"/>
      <c r="L415" s="1130"/>
      <c r="M415" s="1130"/>
      <c r="N415" s="1130"/>
      <c r="O415" s="1130"/>
      <c r="P415" s="1130"/>
      <c r="Q415" s="1130"/>
      <c r="R415" s="1130"/>
      <c r="S415" s="1130"/>
      <c r="T415" s="1130"/>
      <c r="U415" s="1130"/>
      <c r="V415" s="1130"/>
      <c r="W415" s="1130"/>
      <c r="X415" s="1130"/>
      <c r="Y415" s="1130"/>
      <c r="Z415" s="1130"/>
      <c r="AA415" s="1130"/>
    </row>
    <row r="416" spans="1:27" ht="15.75" customHeight="1">
      <c r="A416" s="1130"/>
      <c r="B416" s="1130"/>
      <c r="C416" s="1130"/>
      <c r="D416" s="1130"/>
      <c r="E416" s="1130"/>
      <c r="F416" s="1130"/>
      <c r="G416" s="1130"/>
      <c r="H416" s="1130"/>
      <c r="I416" s="1130"/>
      <c r="J416" s="1130"/>
      <c r="K416" s="1130"/>
      <c r="L416" s="1130"/>
      <c r="M416" s="1130"/>
      <c r="N416" s="1130"/>
      <c r="O416" s="1130"/>
      <c r="P416" s="1130"/>
      <c r="Q416" s="1130"/>
      <c r="R416" s="1130"/>
      <c r="S416" s="1130"/>
      <c r="T416" s="1130"/>
      <c r="U416" s="1130"/>
      <c r="V416" s="1130"/>
      <c r="W416" s="1130"/>
      <c r="X416" s="1130"/>
      <c r="Y416" s="1130"/>
      <c r="Z416" s="1130"/>
      <c r="AA416" s="1130"/>
    </row>
    <row r="417" spans="1:27" ht="15.75" customHeight="1">
      <c r="A417" s="1130"/>
      <c r="B417" s="1130"/>
      <c r="C417" s="1130"/>
      <c r="D417" s="1130"/>
      <c r="E417" s="1130"/>
      <c r="F417" s="1130"/>
      <c r="G417" s="1130"/>
      <c r="H417" s="1130"/>
      <c r="I417" s="1130"/>
      <c r="J417" s="1130"/>
      <c r="K417" s="1130"/>
      <c r="L417" s="1130"/>
      <c r="M417" s="1130"/>
      <c r="N417" s="1130"/>
      <c r="O417" s="1130"/>
      <c r="P417" s="1130"/>
      <c r="Q417" s="1130"/>
      <c r="R417" s="1130"/>
      <c r="S417" s="1130"/>
      <c r="T417" s="1130"/>
      <c r="U417" s="1130"/>
      <c r="V417" s="1130"/>
      <c r="W417" s="1130"/>
      <c r="X417" s="1130"/>
      <c r="Y417" s="1130"/>
      <c r="Z417" s="1130"/>
      <c r="AA417" s="1130"/>
    </row>
    <row r="418" spans="1:27" ht="15.75" customHeight="1">
      <c r="A418" s="1130"/>
      <c r="B418" s="1130"/>
      <c r="C418" s="1130"/>
      <c r="D418" s="1130"/>
      <c r="E418" s="1130"/>
      <c r="F418" s="1130"/>
      <c r="G418" s="1130"/>
      <c r="H418" s="1130"/>
      <c r="I418" s="1130"/>
      <c r="J418" s="1130"/>
      <c r="K418" s="1130"/>
      <c r="L418" s="1130"/>
      <c r="M418" s="1130"/>
      <c r="N418" s="1130"/>
      <c r="O418" s="1130"/>
      <c r="P418" s="1130"/>
      <c r="Q418" s="1130"/>
      <c r="R418" s="1130"/>
      <c r="S418" s="1130"/>
      <c r="T418" s="1130"/>
      <c r="U418" s="1130"/>
      <c r="V418" s="1130"/>
      <c r="W418" s="1130"/>
      <c r="X418" s="1130"/>
      <c r="Y418" s="1130"/>
      <c r="Z418" s="1130"/>
      <c r="AA418" s="1130"/>
    </row>
    <row r="419" spans="1:27" ht="15.75" customHeight="1">
      <c r="A419" s="1130"/>
      <c r="B419" s="1130"/>
      <c r="C419" s="1130"/>
      <c r="D419" s="1130"/>
      <c r="E419" s="1130"/>
      <c r="F419" s="1130"/>
      <c r="G419" s="1130"/>
      <c r="H419" s="1130"/>
      <c r="I419" s="1130"/>
      <c r="J419" s="1130"/>
      <c r="K419" s="1130"/>
      <c r="L419" s="1130"/>
      <c r="M419" s="1130"/>
      <c r="N419" s="1130"/>
      <c r="O419" s="1130"/>
      <c r="P419" s="1130"/>
      <c r="Q419" s="1130"/>
      <c r="R419" s="1130"/>
      <c r="S419" s="1130"/>
      <c r="T419" s="1130"/>
      <c r="U419" s="1130"/>
      <c r="V419" s="1130"/>
      <c r="W419" s="1130"/>
      <c r="X419" s="1130"/>
      <c r="Y419" s="1130"/>
      <c r="Z419" s="1130"/>
      <c r="AA419" s="1130"/>
    </row>
    <row r="420" spans="1:27" ht="15.75" customHeight="1">
      <c r="A420" s="1130"/>
      <c r="B420" s="1130"/>
      <c r="C420" s="1130"/>
      <c r="D420" s="1130"/>
      <c r="E420" s="1130"/>
      <c r="F420" s="1130"/>
      <c r="G420" s="1130"/>
      <c r="H420" s="1130"/>
      <c r="I420" s="1130"/>
      <c r="J420" s="1130"/>
      <c r="K420" s="1130"/>
      <c r="L420" s="1130"/>
      <c r="M420" s="1130"/>
      <c r="N420" s="1130"/>
      <c r="O420" s="1130"/>
      <c r="P420" s="1130"/>
      <c r="Q420" s="1130"/>
      <c r="R420" s="1130"/>
      <c r="S420" s="1130"/>
      <c r="T420" s="1130"/>
      <c r="U420" s="1130"/>
      <c r="V420" s="1130"/>
      <c r="W420" s="1130"/>
      <c r="X420" s="1130"/>
      <c r="Y420" s="1130"/>
      <c r="Z420" s="1130"/>
      <c r="AA420" s="1130"/>
    </row>
    <row r="421" spans="1:27" ht="15.75" customHeight="1">
      <c r="A421" s="1130"/>
      <c r="B421" s="1130"/>
      <c r="C421" s="1130"/>
      <c r="D421" s="1130"/>
      <c r="E421" s="1130"/>
      <c r="F421" s="1130"/>
      <c r="G421" s="1130"/>
      <c r="H421" s="1130"/>
      <c r="I421" s="1130"/>
      <c r="J421" s="1130"/>
      <c r="K421" s="1130"/>
      <c r="L421" s="1130"/>
      <c r="M421" s="1130"/>
      <c r="N421" s="1130"/>
      <c r="O421" s="1130"/>
      <c r="P421" s="1130"/>
      <c r="Q421" s="1130"/>
      <c r="R421" s="1130"/>
      <c r="S421" s="1130"/>
      <c r="T421" s="1130"/>
      <c r="U421" s="1130"/>
      <c r="V421" s="1130"/>
      <c r="W421" s="1130"/>
      <c r="X421" s="1130"/>
      <c r="Y421" s="1130"/>
      <c r="Z421" s="1130"/>
      <c r="AA421" s="1130"/>
    </row>
    <row r="422" spans="1:27" ht="15.75" customHeight="1">
      <c r="A422" s="1130"/>
      <c r="B422" s="1130"/>
      <c r="C422" s="1130"/>
      <c r="D422" s="1130"/>
      <c r="E422" s="1130"/>
      <c r="F422" s="1130"/>
      <c r="G422" s="1130"/>
      <c r="H422" s="1130"/>
      <c r="I422" s="1130"/>
      <c r="J422" s="1130"/>
      <c r="K422" s="1130"/>
      <c r="L422" s="1130"/>
      <c r="M422" s="1130"/>
      <c r="N422" s="1130"/>
      <c r="O422" s="1130"/>
      <c r="P422" s="1130"/>
      <c r="Q422" s="1130"/>
      <c r="R422" s="1130"/>
      <c r="S422" s="1130"/>
      <c r="T422" s="1130"/>
      <c r="U422" s="1130"/>
      <c r="V422" s="1130"/>
      <c r="W422" s="1130"/>
      <c r="X422" s="1130"/>
      <c r="Y422" s="1130"/>
      <c r="Z422" s="1130"/>
      <c r="AA422" s="1130"/>
    </row>
    <row r="423" spans="1:27" ht="15.75" customHeight="1">
      <c r="A423" s="1130"/>
      <c r="B423" s="1130"/>
      <c r="C423" s="1130"/>
      <c r="D423" s="1130"/>
      <c r="E423" s="1130"/>
      <c r="F423" s="1130"/>
      <c r="G423" s="1130"/>
      <c r="H423" s="1130"/>
      <c r="I423" s="1130"/>
      <c r="J423" s="1130"/>
      <c r="K423" s="1130"/>
      <c r="L423" s="1130"/>
      <c r="M423" s="1130"/>
      <c r="N423" s="1130"/>
      <c r="O423" s="1130"/>
      <c r="P423" s="1130"/>
      <c r="Q423" s="1130"/>
      <c r="R423" s="1130"/>
      <c r="S423" s="1130"/>
      <c r="T423" s="1130"/>
      <c r="U423" s="1130"/>
      <c r="V423" s="1130"/>
      <c r="W423" s="1130"/>
      <c r="X423" s="1130"/>
      <c r="Y423" s="1130"/>
      <c r="Z423" s="1130"/>
      <c r="AA423" s="1130"/>
    </row>
    <row r="424" spans="1:27" ht="15.75" customHeight="1">
      <c r="A424" s="1130"/>
      <c r="B424" s="1130"/>
      <c r="C424" s="1130"/>
      <c r="D424" s="1130"/>
      <c r="E424" s="1130"/>
      <c r="F424" s="1130"/>
      <c r="G424" s="1130"/>
      <c r="H424" s="1130"/>
      <c r="I424" s="1130"/>
      <c r="J424" s="1130"/>
      <c r="K424" s="1130"/>
      <c r="L424" s="1130"/>
      <c r="M424" s="1130"/>
      <c r="N424" s="1130"/>
      <c r="O424" s="1130"/>
      <c r="P424" s="1130"/>
      <c r="Q424" s="1130"/>
      <c r="R424" s="1130"/>
      <c r="S424" s="1130"/>
      <c r="T424" s="1130"/>
      <c r="U424" s="1130"/>
      <c r="V424" s="1130"/>
      <c r="W424" s="1130"/>
      <c r="X424" s="1130"/>
      <c r="Y424" s="1130"/>
      <c r="Z424" s="1130"/>
      <c r="AA424" s="1130"/>
    </row>
    <row r="425" spans="1:27" ht="15.75" customHeight="1">
      <c r="A425" s="1130"/>
      <c r="B425" s="1130"/>
      <c r="C425" s="1130"/>
      <c r="D425" s="1130"/>
      <c r="E425" s="1130"/>
      <c r="F425" s="1130"/>
      <c r="G425" s="1130"/>
      <c r="H425" s="1130"/>
      <c r="I425" s="1130"/>
      <c r="J425" s="1130"/>
      <c r="K425" s="1130"/>
      <c r="L425" s="1130"/>
      <c r="M425" s="1130"/>
      <c r="N425" s="1130"/>
      <c r="O425" s="1130"/>
      <c r="P425" s="1130"/>
      <c r="Q425" s="1130"/>
      <c r="R425" s="1130"/>
      <c r="S425" s="1130"/>
      <c r="T425" s="1130"/>
      <c r="U425" s="1130"/>
      <c r="V425" s="1130"/>
      <c r="W425" s="1130"/>
      <c r="X425" s="1130"/>
      <c r="Y425" s="1130"/>
      <c r="Z425" s="1130"/>
      <c r="AA425" s="1130"/>
    </row>
    <row r="426" spans="1:27" ht="15.75" customHeight="1">
      <c r="A426" s="1130"/>
      <c r="B426" s="1130"/>
      <c r="C426" s="1130"/>
      <c r="D426" s="1130"/>
      <c r="E426" s="1130"/>
      <c r="F426" s="1130"/>
      <c r="G426" s="1130"/>
      <c r="H426" s="1130"/>
      <c r="I426" s="1130"/>
      <c r="J426" s="1130"/>
      <c r="K426" s="1130"/>
      <c r="L426" s="1130"/>
      <c r="M426" s="1130"/>
      <c r="N426" s="1130"/>
      <c r="O426" s="1130"/>
      <c r="P426" s="1130"/>
      <c r="Q426" s="1130"/>
      <c r="R426" s="1130"/>
      <c r="S426" s="1130"/>
      <c r="T426" s="1130"/>
      <c r="U426" s="1130"/>
      <c r="V426" s="1130"/>
      <c r="W426" s="1130"/>
      <c r="X426" s="1130"/>
      <c r="Y426" s="1130"/>
      <c r="Z426" s="1130"/>
      <c r="AA426" s="1130"/>
    </row>
    <row r="427" spans="1:27" ht="15.75" customHeight="1">
      <c r="A427" s="1130"/>
      <c r="B427" s="1130"/>
      <c r="C427" s="1130"/>
      <c r="D427" s="1130"/>
      <c r="E427" s="1130"/>
      <c r="F427" s="1130"/>
      <c r="G427" s="1130"/>
      <c r="H427" s="1130"/>
      <c r="I427" s="1130"/>
      <c r="J427" s="1130"/>
      <c r="K427" s="1130"/>
      <c r="L427" s="1130"/>
      <c r="M427" s="1130"/>
      <c r="N427" s="1130"/>
      <c r="O427" s="1130"/>
      <c r="P427" s="1130"/>
      <c r="Q427" s="1130"/>
      <c r="R427" s="1130"/>
      <c r="S427" s="1130"/>
      <c r="T427" s="1130"/>
      <c r="U427" s="1130"/>
      <c r="V427" s="1130"/>
      <c r="W427" s="1130"/>
      <c r="X427" s="1130"/>
      <c r="Y427" s="1130"/>
      <c r="Z427" s="1130"/>
      <c r="AA427" s="1130"/>
    </row>
    <row r="428" spans="1:27" ht="15.75" customHeight="1">
      <c r="A428" s="1130"/>
      <c r="B428" s="1130"/>
      <c r="C428" s="1130"/>
      <c r="D428" s="1130"/>
      <c r="E428" s="1130"/>
      <c r="F428" s="1130"/>
      <c r="G428" s="1130"/>
      <c r="H428" s="1130"/>
      <c r="I428" s="1130"/>
      <c r="J428" s="1130"/>
      <c r="K428" s="1130"/>
      <c r="L428" s="1130"/>
      <c r="M428" s="1130"/>
      <c r="N428" s="1130"/>
      <c r="O428" s="1130"/>
      <c r="P428" s="1130"/>
      <c r="Q428" s="1130"/>
      <c r="R428" s="1130"/>
      <c r="S428" s="1130"/>
      <c r="T428" s="1130"/>
      <c r="U428" s="1130"/>
      <c r="V428" s="1130"/>
      <c r="W428" s="1130"/>
      <c r="X428" s="1130"/>
      <c r="Y428" s="1130"/>
      <c r="Z428" s="1130"/>
      <c r="AA428" s="1130"/>
    </row>
    <row r="429" spans="1:27" ht="15.75" customHeight="1">
      <c r="A429" s="1130"/>
      <c r="B429" s="1130"/>
      <c r="C429" s="1130"/>
      <c r="D429" s="1130"/>
      <c r="E429" s="1130"/>
      <c r="F429" s="1130"/>
      <c r="G429" s="1130"/>
      <c r="H429" s="1130"/>
      <c r="I429" s="1130"/>
      <c r="J429" s="1130"/>
      <c r="K429" s="1130"/>
      <c r="L429" s="1130"/>
      <c r="M429" s="1130"/>
      <c r="N429" s="1130"/>
      <c r="O429" s="1130"/>
      <c r="P429" s="1130"/>
      <c r="Q429" s="1130"/>
      <c r="R429" s="1130"/>
      <c r="S429" s="1130"/>
      <c r="T429" s="1130"/>
      <c r="U429" s="1130"/>
      <c r="V429" s="1130"/>
      <c r="W429" s="1130"/>
      <c r="X429" s="1130"/>
      <c r="Y429" s="1130"/>
      <c r="Z429" s="1130"/>
      <c r="AA429" s="1130"/>
    </row>
    <row r="430" spans="1:27" ht="15.75" customHeight="1">
      <c r="A430" s="1130"/>
      <c r="B430" s="1130"/>
      <c r="C430" s="1130"/>
      <c r="D430" s="1130"/>
      <c r="E430" s="1130"/>
      <c r="F430" s="1130"/>
      <c r="G430" s="1130"/>
      <c r="H430" s="1130"/>
      <c r="I430" s="1130"/>
      <c r="J430" s="1130"/>
      <c r="K430" s="1130"/>
      <c r="L430" s="1130"/>
      <c r="M430" s="1130"/>
      <c r="N430" s="1130"/>
      <c r="O430" s="1130"/>
      <c r="P430" s="1130"/>
      <c r="Q430" s="1130"/>
      <c r="R430" s="1130"/>
      <c r="S430" s="1130"/>
      <c r="T430" s="1130"/>
      <c r="U430" s="1130"/>
      <c r="V430" s="1130"/>
      <c r="W430" s="1130"/>
      <c r="X430" s="1130"/>
      <c r="Y430" s="1130"/>
      <c r="Z430" s="1130"/>
      <c r="AA430" s="1130"/>
    </row>
    <row r="431" spans="1:27" ht="15.75" customHeight="1">
      <c r="A431" s="1130"/>
      <c r="B431" s="1130"/>
      <c r="C431" s="1130"/>
      <c r="D431" s="1130"/>
      <c r="E431" s="1130"/>
      <c r="F431" s="1130"/>
      <c r="G431" s="1130"/>
      <c r="H431" s="1130"/>
      <c r="I431" s="1130"/>
      <c r="J431" s="1130"/>
      <c r="K431" s="1130"/>
      <c r="L431" s="1130"/>
      <c r="M431" s="1130"/>
      <c r="N431" s="1130"/>
      <c r="O431" s="1130"/>
      <c r="P431" s="1130"/>
      <c r="Q431" s="1130"/>
      <c r="R431" s="1130"/>
      <c r="S431" s="1130"/>
      <c r="T431" s="1130"/>
      <c r="U431" s="1130"/>
      <c r="V431" s="1130"/>
      <c r="W431" s="1130"/>
      <c r="X431" s="1130"/>
      <c r="Y431" s="1130"/>
      <c r="Z431" s="1130"/>
      <c r="AA431" s="1130"/>
    </row>
    <row r="432" spans="1:27" ht="15.75" customHeight="1">
      <c r="A432" s="1130"/>
      <c r="B432" s="1130"/>
      <c r="C432" s="1130"/>
      <c r="D432" s="1130"/>
      <c r="E432" s="1130"/>
      <c r="F432" s="1130"/>
      <c r="G432" s="1130"/>
      <c r="H432" s="1130"/>
      <c r="I432" s="1130"/>
      <c r="J432" s="1130"/>
      <c r="K432" s="1130"/>
      <c r="L432" s="1130"/>
      <c r="M432" s="1130"/>
      <c r="N432" s="1130"/>
      <c r="O432" s="1130"/>
      <c r="P432" s="1130"/>
      <c r="Q432" s="1130"/>
      <c r="R432" s="1130"/>
      <c r="S432" s="1130"/>
      <c r="T432" s="1130"/>
      <c r="U432" s="1130"/>
      <c r="V432" s="1130"/>
      <c r="W432" s="1130"/>
      <c r="X432" s="1130"/>
      <c r="Y432" s="1130"/>
      <c r="Z432" s="1130"/>
      <c r="AA432" s="1130"/>
    </row>
    <row r="433" spans="1:27" ht="15.75" customHeight="1">
      <c r="A433" s="1130"/>
      <c r="B433" s="1130"/>
      <c r="C433" s="1130"/>
      <c r="D433" s="1130"/>
      <c r="E433" s="1130"/>
      <c r="F433" s="1130"/>
      <c r="G433" s="1130"/>
      <c r="H433" s="1130"/>
      <c r="I433" s="1130"/>
      <c r="J433" s="1130"/>
      <c r="K433" s="1130"/>
      <c r="L433" s="1130"/>
      <c r="M433" s="1130"/>
      <c r="N433" s="1130"/>
      <c r="O433" s="1130"/>
      <c r="P433" s="1130"/>
      <c r="Q433" s="1130"/>
      <c r="R433" s="1130"/>
      <c r="S433" s="1130"/>
      <c r="T433" s="1130"/>
      <c r="U433" s="1130"/>
      <c r="V433" s="1130"/>
      <c r="W433" s="1130"/>
      <c r="X433" s="1130"/>
      <c r="Y433" s="1130"/>
      <c r="Z433" s="1130"/>
      <c r="AA433" s="1130"/>
    </row>
    <row r="434" spans="1:27" ht="15.75" customHeight="1">
      <c r="A434" s="1130"/>
      <c r="B434" s="1130"/>
      <c r="C434" s="1130"/>
      <c r="D434" s="1130"/>
      <c r="E434" s="1130"/>
      <c r="F434" s="1130"/>
      <c r="G434" s="1130"/>
      <c r="H434" s="1130"/>
      <c r="I434" s="1130"/>
      <c r="J434" s="1130"/>
      <c r="K434" s="1130"/>
      <c r="L434" s="1130"/>
      <c r="M434" s="1130"/>
      <c r="N434" s="1130"/>
      <c r="O434" s="1130"/>
      <c r="P434" s="1130"/>
      <c r="Q434" s="1130"/>
      <c r="R434" s="1130"/>
      <c r="S434" s="1130"/>
      <c r="T434" s="1130"/>
      <c r="U434" s="1130"/>
      <c r="V434" s="1130"/>
      <c r="W434" s="1130"/>
      <c r="X434" s="1130"/>
      <c r="Y434" s="1130"/>
      <c r="Z434" s="1130"/>
      <c r="AA434" s="1130"/>
    </row>
    <row r="435" spans="1:27" ht="15.75" customHeight="1">
      <c r="A435" s="1130"/>
      <c r="B435" s="1130"/>
      <c r="C435" s="1130"/>
      <c r="D435" s="1130"/>
      <c r="E435" s="1130"/>
      <c r="F435" s="1130"/>
      <c r="G435" s="1130"/>
      <c r="H435" s="1130"/>
      <c r="I435" s="1130"/>
      <c r="J435" s="1130"/>
      <c r="K435" s="1130"/>
      <c r="L435" s="1130"/>
      <c r="M435" s="1130"/>
      <c r="N435" s="1130"/>
      <c r="O435" s="1130"/>
      <c r="P435" s="1130"/>
      <c r="Q435" s="1130"/>
      <c r="R435" s="1130"/>
      <c r="S435" s="1130"/>
      <c r="T435" s="1130"/>
      <c r="U435" s="1130"/>
      <c r="V435" s="1130"/>
      <c r="W435" s="1130"/>
      <c r="X435" s="1130"/>
      <c r="Y435" s="1130"/>
      <c r="Z435" s="1130"/>
      <c r="AA435" s="1130"/>
    </row>
    <row r="436" spans="1:27" ht="15.75" customHeight="1">
      <c r="A436" s="1130"/>
      <c r="B436" s="1130"/>
      <c r="C436" s="1130"/>
      <c r="D436" s="1130"/>
      <c r="E436" s="1130"/>
      <c r="F436" s="1130"/>
      <c r="G436" s="1130"/>
      <c r="H436" s="1130"/>
      <c r="I436" s="1130"/>
      <c r="J436" s="1130"/>
      <c r="K436" s="1130"/>
      <c r="L436" s="1130"/>
      <c r="M436" s="1130"/>
      <c r="N436" s="1130"/>
      <c r="O436" s="1130"/>
      <c r="P436" s="1130"/>
      <c r="Q436" s="1130"/>
      <c r="R436" s="1130"/>
      <c r="S436" s="1130"/>
      <c r="T436" s="1130"/>
      <c r="U436" s="1130"/>
      <c r="V436" s="1130"/>
      <c r="W436" s="1130"/>
      <c r="X436" s="1130"/>
      <c r="Y436" s="1130"/>
      <c r="Z436" s="1130"/>
      <c r="AA436" s="1130"/>
    </row>
    <row r="437" spans="1:27" ht="15.75" customHeight="1">
      <c r="A437" s="1130"/>
      <c r="B437" s="1130"/>
      <c r="C437" s="1130"/>
      <c r="D437" s="1130"/>
      <c r="E437" s="1130"/>
      <c r="F437" s="1130"/>
      <c r="G437" s="1130"/>
      <c r="H437" s="1130"/>
      <c r="I437" s="1130"/>
      <c r="J437" s="1130"/>
      <c r="K437" s="1130"/>
      <c r="L437" s="1130"/>
      <c r="M437" s="1130"/>
      <c r="N437" s="1130"/>
      <c r="O437" s="1130"/>
      <c r="P437" s="1130"/>
      <c r="Q437" s="1130"/>
      <c r="R437" s="1130"/>
      <c r="S437" s="1130"/>
      <c r="T437" s="1130"/>
      <c r="U437" s="1130"/>
      <c r="V437" s="1130"/>
      <c r="W437" s="1130"/>
      <c r="X437" s="1130"/>
      <c r="Y437" s="1130"/>
      <c r="Z437" s="1130"/>
      <c r="AA437" s="1130"/>
    </row>
    <row r="438" spans="1:27" ht="15.75" customHeight="1">
      <c r="A438" s="1130"/>
      <c r="B438" s="1130"/>
      <c r="C438" s="1130"/>
      <c r="D438" s="1130"/>
      <c r="E438" s="1130"/>
      <c r="F438" s="1130"/>
      <c r="G438" s="1130"/>
      <c r="H438" s="1130"/>
      <c r="I438" s="1130"/>
      <c r="J438" s="1130"/>
      <c r="K438" s="1130"/>
      <c r="L438" s="1130"/>
      <c r="M438" s="1130"/>
      <c r="N438" s="1130"/>
      <c r="O438" s="1130"/>
      <c r="P438" s="1130"/>
      <c r="Q438" s="1130"/>
      <c r="R438" s="1130"/>
      <c r="S438" s="1130"/>
      <c r="T438" s="1130"/>
      <c r="U438" s="1130"/>
      <c r="V438" s="1130"/>
      <c r="W438" s="1130"/>
      <c r="X438" s="1130"/>
      <c r="Y438" s="1130"/>
      <c r="Z438" s="1130"/>
      <c r="AA438" s="1130"/>
    </row>
    <row r="439" spans="1:27" ht="15.75" customHeight="1">
      <c r="A439" s="1130"/>
      <c r="B439" s="1130"/>
      <c r="C439" s="1130"/>
      <c r="D439" s="1130"/>
      <c r="E439" s="1130"/>
      <c r="F439" s="1130"/>
      <c r="G439" s="1130"/>
      <c r="H439" s="1130"/>
      <c r="I439" s="1130"/>
      <c r="J439" s="1130"/>
      <c r="K439" s="1130"/>
      <c r="L439" s="1130"/>
      <c r="M439" s="1130"/>
      <c r="N439" s="1130"/>
      <c r="O439" s="1130"/>
      <c r="P439" s="1130"/>
      <c r="Q439" s="1130"/>
      <c r="R439" s="1130"/>
      <c r="S439" s="1130"/>
      <c r="T439" s="1130"/>
      <c r="U439" s="1130"/>
      <c r="V439" s="1130"/>
      <c r="W439" s="1130"/>
      <c r="X439" s="1130"/>
      <c r="Y439" s="1130"/>
      <c r="Z439" s="1130"/>
      <c r="AA439" s="1130"/>
    </row>
    <row r="440" spans="1:27" ht="15.75" customHeight="1">
      <c r="A440" s="1130"/>
      <c r="B440" s="1130"/>
      <c r="C440" s="1130"/>
      <c r="D440" s="1130"/>
      <c r="E440" s="1130"/>
      <c r="F440" s="1130"/>
      <c r="G440" s="1130"/>
      <c r="H440" s="1130"/>
      <c r="I440" s="1130"/>
      <c r="J440" s="1130"/>
      <c r="K440" s="1130"/>
      <c r="L440" s="1130"/>
      <c r="M440" s="1130"/>
      <c r="N440" s="1130"/>
      <c r="O440" s="1130"/>
      <c r="P440" s="1130"/>
      <c r="Q440" s="1130"/>
      <c r="R440" s="1130"/>
      <c r="S440" s="1130"/>
      <c r="T440" s="1130"/>
      <c r="U440" s="1130"/>
      <c r="V440" s="1130"/>
      <c r="W440" s="1130"/>
      <c r="X440" s="1130"/>
      <c r="Y440" s="1130"/>
      <c r="Z440" s="1130"/>
      <c r="AA440" s="1130"/>
    </row>
    <row r="441" spans="1:27" ht="15.75" customHeight="1">
      <c r="A441" s="1130"/>
      <c r="B441" s="1130"/>
      <c r="C441" s="1130"/>
      <c r="D441" s="1130"/>
      <c r="E441" s="1130"/>
      <c r="F441" s="1130"/>
      <c r="G441" s="1130"/>
      <c r="H441" s="1130"/>
      <c r="I441" s="1130"/>
      <c r="J441" s="1130"/>
      <c r="K441" s="1130"/>
      <c r="L441" s="1130"/>
      <c r="M441" s="1130"/>
      <c r="N441" s="1130"/>
      <c r="O441" s="1130"/>
      <c r="P441" s="1130"/>
      <c r="Q441" s="1130"/>
      <c r="R441" s="1130"/>
      <c r="S441" s="1130"/>
      <c r="T441" s="1130"/>
      <c r="U441" s="1130"/>
      <c r="V441" s="1130"/>
      <c r="W441" s="1130"/>
      <c r="X441" s="1130"/>
      <c r="Y441" s="1130"/>
      <c r="Z441" s="1130"/>
      <c r="AA441" s="1130"/>
    </row>
    <row r="442" spans="1:27" ht="15.75" customHeight="1">
      <c r="A442" s="1130"/>
      <c r="B442" s="1130"/>
      <c r="C442" s="1130"/>
      <c r="D442" s="1130"/>
      <c r="E442" s="1130"/>
      <c r="F442" s="1130"/>
      <c r="G442" s="1130"/>
      <c r="H442" s="1130"/>
      <c r="I442" s="1130"/>
      <c r="J442" s="1130"/>
      <c r="K442" s="1130"/>
      <c r="L442" s="1130"/>
      <c r="M442" s="1130"/>
      <c r="N442" s="1130"/>
      <c r="O442" s="1130"/>
      <c r="P442" s="1130"/>
      <c r="Q442" s="1130"/>
      <c r="R442" s="1130"/>
      <c r="S442" s="1130"/>
      <c r="T442" s="1130"/>
      <c r="U442" s="1130"/>
      <c r="V442" s="1130"/>
      <c r="W442" s="1130"/>
      <c r="X442" s="1130"/>
      <c r="Y442" s="1130"/>
      <c r="Z442" s="1130"/>
      <c r="AA442" s="1130"/>
    </row>
    <row r="443" spans="1:27" ht="15.75" customHeight="1">
      <c r="A443" s="1130"/>
      <c r="B443" s="1130"/>
      <c r="C443" s="1130"/>
      <c r="D443" s="1130"/>
      <c r="E443" s="1130"/>
      <c r="F443" s="1130"/>
      <c r="G443" s="1130"/>
      <c r="H443" s="1130"/>
      <c r="I443" s="1130"/>
      <c r="J443" s="1130"/>
      <c r="K443" s="1130"/>
      <c r="L443" s="1130"/>
      <c r="M443" s="1130"/>
      <c r="N443" s="1130"/>
      <c r="O443" s="1130"/>
      <c r="P443" s="1130"/>
      <c r="Q443" s="1130"/>
      <c r="R443" s="1130"/>
      <c r="S443" s="1130"/>
      <c r="T443" s="1130"/>
      <c r="U443" s="1130"/>
      <c r="V443" s="1130"/>
      <c r="W443" s="1130"/>
      <c r="X443" s="1130"/>
      <c r="Y443" s="1130"/>
      <c r="Z443" s="1130"/>
      <c r="AA443" s="1130"/>
    </row>
    <row r="444" spans="1:27" ht="15.75" customHeight="1">
      <c r="A444" s="1130"/>
      <c r="B444" s="1130"/>
      <c r="C444" s="1130"/>
      <c r="D444" s="1130"/>
      <c r="E444" s="1130"/>
      <c r="F444" s="1130"/>
      <c r="G444" s="1130"/>
      <c r="H444" s="1130"/>
      <c r="I444" s="1130"/>
      <c r="J444" s="1130"/>
      <c r="K444" s="1130"/>
      <c r="L444" s="1130"/>
      <c r="M444" s="1130"/>
      <c r="N444" s="1130"/>
      <c r="O444" s="1130"/>
      <c r="P444" s="1130"/>
      <c r="Q444" s="1130"/>
      <c r="R444" s="1130"/>
      <c r="S444" s="1130"/>
      <c r="T444" s="1130"/>
      <c r="U444" s="1130"/>
      <c r="V444" s="1130"/>
      <c r="W444" s="1130"/>
      <c r="X444" s="1130"/>
      <c r="Y444" s="1130"/>
      <c r="Z444" s="1130"/>
      <c r="AA444" s="1130"/>
    </row>
    <row r="445" spans="1:27" ht="15.75" customHeight="1">
      <c r="A445" s="1130"/>
      <c r="B445" s="1130"/>
      <c r="C445" s="1130"/>
      <c r="D445" s="1130"/>
      <c r="E445" s="1130"/>
      <c r="F445" s="1130"/>
      <c r="G445" s="1130"/>
      <c r="H445" s="1130"/>
      <c r="I445" s="1130"/>
      <c r="J445" s="1130"/>
      <c r="K445" s="1130"/>
      <c r="L445" s="1130"/>
      <c r="M445" s="1130"/>
      <c r="N445" s="1130"/>
      <c r="O445" s="1130"/>
      <c r="P445" s="1130"/>
      <c r="Q445" s="1130"/>
      <c r="R445" s="1130"/>
      <c r="S445" s="1130"/>
      <c r="T445" s="1130"/>
      <c r="U445" s="1130"/>
      <c r="V445" s="1130"/>
      <c r="W445" s="1130"/>
      <c r="X445" s="1130"/>
      <c r="Y445" s="1130"/>
      <c r="Z445" s="1130"/>
      <c r="AA445" s="1130"/>
    </row>
    <row r="446" spans="1:27" ht="15.75" customHeight="1">
      <c r="A446" s="1130"/>
      <c r="B446" s="1130"/>
      <c r="C446" s="1130"/>
      <c r="D446" s="1130"/>
      <c r="E446" s="1130"/>
      <c r="F446" s="1130"/>
      <c r="G446" s="1130"/>
      <c r="H446" s="1130"/>
      <c r="I446" s="1130"/>
      <c r="J446" s="1130"/>
      <c r="K446" s="1130"/>
      <c r="L446" s="1130"/>
      <c r="M446" s="1130"/>
      <c r="N446" s="1130"/>
      <c r="O446" s="1130"/>
      <c r="P446" s="1130"/>
      <c r="Q446" s="1130"/>
      <c r="R446" s="1130"/>
      <c r="S446" s="1130"/>
      <c r="T446" s="1130"/>
      <c r="U446" s="1130"/>
      <c r="V446" s="1130"/>
      <c r="W446" s="1130"/>
      <c r="X446" s="1130"/>
      <c r="Y446" s="1130"/>
      <c r="Z446" s="1130"/>
      <c r="AA446" s="1130"/>
    </row>
    <row r="447" spans="1:27" ht="15.75" customHeight="1">
      <c r="A447" s="1130"/>
      <c r="B447" s="1130"/>
      <c r="C447" s="1130"/>
      <c r="D447" s="1130"/>
      <c r="E447" s="1130"/>
      <c r="F447" s="1130"/>
      <c r="G447" s="1130"/>
      <c r="H447" s="1130"/>
      <c r="I447" s="1130"/>
      <c r="J447" s="1130"/>
      <c r="K447" s="1130"/>
      <c r="L447" s="1130"/>
      <c r="M447" s="1130"/>
      <c r="N447" s="1130"/>
      <c r="O447" s="1130"/>
      <c r="P447" s="1130"/>
      <c r="Q447" s="1130"/>
      <c r="R447" s="1130"/>
      <c r="S447" s="1130"/>
      <c r="T447" s="1130"/>
      <c r="U447" s="1130"/>
      <c r="V447" s="1130"/>
      <c r="W447" s="1130"/>
      <c r="X447" s="1130"/>
      <c r="Y447" s="1130"/>
      <c r="Z447" s="1130"/>
      <c r="AA447" s="1130"/>
    </row>
    <row r="448" spans="1:27" ht="15.75" customHeight="1">
      <c r="A448" s="1130"/>
      <c r="B448" s="1130"/>
      <c r="C448" s="1130"/>
      <c r="D448" s="1130"/>
      <c r="E448" s="1130"/>
      <c r="F448" s="1130"/>
      <c r="G448" s="1130"/>
      <c r="H448" s="1130"/>
      <c r="I448" s="1130"/>
      <c r="J448" s="1130"/>
      <c r="K448" s="1130"/>
      <c r="L448" s="1130"/>
      <c r="M448" s="1130"/>
      <c r="N448" s="1130"/>
      <c r="O448" s="1130"/>
      <c r="P448" s="1130"/>
      <c r="Q448" s="1130"/>
      <c r="R448" s="1130"/>
      <c r="S448" s="1130"/>
      <c r="T448" s="1130"/>
      <c r="U448" s="1130"/>
      <c r="V448" s="1130"/>
      <c r="W448" s="1130"/>
      <c r="X448" s="1130"/>
      <c r="Y448" s="1130"/>
      <c r="Z448" s="1130"/>
      <c r="AA448" s="1130"/>
    </row>
    <row r="449" spans="1:27" ht="15.75" customHeight="1">
      <c r="A449" s="1130"/>
      <c r="B449" s="1130"/>
      <c r="C449" s="1130"/>
      <c r="D449" s="1130"/>
      <c r="E449" s="1130"/>
      <c r="F449" s="1130"/>
      <c r="G449" s="1130"/>
      <c r="H449" s="1130"/>
      <c r="I449" s="1130"/>
      <c r="J449" s="1130"/>
      <c r="K449" s="1130"/>
      <c r="L449" s="1130"/>
      <c r="M449" s="1130"/>
      <c r="N449" s="1130"/>
      <c r="O449" s="1130"/>
      <c r="P449" s="1130"/>
      <c r="Q449" s="1130"/>
      <c r="R449" s="1130"/>
      <c r="S449" s="1130"/>
      <c r="T449" s="1130"/>
      <c r="U449" s="1130"/>
      <c r="V449" s="1130"/>
      <c r="W449" s="1130"/>
      <c r="X449" s="1130"/>
      <c r="Y449" s="1130"/>
      <c r="Z449" s="1130"/>
      <c r="AA449" s="1130"/>
    </row>
    <row r="450" spans="1:27" ht="15.75" customHeight="1">
      <c r="A450" s="1130"/>
      <c r="B450" s="1130"/>
      <c r="C450" s="1130"/>
      <c r="D450" s="1130"/>
      <c r="E450" s="1130"/>
      <c r="F450" s="1130"/>
      <c r="G450" s="1130"/>
      <c r="H450" s="1130"/>
      <c r="I450" s="1130"/>
      <c r="J450" s="1130"/>
      <c r="K450" s="1130"/>
      <c r="L450" s="1130"/>
      <c r="M450" s="1130"/>
      <c r="N450" s="1130"/>
      <c r="O450" s="1130"/>
      <c r="P450" s="1130"/>
      <c r="Q450" s="1130"/>
      <c r="R450" s="1130"/>
      <c r="S450" s="1130"/>
      <c r="T450" s="1130"/>
      <c r="U450" s="1130"/>
      <c r="V450" s="1130"/>
      <c r="W450" s="1130"/>
      <c r="X450" s="1130"/>
      <c r="Y450" s="1130"/>
      <c r="Z450" s="1130"/>
      <c r="AA450" s="1130"/>
    </row>
    <row r="451" spans="1:27" ht="15.75" customHeight="1">
      <c r="A451" s="1130"/>
      <c r="B451" s="1130"/>
      <c r="C451" s="1130"/>
      <c r="D451" s="1130"/>
      <c r="E451" s="1130"/>
      <c r="F451" s="1130"/>
      <c r="G451" s="1130"/>
      <c r="H451" s="1130"/>
      <c r="I451" s="1130"/>
      <c r="J451" s="1130"/>
      <c r="K451" s="1130"/>
      <c r="L451" s="1130"/>
      <c r="M451" s="1130"/>
      <c r="N451" s="1130"/>
      <c r="O451" s="1130"/>
      <c r="P451" s="1130"/>
      <c r="Q451" s="1130"/>
      <c r="R451" s="1130"/>
      <c r="S451" s="1130"/>
      <c r="T451" s="1130"/>
      <c r="U451" s="1130"/>
      <c r="V451" s="1130"/>
      <c r="W451" s="1130"/>
      <c r="X451" s="1130"/>
      <c r="Y451" s="1130"/>
      <c r="Z451" s="1130"/>
      <c r="AA451" s="1130"/>
    </row>
    <row r="452" spans="1:27" ht="15.75" customHeight="1">
      <c r="A452" s="1130"/>
      <c r="B452" s="1130"/>
      <c r="C452" s="1130"/>
      <c r="D452" s="1130"/>
      <c r="E452" s="1130"/>
      <c r="F452" s="1130"/>
      <c r="G452" s="1130"/>
      <c r="H452" s="1130"/>
      <c r="I452" s="1130"/>
      <c r="J452" s="1130"/>
      <c r="K452" s="1130"/>
      <c r="L452" s="1130"/>
      <c r="M452" s="1130"/>
      <c r="N452" s="1130"/>
      <c r="O452" s="1130"/>
      <c r="P452" s="1130"/>
      <c r="Q452" s="1130"/>
      <c r="R452" s="1130"/>
      <c r="S452" s="1130"/>
      <c r="T452" s="1130"/>
      <c r="U452" s="1130"/>
      <c r="V452" s="1130"/>
      <c r="W452" s="1130"/>
      <c r="X452" s="1130"/>
      <c r="Y452" s="1130"/>
      <c r="Z452" s="1130"/>
      <c r="AA452" s="1130"/>
    </row>
    <row r="453" spans="1:27" ht="15.75" customHeight="1">
      <c r="A453" s="1130"/>
      <c r="B453" s="1130"/>
      <c r="C453" s="1130"/>
      <c r="D453" s="1130"/>
      <c r="E453" s="1130"/>
      <c r="F453" s="1130"/>
      <c r="G453" s="1130"/>
      <c r="H453" s="1130"/>
      <c r="I453" s="1130"/>
      <c r="J453" s="1130"/>
      <c r="K453" s="1130"/>
      <c r="L453" s="1130"/>
      <c r="M453" s="1130"/>
      <c r="N453" s="1130"/>
      <c r="O453" s="1130"/>
      <c r="P453" s="1130"/>
      <c r="Q453" s="1130"/>
      <c r="R453" s="1130"/>
      <c r="S453" s="1130"/>
      <c r="T453" s="1130"/>
      <c r="U453" s="1130"/>
      <c r="V453" s="1130"/>
      <c r="W453" s="1130"/>
      <c r="X453" s="1130"/>
      <c r="Y453" s="1130"/>
      <c r="Z453" s="1130"/>
      <c r="AA453" s="1130"/>
    </row>
    <row r="454" spans="1:27" ht="15.75" customHeight="1">
      <c r="A454" s="1130"/>
      <c r="B454" s="1130"/>
      <c r="C454" s="1130"/>
      <c r="D454" s="1130"/>
      <c r="E454" s="1130"/>
      <c r="F454" s="1130"/>
      <c r="G454" s="1130"/>
      <c r="H454" s="1130"/>
      <c r="I454" s="1130"/>
      <c r="J454" s="1130"/>
      <c r="K454" s="1130"/>
      <c r="L454" s="1130"/>
      <c r="M454" s="1130"/>
      <c r="N454" s="1130"/>
      <c r="O454" s="1130"/>
      <c r="P454" s="1130"/>
      <c r="Q454" s="1130"/>
      <c r="R454" s="1130"/>
      <c r="S454" s="1130"/>
      <c r="T454" s="1130"/>
      <c r="U454" s="1130"/>
      <c r="V454" s="1130"/>
      <c r="W454" s="1130"/>
      <c r="X454" s="1130"/>
      <c r="Y454" s="1130"/>
      <c r="Z454" s="1130"/>
      <c r="AA454" s="1130"/>
    </row>
    <row r="455" spans="1:27" ht="15.75" customHeight="1">
      <c r="A455" s="1130"/>
      <c r="B455" s="1130"/>
      <c r="C455" s="1130"/>
      <c r="D455" s="1130"/>
      <c r="E455" s="1130"/>
      <c r="F455" s="1130"/>
      <c r="G455" s="1130"/>
      <c r="H455" s="1130"/>
      <c r="I455" s="1130"/>
      <c r="J455" s="1130"/>
      <c r="K455" s="1130"/>
      <c r="L455" s="1130"/>
      <c r="M455" s="1130"/>
      <c r="N455" s="1130"/>
      <c r="O455" s="1130"/>
      <c r="P455" s="1130"/>
      <c r="Q455" s="1130"/>
      <c r="R455" s="1130"/>
      <c r="S455" s="1130"/>
      <c r="T455" s="1130"/>
      <c r="U455" s="1130"/>
      <c r="V455" s="1130"/>
      <c r="W455" s="1130"/>
      <c r="X455" s="1130"/>
      <c r="Y455" s="1130"/>
      <c r="Z455" s="1130"/>
      <c r="AA455" s="1130"/>
    </row>
    <row r="456" spans="1:27" ht="15.75" customHeight="1">
      <c r="A456" s="1130"/>
      <c r="B456" s="1130"/>
      <c r="C456" s="1130"/>
      <c r="D456" s="1130"/>
      <c r="E456" s="1130"/>
      <c r="F456" s="1130"/>
      <c r="G456" s="1130"/>
      <c r="H456" s="1130"/>
      <c r="I456" s="1130"/>
      <c r="J456" s="1130"/>
      <c r="K456" s="1130"/>
      <c r="L456" s="1130"/>
      <c r="M456" s="1130"/>
      <c r="N456" s="1130"/>
      <c r="O456" s="1130"/>
      <c r="P456" s="1130"/>
      <c r="Q456" s="1130"/>
      <c r="R456" s="1130"/>
      <c r="S456" s="1130"/>
      <c r="T456" s="1130"/>
      <c r="U456" s="1130"/>
      <c r="V456" s="1130"/>
      <c r="W456" s="1130"/>
      <c r="X456" s="1130"/>
      <c r="Y456" s="1130"/>
      <c r="Z456" s="1130"/>
      <c r="AA456" s="1130"/>
    </row>
    <row r="457" spans="1:27" ht="15.75" customHeight="1">
      <c r="A457" s="1130"/>
      <c r="B457" s="1130"/>
      <c r="C457" s="1130"/>
      <c r="D457" s="1130"/>
      <c r="E457" s="1130"/>
      <c r="F457" s="1130"/>
      <c r="G457" s="1130"/>
      <c r="H457" s="1130"/>
      <c r="I457" s="1130"/>
      <c r="J457" s="1130"/>
      <c r="K457" s="1130"/>
      <c r="L457" s="1130"/>
      <c r="M457" s="1130"/>
      <c r="N457" s="1130"/>
      <c r="O457" s="1130"/>
      <c r="P457" s="1130"/>
      <c r="Q457" s="1130"/>
      <c r="R457" s="1130"/>
      <c r="S457" s="1130"/>
      <c r="T457" s="1130"/>
      <c r="U457" s="1130"/>
      <c r="V457" s="1130"/>
      <c r="W457" s="1130"/>
      <c r="X457" s="1130"/>
      <c r="Y457" s="1130"/>
      <c r="Z457" s="1130"/>
      <c r="AA457" s="1130"/>
    </row>
    <row r="458" spans="1:27" ht="15.75" customHeight="1">
      <c r="A458" s="1130"/>
      <c r="B458" s="1130"/>
      <c r="C458" s="1130"/>
      <c r="D458" s="1130"/>
      <c r="E458" s="1130"/>
      <c r="F458" s="1130"/>
      <c r="G458" s="1130"/>
      <c r="H458" s="1130"/>
      <c r="I458" s="1130"/>
      <c r="J458" s="1130"/>
      <c r="K458" s="1130"/>
      <c r="L458" s="1130"/>
      <c r="M458" s="1130"/>
      <c r="N458" s="1130"/>
      <c r="O458" s="1130"/>
      <c r="P458" s="1130"/>
      <c r="Q458" s="1130"/>
      <c r="R458" s="1130"/>
      <c r="S458" s="1130"/>
      <c r="T458" s="1130"/>
      <c r="U458" s="1130"/>
      <c r="V458" s="1130"/>
      <c r="W458" s="1130"/>
      <c r="X458" s="1130"/>
      <c r="Y458" s="1130"/>
      <c r="Z458" s="1130"/>
      <c r="AA458" s="1130"/>
    </row>
    <row r="459" spans="1:27" ht="15.75" customHeight="1">
      <c r="A459" s="1130"/>
      <c r="B459" s="1130"/>
      <c r="C459" s="1130"/>
      <c r="D459" s="1130"/>
      <c r="E459" s="1130"/>
      <c r="F459" s="1130"/>
      <c r="G459" s="1130"/>
      <c r="H459" s="1130"/>
      <c r="I459" s="1130"/>
      <c r="J459" s="1130"/>
      <c r="K459" s="1130"/>
      <c r="L459" s="1130"/>
      <c r="M459" s="1130"/>
      <c r="N459" s="1130"/>
      <c r="O459" s="1130"/>
      <c r="P459" s="1130"/>
      <c r="Q459" s="1130"/>
      <c r="R459" s="1130"/>
      <c r="S459" s="1130"/>
      <c r="T459" s="1130"/>
      <c r="U459" s="1130"/>
      <c r="V459" s="1130"/>
      <c r="W459" s="1130"/>
      <c r="X459" s="1130"/>
      <c r="Y459" s="1130"/>
      <c r="Z459" s="1130"/>
      <c r="AA459" s="1130"/>
    </row>
    <row r="460" spans="1:27" ht="15.75" customHeight="1">
      <c r="A460" s="1130"/>
      <c r="B460" s="1130"/>
      <c r="C460" s="1130"/>
      <c r="D460" s="1130"/>
      <c r="E460" s="1130"/>
      <c r="F460" s="1130"/>
      <c r="G460" s="1130"/>
      <c r="H460" s="1130"/>
      <c r="I460" s="1130"/>
      <c r="J460" s="1130"/>
      <c r="K460" s="1130"/>
      <c r="L460" s="1130"/>
      <c r="M460" s="1130"/>
      <c r="N460" s="1130"/>
      <c r="O460" s="1130"/>
      <c r="P460" s="1130"/>
      <c r="Q460" s="1130"/>
      <c r="R460" s="1130"/>
      <c r="S460" s="1130"/>
      <c r="T460" s="1130"/>
      <c r="U460" s="1130"/>
      <c r="V460" s="1130"/>
      <c r="W460" s="1130"/>
      <c r="X460" s="1130"/>
      <c r="Y460" s="1130"/>
      <c r="Z460" s="1130"/>
      <c r="AA460" s="1130"/>
    </row>
    <row r="461" spans="1:27" ht="15.75" customHeight="1">
      <c r="A461" s="1130"/>
      <c r="B461" s="1130"/>
      <c r="C461" s="1130"/>
      <c r="D461" s="1130"/>
      <c r="E461" s="1130"/>
      <c r="F461" s="1130"/>
      <c r="G461" s="1130"/>
      <c r="H461" s="1130"/>
      <c r="I461" s="1130"/>
      <c r="J461" s="1130"/>
      <c r="K461" s="1130"/>
      <c r="L461" s="1130"/>
      <c r="M461" s="1130"/>
      <c r="N461" s="1130"/>
      <c r="O461" s="1130"/>
      <c r="P461" s="1130"/>
      <c r="Q461" s="1130"/>
      <c r="R461" s="1130"/>
      <c r="S461" s="1130"/>
      <c r="T461" s="1130"/>
      <c r="U461" s="1130"/>
      <c r="V461" s="1130"/>
      <c r="W461" s="1130"/>
      <c r="X461" s="1130"/>
      <c r="Y461" s="1130"/>
      <c r="Z461" s="1130"/>
      <c r="AA461" s="1130"/>
    </row>
    <row r="462" spans="1:27" ht="15.75" customHeight="1">
      <c r="A462" s="1130"/>
      <c r="B462" s="1130"/>
      <c r="C462" s="1130"/>
      <c r="D462" s="1130"/>
      <c r="E462" s="1130"/>
      <c r="F462" s="1130"/>
      <c r="G462" s="1130"/>
      <c r="H462" s="1130"/>
      <c r="I462" s="1130"/>
      <c r="J462" s="1130"/>
      <c r="K462" s="1130"/>
      <c r="L462" s="1130"/>
      <c r="M462" s="1130"/>
      <c r="N462" s="1130"/>
      <c r="O462" s="1130"/>
      <c r="P462" s="1130"/>
      <c r="Q462" s="1130"/>
      <c r="R462" s="1130"/>
      <c r="S462" s="1130"/>
      <c r="T462" s="1130"/>
      <c r="U462" s="1130"/>
      <c r="V462" s="1130"/>
      <c r="W462" s="1130"/>
      <c r="X462" s="1130"/>
      <c r="Y462" s="1130"/>
      <c r="Z462" s="1130"/>
      <c r="AA462" s="1130"/>
    </row>
    <row r="463" spans="1:27" ht="15.75" customHeight="1">
      <c r="A463" s="1130"/>
      <c r="B463" s="1130"/>
      <c r="C463" s="1130"/>
      <c r="D463" s="1130"/>
      <c r="E463" s="1130"/>
      <c r="F463" s="1130"/>
      <c r="G463" s="1130"/>
      <c r="H463" s="1130"/>
      <c r="I463" s="1130"/>
      <c r="J463" s="1130"/>
      <c r="K463" s="1130"/>
      <c r="L463" s="1130"/>
      <c r="M463" s="1130"/>
      <c r="N463" s="1130"/>
      <c r="O463" s="1130"/>
      <c r="P463" s="1130"/>
      <c r="Q463" s="1130"/>
      <c r="R463" s="1130"/>
      <c r="S463" s="1130"/>
      <c r="T463" s="1130"/>
      <c r="U463" s="1130"/>
      <c r="V463" s="1130"/>
      <c r="W463" s="1130"/>
      <c r="X463" s="1130"/>
      <c r="Y463" s="1130"/>
      <c r="Z463" s="1130"/>
      <c r="AA463" s="1130"/>
    </row>
    <row r="464" spans="1:27" ht="15.75" customHeight="1">
      <c r="A464" s="1130"/>
      <c r="B464" s="1130"/>
      <c r="C464" s="1130"/>
      <c r="D464" s="1130"/>
      <c r="E464" s="1130"/>
      <c r="F464" s="1130"/>
      <c r="G464" s="1130"/>
      <c r="H464" s="1130"/>
      <c r="I464" s="1130"/>
      <c r="J464" s="1130"/>
      <c r="K464" s="1130"/>
      <c r="L464" s="1130"/>
      <c r="M464" s="1130"/>
      <c r="N464" s="1130"/>
      <c r="O464" s="1130"/>
      <c r="P464" s="1130"/>
      <c r="Q464" s="1130"/>
      <c r="R464" s="1130"/>
      <c r="S464" s="1130"/>
      <c r="T464" s="1130"/>
      <c r="U464" s="1130"/>
      <c r="V464" s="1130"/>
      <c r="W464" s="1130"/>
      <c r="X464" s="1130"/>
      <c r="Y464" s="1130"/>
      <c r="Z464" s="1130"/>
      <c r="AA464" s="1130"/>
    </row>
    <row r="465" spans="1:27" ht="15.75" customHeight="1">
      <c r="A465" s="1130"/>
      <c r="B465" s="1130"/>
      <c r="C465" s="1130"/>
      <c r="D465" s="1130"/>
      <c r="E465" s="1130"/>
      <c r="F465" s="1130"/>
      <c r="G465" s="1130"/>
      <c r="H465" s="1130"/>
      <c r="I465" s="1130"/>
      <c r="J465" s="1130"/>
      <c r="K465" s="1130"/>
      <c r="L465" s="1130"/>
      <c r="M465" s="1130"/>
      <c r="N465" s="1130"/>
      <c r="O465" s="1130"/>
      <c r="P465" s="1130"/>
      <c r="Q465" s="1130"/>
      <c r="R465" s="1130"/>
      <c r="S465" s="1130"/>
      <c r="T465" s="1130"/>
      <c r="U465" s="1130"/>
      <c r="V465" s="1130"/>
      <c r="W465" s="1130"/>
      <c r="X465" s="1130"/>
      <c r="Y465" s="1130"/>
      <c r="Z465" s="1130"/>
      <c r="AA465" s="1130"/>
    </row>
    <row r="466" spans="1:27" ht="15.75" customHeight="1">
      <c r="A466" s="1130"/>
      <c r="B466" s="1130"/>
      <c r="C466" s="1130"/>
      <c r="D466" s="1130"/>
      <c r="E466" s="1130"/>
      <c r="F466" s="1130"/>
      <c r="G466" s="1130"/>
      <c r="H466" s="1130"/>
      <c r="I466" s="1130"/>
      <c r="J466" s="1130"/>
      <c r="K466" s="1130"/>
      <c r="L466" s="1130"/>
      <c r="M466" s="1130"/>
      <c r="N466" s="1130"/>
      <c r="O466" s="1130"/>
      <c r="P466" s="1130"/>
      <c r="Q466" s="1130"/>
      <c r="R466" s="1130"/>
      <c r="S466" s="1130"/>
      <c r="T466" s="1130"/>
      <c r="U466" s="1130"/>
      <c r="V466" s="1130"/>
      <c r="W466" s="1130"/>
      <c r="X466" s="1130"/>
      <c r="Y466" s="1130"/>
      <c r="Z466" s="1130"/>
      <c r="AA466" s="1130"/>
    </row>
    <row r="467" spans="1:27" ht="15.75" customHeight="1">
      <c r="A467" s="1130"/>
      <c r="B467" s="1130"/>
      <c r="C467" s="1130"/>
      <c r="D467" s="1130"/>
      <c r="E467" s="1130"/>
      <c r="F467" s="1130"/>
      <c r="G467" s="1130"/>
      <c r="H467" s="1130"/>
      <c r="I467" s="1130"/>
      <c r="J467" s="1130"/>
      <c r="K467" s="1130"/>
      <c r="L467" s="1130"/>
      <c r="M467" s="1130"/>
      <c r="N467" s="1130"/>
      <c r="O467" s="1130"/>
      <c r="P467" s="1130"/>
      <c r="Q467" s="1130"/>
      <c r="R467" s="1130"/>
      <c r="S467" s="1130"/>
      <c r="T467" s="1130"/>
      <c r="U467" s="1130"/>
      <c r="V467" s="1130"/>
      <c r="W467" s="1130"/>
      <c r="X467" s="1130"/>
      <c r="Y467" s="1130"/>
      <c r="Z467" s="1130"/>
      <c r="AA467" s="1130"/>
    </row>
    <row r="468" spans="1:27" ht="15.75" customHeight="1">
      <c r="A468" s="1130"/>
      <c r="B468" s="1130"/>
      <c r="C468" s="1130"/>
      <c r="D468" s="1130"/>
      <c r="E468" s="1130"/>
      <c r="F468" s="1130"/>
      <c r="G468" s="1130"/>
      <c r="H468" s="1130"/>
      <c r="I468" s="1130"/>
      <c r="J468" s="1130"/>
      <c r="K468" s="1130"/>
      <c r="L468" s="1130"/>
      <c r="M468" s="1130"/>
      <c r="N468" s="1130"/>
      <c r="O468" s="1130"/>
      <c r="P468" s="1130"/>
      <c r="Q468" s="1130"/>
      <c r="R468" s="1130"/>
      <c r="S468" s="1130"/>
      <c r="T468" s="1130"/>
      <c r="U468" s="1130"/>
      <c r="V468" s="1130"/>
      <c r="W468" s="1130"/>
      <c r="X468" s="1130"/>
      <c r="Y468" s="1130"/>
      <c r="Z468" s="1130"/>
      <c r="AA468" s="1130"/>
    </row>
    <row r="469" spans="1:27" ht="15.75" customHeight="1">
      <c r="A469" s="1130"/>
      <c r="B469" s="1130"/>
      <c r="C469" s="1130"/>
      <c r="D469" s="1130"/>
      <c r="E469" s="1130"/>
      <c r="F469" s="1130"/>
      <c r="G469" s="1130"/>
      <c r="H469" s="1130"/>
      <c r="I469" s="1130"/>
      <c r="J469" s="1130"/>
      <c r="K469" s="1130"/>
      <c r="L469" s="1130"/>
      <c r="M469" s="1130"/>
      <c r="N469" s="1130"/>
      <c r="O469" s="1130"/>
      <c r="P469" s="1130"/>
      <c r="Q469" s="1130"/>
      <c r="R469" s="1130"/>
      <c r="S469" s="1130"/>
      <c r="T469" s="1130"/>
      <c r="U469" s="1130"/>
      <c r="V469" s="1130"/>
      <c r="W469" s="1130"/>
      <c r="X469" s="1130"/>
      <c r="Y469" s="1130"/>
      <c r="Z469" s="1130"/>
      <c r="AA469" s="1130"/>
    </row>
    <row r="470" spans="1:27" ht="15.75" customHeight="1">
      <c r="A470" s="1130"/>
      <c r="B470" s="1130"/>
      <c r="C470" s="1130"/>
      <c r="D470" s="1130"/>
      <c r="E470" s="1130"/>
      <c r="F470" s="1130"/>
      <c r="G470" s="1130"/>
      <c r="H470" s="1130"/>
      <c r="I470" s="1130"/>
      <c r="J470" s="1130"/>
      <c r="K470" s="1130"/>
      <c r="L470" s="1130"/>
      <c r="M470" s="1130"/>
      <c r="N470" s="1130"/>
      <c r="O470" s="1130"/>
      <c r="P470" s="1130"/>
      <c r="Q470" s="1130"/>
      <c r="R470" s="1130"/>
      <c r="S470" s="1130"/>
      <c r="T470" s="1130"/>
      <c r="U470" s="1130"/>
      <c r="V470" s="1130"/>
      <c r="W470" s="1130"/>
      <c r="X470" s="1130"/>
      <c r="Y470" s="1130"/>
      <c r="Z470" s="1130"/>
      <c r="AA470" s="1130"/>
    </row>
    <row r="471" spans="1:27" ht="15.75" customHeight="1">
      <c r="A471" s="1130"/>
      <c r="B471" s="1130"/>
      <c r="C471" s="1130"/>
      <c r="D471" s="1130"/>
      <c r="E471" s="1130"/>
      <c r="F471" s="1130"/>
      <c r="G471" s="1130"/>
      <c r="H471" s="1130"/>
      <c r="I471" s="1130"/>
      <c r="J471" s="1130"/>
      <c r="K471" s="1130"/>
      <c r="L471" s="1130"/>
      <c r="M471" s="1130"/>
      <c r="N471" s="1130"/>
      <c r="O471" s="1130"/>
      <c r="P471" s="1130"/>
      <c r="Q471" s="1130"/>
      <c r="R471" s="1130"/>
      <c r="S471" s="1130"/>
      <c r="T471" s="1130"/>
      <c r="U471" s="1130"/>
      <c r="V471" s="1130"/>
      <c r="W471" s="1130"/>
      <c r="X471" s="1130"/>
      <c r="Y471" s="1130"/>
      <c r="Z471" s="1130"/>
      <c r="AA471" s="1130"/>
    </row>
    <row r="472" spans="1:27" ht="15.75" customHeight="1">
      <c r="A472" s="1130"/>
      <c r="B472" s="1130"/>
      <c r="C472" s="1130"/>
      <c r="D472" s="1130"/>
      <c r="E472" s="1130"/>
      <c r="F472" s="1130"/>
      <c r="G472" s="1130"/>
      <c r="H472" s="1130"/>
      <c r="I472" s="1130"/>
      <c r="J472" s="1130"/>
      <c r="K472" s="1130"/>
      <c r="L472" s="1130"/>
      <c r="M472" s="1130"/>
      <c r="N472" s="1130"/>
      <c r="O472" s="1130"/>
      <c r="P472" s="1130"/>
      <c r="Q472" s="1130"/>
      <c r="R472" s="1130"/>
      <c r="S472" s="1130"/>
      <c r="T472" s="1130"/>
      <c r="U472" s="1130"/>
      <c r="V472" s="1130"/>
      <c r="W472" s="1130"/>
      <c r="X472" s="1130"/>
      <c r="Y472" s="1130"/>
      <c r="Z472" s="1130"/>
      <c r="AA472" s="1130"/>
    </row>
    <row r="473" spans="1:27" ht="15.75" customHeight="1">
      <c r="A473" s="1130"/>
      <c r="B473" s="1130"/>
      <c r="C473" s="1130"/>
      <c r="D473" s="1130"/>
      <c r="E473" s="1130"/>
      <c r="F473" s="1130"/>
      <c r="G473" s="1130"/>
      <c r="H473" s="1130"/>
      <c r="I473" s="1130"/>
      <c r="J473" s="1130"/>
      <c r="K473" s="1130"/>
      <c r="L473" s="1130"/>
      <c r="M473" s="1130"/>
      <c r="N473" s="1130"/>
      <c r="O473" s="1130"/>
      <c r="P473" s="1130"/>
      <c r="Q473" s="1130"/>
      <c r="R473" s="1130"/>
      <c r="S473" s="1130"/>
      <c r="T473" s="1130"/>
      <c r="U473" s="1130"/>
      <c r="V473" s="1130"/>
      <c r="W473" s="1130"/>
      <c r="X473" s="1130"/>
      <c r="Y473" s="1130"/>
      <c r="Z473" s="1130"/>
      <c r="AA473" s="1130"/>
    </row>
    <row r="474" spans="1:27" ht="15.75" customHeight="1">
      <c r="A474" s="1130"/>
      <c r="B474" s="1130"/>
      <c r="C474" s="1130"/>
      <c r="D474" s="1130"/>
      <c r="E474" s="1130"/>
      <c r="F474" s="1130"/>
      <c r="G474" s="1130"/>
      <c r="H474" s="1130"/>
      <c r="I474" s="1130"/>
      <c r="J474" s="1130"/>
      <c r="K474" s="1130"/>
      <c r="L474" s="1130"/>
      <c r="M474" s="1130"/>
      <c r="N474" s="1130"/>
      <c r="O474" s="1130"/>
      <c r="P474" s="1130"/>
      <c r="Q474" s="1130"/>
      <c r="R474" s="1130"/>
      <c r="S474" s="1130"/>
      <c r="T474" s="1130"/>
      <c r="U474" s="1130"/>
      <c r="V474" s="1130"/>
      <c r="W474" s="1130"/>
      <c r="X474" s="1130"/>
      <c r="Y474" s="1130"/>
      <c r="Z474" s="1130"/>
      <c r="AA474" s="1130"/>
    </row>
    <row r="475" spans="1:27" ht="15.75" customHeight="1">
      <c r="A475" s="1130"/>
      <c r="B475" s="1130"/>
      <c r="C475" s="1130"/>
      <c r="D475" s="1130"/>
      <c r="E475" s="1130"/>
      <c r="F475" s="1130"/>
      <c r="G475" s="1130"/>
      <c r="H475" s="1130"/>
      <c r="I475" s="1130"/>
      <c r="J475" s="1130"/>
      <c r="K475" s="1130"/>
      <c r="L475" s="1130"/>
      <c r="M475" s="1130"/>
      <c r="N475" s="1130"/>
      <c r="O475" s="1130"/>
      <c r="P475" s="1130"/>
      <c r="Q475" s="1130"/>
      <c r="R475" s="1130"/>
      <c r="S475" s="1130"/>
      <c r="T475" s="1130"/>
      <c r="U475" s="1130"/>
      <c r="V475" s="1130"/>
      <c r="W475" s="1130"/>
      <c r="X475" s="1130"/>
      <c r="Y475" s="1130"/>
      <c r="Z475" s="1130"/>
      <c r="AA475" s="1130"/>
    </row>
    <row r="476" spans="1:27" ht="15.75" customHeight="1">
      <c r="A476" s="1130"/>
      <c r="B476" s="1130"/>
      <c r="C476" s="1130"/>
      <c r="D476" s="1130"/>
      <c r="E476" s="1130"/>
      <c r="F476" s="1130"/>
      <c r="G476" s="1130"/>
      <c r="H476" s="1130"/>
      <c r="I476" s="1130"/>
      <c r="J476" s="1130"/>
      <c r="K476" s="1130"/>
      <c r="L476" s="1130"/>
      <c r="M476" s="1130"/>
      <c r="N476" s="1130"/>
      <c r="O476" s="1130"/>
      <c r="P476" s="1130"/>
      <c r="Q476" s="1130"/>
      <c r="R476" s="1130"/>
      <c r="S476" s="1130"/>
      <c r="T476" s="1130"/>
      <c r="U476" s="1130"/>
      <c r="V476" s="1130"/>
      <c r="W476" s="1130"/>
      <c r="X476" s="1130"/>
      <c r="Y476" s="1130"/>
      <c r="Z476" s="1130"/>
      <c r="AA476" s="1130"/>
    </row>
    <row r="477" spans="1:27" ht="15.75" customHeight="1">
      <c r="A477" s="1130"/>
      <c r="B477" s="1130"/>
      <c r="C477" s="1130"/>
      <c r="D477" s="1130"/>
      <c r="E477" s="1130"/>
      <c r="F477" s="1130"/>
      <c r="G477" s="1130"/>
      <c r="H477" s="1130"/>
      <c r="I477" s="1130"/>
      <c r="J477" s="1130"/>
      <c r="K477" s="1130"/>
      <c r="L477" s="1130"/>
      <c r="M477" s="1130"/>
      <c r="N477" s="1130"/>
      <c r="O477" s="1130"/>
      <c r="P477" s="1130"/>
      <c r="Q477" s="1130"/>
      <c r="R477" s="1130"/>
      <c r="S477" s="1130"/>
      <c r="T477" s="1130"/>
      <c r="U477" s="1130"/>
      <c r="V477" s="1130"/>
      <c r="W477" s="1130"/>
      <c r="X477" s="1130"/>
      <c r="Y477" s="1130"/>
      <c r="Z477" s="1130"/>
      <c r="AA477" s="1130"/>
    </row>
    <row r="478" spans="1:27" ht="15.75" customHeight="1">
      <c r="A478" s="1130"/>
      <c r="B478" s="1130"/>
      <c r="C478" s="1130"/>
      <c r="D478" s="1130"/>
      <c r="E478" s="1130"/>
      <c r="F478" s="1130"/>
      <c r="G478" s="1130"/>
      <c r="H478" s="1130"/>
      <c r="I478" s="1130"/>
      <c r="J478" s="1130"/>
      <c r="K478" s="1130"/>
      <c r="L478" s="1130"/>
      <c r="M478" s="1130"/>
      <c r="N478" s="1130"/>
      <c r="O478" s="1130"/>
      <c r="P478" s="1130"/>
      <c r="Q478" s="1130"/>
      <c r="R478" s="1130"/>
      <c r="S478" s="1130"/>
      <c r="T478" s="1130"/>
      <c r="U478" s="1130"/>
      <c r="V478" s="1130"/>
      <c r="W478" s="1130"/>
      <c r="X478" s="1130"/>
      <c r="Y478" s="1130"/>
      <c r="Z478" s="1130"/>
      <c r="AA478" s="1130"/>
    </row>
    <row r="479" spans="1:27" ht="15.75" customHeight="1">
      <c r="A479" s="1130"/>
      <c r="B479" s="1130"/>
      <c r="C479" s="1130"/>
      <c r="D479" s="1130"/>
      <c r="E479" s="1130"/>
      <c r="F479" s="1130"/>
      <c r="G479" s="1130"/>
      <c r="H479" s="1130"/>
      <c r="I479" s="1130"/>
      <c r="J479" s="1130"/>
      <c r="K479" s="1130"/>
      <c r="L479" s="1130"/>
      <c r="M479" s="1130"/>
      <c r="N479" s="1130"/>
      <c r="O479" s="1130"/>
      <c r="P479" s="1130"/>
      <c r="Q479" s="1130"/>
      <c r="R479" s="1130"/>
      <c r="S479" s="1130"/>
      <c r="T479" s="1130"/>
      <c r="U479" s="1130"/>
      <c r="V479" s="1130"/>
      <c r="W479" s="1130"/>
      <c r="X479" s="1130"/>
      <c r="Y479" s="1130"/>
      <c r="Z479" s="1130"/>
      <c r="AA479" s="1130"/>
    </row>
    <row r="480" spans="1:27" ht="15.75" customHeight="1">
      <c r="A480" s="1130"/>
      <c r="B480" s="1130"/>
      <c r="C480" s="1130"/>
      <c r="D480" s="1130"/>
      <c r="E480" s="1130"/>
      <c r="F480" s="1130"/>
      <c r="G480" s="1130"/>
      <c r="H480" s="1130"/>
      <c r="I480" s="1130"/>
      <c r="J480" s="1130"/>
      <c r="K480" s="1130"/>
      <c r="L480" s="1130"/>
      <c r="M480" s="1130"/>
      <c r="N480" s="1130"/>
      <c r="O480" s="1130"/>
      <c r="P480" s="1130"/>
      <c r="Q480" s="1130"/>
      <c r="R480" s="1130"/>
      <c r="S480" s="1130"/>
      <c r="T480" s="1130"/>
      <c r="U480" s="1130"/>
      <c r="V480" s="1130"/>
      <c r="W480" s="1130"/>
      <c r="X480" s="1130"/>
      <c r="Y480" s="1130"/>
      <c r="Z480" s="1130"/>
      <c r="AA480" s="1130"/>
    </row>
    <row r="481" spans="1:27" ht="15.75" customHeight="1">
      <c r="A481" s="1130"/>
      <c r="B481" s="1130"/>
      <c r="C481" s="1130"/>
      <c r="D481" s="1130"/>
      <c r="E481" s="1130"/>
      <c r="F481" s="1130"/>
      <c r="G481" s="1130"/>
      <c r="H481" s="1130"/>
      <c r="I481" s="1130"/>
      <c r="J481" s="1130"/>
      <c r="K481" s="1130"/>
      <c r="L481" s="1130"/>
      <c r="M481" s="1130"/>
      <c r="N481" s="1130"/>
      <c r="O481" s="1130"/>
      <c r="P481" s="1130"/>
      <c r="Q481" s="1130"/>
      <c r="R481" s="1130"/>
      <c r="S481" s="1130"/>
      <c r="T481" s="1130"/>
      <c r="U481" s="1130"/>
      <c r="V481" s="1130"/>
      <c r="W481" s="1130"/>
      <c r="X481" s="1130"/>
      <c r="Y481" s="1130"/>
      <c r="Z481" s="1130"/>
      <c r="AA481" s="1130"/>
    </row>
    <row r="482" spans="1:27" ht="15.75" customHeight="1">
      <c r="A482" s="1130"/>
      <c r="B482" s="1130"/>
      <c r="C482" s="1130"/>
      <c r="D482" s="1130"/>
      <c r="E482" s="1130"/>
      <c r="F482" s="1130"/>
      <c r="G482" s="1130"/>
      <c r="H482" s="1130"/>
      <c r="I482" s="1130"/>
      <c r="J482" s="1130"/>
      <c r="K482" s="1130"/>
      <c r="L482" s="1130"/>
      <c r="M482" s="1130"/>
      <c r="N482" s="1130"/>
      <c r="O482" s="1130"/>
      <c r="P482" s="1130"/>
      <c r="Q482" s="1130"/>
      <c r="R482" s="1130"/>
      <c r="S482" s="1130"/>
      <c r="T482" s="1130"/>
      <c r="U482" s="1130"/>
      <c r="V482" s="1130"/>
      <c r="W482" s="1130"/>
      <c r="X482" s="1130"/>
      <c r="Y482" s="1130"/>
      <c r="Z482" s="1130"/>
      <c r="AA482" s="1130"/>
    </row>
    <row r="483" spans="1:27" ht="15.75" customHeight="1">
      <c r="A483" s="1130"/>
      <c r="B483" s="1130"/>
      <c r="C483" s="1130"/>
      <c r="D483" s="1130"/>
      <c r="E483" s="1130"/>
      <c r="F483" s="1130"/>
      <c r="G483" s="1130"/>
      <c r="H483" s="1130"/>
      <c r="I483" s="1130"/>
      <c r="J483" s="1130"/>
      <c r="K483" s="1130"/>
      <c r="L483" s="1130"/>
      <c r="M483" s="1130"/>
      <c r="N483" s="1130"/>
      <c r="O483" s="1130"/>
      <c r="P483" s="1130"/>
      <c r="Q483" s="1130"/>
      <c r="R483" s="1130"/>
      <c r="S483" s="1130"/>
      <c r="T483" s="1130"/>
      <c r="U483" s="1130"/>
      <c r="V483" s="1130"/>
      <c r="W483" s="1130"/>
      <c r="X483" s="1130"/>
      <c r="Y483" s="1130"/>
      <c r="Z483" s="1130"/>
      <c r="AA483" s="1130"/>
    </row>
    <row r="484" spans="1:27" ht="15.75" customHeight="1">
      <c r="A484" s="1130"/>
      <c r="B484" s="1130"/>
      <c r="C484" s="1130"/>
      <c r="D484" s="1130"/>
      <c r="E484" s="1130"/>
      <c r="F484" s="1130"/>
      <c r="G484" s="1130"/>
      <c r="H484" s="1130"/>
      <c r="I484" s="1130"/>
      <c r="J484" s="1130"/>
      <c r="K484" s="1130"/>
      <c r="L484" s="1130"/>
      <c r="M484" s="1130"/>
      <c r="N484" s="1130"/>
      <c r="O484" s="1130"/>
      <c r="P484" s="1130"/>
      <c r="Q484" s="1130"/>
      <c r="R484" s="1130"/>
      <c r="S484" s="1130"/>
      <c r="T484" s="1130"/>
      <c r="U484" s="1130"/>
      <c r="V484" s="1130"/>
      <c r="W484" s="1130"/>
      <c r="X484" s="1130"/>
      <c r="Y484" s="1130"/>
      <c r="Z484" s="1130"/>
      <c r="AA484" s="1130"/>
    </row>
    <row r="485" spans="1:27" ht="15.75" customHeight="1">
      <c r="A485" s="1130"/>
      <c r="B485" s="1130"/>
      <c r="C485" s="1130"/>
      <c r="D485" s="1130"/>
      <c r="E485" s="1130"/>
      <c r="F485" s="1130"/>
      <c r="G485" s="1130"/>
      <c r="H485" s="1130"/>
      <c r="I485" s="1130"/>
      <c r="J485" s="1130"/>
      <c r="K485" s="1130"/>
      <c r="L485" s="1130"/>
      <c r="M485" s="1130"/>
      <c r="N485" s="1130"/>
      <c r="O485" s="1130"/>
      <c r="P485" s="1130"/>
      <c r="Q485" s="1130"/>
      <c r="R485" s="1130"/>
      <c r="S485" s="1130"/>
      <c r="T485" s="1130"/>
      <c r="U485" s="1130"/>
      <c r="V485" s="1130"/>
      <c r="W485" s="1130"/>
      <c r="X485" s="1130"/>
      <c r="Y485" s="1130"/>
      <c r="Z485" s="1130"/>
      <c r="AA485" s="1130"/>
    </row>
    <row r="486" spans="1:27" ht="15.75" customHeight="1">
      <c r="A486" s="1130"/>
      <c r="B486" s="1130"/>
      <c r="C486" s="1130"/>
      <c r="D486" s="1130"/>
      <c r="E486" s="1130"/>
      <c r="F486" s="1130"/>
      <c r="G486" s="1130"/>
      <c r="H486" s="1130"/>
      <c r="I486" s="1130"/>
      <c r="J486" s="1130"/>
      <c r="K486" s="1130"/>
      <c r="L486" s="1130"/>
      <c r="M486" s="1130"/>
      <c r="N486" s="1130"/>
      <c r="O486" s="1130"/>
      <c r="P486" s="1130"/>
      <c r="Q486" s="1130"/>
      <c r="R486" s="1130"/>
      <c r="S486" s="1130"/>
      <c r="T486" s="1130"/>
      <c r="U486" s="1130"/>
      <c r="V486" s="1130"/>
      <c r="W486" s="1130"/>
      <c r="X486" s="1130"/>
      <c r="Y486" s="1130"/>
      <c r="Z486" s="1130"/>
      <c r="AA486" s="1130"/>
    </row>
    <row r="487" spans="1:27" ht="15.75" customHeight="1">
      <c r="A487" s="1130"/>
      <c r="B487" s="1130"/>
      <c r="C487" s="1130"/>
      <c r="D487" s="1130"/>
      <c r="E487" s="1130"/>
      <c r="F487" s="1130"/>
      <c r="G487" s="1130"/>
      <c r="H487" s="1130"/>
      <c r="I487" s="1130"/>
      <c r="J487" s="1130"/>
      <c r="K487" s="1130"/>
      <c r="L487" s="1130"/>
      <c r="M487" s="1130"/>
      <c r="N487" s="1130"/>
      <c r="O487" s="1130"/>
      <c r="P487" s="1130"/>
      <c r="Q487" s="1130"/>
      <c r="R487" s="1130"/>
      <c r="S487" s="1130"/>
      <c r="T487" s="1130"/>
      <c r="U487" s="1130"/>
      <c r="V487" s="1130"/>
      <c r="W487" s="1130"/>
      <c r="X487" s="1130"/>
      <c r="Y487" s="1130"/>
      <c r="Z487" s="1130"/>
      <c r="AA487" s="1130"/>
    </row>
    <row r="488" spans="1:27" ht="15.75" customHeight="1">
      <c r="A488" s="1130"/>
      <c r="B488" s="1130"/>
      <c r="C488" s="1130"/>
      <c r="D488" s="1130"/>
      <c r="E488" s="1130"/>
      <c r="F488" s="1130"/>
      <c r="G488" s="1130"/>
      <c r="H488" s="1130"/>
      <c r="I488" s="1130"/>
      <c r="J488" s="1130"/>
      <c r="K488" s="1130"/>
      <c r="L488" s="1130"/>
      <c r="M488" s="1130"/>
      <c r="N488" s="1130"/>
      <c r="O488" s="1130"/>
      <c r="P488" s="1130"/>
      <c r="Q488" s="1130"/>
      <c r="R488" s="1130"/>
      <c r="S488" s="1130"/>
      <c r="T488" s="1130"/>
      <c r="U488" s="1130"/>
      <c r="V488" s="1130"/>
      <c r="W488" s="1130"/>
      <c r="X488" s="1130"/>
      <c r="Y488" s="1130"/>
      <c r="Z488" s="1130"/>
      <c r="AA488" s="1130"/>
    </row>
    <row r="489" spans="1:27" ht="15.75" customHeight="1">
      <c r="A489" s="1130"/>
      <c r="B489" s="1130"/>
      <c r="C489" s="1130"/>
      <c r="D489" s="1130"/>
      <c r="E489" s="1130"/>
      <c r="F489" s="1130"/>
      <c r="G489" s="1130"/>
      <c r="H489" s="1130"/>
      <c r="I489" s="1130"/>
      <c r="J489" s="1130"/>
      <c r="K489" s="1130"/>
      <c r="L489" s="1130"/>
      <c r="M489" s="1130"/>
      <c r="N489" s="1130"/>
      <c r="O489" s="1130"/>
      <c r="P489" s="1130"/>
      <c r="Q489" s="1130"/>
      <c r="R489" s="1130"/>
      <c r="S489" s="1130"/>
      <c r="T489" s="1130"/>
      <c r="U489" s="1130"/>
      <c r="V489" s="1130"/>
      <c r="W489" s="1130"/>
      <c r="X489" s="1130"/>
      <c r="Y489" s="1130"/>
      <c r="Z489" s="1130"/>
      <c r="AA489" s="1130"/>
    </row>
    <row r="490" spans="1:27" ht="15.75" customHeight="1">
      <c r="A490" s="1130"/>
      <c r="B490" s="1130"/>
      <c r="C490" s="1130"/>
      <c r="D490" s="1130"/>
      <c r="E490" s="1130"/>
      <c r="F490" s="1130"/>
      <c r="G490" s="1130"/>
      <c r="H490" s="1130"/>
      <c r="I490" s="1130"/>
      <c r="J490" s="1130"/>
      <c r="K490" s="1130"/>
      <c r="L490" s="1130"/>
      <c r="M490" s="1130"/>
      <c r="N490" s="1130"/>
      <c r="O490" s="1130"/>
      <c r="P490" s="1130"/>
      <c r="Q490" s="1130"/>
      <c r="R490" s="1130"/>
      <c r="S490" s="1130"/>
      <c r="T490" s="1130"/>
      <c r="U490" s="1130"/>
      <c r="V490" s="1130"/>
      <c r="W490" s="1130"/>
      <c r="X490" s="1130"/>
      <c r="Y490" s="1130"/>
      <c r="Z490" s="1130"/>
      <c r="AA490" s="1130"/>
    </row>
    <row r="491" spans="1:27" ht="15.75" customHeight="1">
      <c r="A491" s="1130"/>
      <c r="B491" s="1130"/>
      <c r="C491" s="1130"/>
      <c r="D491" s="1130"/>
      <c r="E491" s="1130"/>
      <c r="F491" s="1130"/>
      <c r="G491" s="1130"/>
      <c r="H491" s="1130"/>
      <c r="I491" s="1130"/>
      <c r="J491" s="1130"/>
      <c r="K491" s="1130"/>
      <c r="L491" s="1130"/>
      <c r="M491" s="1130"/>
      <c r="N491" s="1130"/>
      <c r="O491" s="1130"/>
      <c r="P491" s="1130"/>
      <c r="Q491" s="1130"/>
      <c r="R491" s="1130"/>
      <c r="S491" s="1130"/>
      <c r="T491" s="1130"/>
      <c r="U491" s="1130"/>
      <c r="V491" s="1130"/>
      <c r="W491" s="1130"/>
      <c r="X491" s="1130"/>
      <c r="Y491" s="1130"/>
      <c r="Z491" s="1130"/>
      <c r="AA491" s="1130"/>
    </row>
    <row r="492" spans="1:27" ht="15.75" customHeight="1">
      <c r="A492" s="1130"/>
      <c r="B492" s="1130"/>
      <c r="C492" s="1130"/>
      <c r="D492" s="1130"/>
      <c r="E492" s="1130"/>
      <c r="F492" s="1130"/>
      <c r="G492" s="1130"/>
      <c r="H492" s="1130"/>
      <c r="I492" s="1130"/>
      <c r="J492" s="1130"/>
      <c r="K492" s="1130"/>
      <c r="L492" s="1130"/>
      <c r="M492" s="1130"/>
      <c r="N492" s="1130"/>
      <c r="O492" s="1130"/>
      <c r="P492" s="1130"/>
      <c r="Q492" s="1130"/>
      <c r="R492" s="1130"/>
      <c r="S492" s="1130"/>
      <c r="T492" s="1130"/>
      <c r="U492" s="1130"/>
      <c r="V492" s="1130"/>
      <c r="W492" s="1130"/>
      <c r="X492" s="1130"/>
      <c r="Y492" s="1130"/>
      <c r="Z492" s="1130"/>
      <c r="AA492" s="1130"/>
    </row>
    <row r="493" spans="1:27" ht="15.75" customHeight="1">
      <c r="A493" s="1130"/>
      <c r="B493" s="1130"/>
      <c r="C493" s="1130"/>
      <c r="D493" s="1130"/>
      <c r="E493" s="1130"/>
      <c r="F493" s="1130"/>
      <c r="G493" s="1130"/>
      <c r="H493" s="1130"/>
      <c r="I493" s="1130"/>
      <c r="J493" s="1130"/>
      <c r="K493" s="1130"/>
      <c r="L493" s="1130"/>
      <c r="M493" s="1130"/>
      <c r="N493" s="1130"/>
      <c r="O493" s="1130"/>
      <c r="P493" s="1130"/>
      <c r="Q493" s="1130"/>
      <c r="R493" s="1130"/>
      <c r="S493" s="1130"/>
      <c r="T493" s="1130"/>
      <c r="U493" s="1130"/>
      <c r="V493" s="1130"/>
      <c r="W493" s="1130"/>
      <c r="X493" s="1130"/>
      <c r="Y493" s="1130"/>
      <c r="Z493" s="1130"/>
      <c r="AA493" s="1130"/>
    </row>
    <row r="494" spans="1:27" ht="15.75" customHeight="1">
      <c r="A494" s="1130"/>
      <c r="B494" s="1130"/>
      <c r="C494" s="1130"/>
      <c r="D494" s="1130"/>
      <c r="E494" s="1130"/>
      <c r="F494" s="1130"/>
      <c r="G494" s="1130"/>
      <c r="H494" s="1130"/>
      <c r="I494" s="1130"/>
      <c r="J494" s="1130"/>
      <c r="K494" s="1130"/>
      <c r="L494" s="1130"/>
      <c r="M494" s="1130"/>
      <c r="N494" s="1130"/>
      <c r="O494" s="1130"/>
      <c r="P494" s="1130"/>
      <c r="Q494" s="1130"/>
      <c r="R494" s="1130"/>
      <c r="S494" s="1130"/>
      <c r="T494" s="1130"/>
      <c r="U494" s="1130"/>
      <c r="V494" s="1130"/>
      <c r="W494" s="1130"/>
      <c r="X494" s="1130"/>
      <c r="Y494" s="1130"/>
      <c r="Z494" s="1130"/>
      <c r="AA494" s="1130"/>
    </row>
    <row r="495" spans="1:27" ht="15.75" customHeight="1">
      <c r="A495" s="1130"/>
      <c r="B495" s="1130"/>
      <c r="C495" s="1130"/>
      <c r="D495" s="1130"/>
      <c r="E495" s="1130"/>
      <c r="F495" s="1130"/>
      <c r="G495" s="1130"/>
      <c r="H495" s="1130"/>
      <c r="I495" s="1130"/>
      <c r="J495" s="1130"/>
      <c r="K495" s="1130"/>
      <c r="L495" s="1130"/>
      <c r="M495" s="1130"/>
      <c r="N495" s="1130"/>
      <c r="O495" s="1130"/>
      <c r="P495" s="1130"/>
      <c r="Q495" s="1130"/>
      <c r="R495" s="1130"/>
      <c r="S495" s="1130"/>
      <c r="T495" s="1130"/>
      <c r="U495" s="1130"/>
      <c r="V495" s="1130"/>
      <c r="W495" s="1130"/>
      <c r="X495" s="1130"/>
      <c r="Y495" s="1130"/>
      <c r="Z495" s="1130"/>
      <c r="AA495" s="1130"/>
    </row>
    <row r="496" spans="1:27" ht="15.75" customHeight="1">
      <c r="A496" s="1130"/>
      <c r="B496" s="1130"/>
      <c r="C496" s="1130"/>
      <c r="D496" s="1130"/>
      <c r="E496" s="1130"/>
      <c r="F496" s="1130"/>
      <c r="G496" s="1130"/>
      <c r="H496" s="1130"/>
      <c r="I496" s="1130"/>
      <c r="J496" s="1130"/>
      <c r="K496" s="1130"/>
      <c r="L496" s="1130"/>
      <c r="M496" s="1130"/>
      <c r="N496" s="1130"/>
      <c r="O496" s="1130"/>
      <c r="P496" s="1130"/>
      <c r="Q496" s="1130"/>
      <c r="R496" s="1130"/>
      <c r="S496" s="1130"/>
      <c r="T496" s="1130"/>
      <c r="U496" s="1130"/>
      <c r="V496" s="1130"/>
      <c r="W496" s="1130"/>
      <c r="X496" s="1130"/>
      <c r="Y496" s="1130"/>
      <c r="Z496" s="1130"/>
      <c r="AA496" s="1130"/>
    </row>
    <row r="497" spans="1:27" ht="15.75" customHeight="1">
      <c r="A497" s="1130"/>
      <c r="B497" s="1130"/>
      <c r="C497" s="1130"/>
      <c r="D497" s="1130"/>
      <c r="E497" s="1130"/>
      <c r="F497" s="1130"/>
      <c r="G497" s="1130"/>
      <c r="H497" s="1130"/>
      <c r="I497" s="1130"/>
      <c r="J497" s="1130"/>
      <c r="K497" s="1130"/>
      <c r="L497" s="1130"/>
      <c r="M497" s="1130"/>
      <c r="N497" s="1130"/>
      <c r="O497" s="1130"/>
      <c r="P497" s="1130"/>
      <c r="Q497" s="1130"/>
      <c r="R497" s="1130"/>
      <c r="S497" s="1130"/>
      <c r="T497" s="1130"/>
      <c r="U497" s="1130"/>
      <c r="V497" s="1130"/>
      <c r="W497" s="1130"/>
      <c r="X497" s="1130"/>
      <c r="Y497" s="1130"/>
      <c r="Z497" s="1130"/>
      <c r="AA497" s="1130"/>
    </row>
    <row r="498" spans="1:27" ht="15.75" customHeight="1">
      <c r="A498" s="1130"/>
      <c r="B498" s="1130"/>
      <c r="C498" s="1130"/>
      <c r="D498" s="1130"/>
      <c r="E498" s="1130"/>
      <c r="F498" s="1130"/>
      <c r="G498" s="1130"/>
      <c r="H498" s="1130"/>
      <c r="I498" s="1130"/>
      <c r="J498" s="1130"/>
      <c r="K498" s="1130"/>
      <c r="L498" s="1130"/>
      <c r="M498" s="1130"/>
      <c r="N498" s="1130"/>
      <c r="O498" s="1130"/>
      <c r="P498" s="1130"/>
      <c r="Q498" s="1130"/>
      <c r="R498" s="1130"/>
      <c r="S498" s="1130"/>
      <c r="T498" s="1130"/>
      <c r="U498" s="1130"/>
      <c r="V498" s="1130"/>
      <c r="W498" s="1130"/>
      <c r="X498" s="1130"/>
      <c r="Y498" s="1130"/>
      <c r="Z498" s="1130"/>
      <c r="AA498" s="1130"/>
    </row>
    <row r="499" spans="1:27" ht="15.75" customHeight="1">
      <c r="A499" s="1130"/>
      <c r="B499" s="1130"/>
      <c r="C499" s="1130"/>
      <c r="D499" s="1130"/>
      <c r="E499" s="1130"/>
      <c r="F499" s="1130"/>
      <c r="G499" s="1130"/>
      <c r="H499" s="1130"/>
      <c r="I499" s="1130"/>
      <c r="J499" s="1130"/>
      <c r="K499" s="1130"/>
      <c r="L499" s="1130"/>
      <c r="M499" s="1130"/>
      <c r="N499" s="1130"/>
      <c r="O499" s="1130"/>
      <c r="P499" s="1130"/>
      <c r="Q499" s="1130"/>
      <c r="R499" s="1130"/>
      <c r="S499" s="1130"/>
      <c r="T499" s="1130"/>
      <c r="U499" s="1130"/>
      <c r="V499" s="1130"/>
      <c r="W499" s="1130"/>
      <c r="X499" s="1130"/>
      <c r="Y499" s="1130"/>
      <c r="Z499" s="1130"/>
      <c r="AA499" s="1130"/>
    </row>
    <row r="500" spans="1:27" ht="15.75" customHeight="1">
      <c r="A500" s="1130"/>
      <c r="B500" s="1130"/>
      <c r="C500" s="1130"/>
      <c r="D500" s="1130"/>
      <c r="E500" s="1130"/>
      <c r="F500" s="1130"/>
      <c r="G500" s="1130"/>
      <c r="H500" s="1130"/>
      <c r="I500" s="1130"/>
      <c r="J500" s="1130"/>
      <c r="K500" s="1130"/>
      <c r="L500" s="1130"/>
      <c r="M500" s="1130"/>
      <c r="N500" s="1130"/>
      <c r="O500" s="1130"/>
      <c r="P500" s="1130"/>
      <c r="Q500" s="1130"/>
      <c r="R500" s="1130"/>
      <c r="S500" s="1130"/>
      <c r="T500" s="1130"/>
      <c r="U500" s="1130"/>
      <c r="V500" s="1130"/>
      <c r="W500" s="1130"/>
      <c r="X500" s="1130"/>
      <c r="Y500" s="1130"/>
      <c r="Z500" s="1130"/>
      <c r="AA500" s="1130"/>
    </row>
    <row r="501" spans="1:27" ht="15.75" customHeight="1">
      <c r="A501" s="1130"/>
      <c r="B501" s="1130"/>
      <c r="C501" s="1130"/>
      <c r="D501" s="1130"/>
      <c r="E501" s="1130"/>
      <c r="F501" s="1130"/>
      <c r="G501" s="1130"/>
      <c r="H501" s="1130"/>
      <c r="I501" s="1130"/>
      <c r="J501" s="1130"/>
      <c r="K501" s="1130"/>
      <c r="L501" s="1130"/>
      <c r="M501" s="1130"/>
      <c r="N501" s="1130"/>
      <c r="O501" s="1130"/>
      <c r="P501" s="1130"/>
      <c r="Q501" s="1130"/>
      <c r="R501" s="1130"/>
      <c r="S501" s="1130"/>
      <c r="T501" s="1130"/>
      <c r="U501" s="1130"/>
      <c r="V501" s="1130"/>
      <c r="W501" s="1130"/>
      <c r="X501" s="1130"/>
      <c r="Y501" s="1130"/>
      <c r="Z501" s="1130"/>
      <c r="AA501" s="1130"/>
    </row>
    <row r="502" spans="1:27" ht="15.75" customHeight="1">
      <c r="A502" s="1130"/>
      <c r="B502" s="1130"/>
      <c r="C502" s="1130"/>
      <c r="D502" s="1130"/>
      <c r="E502" s="1130"/>
      <c r="F502" s="1130"/>
      <c r="G502" s="1130"/>
      <c r="H502" s="1130"/>
      <c r="I502" s="1130"/>
      <c r="J502" s="1130"/>
      <c r="K502" s="1130"/>
      <c r="L502" s="1130"/>
      <c r="M502" s="1130"/>
      <c r="N502" s="1130"/>
      <c r="O502" s="1130"/>
      <c r="P502" s="1130"/>
      <c r="Q502" s="1130"/>
      <c r="R502" s="1130"/>
      <c r="S502" s="1130"/>
      <c r="T502" s="1130"/>
      <c r="U502" s="1130"/>
      <c r="V502" s="1130"/>
      <c r="W502" s="1130"/>
      <c r="X502" s="1130"/>
      <c r="Y502" s="1130"/>
      <c r="Z502" s="1130"/>
      <c r="AA502" s="1130"/>
    </row>
    <row r="503" spans="1:27" ht="15.75" customHeight="1">
      <c r="A503" s="1130"/>
      <c r="B503" s="1130"/>
      <c r="C503" s="1130"/>
      <c r="D503" s="1130"/>
      <c r="E503" s="1130"/>
      <c r="F503" s="1130"/>
      <c r="G503" s="1130"/>
      <c r="H503" s="1130"/>
      <c r="I503" s="1130"/>
      <c r="J503" s="1130"/>
      <c r="K503" s="1130"/>
      <c r="L503" s="1130"/>
      <c r="M503" s="1130"/>
      <c r="N503" s="1130"/>
      <c r="O503" s="1130"/>
      <c r="P503" s="1130"/>
      <c r="Q503" s="1130"/>
      <c r="R503" s="1130"/>
      <c r="S503" s="1130"/>
      <c r="T503" s="1130"/>
      <c r="U503" s="1130"/>
      <c r="V503" s="1130"/>
      <c r="W503" s="1130"/>
      <c r="X503" s="1130"/>
      <c r="Y503" s="1130"/>
      <c r="Z503" s="1130"/>
      <c r="AA503" s="1130"/>
    </row>
    <row r="504" spans="1:27" ht="15.75" customHeight="1">
      <c r="A504" s="1130"/>
      <c r="B504" s="1130"/>
      <c r="C504" s="1130"/>
      <c r="D504" s="1130"/>
      <c r="E504" s="1130"/>
      <c r="F504" s="1130"/>
      <c r="G504" s="1130"/>
      <c r="H504" s="1130"/>
      <c r="I504" s="1130"/>
      <c r="J504" s="1130"/>
      <c r="K504" s="1130"/>
      <c r="L504" s="1130"/>
      <c r="M504" s="1130"/>
      <c r="N504" s="1130"/>
      <c r="O504" s="1130"/>
      <c r="P504" s="1130"/>
      <c r="Q504" s="1130"/>
      <c r="R504" s="1130"/>
      <c r="S504" s="1130"/>
      <c r="T504" s="1130"/>
      <c r="U504" s="1130"/>
      <c r="V504" s="1130"/>
      <c r="W504" s="1130"/>
      <c r="X504" s="1130"/>
      <c r="Y504" s="1130"/>
      <c r="Z504" s="1130"/>
      <c r="AA504" s="1130"/>
    </row>
    <row r="505" spans="1:27" ht="15.75" customHeight="1">
      <c r="A505" s="1130"/>
      <c r="B505" s="1130"/>
      <c r="C505" s="1130"/>
      <c r="D505" s="1130"/>
      <c r="E505" s="1130"/>
      <c r="F505" s="1130"/>
      <c r="G505" s="1130"/>
      <c r="H505" s="1130"/>
      <c r="I505" s="1130"/>
      <c r="J505" s="1130"/>
      <c r="K505" s="1130"/>
      <c r="L505" s="1130"/>
      <c r="M505" s="1130"/>
      <c r="N505" s="1130"/>
      <c r="O505" s="1130"/>
      <c r="P505" s="1130"/>
      <c r="Q505" s="1130"/>
      <c r="R505" s="1130"/>
      <c r="S505" s="1130"/>
      <c r="T505" s="1130"/>
      <c r="U505" s="1130"/>
      <c r="V505" s="1130"/>
      <c r="W505" s="1130"/>
      <c r="X505" s="1130"/>
      <c r="Y505" s="1130"/>
      <c r="Z505" s="1130"/>
      <c r="AA505" s="1130"/>
    </row>
    <row r="506" spans="1:27" ht="15.75" customHeight="1">
      <c r="A506" s="1130"/>
      <c r="B506" s="1130"/>
      <c r="C506" s="1130"/>
      <c r="D506" s="1130"/>
      <c r="E506" s="1130"/>
      <c r="F506" s="1130"/>
      <c r="G506" s="1130"/>
      <c r="H506" s="1130"/>
      <c r="I506" s="1130"/>
      <c r="J506" s="1130"/>
      <c r="K506" s="1130"/>
      <c r="L506" s="1130"/>
      <c r="M506" s="1130"/>
      <c r="N506" s="1130"/>
      <c r="O506" s="1130"/>
      <c r="P506" s="1130"/>
      <c r="Q506" s="1130"/>
      <c r="R506" s="1130"/>
      <c r="S506" s="1130"/>
      <c r="T506" s="1130"/>
      <c r="U506" s="1130"/>
      <c r="V506" s="1130"/>
      <c r="W506" s="1130"/>
      <c r="X506" s="1130"/>
      <c r="Y506" s="1130"/>
      <c r="Z506" s="1130"/>
      <c r="AA506" s="1130"/>
    </row>
    <row r="507" spans="1:27" ht="15.75" customHeight="1">
      <c r="A507" s="1130"/>
      <c r="B507" s="1130"/>
      <c r="C507" s="1130"/>
      <c r="D507" s="1130"/>
      <c r="E507" s="1130"/>
      <c r="F507" s="1130"/>
      <c r="G507" s="1130"/>
      <c r="H507" s="1130"/>
      <c r="I507" s="1130"/>
      <c r="J507" s="1130"/>
      <c r="K507" s="1130"/>
      <c r="L507" s="1130"/>
      <c r="M507" s="1130"/>
      <c r="N507" s="1130"/>
      <c r="O507" s="1130"/>
      <c r="P507" s="1130"/>
      <c r="Q507" s="1130"/>
      <c r="R507" s="1130"/>
      <c r="S507" s="1130"/>
      <c r="T507" s="1130"/>
      <c r="U507" s="1130"/>
      <c r="V507" s="1130"/>
      <c r="W507" s="1130"/>
      <c r="X507" s="1130"/>
      <c r="Y507" s="1130"/>
      <c r="Z507" s="1130"/>
      <c r="AA507" s="1130"/>
    </row>
    <row r="508" spans="1:27" ht="15.75" customHeight="1">
      <c r="A508" s="1130"/>
      <c r="B508" s="1130"/>
      <c r="C508" s="1130"/>
      <c r="D508" s="1130"/>
      <c r="E508" s="1130"/>
      <c r="F508" s="1130"/>
      <c r="G508" s="1130"/>
      <c r="H508" s="1130"/>
      <c r="I508" s="1130"/>
      <c r="J508" s="1130"/>
      <c r="K508" s="1130"/>
      <c r="L508" s="1130"/>
      <c r="M508" s="1130"/>
      <c r="N508" s="1130"/>
      <c r="O508" s="1130"/>
      <c r="P508" s="1130"/>
      <c r="Q508" s="1130"/>
      <c r="R508" s="1130"/>
      <c r="S508" s="1130"/>
      <c r="T508" s="1130"/>
      <c r="U508" s="1130"/>
      <c r="V508" s="1130"/>
      <c r="W508" s="1130"/>
      <c r="X508" s="1130"/>
      <c r="Y508" s="1130"/>
      <c r="Z508" s="1130"/>
      <c r="AA508" s="1130"/>
    </row>
    <row r="509" spans="1:27" ht="15.75" customHeight="1">
      <c r="A509" s="1130"/>
      <c r="B509" s="1130"/>
      <c r="C509" s="1130"/>
      <c r="D509" s="1130"/>
      <c r="E509" s="1130"/>
      <c r="F509" s="1130"/>
      <c r="G509" s="1130"/>
      <c r="H509" s="1130"/>
      <c r="I509" s="1130"/>
      <c r="J509" s="1130"/>
      <c r="K509" s="1130"/>
      <c r="L509" s="1130"/>
      <c r="M509" s="1130"/>
      <c r="N509" s="1130"/>
      <c r="O509" s="1130"/>
      <c r="P509" s="1130"/>
      <c r="Q509" s="1130"/>
      <c r="R509" s="1130"/>
      <c r="S509" s="1130"/>
      <c r="T509" s="1130"/>
      <c r="U509" s="1130"/>
      <c r="V509" s="1130"/>
      <c r="W509" s="1130"/>
      <c r="X509" s="1130"/>
      <c r="Y509" s="1130"/>
      <c r="Z509" s="1130"/>
      <c r="AA509" s="1130"/>
    </row>
    <row r="510" spans="1:27" ht="15.75" customHeight="1">
      <c r="A510" s="1130"/>
      <c r="B510" s="1130"/>
      <c r="C510" s="1130"/>
      <c r="D510" s="1130"/>
      <c r="E510" s="1130"/>
      <c r="F510" s="1130"/>
      <c r="G510" s="1130"/>
      <c r="H510" s="1130"/>
      <c r="I510" s="1130"/>
      <c r="J510" s="1130"/>
      <c r="K510" s="1130"/>
      <c r="L510" s="1130"/>
      <c r="M510" s="1130"/>
      <c r="N510" s="1130"/>
      <c r="O510" s="1130"/>
      <c r="P510" s="1130"/>
      <c r="Q510" s="1130"/>
      <c r="R510" s="1130"/>
      <c r="S510" s="1130"/>
      <c r="T510" s="1130"/>
      <c r="U510" s="1130"/>
      <c r="V510" s="1130"/>
      <c r="W510" s="1130"/>
      <c r="X510" s="1130"/>
      <c r="Y510" s="1130"/>
      <c r="Z510" s="1130"/>
      <c r="AA510" s="1130"/>
    </row>
    <row r="511" spans="1:27" ht="15.75" customHeight="1">
      <c r="A511" s="1130"/>
      <c r="B511" s="1130"/>
      <c r="C511" s="1130"/>
      <c r="D511" s="1130"/>
      <c r="E511" s="1130"/>
      <c r="F511" s="1130"/>
      <c r="G511" s="1130"/>
      <c r="H511" s="1130"/>
      <c r="I511" s="1130"/>
      <c r="J511" s="1130"/>
      <c r="K511" s="1130"/>
      <c r="L511" s="1130"/>
      <c r="M511" s="1130"/>
      <c r="N511" s="1130"/>
      <c r="O511" s="1130"/>
      <c r="P511" s="1130"/>
      <c r="Q511" s="1130"/>
      <c r="R511" s="1130"/>
      <c r="S511" s="1130"/>
      <c r="T511" s="1130"/>
      <c r="U511" s="1130"/>
      <c r="V511" s="1130"/>
      <c r="W511" s="1130"/>
      <c r="X511" s="1130"/>
      <c r="Y511" s="1130"/>
      <c r="Z511" s="1130"/>
      <c r="AA511" s="1130"/>
    </row>
    <row r="512" spans="1:27" ht="15.75" customHeight="1">
      <c r="A512" s="1130"/>
      <c r="B512" s="1130"/>
      <c r="C512" s="1130"/>
      <c r="D512" s="1130"/>
      <c r="E512" s="1130"/>
      <c r="F512" s="1130"/>
      <c r="G512" s="1130"/>
      <c r="H512" s="1130"/>
      <c r="I512" s="1130"/>
      <c r="J512" s="1130"/>
      <c r="K512" s="1130"/>
      <c r="L512" s="1130"/>
      <c r="M512" s="1130"/>
      <c r="N512" s="1130"/>
      <c r="O512" s="1130"/>
      <c r="P512" s="1130"/>
      <c r="Q512" s="1130"/>
      <c r="R512" s="1130"/>
      <c r="S512" s="1130"/>
      <c r="T512" s="1130"/>
      <c r="U512" s="1130"/>
      <c r="V512" s="1130"/>
      <c r="W512" s="1130"/>
      <c r="X512" s="1130"/>
      <c r="Y512" s="1130"/>
      <c r="Z512" s="1130"/>
      <c r="AA512" s="1130"/>
    </row>
    <row r="513" spans="1:27" ht="15.75" customHeight="1">
      <c r="A513" s="1130"/>
      <c r="B513" s="1130"/>
      <c r="C513" s="1130"/>
      <c r="D513" s="1130"/>
      <c r="E513" s="1130"/>
      <c r="F513" s="1130"/>
      <c r="G513" s="1130"/>
      <c r="H513" s="1130"/>
      <c r="I513" s="1130"/>
      <c r="J513" s="1130"/>
      <c r="K513" s="1130"/>
      <c r="L513" s="1130"/>
      <c r="M513" s="1130"/>
      <c r="N513" s="1130"/>
      <c r="O513" s="1130"/>
      <c r="P513" s="1130"/>
      <c r="Q513" s="1130"/>
      <c r="R513" s="1130"/>
      <c r="S513" s="1130"/>
      <c r="T513" s="1130"/>
      <c r="U513" s="1130"/>
      <c r="V513" s="1130"/>
      <c r="W513" s="1130"/>
      <c r="X513" s="1130"/>
      <c r="Y513" s="1130"/>
      <c r="Z513" s="1130"/>
      <c r="AA513" s="1130"/>
    </row>
    <row r="514" spans="1:27" ht="15.75" customHeight="1">
      <c r="A514" s="1130"/>
      <c r="B514" s="1130"/>
      <c r="C514" s="1130"/>
      <c r="D514" s="1130"/>
      <c r="E514" s="1130"/>
      <c r="F514" s="1130"/>
      <c r="G514" s="1130"/>
      <c r="H514" s="1130"/>
      <c r="I514" s="1130"/>
      <c r="J514" s="1130"/>
      <c r="K514" s="1130"/>
      <c r="L514" s="1130"/>
      <c r="M514" s="1130"/>
      <c r="N514" s="1130"/>
      <c r="O514" s="1130"/>
      <c r="P514" s="1130"/>
      <c r="Q514" s="1130"/>
      <c r="R514" s="1130"/>
      <c r="S514" s="1130"/>
      <c r="T514" s="1130"/>
      <c r="U514" s="1130"/>
      <c r="V514" s="1130"/>
      <c r="W514" s="1130"/>
      <c r="X514" s="1130"/>
      <c r="Y514" s="1130"/>
      <c r="Z514" s="1130"/>
      <c r="AA514" s="1130"/>
    </row>
    <row r="515" spans="1:27" ht="15.75" customHeight="1">
      <c r="A515" s="1130"/>
      <c r="B515" s="1130"/>
      <c r="C515" s="1130"/>
      <c r="D515" s="1130"/>
      <c r="E515" s="1130"/>
      <c r="F515" s="1130"/>
      <c r="G515" s="1130"/>
      <c r="H515" s="1130"/>
      <c r="I515" s="1130"/>
      <c r="J515" s="1130"/>
      <c r="K515" s="1130"/>
      <c r="L515" s="1130"/>
      <c r="M515" s="1130"/>
      <c r="N515" s="1130"/>
      <c r="O515" s="1130"/>
      <c r="P515" s="1130"/>
      <c r="Q515" s="1130"/>
      <c r="R515" s="1130"/>
      <c r="S515" s="1130"/>
      <c r="T515" s="1130"/>
      <c r="U515" s="1130"/>
      <c r="V515" s="1130"/>
      <c r="W515" s="1130"/>
      <c r="X515" s="1130"/>
      <c r="Y515" s="1130"/>
      <c r="Z515" s="1130"/>
      <c r="AA515" s="1130"/>
    </row>
    <row r="516" spans="1:27" ht="15.75" customHeight="1">
      <c r="A516" s="1130"/>
      <c r="B516" s="1130"/>
      <c r="C516" s="1130"/>
      <c r="D516" s="1130"/>
      <c r="E516" s="1130"/>
      <c r="F516" s="1130"/>
      <c r="G516" s="1130"/>
      <c r="H516" s="1130"/>
      <c r="I516" s="1130"/>
      <c r="J516" s="1130"/>
      <c r="K516" s="1130"/>
      <c r="L516" s="1130"/>
      <c r="M516" s="1130"/>
      <c r="N516" s="1130"/>
      <c r="O516" s="1130"/>
      <c r="P516" s="1130"/>
      <c r="Q516" s="1130"/>
      <c r="R516" s="1130"/>
      <c r="S516" s="1130"/>
      <c r="T516" s="1130"/>
      <c r="U516" s="1130"/>
      <c r="V516" s="1130"/>
      <c r="W516" s="1130"/>
      <c r="X516" s="1130"/>
      <c r="Y516" s="1130"/>
      <c r="Z516" s="1130"/>
      <c r="AA516" s="1130"/>
    </row>
    <row r="517" spans="1:27" ht="15.75" customHeight="1">
      <c r="A517" s="1130"/>
      <c r="B517" s="1130"/>
      <c r="C517" s="1130"/>
      <c r="D517" s="1130"/>
      <c r="E517" s="1130"/>
      <c r="F517" s="1130"/>
      <c r="G517" s="1130"/>
      <c r="H517" s="1130"/>
      <c r="I517" s="1130"/>
      <c r="J517" s="1130"/>
      <c r="K517" s="1130"/>
      <c r="L517" s="1130"/>
      <c r="M517" s="1130"/>
      <c r="N517" s="1130"/>
      <c r="O517" s="1130"/>
      <c r="P517" s="1130"/>
      <c r="Q517" s="1130"/>
      <c r="R517" s="1130"/>
      <c r="S517" s="1130"/>
      <c r="T517" s="1130"/>
      <c r="U517" s="1130"/>
      <c r="V517" s="1130"/>
      <c r="W517" s="1130"/>
      <c r="X517" s="1130"/>
      <c r="Y517" s="1130"/>
      <c r="Z517" s="1130"/>
      <c r="AA517" s="1130"/>
    </row>
    <row r="518" spans="1:27" ht="15.75" customHeight="1">
      <c r="A518" s="1130"/>
      <c r="B518" s="1130"/>
      <c r="C518" s="1130"/>
      <c r="D518" s="1130"/>
      <c r="E518" s="1130"/>
      <c r="F518" s="1130"/>
      <c r="G518" s="1130"/>
      <c r="H518" s="1130"/>
      <c r="I518" s="1130"/>
      <c r="J518" s="1130"/>
      <c r="K518" s="1130"/>
      <c r="L518" s="1130"/>
      <c r="M518" s="1130"/>
      <c r="N518" s="1130"/>
      <c r="O518" s="1130"/>
      <c r="P518" s="1130"/>
      <c r="Q518" s="1130"/>
      <c r="R518" s="1130"/>
      <c r="S518" s="1130"/>
      <c r="T518" s="1130"/>
      <c r="U518" s="1130"/>
      <c r="V518" s="1130"/>
      <c r="W518" s="1130"/>
      <c r="X518" s="1130"/>
      <c r="Y518" s="1130"/>
      <c r="Z518" s="1130"/>
      <c r="AA518" s="1130"/>
    </row>
    <row r="519" spans="1:27" ht="15.75" customHeight="1">
      <c r="A519" s="1130"/>
      <c r="B519" s="1130"/>
      <c r="C519" s="1130"/>
      <c r="D519" s="1130"/>
      <c r="E519" s="1130"/>
      <c r="F519" s="1130"/>
      <c r="G519" s="1130"/>
      <c r="H519" s="1130"/>
      <c r="I519" s="1130"/>
      <c r="J519" s="1130"/>
      <c r="K519" s="1130"/>
      <c r="L519" s="1130"/>
      <c r="M519" s="1130"/>
      <c r="N519" s="1130"/>
      <c r="O519" s="1130"/>
      <c r="P519" s="1130"/>
      <c r="Q519" s="1130"/>
      <c r="R519" s="1130"/>
      <c r="S519" s="1130"/>
      <c r="T519" s="1130"/>
      <c r="U519" s="1130"/>
      <c r="V519" s="1130"/>
      <c r="W519" s="1130"/>
      <c r="X519" s="1130"/>
      <c r="Y519" s="1130"/>
      <c r="Z519" s="1130"/>
      <c r="AA519" s="1130"/>
    </row>
    <row r="520" spans="1:27" ht="15.75" customHeight="1">
      <c r="A520" s="1130"/>
      <c r="B520" s="1130"/>
      <c r="C520" s="1130"/>
      <c r="D520" s="1130"/>
      <c r="E520" s="1130"/>
      <c r="F520" s="1130"/>
      <c r="G520" s="1130"/>
      <c r="H520" s="1130"/>
      <c r="I520" s="1130"/>
      <c r="J520" s="1130"/>
      <c r="K520" s="1130"/>
      <c r="L520" s="1130"/>
      <c r="M520" s="1130"/>
      <c r="N520" s="1130"/>
      <c r="O520" s="1130"/>
      <c r="P520" s="1130"/>
      <c r="Q520" s="1130"/>
      <c r="R520" s="1130"/>
      <c r="S520" s="1130"/>
      <c r="T520" s="1130"/>
      <c r="U520" s="1130"/>
      <c r="V520" s="1130"/>
      <c r="W520" s="1130"/>
      <c r="X520" s="1130"/>
      <c r="Y520" s="1130"/>
      <c r="Z520" s="1130"/>
      <c r="AA520" s="1130"/>
    </row>
    <row r="521" spans="1:27" ht="15.75" customHeight="1">
      <c r="A521" s="1130"/>
      <c r="B521" s="1130"/>
      <c r="C521" s="1130"/>
      <c r="D521" s="1130"/>
      <c r="E521" s="1130"/>
      <c r="F521" s="1130"/>
      <c r="G521" s="1130"/>
      <c r="H521" s="1130"/>
      <c r="I521" s="1130"/>
      <c r="J521" s="1130"/>
      <c r="K521" s="1130"/>
      <c r="L521" s="1130"/>
      <c r="M521" s="1130"/>
      <c r="N521" s="1130"/>
      <c r="O521" s="1130"/>
      <c r="P521" s="1130"/>
      <c r="Q521" s="1130"/>
      <c r="R521" s="1130"/>
      <c r="S521" s="1130"/>
      <c r="T521" s="1130"/>
      <c r="U521" s="1130"/>
      <c r="V521" s="1130"/>
      <c r="W521" s="1130"/>
      <c r="X521" s="1130"/>
      <c r="Y521" s="1130"/>
      <c r="Z521" s="1130"/>
      <c r="AA521" s="1130"/>
    </row>
    <row r="522" spans="1:27" ht="15.75" customHeight="1">
      <c r="A522" s="1130"/>
      <c r="B522" s="1130"/>
      <c r="C522" s="1130"/>
      <c r="D522" s="1130"/>
      <c r="E522" s="1130"/>
      <c r="F522" s="1130"/>
      <c r="G522" s="1130"/>
      <c r="H522" s="1130"/>
      <c r="I522" s="1130"/>
      <c r="J522" s="1130"/>
      <c r="K522" s="1130"/>
      <c r="L522" s="1130"/>
      <c r="M522" s="1130"/>
      <c r="N522" s="1130"/>
      <c r="O522" s="1130"/>
      <c r="P522" s="1130"/>
      <c r="Q522" s="1130"/>
      <c r="R522" s="1130"/>
      <c r="S522" s="1130"/>
      <c r="T522" s="1130"/>
      <c r="U522" s="1130"/>
      <c r="V522" s="1130"/>
      <c r="W522" s="1130"/>
      <c r="X522" s="1130"/>
      <c r="Y522" s="1130"/>
      <c r="Z522" s="1130"/>
      <c r="AA522" s="1130"/>
    </row>
    <row r="523" spans="1:27" ht="15.75" customHeight="1">
      <c r="A523" s="1130"/>
      <c r="B523" s="1130"/>
      <c r="C523" s="1130"/>
      <c r="D523" s="1130"/>
      <c r="E523" s="1130"/>
      <c r="F523" s="1130"/>
      <c r="G523" s="1130"/>
      <c r="H523" s="1130"/>
      <c r="I523" s="1130"/>
      <c r="J523" s="1130"/>
      <c r="K523" s="1130"/>
      <c r="L523" s="1130"/>
      <c r="M523" s="1130"/>
      <c r="N523" s="1130"/>
      <c r="O523" s="1130"/>
      <c r="P523" s="1130"/>
      <c r="Q523" s="1130"/>
      <c r="R523" s="1130"/>
      <c r="S523" s="1130"/>
      <c r="T523" s="1130"/>
      <c r="U523" s="1130"/>
      <c r="V523" s="1130"/>
      <c r="W523" s="1130"/>
      <c r="X523" s="1130"/>
      <c r="Y523" s="1130"/>
      <c r="Z523" s="1130"/>
      <c r="AA523" s="1130"/>
    </row>
    <row r="524" spans="1:27" ht="15.75" customHeight="1">
      <c r="A524" s="1130"/>
      <c r="B524" s="1130"/>
      <c r="C524" s="1130"/>
      <c r="D524" s="1130"/>
      <c r="E524" s="1130"/>
      <c r="F524" s="1130"/>
      <c r="G524" s="1130"/>
      <c r="H524" s="1130"/>
      <c r="I524" s="1130"/>
      <c r="J524" s="1130"/>
      <c r="K524" s="1130"/>
      <c r="L524" s="1130"/>
      <c r="M524" s="1130"/>
      <c r="N524" s="1130"/>
      <c r="O524" s="1130"/>
      <c r="P524" s="1130"/>
      <c r="Q524" s="1130"/>
      <c r="R524" s="1130"/>
      <c r="S524" s="1130"/>
      <c r="T524" s="1130"/>
      <c r="U524" s="1130"/>
      <c r="V524" s="1130"/>
      <c r="W524" s="1130"/>
      <c r="X524" s="1130"/>
      <c r="Y524" s="1130"/>
      <c r="Z524" s="1130"/>
      <c r="AA524" s="1130"/>
    </row>
    <row r="525" spans="1:27" ht="15.75" customHeight="1">
      <c r="A525" s="1130"/>
      <c r="B525" s="1130"/>
      <c r="C525" s="1130"/>
      <c r="D525" s="1130"/>
      <c r="E525" s="1130"/>
      <c r="F525" s="1130"/>
      <c r="G525" s="1130"/>
      <c r="H525" s="1130"/>
      <c r="I525" s="1130"/>
      <c r="J525" s="1130"/>
      <c r="K525" s="1130"/>
      <c r="L525" s="1130"/>
      <c r="M525" s="1130"/>
      <c r="N525" s="1130"/>
      <c r="O525" s="1130"/>
      <c r="P525" s="1130"/>
      <c r="Q525" s="1130"/>
      <c r="R525" s="1130"/>
      <c r="S525" s="1130"/>
      <c r="T525" s="1130"/>
      <c r="U525" s="1130"/>
      <c r="V525" s="1130"/>
      <c r="W525" s="1130"/>
      <c r="X525" s="1130"/>
      <c r="Y525" s="1130"/>
      <c r="Z525" s="1130"/>
      <c r="AA525" s="1130"/>
    </row>
    <row r="526" spans="1:27" ht="15.75" customHeight="1">
      <c r="A526" s="1130"/>
      <c r="B526" s="1130"/>
      <c r="C526" s="1130"/>
      <c r="D526" s="1130"/>
      <c r="E526" s="1130"/>
      <c r="F526" s="1130"/>
      <c r="G526" s="1130"/>
      <c r="H526" s="1130"/>
      <c r="I526" s="1130"/>
      <c r="J526" s="1130"/>
      <c r="K526" s="1130"/>
      <c r="L526" s="1130"/>
      <c r="M526" s="1130"/>
      <c r="N526" s="1130"/>
      <c r="O526" s="1130"/>
      <c r="P526" s="1130"/>
      <c r="Q526" s="1130"/>
      <c r="R526" s="1130"/>
      <c r="S526" s="1130"/>
      <c r="T526" s="1130"/>
      <c r="U526" s="1130"/>
      <c r="V526" s="1130"/>
      <c r="W526" s="1130"/>
      <c r="X526" s="1130"/>
      <c r="Y526" s="1130"/>
      <c r="Z526" s="1130"/>
      <c r="AA526" s="1130"/>
    </row>
    <row r="527" spans="1:27" ht="15.75" customHeight="1">
      <c r="A527" s="1130"/>
      <c r="B527" s="1130"/>
      <c r="C527" s="1130"/>
      <c r="D527" s="1130"/>
      <c r="E527" s="1130"/>
      <c r="F527" s="1130"/>
      <c r="G527" s="1130"/>
      <c r="H527" s="1130"/>
      <c r="I527" s="1130"/>
      <c r="J527" s="1130"/>
      <c r="K527" s="1130"/>
      <c r="L527" s="1130"/>
      <c r="M527" s="1130"/>
      <c r="N527" s="1130"/>
      <c r="O527" s="1130"/>
      <c r="P527" s="1130"/>
      <c r="Q527" s="1130"/>
      <c r="R527" s="1130"/>
      <c r="S527" s="1130"/>
      <c r="T527" s="1130"/>
      <c r="U527" s="1130"/>
      <c r="V527" s="1130"/>
      <c r="W527" s="1130"/>
      <c r="X527" s="1130"/>
      <c r="Y527" s="1130"/>
      <c r="Z527" s="1130"/>
      <c r="AA527" s="1130"/>
    </row>
    <row r="528" spans="1:27" ht="15.75" customHeight="1">
      <c r="A528" s="1130"/>
      <c r="B528" s="1130"/>
      <c r="C528" s="1130"/>
      <c r="D528" s="1130"/>
      <c r="E528" s="1130"/>
      <c r="F528" s="1130"/>
      <c r="G528" s="1130"/>
      <c r="H528" s="1130"/>
      <c r="I528" s="1130"/>
      <c r="J528" s="1130"/>
      <c r="K528" s="1130"/>
      <c r="L528" s="1130"/>
      <c r="M528" s="1130"/>
      <c r="N528" s="1130"/>
      <c r="O528" s="1130"/>
      <c r="P528" s="1130"/>
      <c r="Q528" s="1130"/>
      <c r="R528" s="1130"/>
      <c r="S528" s="1130"/>
      <c r="T528" s="1130"/>
      <c r="U528" s="1130"/>
      <c r="V528" s="1130"/>
      <c r="W528" s="1130"/>
      <c r="X528" s="1130"/>
      <c r="Y528" s="1130"/>
      <c r="Z528" s="1130"/>
      <c r="AA528" s="1130"/>
    </row>
    <row r="529" spans="1:27" ht="15.75" customHeight="1">
      <c r="A529" s="1130"/>
      <c r="B529" s="1130"/>
      <c r="C529" s="1130"/>
      <c r="D529" s="1130"/>
      <c r="E529" s="1130"/>
      <c r="F529" s="1130"/>
      <c r="G529" s="1130"/>
      <c r="H529" s="1130"/>
      <c r="I529" s="1130"/>
      <c r="J529" s="1130"/>
      <c r="K529" s="1130"/>
      <c r="L529" s="1130"/>
      <c r="M529" s="1130"/>
      <c r="N529" s="1130"/>
      <c r="O529" s="1130"/>
      <c r="P529" s="1130"/>
      <c r="Q529" s="1130"/>
      <c r="R529" s="1130"/>
      <c r="S529" s="1130"/>
      <c r="T529" s="1130"/>
      <c r="U529" s="1130"/>
      <c r="V529" s="1130"/>
      <c r="W529" s="1130"/>
      <c r="X529" s="1130"/>
      <c r="Y529" s="1130"/>
      <c r="Z529" s="1130"/>
      <c r="AA529" s="1130"/>
    </row>
    <row r="530" spans="1:27" ht="15.75" customHeight="1">
      <c r="A530" s="1130"/>
      <c r="B530" s="1130"/>
      <c r="C530" s="1130"/>
      <c r="D530" s="1130"/>
      <c r="E530" s="1130"/>
      <c r="F530" s="1130"/>
      <c r="G530" s="1130"/>
      <c r="H530" s="1130"/>
      <c r="I530" s="1130"/>
      <c r="J530" s="1130"/>
      <c r="K530" s="1130"/>
      <c r="L530" s="1130"/>
      <c r="M530" s="1130"/>
      <c r="N530" s="1130"/>
      <c r="O530" s="1130"/>
      <c r="P530" s="1130"/>
      <c r="Q530" s="1130"/>
      <c r="R530" s="1130"/>
      <c r="S530" s="1130"/>
      <c r="T530" s="1130"/>
      <c r="U530" s="1130"/>
      <c r="V530" s="1130"/>
      <c r="W530" s="1130"/>
      <c r="X530" s="1130"/>
      <c r="Y530" s="1130"/>
      <c r="Z530" s="1130"/>
      <c r="AA530" s="1130"/>
    </row>
    <row r="531" spans="1:27" ht="15.75" customHeight="1">
      <c r="A531" s="1130"/>
      <c r="B531" s="1130"/>
      <c r="C531" s="1130"/>
      <c r="D531" s="1130"/>
      <c r="E531" s="1130"/>
      <c r="F531" s="1130"/>
      <c r="G531" s="1130"/>
      <c r="H531" s="1130"/>
      <c r="I531" s="1130"/>
      <c r="J531" s="1130"/>
      <c r="K531" s="1130"/>
      <c r="L531" s="1130"/>
      <c r="M531" s="1130"/>
      <c r="N531" s="1130"/>
      <c r="O531" s="1130"/>
      <c r="P531" s="1130"/>
      <c r="Q531" s="1130"/>
      <c r="R531" s="1130"/>
      <c r="S531" s="1130"/>
      <c r="T531" s="1130"/>
      <c r="U531" s="1130"/>
      <c r="V531" s="1130"/>
      <c r="W531" s="1130"/>
      <c r="X531" s="1130"/>
      <c r="Y531" s="1130"/>
      <c r="Z531" s="1130"/>
      <c r="AA531" s="1130"/>
    </row>
    <row r="532" spans="1:27" ht="15.75" customHeight="1">
      <c r="A532" s="1130"/>
      <c r="B532" s="1130"/>
      <c r="C532" s="1130"/>
      <c r="D532" s="1130"/>
      <c r="E532" s="1130"/>
      <c r="F532" s="1130"/>
      <c r="G532" s="1130"/>
      <c r="H532" s="1130"/>
      <c r="I532" s="1130"/>
      <c r="J532" s="1130"/>
      <c r="K532" s="1130"/>
      <c r="L532" s="1130"/>
      <c r="M532" s="1130"/>
      <c r="N532" s="1130"/>
      <c r="O532" s="1130"/>
      <c r="P532" s="1130"/>
      <c r="Q532" s="1130"/>
      <c r="R532" s="1130"/>
      <c r="S532" s="1130"/>
      <c r="T532" s="1130"/>
      <c r="U532" s="1130"/>
      <c r="V532" s="1130"/>
      <c r="W532" s="1130"/>
      <c r="X532" s="1130"/>
      <c r="Y532" s="1130"/>
      <c r="Z532" s="1130"/>
      <c r="AA532" s="1130"/>
    </row>
    <row r="533" spans="1:27" ht="15.75" customHeight="1">
      <c r="A533" s="1130"/>
      <c r="B533" s="1130"/>
      <c r="C533" s="1130"/>
      <c r="D533" s="1130"/>
      <c r="E533" s="1130"/>
      <c r="F533" s="1130"/>
      <c r="G533" s="1130"/>
      <c r="H533" s="1130"/>
      <c r="I533" s="1130"/>
      <c r="J533" s="1130"/>
      <c r="K533" s="1130"/>
      <c r="L533" s="1130"/>
      <c r="M533" s="1130"/>
      <c r="N533" s="1130"/>
      <c r="O533" s="1130"/>
      <c r="P533" s="1130"/>
      <c r="Q533" s="1130"/>
      <c r="R533" s="1130"/>
      <c r="S533" s="1130"/>
      <c r="T533" s="1130"/>
      <c r="U533" s="1130"/>
      <c r="V533" s="1130"/>
      <c r="W533" s="1130"/>
      <c r="X533" s="1130"/>
      <c r="Y533" s="1130"/>
      <c r="Z533" s="1130"/>
      <c r="AA533" s="1130"/>
    </row>
    <row r="534" spans="1:27" ht="15.75" customHeight="1">
      <c r="A534" s="1130"/>
      <c r="B534" s="1130"/>
      <c r="C534" s="1130"/>
      <c r="D534" s="1130"/>
      <c r="E534" s="1130"/>
      <c r="F534" s="1130"/>
      <c r="G534" s="1130"/>
      <c r="H534" s="1130"/>
      <c r="I534" s="1130"/>
      <c r="J534" s="1130"/>
      <c r="K534" s="1130"/>
      <c r="L534" s="1130"/>
      <c r="M534" s="1130"/>
      <c r="N534" s="1130"/>
      <c r="O534" s="1130"/>
      <c r="P534" s="1130"/>
      <c r="Q534" s="1130"/>
      <c r="R534" s="1130"/>
      <c r="S534" s="1130"/>
      <c r="T534" s="1130"/>
      <c r="U534" s="1130"/>
      <c r="V534" s="1130"/>
      <c r="W534" s="1130"/>
      <c r="X534" s="1130"/>
      <c r="Y534" s="1130"/>
      <c r="Z534" s="1130"/>
      <c r="AA534" s="1130"/>
    </row>
    <row r="535" spans="1:27" ht="15.75" customHeight="1">
      <c r="A535" s="1130"/>
      <c r="B535" s="1130"/>
      <c r="C535" s="1130"/>
      <c r="D535" s="1130"/>
      <c r="E535" s="1130"/>
      <c r="F535" s="1130"/>
      <c r="G535" s="1130"/>
      <c r="H535" s="1130"/>
      <c r="I535" s="1130"/>
      <c r="J535" s="1130"/>
      <c r="K535" s="1130"/>
      <c r="L535" s="1130"/>
      <c r="M535" s="1130"/>
      <c r="N535" s="1130"/>
      <c r="O535" s="1130"/>
      <c r="P535" s="1130"/>
      <c r="Q535" s="1130"/>
      <c r="R535" s="1130"/>
      <c r="S535" s="1130"/>
      <c r="T535" s="1130"/>
      <c r="U535" s="1130"/>
      <c r="V535" s="1130"/>
      <c r="W535" s="1130"/>
      <c r="X535" s="1130"/>
      <c r="Y535" s="1130"/>
      <c r="Z535" s="1130"/>
      <c r="AA535" s="1130"/>
    </row>
    <row r="536" spans="1:27" ht="15.75" customHeight="1">
      <c r="A536" s="1130"/>
      <c r="B536" s="1130"/>
      <c r="C536" s="1130"/>
      <c r="D536" s="1130"/>
      <c r="E536" s="1130"/>
      <c r="F536" s="1130"/>
      <c r="G536" s="1130"/>
      <c r="H536" s="1130"/>
      <c r="I536" s="1130"/>
      <c r="J536" s="1130"/>
      <c r="K536" s="1130"/>
      <c r="L536" s="1130"/>
      <c r="M536" s="1130"/>
      <c r="N536" s="1130"/>
      <c r="O536" s="1130"/>
      <c r="P536" s="1130"/>
      <c r="Q536" s="1130"/>
      <c r="R536" s="1130"/>
      <c r="S536" s="1130"/>
      <c r="T536" s="1130"/>
      <c r="U536" s="1130"/>
      <c r="V536" s="1130"/>
      <c r="W536" s="1130"/>
      <c r="X536" s="1130"/>
      <c r="Y536" s="1130"/>
      <c r="Z536" s="1130"/>
      <c r="AA536" s="1130"/>
    </row>
    <row r="537" spans="1:27" ht="15.75" customHeight="1">
      <c r="A537" s="1130"/>
      <c r="B537" s="1130"/>
      <c r="C537" s="1130"/>
      <c r="D537" s="1130"/>
      <c r="E537" s="1130"/>
      <c r="F537" s="1130"/>
      <c r="G537" s="1130"/>
      <c r="H537" s="1130"/>
      <c r="I537" s="1130"/>
      <c r="J537" s="1130"/>
      <c r="K537" s="1130"/>
      <c r="L537" s="1130"/>
      <c r="M537" s="1130"/>
      <c r="N537" s="1130"/>
      <c r="O537" s="1130"/>
      <c r="P537" s="1130"/>
      <c r="Q537" s="1130"/>
      <c r="R537" s="1130"/>
      <c r="S537" s="1130"/>
      <c r="T537" s="1130"/>
      <c r="U537" s="1130"/>
      <c r="V537" s="1130"/>
      <c r="W537" s="1130"/>
      <c r="X537" s="1130"/>
      <c r="Y537" s="1130"/>
      <c r="Z537" s="1130"/>
      <c r="AA537" s="1130"/>
    </row>
    <row r="538" spans="1:27" ht="15.75" customHeight="1">
      <c r="A538" s="1130"/>
      <c r="B538" s="1130"/>
      <c r="C538" s="1130"/>
      <c r="D538" s="1130"/>
      <c r="E538" s="1130"/>
      <c r="F538" s="1130"/>
      <c r="G538" s="1130"/>
      <c r="H538" s="1130"/>
      <c r="I538" s="1130"/>
      <c r="J538" s="1130"/>
      <c r="K538" s="1130"/>
      <c r="L538" s="1130"/>
      <c r="M538" s="1130"/>
      <c r="N538" s="1130"/>
      <c r="O538" s="1130"/>
      <c r="P538" s="1130"/>
      <c r="Q538" s="1130"/>
      <c r="R538" s="1130"/>
      <c r="S538" s="1130"/>
      <c r="T538" s="1130"/>
      <c r="U538" s="1130"/>
      <c r="V538" s="1130"/>
      <c r="W538" s="1130"/>
      <c r="X538" s="1130"/>
      <c r="Y538" s="1130"/>
      <c r="Z538" s="1130"/>
      <c r="AA538" s="1130"/>
    </row>
    <row r="539" spans="1:27" ht="15.75" customHeight="1">
      <c r="A539" s="1130"/>
      <c r="B539" s="1130"/>
      <c r="C539" s="1130"/>
      <c r="D539" s="1130"/>
      <c r="E539" s="1130"/>
      <c r="F539" s="1130"/>
      <c r="G539" s="1130"/>
      <c r="H539" s="1130"/>
      <c r="I539" s="1130"/>
      <c r="J539" s="1130"/>
      <c r="K539" s="1130"/>
      <c r="L539" s="1130"/>
      <c r="M539" s="1130"/>
      <c r="N539" s="1130"/>
      <c r="O539" s="1130"/>
      <c r="P539" s="1130"/>
      <c r="Q539" s="1130"/>
      <c r="R539" s="1130"/>
      <c r="S539" s="1130"/>
      <c r="T539" s="1130"/>
      <c r="U539" s="1130"/>
      <c r="V539" s="1130"/>
      <c r="W539" s="1130"/>
      <c r="X539" s="1130"/>
      <c r="Y539" s="1130"/>
      <c r="Z539" s="1130"/>
      <c r="AA539" s="1130"/>
    </row>
    <row r="540" spans="1:27" ht="15.75" customHeight="1">
      <c r="A540" s="1130"/>
      <c r="B540" s="1130"/>
      <c r="C540" s="1130"/>
      <c r="D540" s="1130"/>
      <c r="E540" s="1130"/>
      <c r="F540" s="1130"/>
      <c r="G540" s="1130"/>
      <c r="H540" s="1130"/>
      <c r="I540" s="1130"/>
      <c r="J540" s="1130"/>
      <c r="K540" s="1130"/>
      <c r="L540" s="1130"/>
      <c r="M540" s="1130"/>
      <c r="N540" s="1130"/>
      <c r="O540" s="1130"/>
      <c r="P540" s="1130"/>
      <c r="Q540" s="1130"/>
      <c r="R540" s="1130"/>
      <c r="S540" s="1130"/>
      <c r="T540" s="1130"/>
      <c r="U540" s="1130"/>
      <c r="V540" s="1130"/>
      <c r="W540" s="1130"/>
      <c r="X540" s="1130"/>
      <c r="Y540" s="1130"/>
      <c r="Z540" s="1130"/>
      <c r="AA540" s="1130"/>
    </row>
    <row r="541" spans="1:27" ht="15.75" customHeight="1">
      <c r="A541" s="1130"/>
      <c r="B541" s="1130"/>
      <c r="C541" s="1130"/>
      <c r="D541" s="1130"/>
      <c r="E541" s="1130"/>
      <c r="F541" s="1130"/>
      <c r="G541" s="1130"/>
      <c r="H541" s="1130"/>
      <c r="I541" s="1130"/>
      <c r="J541" s="1130"/>
      <c r="K541" s="1130"/>
      <c r="L541" s="1130"/>
      <c r="M541" s="1130"/>
      <c r="N541" s="1130"/>
      <c r="O541" s="1130"/>
      <c r="P541" s="1130"/>
      <c r="Q541" s="1130"/>
      <c r="R541" s="1130"/>
      <c r="S541" s="1130"/>
      <c r="T541" s="1130"/>
      <c r="U541" s="1130"/>
      <c r="V541" s="1130"/>
      <c r="W541" s="1130"/>
      <c r="X541" s="1130"/>
      <c r="Y541" s="1130"/>
      <c r="Z541" s="1130"/>
      <c r="AA541" s="1130"/>
    </row>
    <row r="542" spans="1:27" ht="15.75" customHeight="1">
      <c r="A542" s="1130"/>
      <c r="B542" s="1130"/>
      <c r="C542" s="1130"/>
      <c r="D542" s="1130"/>
      <c r="E542" s="1130"/>
      <c r="F542" s="1130"/>
      <c r="G542" s="1130"/>
      <c r="H542" s="1130"/>
      <c r="I542" s="1130"/>
      <c r="J542" s="1130"/>
      <c r="K542" s="1130"/>
      <c r="L542" s="1130"/>
      <c r="M542" s="1130"/>
      <c r="N542" s="1130"/>
      <c r="O542" s="1130"/>
      <c r="P542" s="1130"/>
      <c r="Q542" s="1130"/>
      <c r="R542" s="1130"/>
      <c r="S542" s="1130"/>
      <c r="T542" s="1130"/>
      <c r="U542" s="1130"/>
      <c r="V542" s="1130"/>
      <c r="W542" s="1130"/>
      <c r="X542" s="1130"/>
      <c r="Y542" s="1130"/>
      <c r="Z542" s="1130"/>
      <c r="AA542" s="1130"/>
    </row>
    <row r="543" spans="1:27" ht="15.75" customHeight="1">
      <c r="A543" s="1130"/>
      <c r="B543" s="1130"/>
      <c r="C543" s="1130"/>
      <c r="D543" s="1130"/>
      <c r="E543" s="1130"/>
      <c r="F543" s="1130"/>
      <c r="G543" s="1130"/>
      <c r="H543" s="1130"/>
      <c r="I543" s="1130"/>
      <c r="J543" s="1130"/>
      <c r="K543" s="1130"/>
      <c r="L543" s="1130"/>
      <c r="M543" s="1130"/>
      <c r="N543" s="1130"/>
      <c r="O543" s="1130"/>
      <c r="P543" s="1130"/>
      <c r="Q543" s="1130"/>
      <c r="R543" s="1130"/>
      <c r="S543" s="1130"/>
      <c r="T543" s="1130"/>
      <c r="U543" s="1130"/>
      <c r="V543" s="1130"/>
      <c r="W543" s="1130"/>
      <c r="X543" s="1130"/>
      <c r="Y543" s="1130"/>
      <c r="Z543" s="1130"/>
      <c r="AA543" s="1130"/>
    </row>
    <row r="544" spans="1:27" ht="15.75" customHeight="1">
      <c r="A544" s="1130"/>
      <c r="B544" s="1130"/>
      <c r="C544" s="1130"/>
      <c r="D544" s="1130"/>
      <c r="E544" s="1130"/>
      <c r="F544" s="1130"/>
      <c r="G544" s="1130"/>
      <c r="H544" s="1130"/>
      <c r="I544" s="1130"/>
      <c r="J544" s="1130"/>
      <c r="K544" s="1130"/>
      <c r="L544" s="1130"/>
      <c r="M544" s="1130"/>
      <c r="N544" s="1130"/>
      <c r="O544" s="1130"/>
      <c r="P544" s="1130"/>
      <c r="Q544" s="1130"/>
      <c r="R544" s="1130"/>
      <c r="S544" s="1130"/>
      <c r="T544" s="1130"/>
      <c r="U544" s="1130"/>
      <c r="V544" s="1130"/>
      <c r="W544" s="1130"/>
      <c r="X544" s="1130"/>
      <c r="Y544" s="1130"/>
      <c r="Z544" s="1130"/>
      <c r="AA544" s="1130"/>
    </row>
    <row r="545" spans="1:27" ht="15.75" customHeight="1">
      <c r="A545" s="1130"/>
      <c r="B545" s="1130"/>
      <c r="C545" s="1130"/>
      <c r="D545" s="1130"/>
      <c r="E545" s="1130"/>
      <c r="F545" s="1130"/>
      <c r="G545" s="1130"/>
      <c r="H545" s="1130"/>
      <c r="I545" s="1130"/>
      <c r="J545" s="1130"/>
      <c r="K545" s="1130"/>
      <c r="L545" s="1130"/>
      <c r="M545" s="1130"/>
      <c r="N545" s="1130"/>
      <c r="O545" s="1130"/>
      <c r="P545" s="1130"/>
      <c r="Q545" s="1130"/>
      <c r="R545" s="1130"/>
      <c r="S545" s="1130"/>
      <c r="T545" s="1130"/>
      <c r="U545" s="1130"/>
      <c r="V545" s="1130"/>
      <c r="W545" s="1130"/>
      <c r="X545" s="1130"/>
      <c r="Y545" s="1130"/>
      <c r="Z545" s="1130"/>
      <c r="AA545" s="1130"/>
    </row>
    <row r="546" spans="1:27" ht="15.75" customHeight="1">
      <c r="A546" s="1130"/>
      <c r="B546" s="1130"/>
      <c r="C546" s="1130"/>
      <c r="D546" s="1130"/>
      <c r="E546" s="1130"/>
      <c r="F546" s="1130"/>
      <c r="G546" s="1130"/>
      <c r="H546" s="1130"/>
      <c r="I546" s="1130"/>
      <c r="J546" s="1130"/>
      <c r="K546" s="1130"/>
      <c r="L546" s="1130"/>
      <c r="M546" s="1130"/>
      <c r="N546" s="1130"/>
      <c r="O546" s="1130"/>
      <c r="P546" s="1130"/>
      <c r="Q546" s="1130"/>
      <c r="R546" s="1130"/>
      <c r="S546" s="1130"/>
      <c r="T546" s="1130"/>
      <c r="U546" s="1130"/>
      <c r="V546" s="1130"/>
      <c r="W546" s="1130"/>
      <c r="X546" s="1130"/>
      <c r="Y546" s="1130"/>
      <c r="Z546" s="1130"/>
      <c r="AA546" s="1130"/>
    </row>
    <row r="547" spans="1:27" ht="15.75" customHeight="1">
      <c r="A547" s="1130"/>
      <c r="B547" s="1130"/>
      <c r="C547" s="1130"/>
      <c r="D547" s="1130"/>
      <c r="E547" s="1130"/>
      <c r="F547" s="1130"/>
      <c r="G547" s="1130"/>
      <c r="H547" s="1130"/>
      <c r="I547" s="1130"/>
      <c r="J547" s="1130"/>
      <c r="K547" s="1130"/>
      <c r="L547" s="1130"/>
      <c r="M547" s="1130"/>
      <c r="N547" s="1130"/>
      <c r="O547" s="1130"/>
      <c r="P547" s="1130"/>
      <c r="Q547" s="1130"/>
      <c r="R547" s="1130"/>
      <c r="S547" s="1130"/>
      <c r="T547" s="1130"/>
      <c r="U547" s="1130"/>
      <c r="V547" s="1130"/>
      <c r="W547" s="1130"/>
      <c r="X547" s="1130"/>
      <c r="Y547" s="1130"/>
      <c r="Z547" s="1130"/>
      <c r="AA547" s="1130"/>
    </row>
    <row r="548" spans="1:27" ht="15.75" customHeight="1">
      <c r="A548" s="1130"/>
      <c r="B548" s="1130"/>
      <c r="C548" s="1130"/>
      <c r="D548" s="1130"/>
      <c r="E548" s="1130"/>
      <c r="F548" s="1130"/>
      <c r="G548" s="1130"/>
      <c r="H548" s="1130"/>
      <c r="I548" s="1130"/>
      <c r="J548" s="1130"/>
      <c r="K548" s="1130"/>
      <c r="L548" s="1130"/>
      <c r="M548" s="1130"/>
      <c r="N548" s="1130"/>
      <c r="O548" s="1130"/>
      <c r="P548" s="1130"/>
      <c r="Q548" s="1130"/>
      <c r="R548" s="1130"/>
      <c r="S548" s="1130"/>
      <c r="T548" s="1130"/>
      <c r="U548" s="1130"/>
      <c r="V548" s="1130"/>
      <c r="W548" s="1130"/>
      <c r="X548" s="1130"/>
      <c r="Y548" s="1130"/>
      <c r="Z548" s="1130"/>
      <c r="AA548" s="1130"/>
    </row>
    <row r="549" spans="1:27" ht="15.75" customHeight="1">
      <c r="A549" s="1130"/>
      <c r="B549" s="1130"/>
      <c r="C549" s="1130"/>
      <c r="D549" s="1130"/>
      <c r="E549" s="1130"/>
      <c r="F549" s="1130"/>
      <c r="G549" s="1130"/>
      <c r="H549" s="1130"/>
      <c r="I549" s="1130"/>
      <c r="J549" s="1130"/>
      <c r="K549" s="1130"/>
      <c r="L549" s="1130"/>
      <c r="M549" s="1130"/>
      <c r="N549" s="1130"/>
      <c r="O549" s="1130"/>
      <c r="P549" s="1130"/>
      <c r="Q549" s="1130"/>
      <c r="R549" s="1130"/>
      <c r="S549" s="1130"/>
      <c r="T549" s="1130"/>
      <c r="U549" s="1130"/>
      <c r="V549" s="1130"/>
      <c r="W549" s="1130"/>
      <c r="X549" s="1130"/>
      <c r="Y549" s="1130"/>
      <c r="Z549" s="1130"/>
      <c r="AA549" s="1130"/>
    </row>
    <row r="550" spans="1:27" ht="15.75" customHeight="1">
      <c r="A550" s="1130"/>
      <c r="B550" s="1130"/>
      <c r="C550" s="1130"/>
      <c r="D550" s="1130"/>
      <c r="E550" s="1130"/>
      <c r="F550" s="1130"/>
      <c r="G550" s="1130"/>
      <c r="H550" s="1130"/>
      <c r="I550" s="1130"/>
      <c r="J550" s="1130"/>
      <c r="K550" s="1130"/>
      <c r="L550" s="1130"/>
      <c r="M550" s="1130"/>
      <c r="N550" s="1130"/>
      <c r="O550" s="1130"/>
      <c r="P550" s="1130"/>
      <c r="Q550" s="1130"/>
      <c r="R550" s="1130"/>
      <c r="S550" s="1130"/>
      <c r="T550" s="1130"/>
      <c r="U550" s="1130"/>
      <c r="V550" s="1130"/>
      <c r="W550" s="1130"/>
      <c r="X550" s="1130"/>
      <c r="Y550" s="1130"/>
      <c r="Z550" s="1130"/>
      <c r="AA550" s="1130"/>
    </row>
    <row r="551" spans="1:27" ht="15.75" customHeight="1">
      <c r="A551" s="1130"/>
      <c r="B551" s="1130"/>
      <c r="C551" s="1130"/>
      <c r="D551" s="1130"/>
      <c r="E551" s="1130"/>
      <c r="F551" s="1130"/>
      <c r="G551" s="1130"/>
      <c r="H551" s="1130"/>
      <c r="I551" s="1130"/>
      <c r="J551" s="1130"/>
      <c r="K551" s="1130"/>
      <c r="L551" s="1130"/>
      <c r="M551" s="1130"/>
      <c r="N551" s="1130"/>
      <c r="O551" s="1130"/>
      <c r="P551" s="1130"/>
      <c r="Q551" s="1130"/>
      <c r="R551" s="1130"/>
      <c r="S551" s="1130"/>
      <c r="T551" s="1130"/>
      <c r="U551" s="1130"/>
      <c r="V551" s="1130"/>
      <c r="W551" s="1130"/>
      <c r="X551" s="1130"/>
      <c r="Y551" s="1130"/>
      <c r="Z551" s="1130"/>
      <c r="AA551" s="1130"/>
    </row>
    <row r="552" spans="1:27" ht="15.75" customHeight="1">
      <c r="A552" s="1130"/>
      <c r="B552" s="1130"/>
      <c r="C552" s="1130"/>
      <c r="D552" s="1130"/>
      <c r="E552" s="1130"/>
      <c r="F552" s="1130"/>
      <c r="G552" s="1130"/>
      <c r="H552" s="1130"/>
      <c r="I552" s="1130"/>
      <c r="J552" s="1130"/>
      <c r="K552" s="1130"/>
      <c r="L552" s="1130"/>
      <c r="M552" s="1130"/>
      <c r="N552" s="1130"/>
      <c r="O552" s="1130"/>
      <c r="P552" s="1130"/>
      <c r="Q552" s="1130"/>
      <c r="R552" s="1130"/>
      <c r="S552" s="1130"/>
      <c r="T552" s="1130"/>
      <c r="U552" s="1130"/>
      <c r="V552" s="1130"/>
      <c r="W552" s="1130"/>
      <c r="X552" s="1130"/>
      <c r="Y552" s="1130"/>
      <c r="Z552" s="1130"/>
      <c r="AA552" s="1130"/>
    </row>
    <row r="553" spans="1:27" ht="15.75" customHeight="1">
      <c r="A553" s="1130"/>
      <c r="B553" s="1130"/>
      <c r="C553" s="1130"/>
      <c r="D553" s="1130"/>
      <c r="E553" s="1130"/>
      <c r="F553" s="1130"/>
      <c r="G553" s="1130"/>
      <c r="H553" s="1130"/>
      <c r="I553" s="1130"/>
      <c r="J553" s="1130"/>
      <c r="K553" s="1130"/>
      <c r="L553" s="1130"/>
      <c r="M553" s="1130"/>
      <c r="N553" s="1130"/>
      <c r="O553" s="1130"/>
      <c r="P553" s="1130"/>
      <c r="Q553" s="1130"/>
      <c r="R553" s="1130"/>
      <c r="S553" s="1130"/>
      <c r="T553" s="1130"/>
      <c r="U553" s="1130"/>
      <c r="V553" s="1130"/>
      <c r="W553" s="1130"/>
      <c r="X553" s="1130"/>
      <c r="Y553" s="1130"/>
      <c r="Z553" s="1130"/>
      <c r="AA553" s="1130"/>
    </row>
    <row r="554" spans="1:27" ht="15.75" customHeight="1">
      <c r="A554" s="1130"/>
      <c r="B554" s="1130"/>
      <c r="C554" s="1130"/>
      <c r="D554" s="1130"/>
      <c r="E554" s="1130"/>
      <c r="F554" s="1130"/>
      <c r="G554" s="1130"/>
      <c r="H554" s="1130"/>
      <c r="I554" s="1130"/>
      <c r="J554" s="1130"/>
      <c r="K554" s="1130"/>
      <c r="L554" s="1130"/>
      <c r="M554" s="1130"/>
      <c r="N554" s="1130"/>
      <c r="O554" s="1130"/>
      <c r="P554" s="1130"/>
      <c r="Q554" s="1130"/>
      <c r="R554" s="1130"/>
      <c r="S554" s="1130"/>
      <c r="T554" s="1130"/>
      <c r="U554" s="1130"/>
      <c r="V554" s="1130"/>
      <c r="W554" s="1130"/>
      <c r="X554" s="1130"/>
      <c r="Y554" s="1130"/>
      <c r="Z554" s="1130"/>
      <c r="AA554" s="1130"/>
    </row>
    <row r="555" spans="1:27" ht="15.75" customHeight="1">
      <c r="A555" s="1130"/>
      <c r="B555" s="1130"/>
      <c r="C555" s="1130"/>
      <c r="D555" s="1130"/>
      <c r="E555" s="1130"/>
      <c r="F555" s="1130"/>
      <c r="G555" s="1130"/>
      <c r="H555" s="1130"/>
      <c r="I555" s="1130"/>
      <c r="J555" s="1130"/>
      <c r="K555" s="1130"/>
      <c r="L555" s="1130"/>
      <c r="M555" s="1130"/>
      <c r="N555" s="1130"/>
      <c r="O555" s="1130"/>
      <c r="P555" s="1130"/>
      <c r="Q555" s="1130"/>
      <c r="R555" s="1130"/>
      <c r="S555" s="1130"/>
      <c r="T555" s="1130"/>
      <c r="U555" s="1130"/>
      <c r="V555" s="1130"/>
      <c r="W555" s="1130"/>
      <c r="X555" s="1130"/>
      <c r="Y555" s="1130"/>
      <c r="Z555" s="1130"/>
      <c r="AA555" s="1130"/>
    </row>
    <row r="556" spans="1:27" ht="15.75" customHeight="1">
      <c r="A556" s="1130"/>
      <c r="B556" s="1130"/>
      <c r="C556" s="1130"/>
      <c r="D556" s="1130"/>
      <c r="E556" s="1130"/>
      <c r="F556" s="1130"/>
      <c r="G556" s="1130"/>
      <c r="H556" s="1130"/>
      <c r="I556" s="1130"/>
      <c r="J556" s="1130"/>
      <c r="K556" s="1130"/>
      <c r="L556" s="1130"/>
      <c r="M556" s="1130"/>
      <c r="N556" s="1130"/>
      <c r="O556" s="1130"/>
      <c r="P556" s="1130"/>
      <c r="Q556" s="1130"/>
      <c r="R556" s="1130"/>
      <c r="S556" s="1130"/>
      <c r="T556" s="1130"/>
      <c r="U556" s="1130"/>
      <c r="V556" s="1130"/>
      <c r="W556" s="1130"/>
      <c r="X556" s="1130"/>
      <c r="Y556" s="1130"/>
      <c r="Z556" s="1130"/>
      <c r="AA556" s="1130"/>
    </row>
    <row r="557" spans="1:27" ht="15.75" customHeight="1">
      <c r="A557" s="1130"/>
      <c r="B557" s="1130"/>
      <c r="C557" s="1130"/>
      <c r="D557" s="1130"/>
      <c r="E557" s="1130"/>
      <c r="F557" s="1130"/>
      <c r="G557" s="1130"/>
      <c r="H557" s="1130"/>
      <c r="I557" s="1130"/>
      <c r="J557" s="1130"/>
      <c r="K557" s="1130"/>
      <c r="L557" s="1130"/>
      <c r="M557" s="1130"/>
      <c r="N557" s="1130"/>
      <c r="O557" s="1130"/>
      <c r="P557" s="1130"/>
      <c r="Q557" s="1130"/>
      <c r="R557" s="1130"/>
      <c r="S557" s="1130"/>
      <c r="T557" s="1130"/>
      <c r="U557" s="1130"/>
      <c r="V557" s="1130"/>
      <c r="W557" s="1130"/>
      <c r="X557" s="1130"/>
      <c r="Y557" s="1130"/>
      <c r="Z557" s="1130"/>
      <c r="AA557" s="1130"/>
    </row>
    <row r="558" spans="1:27" ht="15.75" customHeight="1">
      <c r="A558" s="1130"/>
      <c r="B558" s="1130"/>
      <c r="C558" s="1130"/>
      <c r="D558" s="1130"/>
      <c r="E558" s="1130"/>
      <c r="F558" s="1130"/>
      <c r="G558" s="1130"/>
      <c r="H558" s="1130"/>
      <c r="I558" s="1130"/>
      <c r="J558" s="1130"/>
      <c r="K558" s="1130"/>
      <c r="L558" s="1130"/>
      <c r="M558" s="1130"/>
      <c r="N558" s="1130"/>
      <c r="O558" s="1130"/>
      <c r="P558" s="1130"/>
      <c r="Q558" s="1130"/>
      <c r="R558" s="1130"/>
      <c r="S558" s="1130"/>
      <c r="T558" s="1130"/>
      <c r="U558" s="1130"/>
      <c r="V558" s="1130"/>
      <c r="W558" s="1130"/>
      <c r="X558" s="1130"/>
      <c r="Y558" s="1130"/>
      <c r="Z558" s="1130"/>
      <c r="AA558" s="1130"/>
    </row>
    <row r="559" spans="1:27" ht="15.75" customHeight="1">
      <c r="A559" s="1130"/>
      <c r="B559" s="1130"/>
      <c r="C559" s="1130"/>
      <c r="D559" s="1130"/>
      <c r="E559" s="1130"/>
      <c r="F559" s="1130"/>
      <c r="G559" s="1130"/>
      <c r="H559" s="1130"/>
      <c r="I559" s="1130"/>
      <c r="J559" s="1130"/>
      <c r="K559" s="1130"/>
      <c r="L559" s="1130"/>
      <c r="M559" s="1130"/>
      <c r="N559" s="1130"/>
      <c r="O559" s="1130"/>
      <c r="P559" s="1130"/>
      <c r="Q559" s="1130"/>
      <c r="R559" s="1130"/>
      <c r="S559" s="1130"/>
      <c r="T559" s="1130"/>
      <c r="U559" s="1130"/>
      <c r="V559" s="1130"/>
      <c r="W559" s="1130"/>
      <c r="X559" s="1130"/>
      <c r="Y559" s="1130"/>
      <c r="Z559" s="1130"/>
      <c r="AA559" s="1130"/>
    </row>
    <row r="560" spans="1:27" ht="15.75" customHeight="1">
      <c r="A560" s="1130"/>
      <c r="B560" s="1130"/>
      <c r="C560" s="1130"/>
      <c r="D560" s="1130"/>
      <c r="E560" s="1130"/>
      <c r="F560" s="1130"/>
      <c r="G560" s="1130"/>
      <c r="H560" s="1130"/>
      <c r="I560" s="1130"/>
      <c r="J560" s="1130"/>
      <c r="K560" s="1130"/>
      <c r="L560" s="1130"/>
      <c r="M560" s="1130"/>
      <c r="N560" s="1130"/>
      <c r="O560" s="1130"/>
      <c r="P560" s="1130"/>
      <c r="Q560" s="1130"/>
      <c r="R560" s="1130"/>
      <c r="S560" s="1130"/>
      <c r="T560" s="1130"/>
      <c r="U560" s="1130"/>
      <c r="V560" s="1130"/>
      <c r="W560" s="1130"/>
      <c r="X560" s="1130"/>
      <c r="Y560" s="1130"/>
      <c r="Z560" s="1130"/>
      <c r="AA560" s="1130"/>
    </row>
    <row r="561" spans="1:27" ht="15.75" customHeight="1">
      <c r="A561" s="1130"/>
      <c r="B561" s="1130"/>
      <c r="C561" s="1130"/>
      <c r="D561" s="1130"/>
      <c r="E561" s="1130"/>
      <c r="F561" s="1130"/>
      <c r="G561" s="1130"/>
      <c r="H561" s="1130"/>
      <c r="I561" s="1130"/>
      <c r="J561" s="1130"/>
      <c r="K561" s="1130"/>
      <c r="L561" s="1130"/>
      <c r="M561" s="1130"/>
      <c r="N561" s="1130"/>
      <c r="O561" s="1130"/>
      <c r="P561" s="1130"/>
      <c r="Q561" s="1130"/>
      <c r="R561" s="1130"/>
      <c r="S561" s="1130"/>
      <c r="T561" s="1130"/>
      <c r="U561" s="1130"/>
      <c r="V561" s="1130"/>
      <c r="W561" s="1130"/>
      <c r="X561" s="1130"/>
      <c r="Y561" s="1130"/>
      <c r="Z561" s="1130"/>
      <c r="AA561" s="1130"/>
    </row>
    <row r="562" spans="1:27" ht="15.75" customHeight="1">
      <c r="A562" s="1130"/>
      <c r="B562" s="1130"/>
      <c r="C562" s="1130"/>
      <c r="D562" s="1130"/>
      <c r="E562" s="1130"/>
      <c r="F562" s="1130"/>
      <c r="G562" s="1130"/>
      <c r="H562" s="1130"/>
      <c r="I562" s="1130"/>
      <c r="J562" s="1130"/>
      <c r="K562" s="1130"/>
      <c r="L562" s="1130"/>
      <c r="M562" s="1130"/>
      <c r="N562" s="1130"/>
      <c r="O562" s="1130"/>
      <c r="P562" s="1130"/>
      <c r="Q562" s="1130"/>
      <c r="R562" s="1130"/>
      <c r="S562" s="1130"/>
      <c r="T562" s="1130"/>
      <c r="U562" s="1130"/>
      <c r="V562" s="1130"/>
      <c r="W562" s="1130"/>
      <c r="X562" s="1130"/>
      <c r="Y562" s="1130"/>
      <c r="Z562" s="1130"/>
      <c r="AA562" s="1130"/>
    </row>
    <row r="563" spans="1:27" ht="15.75" customHeight="1">
      <c r="A563" s="1130"/>
      <c r="B563" s="1130"/>
      <c r="C563" s="1130"/>
      <c r="D563" s="1130"/>
      <c r="E563" s="1130"/>
      <c r="F563" s="1130"/>
      <c r="G563" s="1130"/>
      <c r="H563" s="1130"/>
      <c r="I563" s="1130"/>
      <c r="J563" s="1130"/>
      <c r="K563" s="1130"/>
      <c r="L563" s="1130"/>
      <c r="M563" s="1130"/>
      <c r="N563" s="1130"/>
      <c r="O563" s="1130"/>
      <c r="P563" s="1130"/>
      <c r="Q563" s="1130"/>
      <c r="R563" s="1130"/>
      <c r="S563" s="1130"/>
      <c r="T563" s="1130"/>
      <c r="U563" s="1130"/>
      <c r="V563" s="1130"/>
      <c r="W563" s="1130"/>
      <c r="X563" s="1130"/>
      <c r="Y563" s="1130"/>
      <c r="Z563" s="1130"/>
      <c r="AA563" s="1130"/>
    </row>
    <row r="564" spans="1:27" ht="15.75" customHeight="1">
      <c r="A564" s="1130"/>
      <c r="B564" s="1130"/>
      <c r="C564" s="1130"/>
      <c r="D564" s="1130"/>
      <c r="E564" s="1130"/>
      <c r="F564" s="1130"/>
      <c r="G564" s="1130"/>
      <c r="H564" s="1130"/>
      <c r="I564" s="1130"/>
      <c r="J564" s="1130"/>
      <c r="K564" s="1130"/>
      <c r="L564" s="1130"/>
      <c r="M564" s="1130"/>
      <c r="N564" s="1130"/>
      <c r="O564" s="1130"/>
      <c r="P564" s="1130"/>
      <c r="Q564" s="1130"/>
      <c r="R564" s="1130"/>
      <c r="S564" s="1130"/>
      <c r="T564" s="1130"/>
      <c r="U564" s="1130"/>
      <c r="V564" s="1130"/>
      <c r="W564" s="1130"/>
      <c r="X564" s="1130"/>
      <c r="Y564" s="1130"/>
      <c r="Z564" s="1130"/>
      <c r="AA564" s="1130"/>
    </row>
    <row r="565" spans="1:27" ht="15.75" customHeight="1">
      <c r="A565" s="1130"/>
      <c r="B565" s="1130"/>
      <c r="C565" s="1130"/>
      <c r="D565" s="1130"/>
      <c r="E565" s="1130"/>
      <c r="F565" s="1130"/>
      <c r="G565" s="1130"/>
      <c r="H565" s="1130"/>
      <c r="I565" s="1130"/>
      <c r="J565" s="1130"/>
      <c r="K565" s="1130"/>
      <c r="L565" s="1130"/>
      <c r="M565" s="1130"/>
      <c r="N565" s="1130"/>
      <c r="O565" s="1130"/>
      <c r="P565" s="1130"/>
      <c r="Q565" s="1130"/>
      <c r="R565" s="1130"/>
      <c r="S565" s="1130"/>
      <c r="T565" s="1130"/>
      <c r="U565" s="1130"/>
      <c r="V565" s="1130"/>
      <c r="W565" s="1130"/>
      <c r="X565" s="1130"/>
      <c r="Y565" s="1130"/>
      <c r="Z565" s="1130"/>
      <c r="AA565" s="1130"/>
    </row>
    <row r="566" spans="1:27" ht="15.75" customHeight="1">
      <c r="A566" s="1130"/>
      <c r="B566" s="1130"/>
      <c r="C566" s="1130"/>
      <c r="D566" s="1130"/>
      <c r="E566" s="1130"/>
      <c r="F566" s="1130"/>
      <c r="G566" s="1130"/>
      <c r="H566" s="1130"/>
      <c r="I566" s="1130"/>
      <c r="J566" s="1130"/>
      <c r="K566" s="1130"/>
      <c r="L566" s="1130"/>
      <c r="M566" s="1130"/>
      <c r="N566" s="1130"/>
      <c r="O566" s="1130"/>
      <c r="P566" s="1130"/>
      <c r="Q566" s="1130"/>
      <c r="R566" s="1130"/>
      <c r="S566" s="1130"/>
      <c r="T566" s="1130"/>
      <c r="U566" s="1130"/>
      <c r="V566" s="1130"/>
      <c r="W566" s="1130"/>
      <c r="X566" s="1130"/>
      <c r="Y566" s="1130"/>
      <c r="Z566" s="1130"/>
      <c r="AA566" s="1130"/>
    </row>
    <row r="567" spans="1:27" ht="15.75" customHeight="1">
      <c r="A567" s="1130"/>
      <c r="B567" s="1130"/>
      <c r="C567" s="1130"/>
      <c r="D567" s="1130"/>
      <c r="E567" s="1130"/>
      <c r="F567" s="1130"/>
      <c r="G567" s="1130"/>
      <c r="H567" s="1130"/>
      <c r="I567" s="1130"/>
      <c r="J567" s="1130"/>
      <c r="K567" s="1130"/>
      <c r="L567" s="1130"/>
      <c r="M567" s="1130"/>
      <c r="N567" s="1130"/>
      <c r="O567" s="1130"/>
      <c r="P567" s="1130"/>
      <c r="Q567" s="1130"/>
      <c r="R567" s="1130"/>
      <c r="S567" s="1130"/>
      <c r="T567" s="1130"/>
      <c r="U567" s="1130"/>
      <c r="V567" s="1130"/>
      <c r="W567" s="1130"/>
      <c r="X567" s="1130"/>
      <c r="Y567" s="1130"/>
      <c r="Z567" s="1130"/>
      <c r="AA567" s="1130"/>
    </row>
    <row r="568" spans="1:27" ht="15.75" customHeight="1">
      <c r="A568" s="1130"/>
      <c r="B568" s="1130"/>
      <c r="C568" s="1130"/>
      <c r="D568" s="1130"/>
      <c r="E568" s="1130"/>
      <c r="F568" s="1130"/>
      <c r="G568" s="1130"/>
      <c r="H568" s="1130"/>
      <c r="I568" s="1130"/>
      <c r="J568" s="1130"/>
      <c r="K568" s="1130"/>
      <c r="L568" s="1130"/>
      <c r="M568" s="1130"/>
      <c r="N568" s="1130"/>
      <c r="O568" s="1130"/>
      <c r="P568" s="1130"/>
      <c r="Q568" s="1130"/>
      <c r="R568" s="1130"/>
      <c r="S568" s="1130"/>
      <c r="T568" s="1130"/>
      <c r="U568" s="1130"/>
      <c r="V568" s="1130"/>
      <c r="W568" s="1130"/>
      <c r="X568" s="1130"/>
      <c r="Y568" s="1130"/>
      <c r="Z568" s="1130"/>
      <c r="AA568" s="1130"/>
    </row>
    <row r="569" spans="1:27" ht="15.75" customHeight="1">
      <c r="A569" s="1130"/>
      <c r="B569" s="1130"/>
      <c r="C569" s="1130"/>
      <c r="D569" s="1130"/>
      <c r="E569" s="1130"/>
      <c r="F569" s="1130"/>
      <c r="G569" s="1130"/>
      <c r="H569" s="1130"/>
      <c r="I569" s="1130"/>
      <c r="J569" s="1130"/>
      <c r="K569" s="1130"/>
      <c r="L569" s="1130"/>
      <c r="M569" s="1130"/>
      <c r="N569" s="1130"/>
      <c r="O569" s="1130"/>
      <c r="P569" s="1130"/>
      <c r="Q569" s="1130"/>
      <c r="R569" s="1130"/>
      <c r="S569" s="1130"/>
      <c r="T569" s="1130"/>
      <c r="U569" s="1130"/>
      <c r="V569" s="1130"/>
      <c r="W569" s="1130"/>
      <c r="X569" s="1130"/>
      <c r="Y569" s="1130"/>
      <c r="Z569" s="1130"/>
      <c r="AA569" s="1130"/>
    </row>
    <row r="570" spans="1:27" ht="15.75" customHeight="1">
      <c r="A570" s="1130"/>
      <c r="B570" s="1130"/>
      <c r="C570" s="1130"/>
      <c r="D570" s="1130"/>
      <c r="E570" s="1130"/>
      <c r="F570" s="1130"/>
      <c r="G570" s="1130"/>
      <c r="H570" s="1130"/>
      <c r="I570" s="1130"/>
      <c r="J570" s="1130"/>
      <c r="K570" s="1130"/>
      <c r="L570" s="1130"/>
      <c r="M570" s="1130"/>
      <c r="N570" s="1130"/>
      <c r="O570" s="1130"/>
      <c r="P570" s="1130"/>
      <c r="Q570" s="1130"/>
      <c r="R570" s="1130"/>
      <c r="S570" s="1130"/>
      <c r="T570" s="1130"/>
      <c r="U570" s="1130"/>
      <c r="V570" s="1130"/>
      <c r="W570" s="1130"/>
      <c r="X570" s="1130"/>
      <c r="Y570" s="1130"/>
      <c r="Z570" s="1130"/>
      <c r="AA570" s="1130"/>
    </row>
    <row r="571" spans="1:27" ht="15.75" customHeight="1">
      <c r="A571" s="1130"/>
      <c r="B571" s="1130"/>
      <c r="C571" s="1130"/>
      <c r="D571" s="1130"/>
      <c r="E571" s="1130"/>
      <c r="F571" s="1130"/>
      <c r="G571" s="1130"/>
      <c r="H571" s="1130"/>
      <c r="I571" s="1130"/>
      <c r="J571" s="1130"/>
      <c r="K571" s="1130"/>
      <c r="L571" s="1130"/>
      <c r="M571" s="1130"/>
      <c r="N571" s="1130"/>
      <c r="O571" s="1130"/>
      <c r="P571" s="1130"/>
      <c r="Q571" s="1130"/>
      <c r="R571" s="1130"/>
      <c r="S571" s="1130"/>
      <c r="T571" s="1130"/>
      <c r="U571" s="1130"/>
      <c r="V571" s="1130"/>
      <c r="W571" s="1130"/>
      <c r="X571" s="1130"/>
      <c r="Y571" s="1130"/>
      <c r="Z571" s="1130"/>
      <c r="AA571" s="1130"/>
    </row>
    <row r="572" spans="1:27" ht="15.75" customHeight="1">
      <c r="A572" s="1130"/>
      <c r="B572" s="1130"/>
      <c r="C572" s="1130"/>
      <c r="D572" s="1130"/>
      <c r="E572" s="1130"/>
      <c r="F572" s="1130"/>
      <c r="G572" s="1130"/>
      <c r="H572" s="1130"/>
      <c r="I572" s="1130"/>
      <c r="J572" s="1130"/>
      <c r="K572" s="1130"/>
      <c r="L572" s="1130"/>
      <c r="M572" s="1130"/>
      <c r="N572" s="1130"/>
      <c r="O572" s="1130"/>
      <c r="P572" s="1130"/>
      <c r="Q572" s="1130"/>
      <c r="R572" s="1130"/>
      <c r="S572" s="1130"/>
      <c r="T572" s="1130"/>
      <c r="U572" s="1130"/>
      <c r="V572" s="1130"/>
      <c r="W572" s="1130"/>
      <c r="X572" s="1130"/>
      <c r="Y572" s="1130"/>
      <c r="Z572" s="1130"/>
      <c r="AA572" s="1130"/>
    </row>
    <row r="573" spans="1:27" ht="15.75" customHeight="1">
      <c r="A573" s="1130"/>
      <c r="B573" s="1130"/>
      <c r="C573" s="1130"/>
      <c r="D573" s="1130"/>
      <c r="E573" s="1130"/>
      <c r="F573" s="1130"/>
      <c r="G573" s="1130"/>
      <c r="H573" s="1130"/>
      <c r="I573" s="1130"/>
      <c r="J573" s="1130"/>
      <c r="K573" s="1130"/>
      <c r="L573" s="1130"/>
      <c r="M573" s="1130"/>
      <c r="N573" s="1130"/>
      <c r="O573" s="1130"/>
      <c r="P573" s="1130"/>
      <c r="Q573" s="1130"/>
      <c r="R573" s="1130"/>
      <c r="S573" s="1130"/>
      <c r="T573" s="1130"/>
      <c r="U573" s="1130"/>
      <c r="V573" s="1130"/>
      <c r="W573" s="1130"/>
      <c r="X573" s="1130"/>
      <c r="Y573" s="1130"/>
      <c r="Z573" s="1130"/>
      <c r="AA573" s="1130"/>
    </row>
    <row r="574" spans="1:27" ht="15.75" customHeight="1">
      <c r="A574" s="1130"/>
      <c r="B574" s="1130"/>
      <c r="C574" s="1130"/>
      <c r="D574" s="1130"/>
      <c r="E574" s="1130"/>
      <c r="F574" s="1130"/>
      <c r="G574" s="1130"/>
      <c r="H574" s="1130"/>
      <c r="I574" s="1130"/>
      <c r="J574" s="1130"/>
      <c r="K574" s="1130"/>
      <c r="L574" s="1130"/>
      <c r="M574" s="1130"/>
      <c r="N574" s="1130"/>
      <c r="O574" s="1130"/>
      <c r="P574" s="1130"/>
      <c r="Q574" s="1130"/>
      <c r="R574" s="1130"/>
      <c r="S574" s="1130"/>
      <c r="T574" s="1130"/>
      <c r="U574" s="1130"/>
      <c r="V574" s="1130"/>
      <c r="W574" s="1130"/>
      <c r="X574" s="1130"/>
      <c r="Y574" s="1130"/>
      <c r="Z574" s="1130"/>
      <c r="AA574" s="1130"/>
    </row>
    <row r="575" spans="1:27" ht="15.75" customHeight="1">
      <c r="A575" s="1130"/>
      <c r="B575" s="1130"/>
      <c r="C575" s="1130"/>
      <c r="D575" s="1130"/>
      <c r="E575" s="1130"/>
      <c r="F575" s="1130"/>
      <c r="G575" s="1130"/>
      <c r="H575" s="1130"/>
      <c r="I575" s="1130"/>
      <c r="J575" s="1130"/>
      <c r="K575" s="1130"/>
      <c r="L575" s="1130"/>
      <c r="M575" s="1130"/>
      <c r="N575" s="1130"/>
      <c r="O575" s="1130"/>
      <c r="P575" s="1130"/>
      <c r="Q575" s="1130"/>
      <c r="R575" s="1130"/>
      <c r="S575" s="1130"/>
      <c r="T575" s="1130"/>
      <c r="U575" s="1130"/>
      <c r="V575" s="1130"/>
      <c r="W575" s="1130"/>
      <c r="X575" s="1130"/>
      <c r="Y575" s="1130"/>
      <c r="Z575" s="1130"/>
      <c r="AA575" s="1130"/>
    </row>
    <row r="576" spans="1:27" ht="15.75" customHeight="1">
      <c r="A576" s="1130"/>
      <c r="B576" s="1130"/>
      <c r="C576" s="1130"/>
      <c r="D576" s="1130"/>
      <c r="E576" s="1130"/>
      <c r="F576" s="1130"/>
      <c r="G576" s="1130"/>
      <c r="H576" s="1130"/>
      <c r="I576" s="1130"/>
      <c r="J576" s="1130"/>
      <c r="K576" s="1130"/>
      <c r="L576" s="1130"/>
      <c r="M576" s="1130"/>
      <c r="N576" s="1130"/>
      <c r="O576" s="1130"/>
      <c r="P576" s="1130"/>
      <c r="Q576" s="1130"/>
      <c r="R576" s="1130"/>
      <c r="S576" s="1130"/>
      <c r="T576" s="1130"/>
      <c r="U576" s="1130"/>
      <c r="V576" s="1130"/>
      <c r="W576" s="1130"/>
      <c r="X576" s="1130"/>
      <c r="Y576" s="1130"/>
      <c r="Z576" s="1130"/>
      <c r="AA576" s="1130"/>
    </row>
    <row r="577" spans="1:27" ht="15.75" customHeight="1">
      <c r="A577" s="1130"/>
      <c r="B577" s="1130"/>
      <c r="C577" s="1130"/>
      <c r="D577" s="1130"/>
      <c r="E577" s="1130"/>
      <c r="F577" s="1130"/>
      <c r="G577" s="1130"/>
      <c r="H577" s="1130"/>
      <c r="I577" s="1130"/>
      <c r="J577" s="1130"/>
      <c r="K577" s="1130"/>
      <c r="L577" s="1130"/>
      <c r="M577" s="1130"/>
      <c r="N577" s="1130"/>
      <c r="O577" s="1130"/>
      <c r="P577" s="1130"/>
      <c r="Q577" s="1130"/>
      <c r="R577" s="1130"/>
      <c r="S577" s="1130"/>
      <c r="T577" s="1130"/>
      <c r="U577" s="1130"/>
      <c r="V577" s="1130"/>
      <c r="W577" s="1130"/>
      <c r="X577" s="1130"/>
      <c r="Y577" s="1130"/>
      <c r="Z577" s="1130"/>
      <c r="AA577" s="1130"/>
    </row>
    <row r="578" spans="1:27" ht="15.75" customHeight="1">
      <c r="A578" s="1130"/>
      <c r="B578" s="1130"/>
      <c r="C578" s="1130"/>
      <c r="D578" s="1130"/>
      <c r="E578" s="1130"/>
      <c r="F578" s="1130"/>
      <c r="G578" s="1130"/>
      <c r="H578" s="1130"/>
      <c r="I578" s="1130"/>
      <c r="J578" s="1130"/>
      <c r="K578" s="1130"/>
      <c r="L578" s="1130"/>
      <c r="M578" s="1130"/>
      <c r="N578" s="1130"/>
      <c r="O578" s="1130"/>
      <c r="P578" s="1130"/>
      <c r="Q578" s="1130"/>
      <c r="R578" s="1130"/>
      <c r="S578" s="1130"/>
      <c r="T578" s="1130"/>
      <c r="U578" s="1130"/>
      <c r="V578" s="1130"/>
      <c r="W578" s="1130"/>
      <c r="X578" s="1130"/>
      <c r="Y578" s="1130"/>
      <c r="Z578" s="1130"/>
      <c r="AA578" s="1130"/>
    </row>
    <row r="579" spans="1:27" ht="15.75" customHeight="1">
      <c r="A579" s="1130"/>
      <c r="B579" s="1130"/>
      <c r="C579" s="1130"/>
      <c r="D579" s="1130"/>
      <c r="E579" s="1130"/>
      <c r="F579" s="1130"/>
      <c r="G579" s="1130"/>
      <c r="H579" s="1130"/>
      <c r="I579" s="1130"/>
      <c r="J579" s="1130"/>
      <c r="K579" s="1130"/>
      <c r="L579" s="1130"/>
      <c r="M579" s="1130"/>
      <c r="N579" s="1130"/>
      <c r="O579" s="1130"/>
      <c r="P579" s="1130"/>
      <c r="Q579" s="1130"/>
      <c r="R579" s="1130"/>
      <c r="S579" s="1130"/>
      <c r="T579" s="1130"/>
      <c r="U579" s="1130"/>
      <c r="V579" s="1130"/>
      <c r="W579" s="1130"/>
      <c r="X579" s="1130"/>
      <c r="Y579" s="1130"/>
      <c r="Z579" s="1130"/>
      <c r="AA579" s="1130"/>
    </row>
    <row r="580" spans="1:27" ht="15.75" customHeight="1">
      <c r="A580" s="1130"/>
      <c r="B580" s="1130"/>
      <c r="C580" s="1130"/>
      <c r="D580" s="1130"/>
      <c r="E580" s="1130"/>
      <c r="F580" s="1130"/>
      <c r="G580" s="1130"/>
      <c r="H580" s="1130"/>
      <c r="I580" s="1130"/>
      <c r="J580" s="1130"/>
      <c r="K580" s="1130"/>
      <c r="L580" s="1130"/>
      <c r="M580" s="1130"/>
      <c r="N580" s="1130"/>
      <c r="O580" s="1130"/>
      <c r="P580" s="1130"/>
      <c r="Q580" s="1130"/>
      <c r="R580" s="1130"/>
      <c r="S580" s="1130"/>
      <c r="T580" s="1130"/>
      <c r="U580" s="1130"/>
      <c r="V580" s="1130"/>
      <c r="W580" s="1130"/>
      <c r="X580" s="1130"/>
      <c r="Y580" s="1130"/>
      <c r="Z580" s="1130"/>
      <c r="AA580" s="1130"/>
    </row>
    <row r="581" spans="1:27" ht="15.75" customHeight="1">
      <c r="A581" s="1130"/>
      <c r="B581" s="1130"/>
      <c r="C581" s="1130"/>
      <c r="D581" s="1130"/>
      <c r="E581" s="1130"/>
      <c r="F581" s="1130"/>
      <c r="G581" s="1130"/>
      <c r="H581" s="1130"/>
      <c r="I581" s="1130"/>
      <c r="J581" s="1130"/>
      <c r="K581" s="1130"/>
      <c r="L581" s="1130"/>
      <c r="M581" s="1130"/>
      <c r="N581" s="1130"/>
      <c r="O581" s="1130"/>
      <c r="P581" s="1130"/>
      <c r="Q581" s="1130"/>
      <c r="R581" s="1130"/>
      <c r="S581" s="1130"/>
      <c r="T581" s="1130"/>
      <c r="U581" s="1130"/>
      <c r="V581" s="1130"/>
      <c r="W581" s="1130"/>
      <c r="X581" s="1130"/>
      <c r="Y581" s="1130"/>
      <c r="Z581" s="1130"/>
      <c r="AA581" s="1130"/>
    </row>
    <row r="582" spans="1:27" ht="15.75" customHeight="1">
      <c r="A582" s="1130"/>
      <c r="B582" s="1130"/>
      <c r="C582" s="1130"/>
      <c r="D582" s="1130"/>
      <c r="E582" s="1130"/>
      <c r="F582" s="1130"/>
      <c r="G582" s="1130"/>
      <c r="H582" s="1130"/>
      <c r="I582" s="1130"/>
      <c r="J582" s="1130"/>
      <c r="K582" s="1130"/>
      <c r="L582" s="1130"/>
      <c r="M582" s="1130"/>
      <c r="N582" s="1130"/>
      <c r="O582" s="1130"/>
      <c r="P582" s="1130"/>
      <c r="Q582" s="1130"/>
      <c r="R582" s="1130"/>
      <c r="S582" s="1130"/>
      <c r="T582" s="1130"/>
      <c r="U582" s="1130"/>
      <c r="V582" s="1130"/>
      <c r="W582" s="1130"/>
      <c r="X582" s="1130"/>
      <c r="Y582" s="1130"/>
      <c r="Z582" s="1130"/>
      <c r="AA582" s="1130"/>
    </row>
    <row r="583" spans="1:27" ht="15.75" customHeight="1">
      <c r="A583" s="1130"/>
      <c r="B583" s="1130"/>
      <c r="C583" s="1130"/>
      <c r="D583" s="1130"/>
      <c r="E583" s="1130"/>
      <c r="F583" s="1130"/>
      <c r="G583" s="1130"/>
      <c r="H583" s="1130"/>
      <c r="I583" s="1130"/>
      <c r="J583" s="1130"/>
      <c r="K583" s="1130"/>
      <c r="L583" s="1130"/>
      <c r="M583" s="1130"/>
      <c r="N583" s="1130"/>
      <c r="O583" s="1130"/>
      <c r="P583" s="1130"/>
      <c r="Q583" s="1130"/>
      <c r="R583" s="1130"/>
      <c r="S583" s="1130"/>
      <c r="T583" s="1130"/>
      <c r="U583" s="1130"/>
      <c r="V583" s="1130"/>
      <c r="W583" s="1130"/>
      <c r="X583" s="1130"/>
      <c r="Y583" s="1130"/>
      <c r="Z583" s="1130"/>
      <c r="AA583" s="1130"/>
    </row>
    <row r="584" spans="1:27" ht="15.75" customHeight="1">
      <c r="A584" s="1130"/>
      <c r="B584" s="1130"/>
      <c r="C584" s="1130"/>
      <c r="D584" s="1130"/>
      <c r="E584" s="1130"/>
      <c r="F584" s="1130"/>
      <c r="G584" s="1130"/>
      <c r="H584" s="1130"/>
      <c r="I584" s="1130"/>
      <c r="J584" s="1130"/>
      <c r="K584" s="1130"/>
      <c r="L584" s="1130"/>
      <c r="M584" s="1130"/>
      <c r="N584" s="1130"/>
      <c r="O584" s="1130"/>
      <c r="P584" s="1130"/>
      <c r="Q584" s="1130"/>
      <c r="R584" s="1130"/>
      <c r="S584" s="1130"/>
      <c r="T584" s="1130"/>
      <c r="U584" s="1130"/>
      <c r="V584" s="1130"/>
      <c r="W584" s="1130"/>
      <c r="X584" s="1130"/>
      <c r="Y584" s="1130"/>
      <c r="Z584" s="1130"/>
      <c r="AA584" s="1130"/>
    </row>
    <row r="585" spans="1:27" ht="15.75" customHeight="1">
      <c r="A585" s="1130"/>
      <c r="B585" s="1130"/>
      <c r="C585" s="1130"/>
      <c r="D585" s="1130"/>
      <c r="E585" s="1130"/>
      <c r="F585" s="1130"/>
      <c r="G585" s="1130"/>
      <c r="H585" s="1130"/>
      <c r="I585" s="1130"/>
      <c r="J585" s="1130"/>
      <c r="K585" s="1130"/>
      <c r="L585" s="1130"/>
      <c r="M585" s="1130"/>
      <c r="N585" s="1130"/>
      <c r="O585" s="1130"/>
      <c r="P585" s="1130"/>
      <c r="Q585" s="1130"/>
      <c r="R585" s="1130"/>
      <c r="S585" s="1130"/>
      <c r="T585" s="1130"/>
      <c r="U585" s="1130"/>
      <c r="V585" s="1130"/>
      <c r="W585" s="1130"/>
      <c r="X585" s="1130"/>
      <c r="Y585" s="1130"/>
      <c r="Z585" s="1130"/>
      <c r="AA585" s="1130"/>
    </row>
    <row r="586" spans="1:27" ht="15.75" customHeight="1">
      <c r="A586" s="1130"/>
      <c r="B586" s="1130"/>
      <c r="C586" s="1130"/>
      <c r="D586" s="1130"/>
      <c r="E586" s="1130"/>
      <c r="F586" s="1130"/>
      <c r="G586" s="1130"/>
      <c r="H586" s="1130"/>
      <c r="I586" s="1130"/>
      <c r="J586" s="1130"/>
      <c r="K586" s="1130"/>
      <c r="L586" s="1130"/>
      <c r="M586" s="1130"/>
      <c r="N586" s="1130"/>
      <c r="O586" s="1130"/>
      <c r="P586" s="1130"/>
      <c r="Q586" s="1130"/>
      <c r="R586" s="1130"/>
      <c r="S586" s="1130"/>
      <c r="T586" s="1130"/>
      <c r="U586" s="1130"/>
      <c r="V586" s="1130"/>
      <c r="W586" s="1130"/>
      <c r="X586" s="1130"/>
      <c r="Y586" s="1130"/>
      <c r="Z586" s="1130"/>
      <c r="AA586" s="1130"/>
    </row>
    <row r="587" spans="1:27" ht="15.75" customHeight="1">
      <c r="A587" s="1130"/>
      <c r="B587" s="1130"/>
      <c r="C587" s="1130"/>
      <c r="D587" s="1130"/>
      <c r="E587" s="1130"/>
      <c r="F587" s="1130"/>
      <c r="G587" s="1130"/>
      <c r="H587" s="1130"/>
      <c r="I587" s="1130"/>
      <c r="J587" s="1130"/>
      <c r="K587" s="1130"/>
      <c r="L587" s="1130"/>
      <c r="M587" s="1130"/>
      <c r="N587" s="1130"/>
      <c r="O587" s="1130"/>
      <c r="P587" s="1130"/>
      <c r="Q587" s="1130"/>
      <c r="R587" s="1130"/>
      <c r="S587" s="1130"/>
      <c r="T587" s="1130"/>
      <c r="U587" s="1130"/>
      <c r="V587" s="1130"/>
      <c r="W587" s="1130"/>
      <c r="X587" s="1130"/>
      <c r="Y587" s="1130"/>
      <c r="Z587" s="1130"/>
      <c r="AA587" s="1130"/>
    </row>
    <row r="588" spans="1:27" ht="15.75" customHeight="1">
      <c r="A588" s="1130"/>
      <c r="B588" s="1130"/>
      <c r="C588" s="1130"/>
      <c r="D588" s="1130"/>
      <c r="E588" s="1130"/>
      <c r="F588" s="1130"/>
      <c r="G588" s="1130"/>
      <c r="H588" s="1130"/>
      <c r="I588" s="1130"/>
      <c r="J588" s="1130"/>
      <c r="K588" s="1130"/>
      <c r="L588" s="1130"/>
      <c r="M588" s="1130"/>
      <c r="N588" s="1130"/>
      <c r="O588" s="1130"/>
      <c r="P588" s="1130"/>
      <c r="Q588" s="1130"/>
      <c r="R588" s="1130"/>
      <c r="S588" s="1130"/>
      <c r="T588" s="1130"/>
      <c r="U588" s="1130"/>
      <c r="V588" s="1130"/>
      <c r="W588" s="1130"/>
      <c r="X588" s="1130"/>
      <c r="Y588" s="1130"/>
      <c r="Z588" s="1130"/>
      <c r="AA588" s="1130"/>
    </row>
    <row r="589" spans="1:27" ht="15.75" customHeight="1">
      <c r="A589" s="1130"/>
      <c r="B589" s="1130"/>
      <c r="C589" s="1130"/>
      <c r="D589" s="1130"/>
      <c r="E589" s="1130"/>
      <c r="F589" s="1130"/>
      <c r="G589" s="1130"/>
      <c r="H589" s="1130"/>
      <c r="I589" s="1130"/>
      <c r="J589" s="1130"/>
      <c r="K589" s="1130"/>
      <c r="L589" s="1130"/>
      <c r="M589" s="1130"/>
      <c r="N589" s="1130"/>
      <c r="O589" s="1130"/>
      <c r="P589" s="1130"/>
      <c r="Q589" s="1130"/>
      <c r="R589" s="1130"/>
      <c r="S589" s="1130"/>
      <c r="T589" s="1130"/>
      <c r="U589" s="1130"/>
      <c r="V589" s="1130"/>
      <c r="W589" s="1130"/>
      <c r="X589" s="1130"/>
      <c r="Y589" s="1130"/>
      <c r="Z589" s="1130"/>
      <c r="AA589" s="1130"/>
    </row>
    <row r="590" spans="1:27" ht="15.75" customHeight="1">
      <c r="A590" s="1130"/>
      <c r="B590" s="1130"/>
      <c r="C590" s="1130"/>
      <c r="D590" s="1130"/>
      <c r="E590" s="1130"/>
      <c r="F590" s="1130"/>
      <c r="G590" s="1130"/>
      <c r="H590" s="1130"/>
      <c r="I590" s="1130"/>
      <c r="J590" s="1130"/>
      <c r="K590" s="1130"/>
      <c r="L590" s="1130"/>
      <c r="M590" s="1130"/>
      <c r="N590" s="1130"/>
      <c r="O590" s="1130"/>
      <c r="P590" s="1130"/>
      <c r="Q590" s="1130"/>
      <c r="R590" s="1130"/>
      <c r="S590" s="1130"/>
      <c r="T590" s="1130"/>
      <c r="U590" s="1130"/>
      <c r="V590" s="1130"/>
      <c r="W590" s="1130"/>
      <c r="X590" s="1130"/>
      <c r="Y590" s="1130"/>
      <c r="Z590" s="1130"/>
      <c r="AA590" s="1130"/>
    </row>
    <row r="591" spans="1:27" ht="15.75" customHeight="1">
      <c r="A591" s="1130"/>
      <c r="B591" s="1130"/>
      <c r="C591" s="1130"/>
      <c r="D591" s="1130"/>
      <c r="E591" s="1130"/>
      <c r="F591" s="1130"/>
      <c r="G591" s="1130"/>
      <c r="H591" s="1130"/>
      <c r="I591" s="1130"/>
      <c r="J591" s="1130"/>
      <c r="K591" s="1130"/>
      <c r="L591" s="1130"/>
      <c r="M591" s="1130"/>
      <c r="N591" s="1130"/>
      <c r="O591" s="1130"/>
      <c r="P591" s="1130"/>
      <c r="Q591" s="1130"/>
      <c r="R591" s="1130"/>
      <c r="S591" s="1130"/>
      <c r="T591" s="1130"/>
      <c r="U591" s="1130"/>
      <c r="V591" s="1130"/>
      <c r="W591" s="1130"/>
      <c r="X591" s="1130"/>
      <c r="Y591" s="1130"/>
      <c r="Z591" s="1130"/>
      <c r="AA591" s="1130"/>
    </row>
    <row r="592" spans="1:27" ht="15.75" customHeight="1">
      <c r="A592" s="1130"/>
      <c r="B592" s="1130"/>
      <c r="C592" s="1130"/>
      <c r="D592" s="1130"/>
      <c r="E592" s="1130"/>
      <c r="F592" s="1130"/>
      <c r="G592" s="1130"/>
      <c r="H592" s="1130"/>
      <c r="I592" s="1130"/>
      <c r="J592" s="1130"/>
      <c r="K592" s="1130"/>
      <c r="L592" s="1130"/>
      <c r="M592" s="1130"/>
      <c r="N592" s="1130"/>
      <c r="O592" s="1130"/>
      <c r="P592" s="1130"/>
      <c r="Q592" s="1130"/>
      <c r="R592" s="1130"/>
      <c r="S592" s="1130"/>
      <c r="T592" s="1130"/>
      <c r="U592" s="1130"/>
      <c r="V592" s="1130"/>
      <c r="W592" s="1130"/>
      <c r="X592" s="1130"/>
      <c r="Y592" s="1130"/>
      <c r="Z592" s="1130"/>
      <c r="AA592" s="1130"/>
    </row>
    <row r="593" spans="1:27" ht="15.75" customHeight="1">
      <c r="A593" s="1130"/>
      <c r="B593" s="1130"/>
      <c r="C593" s="1130"/>
      <c r="D593" s="1130"/>
      <c r="E593" s="1130"/>
      <c r="F593" s="1130"/>
      <c r="G593" s="1130"/>
      <c r="H593" s="1130"/>
      <c r="I593" s="1130"/>
      <c r="J593" s="1130"/>
      <c r="K593" s="1130"/>
      <c r="L593" s="1130"/>
      <c r="M593" s="1130"/>
      <c r="N593" s="1130"/>
      <c r="O593" s="1130"/>
      <c r="P593" s="1130"/>
      <c r="Q593" s="1130"/>
      <c r="R593" s="1130"/>
      <c r="S593" s="1130"/>
      <c r="T593" s="1130"/>
      <c r="U593" s="1130"/>
      <c r="V593" s="1130"/>
      <c r="W593" s="1130"/>
      <c r="X593" s="1130"/>
      <c r="Y593" s="1130"/>
      <c r="Z593" s="1130"/>
      <c r="AA593" s="1130"/>
    </row>
    <row r="594" spans="1:27" ht="15.75" customHeight="1">
      <c r="A594" s="1130"/>
      <c r="B594" s="1130"/>
      <c r="C594" s="1130"/>
      <c r="D594" s="1130"/>
      <c r="E594" s="1130"/>
      <c r="F594" s="1130"/>
      <c r="G594" s="1130"/>
      <c r="H594" s="1130"/>
      <c r="I594" s="1130"/>
      <c r="J594" s="1130"/>
      <c r="K594" s="1130"/>
      <c r="L594" s="1130"/>
      <c r="M594" s="1130"/>
      <c r="N594" s="1130"/>
      <c r="O594" s="1130"/>
      <c r="P594" s="1130"/>
      <c r="Q594" s="1130"/>
      <c r="R594" s="1130"/>
      <c r="S594" s="1130"/>
      <c r="T594" s="1130"/>
      <c r="U594" s="1130"/>
      <c r="V594" s="1130"/>
      <c r="W594" s="1130"/>
      <c r="X594" s="1130"/>
      <c r="Y594" s="1130"/>
      <c r="Z594" s="1130"/>
      <c r="AA594" s="1130"/>
    </row>
    <row r="595" spans="1:27" ht="15.75" customHeight="1">
      <c r="A595" s="1130"/>
      <c r="B595" s="1130"/>
      <c r="C595" s="1130"/>
      <c r="D595" s="1130"/>
      <c r="E595" s="1130"/>
      <c r="F595" s="1130"/>
      <c r="G595" s="1130"/>
      <c r="H595" s="1130"/>
      <c r="I595" s="1130"/>
      <c r="J595" s="1130"/>
      <c r="K595" s="1130"/>
      <c r="L595" s="1130"/>
      <c r="M595" s="1130"/>
      <c r="N595" s="1130"/>
      <c r="O595" s="1130"/>
      <c r="P595" s="1130"/>
      <c r="Q595" s="1130"/>
      <c r="R595" s="1130"/>
      <c r="S595" s="1130"/>
      <c r="T595" s="1130"/>
      <c r="U595" s="1130"/>
      <c r="V595" s="1130"/>
      <c r="W595" s="1130"/>
      <c r="X595" s="1130"/>
      <c r="Y595" s="1130"/>
      <c r="Z595" s="1130"/>
      <c r="AA595" s="1130"/>
    </row>
    <row r="596" spans="1:27" ht="15.75" customHeight="1">
      <c r="A596" s="1130"/>
      <c r="B596" s="1130"/>
      <c r="C596" s="1130"/>
      <c r="D596" s="1130"/>
      <c r="E596" s="1130"/>
      <c r="F596" s="1130"/>
      <c r="G596" s="1130"/>
      <c r="H596" s="1130"/>
      <c r="I596" s="1130"/>
      <c r="J596" s="1130"/>
      <c r="K596" s="1130"/>
      <c r="L596" s="1130"/>
      <c r="M596" s="1130"/>
      <c r="N596" s="1130"/>
      <c r="O596" s="1130"/>
      <c r="P596" s="1130"/>
      <c r="Q596" s="1130"/>
      <c r="R596" s="1130"/>
      <c r="S596" s="1130"/>
      <c r="T596" s="1130"/>
      <c r="U596" s="1130"/>
      <c r="V596" s="1130"/>
      <c r="W596" s="1130"/>
      <c r="X596" s="1130"/>
      <c r="Y596" s="1130"/>
      <c r="Z596" s="1130"/>
      <c r="AA596" s="1130"/>
    </row>
    <row r="597" spans="1:27" ht="15.75" customHeight="1">
      <c r="A597" s="1130"/>
      <c r="B597" s="1130"/>
      <c r="C597" s="1130"/>
      <c r="D597" s="1130"/>
      <c r="E597" s="1130"/>
      <c r="F597" s="1130"/>
      <c r="G597" s="1130"/>
      <c r="H597" s="1130"/>
      <c r="I597" s="1130"/>
      <c r="J597" s="1130"/>
      <c r="K597" s="1130"/>
      <c r="L597" s="1130"/>
      <c r="M597" s="1130"/>
      <c r="N597" s="1130"/>
      <c r="O597" s="1130"/>
      <c r="P597" s="1130"/>
      <c r="Q597" s="1130"/>
      <c r="R597" s="1130"/>
      <c r="S597" s="1130"/>
      <c r="T597" s="1130"/>
      <c r="U597" s="1130"/>
      <c r="V597" s="1130"/>
      <c r="W597" s="1130"/>
      <c r="X597" s="1130"/>
      <c r="Y597" s="1130"/>
      <c r="Z597" s="1130"/>
      <c r="AA597" s="1130"/>
    </row>
    <row r="598" spans="1:27" ht="15.75" customHeight="1">
      <c r="A598" s="1130"/>
      <c r="B598" s="1130"/>
      <c r="C598" s="1130"/>
      <c r="D598" s="1130"/>
      <c r="E598" s="1130"/>
      <c r="F598" s="1130"/>
      <c r="G598" s="1130"/>
      <c r="H598" s="1130"/>
      <c r="I598" s="1130"/>
      <c r="J598" s="1130"/>
      <c r="K598" s="1130"/>
      <c r="L598" s="1130"/>
      <c r="M598" s="1130"/>
      <c r="N598" s="1130"/>
      <c r="O598" s="1130"/>
      <c r="P598" s="1130"/>
      <c r="Q598" s="1130"/>
      <c r="R598" s="1130"/>
      <c r="S598" s="1130"/>
      <c r="T598" s="1130"/>
      <c r="U598" s="1130"/>
      <c r="V598" s="1130"/>
      <c r="W598" s="1130"/>
      <c r="X598" s="1130"/>
      <c r="Y598" s="1130"/>
      <c r="Z598" s="1130"/>
      <c r="AA598" s="1130"/>
    </row>
    <row r="599" spans="1:27" ht="15.75" customHeight="1">
      <c r="A599" s="1130"/>
      <c r="B599" s="1130"/>
      <c r="C599" s="1130"/>
      <c r="D599" s="1130"/>
      <c r="E599" s="1130"/>
      <c r="F599" s="1130"/>
      <c r="G599" s="1130"/>
      <c r="H599" s="1130"/>
      <c r="I599" s="1130"/>
      <c r="J599" s="1130"/>
      <c r="K599" s="1130"/>
      <c r="L599" s="1130"/>
      <c r="M599" s="1130"/>
      <c r="N599" s="1130"/>
      <c r="O599" s="1130"/>
      <c r="P599" s="1130"/>
      <c r="Q599" s="1130"/>
      <c r="R599" s="1130"/>
      <c r="S599" s="1130"/>
      <c r="T599" s="1130"/>
      <c r="U599" s="1130"/>
      <c r="V599" s="1130"/>
      <c r="W599" s="1130"/>
      <c r="X599" s="1130"/>
      <c r="Y599" s="1130"/>
      <c r="Z599" s="1130"/>
      <c r="AA599" s="1130"/>
    </row>
    <row r="600" spans="1:27" ht="15.75" customHeight="1">
      <c r="A600" s="1130"/>
      <c r="B600" s="1130"/>
      <c r="C600" s="1130"/>
      <c r="D600" s="1130"/>
      <c r="E600" s="1130"/>
      <c r="F600" s="1130"/>
      <c r="G600" s="1130"/>
      <c r="H600" s="1130"/>
      <c r="I600" s="1130"/>
      <c r="J600" s="1130"/>
      <c r="K600" s="1130"/>
      <c r="L600" s="1130"/>
      <c r="M600" s="1130"/>
      <c r="N600" s="1130"/>
      <c r="O600" s="1130"/>
      <c r="P600" s="1130"/>
      <c r="Q600" s="1130"/>
      <c r="R600" s="1130"/>
      <c r="S600" s="1130"/>
      <c r="T600" s="1130"/>
      <c r="U600" s="1130"/>
      <c r="V600" s="1130"/>
      <c r="W600" s="1130"/>
      <c r="X600" s="1130"/>
      <c r="Y600" s="1130"/>
      <c r="Z600" s="1130"/>
      <c r="AA600" s="1130"/>
    </row>
    <row r="601" spans="1:27" ht="15.75" customHeight="1">
      <c r="A601" s="1130"/>
      <c r="B601" s="1130"/>
      <c r="C601" s="1130"/>
      <c r="D601" s="1130"/>
      <c r="E601" s="1130"/>
      <c r="F601" s="1130"/>
      <c r="G601" s="1130"/>
      <c r="H601" s="1130"/>
      <c r="I601" s="1130"/>
      <c r="J601" s="1130"/>
      <c r="K601" s="1130"/>
      <c r="L601" s="1130"/>
      <c r="M601" s="1130"/>
      <c r="N601" s="1130"/>
      <c r="O601" s="1130"/>
      <c r="P601" s="1130"/>
      <c r="Q601" s="1130"/>
      <c r="R601" s="1130"/>
      <c r="S601" s="1130"/>
      <c r="T601" s="1130"/>
      <c r="U601" s="1130"/>
      <c r="V601" s="1130"/>
      <c r="W601" s="1130"/>
      <c r="X601" s="1130"/>
      <c r="Y601" s="1130"/>
      <c r="Z601" s="1130"/>
      <c r="AA601" s="1130"/>
    </row>
    <row r="602" spans="1:27" ht="15.75" customHeight="1">
      <c r="A602" s="1130"/>
      <c r="B602" s="1130"/>
      <c r="C602" s="1130"/>
      <c r="D602" s="1130"/>
      <c r="E602" s="1130"/>
      <c r="F602" s="1130"/>
      <c r="G602" s="1130"/>
      <c r="H602" s="1130"/>
      <c r="I602" s="1130"/>
      <c r="J602" s="1130"/>
      <c r="K602" s="1130"/>
      <c r="L602" s="1130"/>
      <c r="M602" s="1130"/>
      <c r="N602" s="1130"/>
      <c r="O602" s="1130"/>
      <c r="P602" s="1130"/>
      <c r="Q602" s="1130"/>
      <c r="R602" s="1130"/>
      <c r="S602" s="1130"/>
      <c r="T602" s="1130"/>
      <c r="U602" s="1130"/>
      <c r="V602" s="1130"/>
      <c r="W602" s="1130"/>
      <c r="X602" s="1130"/>
      <c r="Y602" s="1130"/>
      <c r="Z602" s="1130"/>
      <c r="AA602" s="1130"/>
    </row>
    <row r="603" spans="1:27" ht="15.75" customHeight="1">
      <c r="A603" s="1130"/>
      <c r="B603" s="1130"/>
      <c r="C603" s="1130"/>
      <c r="D603" s="1130"/>
      <c r="E603" s="1130"/>
      <c r="F603" s="1130"/>
      <c r="G603" s="1130"/>
      <c r="H603" s="1130"/>
      <c r="I603" s="1130"/>
      <c r="J603" s="1130"/>
      <c r="K603" s="1130"/>
      <c r="L603" s="1130"/>
      <c r="M603" s="1130"/>
      <c r="N603" s="1130"/>
      <c r="O603" s="1130"/>
      <c r="P603" s="1130"/>
      <c r="Q603" s="1130"/>
      <c r="R603" s="1130"/>
      <c r="S603" s="1130"/>
      <c r="T603" s="1130"/>
      <c r="U603" s="1130"/>
      <c r="V603" s="1130"/>
      <c r="W603" s="1130"/>
      <c r="X603" s="1130"/>
      <c r="Y603" s="1130"/>
      <c r="Z603" s="1130"/>
      <c r="AA603" s="1130"/>
    </row>
    <row r="604" spans="1:27" ht="15.75" customHeight="1">
      <c r="A604" s="1130"/>
      <c r="B604" s="1130"/>
      <c r="C604" s="1130"/>
      <c r="D604" s="1130"/>
      <c r="E604" s="1130"/>
      <c r="F604" s="1130"/>
      <c r="G604" s="1130"/>
      <c r="H604" s="1130"/>
      <c r="I604" s="1130"/>
      <c r="J604" s="1130"/>
      <c r="K604" s="1130"/>
      <c r="L604" s="1130"/>
      <c r="M604" s="1130"/>
      <c r="N604" s="1130"/>
      <c r="O604" s="1130"/>
      <c r="P604" s="1130"/>
      <c r="Q604" s="1130"/>
      <c r="R604" s="1130"/>
      <c r="S604" s="1130"/>
      <c r="T604" s="1130"/>
      <c r="U604" s="1130"/>
      <c r="V604" s="1130"/>
      <c r="W604" s="1130"/>
      <c r="X604" s="1130"/>
      <c r="Y604" s="1130"/>
      <c r="Z604" s="1130"/>
      <c r="AA604" s="1130"/>
    </row>
    <row r="605" spans="1:27" ht="15.75" customHeight="1">
      <c r="A605" s="1130"/>
      <c r="B605" s="1130"/>
      <c r="C605" s="1130"/>
      <c r="D605" s="1130"/>
      <c r="E605" s="1130"/>
      <c r="F605" s="1130"/>
      <c r="G605" s="1130"/>
      <c r="H605" s="1130"/>
      <c r="I605" s="1130"/>
      <c r="J605" s="1130"/>
      <c r="K605" s="1130"/>
      <c r="L605" s="1130"/>
      <c r="M605" s="1130"/>
      <c r="N605" s="1130"/>
      <c r="O605" s="1130"/>
      <c r="P605" s="1130"/>
      <c r="Q605" s="1130"/>
      <c r="R605" s="1130"/>
      <c r="S605" s="1130"/>
      <c r="T605" s="1130"/>
      <c r="U605" s="1130"/>
      <c r="V605" s="1130"/>
      <c r="W605" s="1130"/>
      <c r="X605" s="1130"/>
      <c r="Y605" s="1130"/>
      <c r="Z605" s="1130"/>
      <c r="AA605" s="1130"/>
    </row>
    <row r="606" spans="1:27" ht="15.75" customHeight="1">
      <c r="A606" s="1130"/>
      <c r="B606" s="1130"/>
      <c r="C606" s="1130"/>
      <c r="D606" s="1130"/>
      <c r="E606" s="1130"/>
      <c r="F606" s="1130"/>
      <c r="G606" s="1130"/>
      <c r="H606" s="1130"/>
      <c r="I606" s="1130"/>
      <c r="J606" s="1130"/>
      <c r="K606" s="1130"/>
      <c r="L606" s="1130"/>
      <c r="M606" s="1130"/>
      <c r="N606" s="1130"/>
      <c r="O606" s="1130"/>
      <c r="P606" s="1130"/>
      <c r="Q606" s="1130"/>
      <c r="R606" s="1130"/>
      <c r="S606" s="1130"/>
      <c r="T606" s="1130"/>
      <c r="U606" s="1130"/>
      <c r="V606" s="1130"/>
      <c r="W606" s="1130"/>
      <c r="X606" s="1130"/>
      <c r="Y606" s="1130"/>
      <c r="Z606" s="1130"/>
      <c r="AA606" s="1130"/>
    </row>
    <row r="607" spans="1:27" ht="15.75" customHeight="1">
      <c r="A607" s="1130"/>
      <c r="B607" s="1130"/>
      <c r="C607" s="1130"/>
      <c r="D607" s="1130"/>
      <c r="E607" s="1130"/>
      <c r="F607" s="1130"/>
      <c r="G607" s="1130"/>
      <c r="H607" s="1130"/>
      <c r="I607" s="1130"/>
      <c r="J607" s="1130"/>
      <c r="K607" s="1130"/>
      <c r="L607" s="1130"/>
      <c r="M607" s="1130"/>
      <c r="N607" s="1130"/>
      <c r="O607" s="1130"/>
      <c r="P607" s="1130"/>
      <c r="Q607" s="1130"/>
      <c r="R607" s="1130"/>
      <c r="S607" s="1130"/>
      <c r="T607" s="1130"/>
      <c r="U607" s="1130"/>
      <c r="V607" s="1130"/>
      <c r="W607" s="1130"/>
      <c r="X607" s="1130"/>
      <c r="Y607" s="1130"/>
      <c r="Z607" s="1130"/>
      <c r="AA607" s="1130"/>
    </row>
    <row r="608" spans="1:27" ht="15.75" customHeight="1">
      <c r="A608" s="1130"/>
      <c r="B608" s="1130"/>
      <c r="C608" s="1130"/>
      <c r="D608" s="1130"/>
      <c r="E608" s="1130"/>
      <c r="F608" s="1130"/>
      <c r="G608" s="1130"/>
      <c r="H608" s="1130"/>
      <c r="I608" s="1130"/>
      <c r="J608" s="1130"/>
      <c r="K608" s="1130"/>
      <c r="L608" s="1130"/>
      <c r="M608" s="1130"/>
      <c r="N608" s="1130"/>
      <c r="O608" s="1130"/>
      <c r="P608" s="1130"/>
      <c r="Q608" s="1130"/>
      <c r="R608" s="1130"/>
      <c r="S608" s="1130"/>
      <c r="T608" s="1130"/>
      <c r="U608" s="1130"/>
      <c r="V608" s="1130"/>
      <c r="W608" s="1130"/>
      <c r="X608" s="1130"/>
      <c r="Y608" s="1130"/>
      <c r="Z608" s="1130"/>
      <c r="AA608" s="1130"/>
    </row>
    <row r="609" spans="1:27" ht="15.75" customHeight="1">
      <c r="A609" s="1130"/>
      <c r="B609" s="1130"/>
      <c r="C609" s="1130"/>
      <c r="D609" s="1130"/>
      <c r="E609" s="1130"/>
      <c r="F609" s="1130"/>
      <c r="G609" s="1130"/>
      <c r="H609" s="1130"/>
      <c r="I609" s="1130"/>
      <c r="J609" s="1130"/>
      <c r="K609" s="1130"/>
      <c r="L609" s="1130"/>
      <c r="M609" s="1130"/>
      <c r="N609" s="1130"/>
      <c r="O609" s="1130"/>
      <c r="P609" s="1130"/>
      <c r="Q609" s="1130"/>
      <c r="R609" s="1130"/>
      <c r="S609" s="1130"/>
      <c r="T609" s="1130"/>
      <c r="U609" s="1130"/>
      <c r="V609" s="1130"/>
      <c r="W609" s="1130"/>
      <c r="X609" s="1130"/>
      <c r="Y609" s="1130"/>
      <c r="Z609" s="1130"/>
      <c r="AA609" s="1130"/>
    </row>
    <row r="610" spans="1:27" ht="15.75" customHeight="1">
      <c r="A610" s="1130"/>
      <c r="B610" s="1130"/>
      <c r="C610" s="1130"/>
      <c r="D610" s="1130"/>
      <c r="E610" s="1130"/>
      <c r="F610" s="1130"/>
      <c r="G610" s="1130"/>
      <c r="H610" s="1130"/>
      <c r="I610" s="1130"/>
      <c r="J610" s="1130"/>
      <c r="K610" s="1130"/>
      <c r="L610" s="1130"/>
      <c r="M610" s="1130"/>
      <c r="N610" s="1130"/>
      <c r="O610" s="1130"/>
      <c r="P610" s="1130"/>
      <c r="Q610" s="1130"/>
      <c r="R610" s="1130"/>
      <c r="S610" s="1130"/>
      <c r="T610" s="1130"/>
      <c r="U610" s="1130"/>
      <c r="V610" s="1130"/>
      <c r="W610" s="1130"/>
      <c r="X610" s="1130"/>
      <c r="Y610" s="1130"/>
      <c r="Z610" s="1130"/>
      <c r="AA610" s="1130"/>
    </row>
    <row r="611" spans="1:27" ht="15.75" customHeight="1">
      <c r="A611" s="1130"/>
      <c r="B611" s="1130"/>
      <c r="C611" s="1130"/>
      <c r="D611" s="1130"/>
      <c r="E611" s="1130"/>
      <c r="F611" s="1130"/>
      <c r="G611" s="1130"/>
      <c r="H611" s="1130"/>
      <c r="I611" s="1130"/>
      <c r="J611" s="1130"/>
      <c r="K611" s="1130"/>
      <c r="L611" s="1130"/>
      <c r="M611" s="1130"/>
      <c r="N611" s="1130"/>
      <c r="O611" s="1130"/>
      <c r="P611" s="1130"/>
      <c r="Q611" s="1130"/>
      <c r="R611" s="1130"/>
      <c r="S611" s="1130"/>
      <c r="T611" s="1130"/>
      <c r="U611" s="1130"/>
      <c r="V611" s="1130"/>
      <c r="W611" s="1130"/>
      <c r="X611" s="1130"/>
      <c r="Y611" s="1130"/>
      <c r="Z611" s="1130"/>
      <c r="AA611" s="1130"/>
    </row>
    <row r="612" spans="1:27" ht="15.75" customHeight="1">
      <c r="A612" s="1130"/>
      <c r="B612" s="1130"/>
      <c r="C612" s="1130"/>
      <c r="D612" s="1130"/>
      <c r="E612" s="1130"/>
      <c r="F612" s="1130"/>
      <c r="G612" s="1130"/>
      <c r="H612" s="1130"/>
      <c r="I612" s="1130"/>
      <c r="J612" s="1130"/>
      <c r="K612" s="1130"/>
      <c r="L612" s="1130"/>
      <c r="M612" s="1130"/>
      <c r="N612" s="1130"/>
      <c r="O612" s="1130"/>
      <c r="P612" s="1130"/>
      <c r="Q612" s="1130"/>
      <c r="R612" s="1130"/>
      <c r="S612" s="1130"/>
      <c r="T612" s="1130"/>
      <c r="U612" s="1130"/>
      <c r="V612" s="1130"/>
      <c r="W612" s="1130"/>
      <c r="X612" s="1130"/>
      <c r="Y612" s="1130"/>
      <c r="Z612" s="1130"/>
      <c r="AA612" s="1130"/>
    </row>
    <row r="613" spans="1:27" ht="15.75" customHeight="1">
      <c r="A613" s="1130"/>
      <c r="B613" s="1130"/>
      <c r="C613" s="1130"/>
      <c r="D613" s="1130"/>
      <c r="E613" s="1130"/>
      <c r="F613" s="1130"/>
      <c r="G613" s="1130"/>
      <c r="H613" s="1130"/>
      <c r="I613" s="1130"/>
      <c r="J613" s="1130"/>
      <c r="K613" s="1130"/>
      <c r="L613" s="1130"/>
      <c r="M613" s="1130"/>
      <c r="N613" s="1130"/>
      <c r="O613" s="1130"/>
      <c r="P613" s="1130"/>
      <c r="Q613" s="1130"/>
      <c r="R613" s="1130"/>
      <c r="S613" s="1130"/>
      <c r="T613" s="1130"/>
      <c r="U613" s="1130"/>
      <c r="V613" s="1130"/>
      <c r="W613" s="1130"/>
      <c r="X613" s="1130"/>
      <c r="Y613" s="1130"/>
      <c r="Z613" s="1130"/>
      <c r="AA613" s="1130"/>
    </row>
    <row r="614" spans="1:27" ht="15.75" customHeight="1">
      <c r="A614" s="1130"/>
      <c r="B614" s="1130"/>
      <c r="C614" s="1130"/>
      <c r="D614" s="1130"/>
      <c r="E614" s="1130"/>
      <c r="F614" s="1130"/>
      <c r="G614" s="1130"/>
      <c r="H614" s="1130"/>
      <c r="I614" s="1130"/>
      <c r="J614" s="1130"/>
      <c r="K614" s="1130"/>
      <c r="L614" s="1130"/>
      <c r="M614" s="1130"/>
      <c r="N614" s="1130"/>
      <c r="O614" s="1130"/>
      <c r="P614" s="1130"/>
      <c r="Q614" s="1130"/>
      <c r="R614" s="1130"/>
      <c r="S614" s="1130"/>
      <c r="T614" s="1130"/>
      <c r="U614" s="1130"/>
      <c r="V614" s="1130"/>
      <c r="W614" s="1130"/>
      <c r="X614" s="1130"/>
      <c r="Y614" s="1130"/>
      <c r="Z614" s="1130"/>
      <c r="AA614" s="1130"/>
    </row>
    <row r="615" spans="1:27" ht="15.75" customHeight="1">
      <c r="A615" s="1130"/>
      <c r="B615" s="1130"/>
      <c r="C615" s="1130"/>
      <c r="D615" s="1130"/>
      <c r="E615" s="1130"/>
      <c r="F615" s="1130"/>
      <c r="G615" s="1130"/>
      <c r="H615" s="1130"/>
      <c r="I615" s="1130"/>
      <c r="J615" s="1130"/>
      <c r="K615" s="1130"/>
      <c r="L615" s="1130"/>
      <c r="M615" s="1130"/>
      <c r="N615" s="1130"/>
      <c r="O615" s="1130"/>
      <c r="P615" s="1130"/>
      <c r="Q615" s="1130"/>
      <c r="R615" s="1130"/>
      <c r="S615" s="1130"/>
      <c r="T615" s="1130"/>
      <c r="U615" s="1130"/>
      <c r="V615" s="1130"/>
      <c r="W615" s="1130"/>
      <c r="X615" s="1130"/>
      <c r="Y615" s="1130"/>
      <c r="Z615" s="1130"/>
      <c r="AA615" s="1130"/>
    </row>
    <row r="616" spans="1:27" ht="15.75" customHeight="1">
      <c r="A616" s="1130"/>
      <c r="B616" s="1130"/>
      <c r="C616" s="1130"/>
      <c r="D616" s="1130"/>
      <c r="E616" s="1130"/>
      <c r="F616" s="1130"/>
      <c r="G616" s="1130"/>
      <c r="H616" s="1130"/>
      <c r="I616" s="1130"/>
      <c r="J616" s="1130"/>
      <c r="K616" s="1130"/>
      <c r="L616" s="1130"/>
      <c r="M616" s="1130"/>
      <c r="N616" s="1130"/>
      <c r="O616" s="1130"/>
      <c r="P616" s="1130"/>
      <c r="Q616" s="1130"/>
      <c r="R616" s="1130"/>
      <c r="S616" s="1130"/>
      <c r="T616" s="1130"/>
      <c r="U616" s="1130"/>
      <c r="V616" s="1130"/>
      <c r="W616" s="1130"/>
      <c r="X616" s="1130"/>
      <c r="Y616" s="1130"/>
      <c r="Z616" s="1130"/>
      <c r="AA616" s="1130"/>
    </row>
    <row r="617" spans="1:27" ht="15.75" customHeight="1">
      <c r="A617" s="1130"/>
      <c r="B617" s="1130"/>
      <c r="C617" s="1130"/>
      <c r="D617" s="1130"/>
      <c r="E617" s="1130"/>
      <c r="F617" s="1130"/>
      <c r="G617" s="1130"/>
      <c r="H617" s="1130"/>
      <c r="I617" s="1130"/>
      <c r="J617" s="1130"/>
      <c r="K617" s="1130"/>
      <c r="L617" s="1130"/>
      <c r="M617" s="1130"/>
      <c r="N617" s="1130"/>
      <c r="O617" s="1130"/>
      <c r="P617" s="1130"/>
      <c r="Q617" s="1130"/>
      <c r="R617" s="1130"/>
      <c r="S617" s="1130"/>
      <c r="T617" s="1130"/>
      <c r="U617" s="1130"/>
      <c r="V617" s="1130"/>
      <c r="W617" s="1130"/>
      <c r="X617" s="1130"/>
      <c r="Y617" s="1130"/>
      <c r="Z617" s="1130"/>
      <c r="AA617" s="1130"/>
    </row>
    <row r="618" spans="1:27" ht="15.75" customHeight="1">
      <c r="A618" s="1130"/>
      <c r="B618" s="1130"/>
      <c r="C618" s="1130"/>
      <c r="D618" s="1130"/>
      <c r="E618" s="1130"/>
      <c r="F618" s="1130"/>
      <c r="G618" s="1130"/>
      <c r="H618" s="1130"/>
      <c r="I618" s="1130"/>
      <c r="J618" s="1130"/>
      <c r="K618" s="1130"/>
      <c r="L618" s="1130"/>
      <c r="M618" s="1130"/>
      <c r="N618" s="1130"/>
      <c r="O618" s="1130"/>
      <c r="P618" s="1130"/>
      <c r="Q618" s="1130"/>
      <c r="R618" s="1130"/>
      <c r="S618" s="1130"/>
      <c r="T618" s="1130"/>
      <c r="U618" s="1130"/>
      <c r="V618" s="1130"/>
      <c r="W618" s="1130"/>
      <c r="X618" s="1130"/>
      <c r="Y618" s="1130"/>
      <c r="Z618" s="1130"/>
      <c r="AA618" s="1130"/>
    </row>
    <row r="619" spans="1:27" ht="15.75" customHeight="1">
      <c r="A619" s="1130"/>
      <c r="B619" s="1130"/>
      <c r="C619" s="1130"/>
      <c r="D619" s="1130"/>
      <c r="E619" s="1130"/>
      <c r="F619" s="1130"/>
      <c r="G619" s="1130"/>
      <c r="H619" s="1130"/>
      <c r="I619" s="1130"/>
      <c r="J619" s="1130"/>
      <c r="K619" s="1130"/>
      <c r="L619" s="1130"/>
      <c r="M619" s="1130"/>
      <c r="N619" s="1130"/>
      <c r="O619" s="1130"/>
      <c r="P619" s="1130"/>
      <c r="Q619" s="1130"/>
      <c r="R619" s="1130"/>
      <c r="S619" s="1130"/>
      <c r="T619" s="1130"/>
      <c r="U619" s="1130"/>
      <c r="V619" s="1130"/>
      <c r="W619" s="1130"/>
      <c r="X619" s="1130"/>
      <c r="Y619" s="1130"/>
      <c r="Z619" s="1130"/>
      <c r="AA619" s="1130"/>
    </row>
    <row r="620" spans="1:27" ht="15.75" customHeight="1">
      <c r="A620" s="1130"/>
      <c r="B620" s="1130"/>
      <c r="C620" s="1130"/>
      <c r="D620" s="1130"/>
      <c r="E620" s="1130"/>
      <c r="F620" s="1130"/>
      <c r="G620" s="1130"/>
      <c r="H620" s="1130"/>
      <c r="I620" s="1130"/>
      <c r="J620" s="1130"/>
      <c r="K620" s="1130"/>
      <c r="L620" s="1130"/>
      <c r="M620" s="1130"/>
      <c r="N620" s="1130"/>
      <c r="O620" s="1130"/>
      <c r="P620" s="1130"/>
      <c r="Q620" s="1130"/>
      <c r="R620" s="1130"/>
      <c r="S620" s="1130"/>
      <c r="T620" s="1130"/>
      <c r="U620" s="1130"/>
      <c r="V620" s="1130"/>
      <c r="W620" s="1130"/>
      <c r="X620" s="1130"/>
      <c r="Y620" s="1130"/>
      <c r="Z620" s="1130"/>
      <c r="AA620" s="1130"/>
    </row>
    <row r="621" spans="1:27" ht="15.75" customHeight="1">
      <c r="A621" s="1130"/>
      <c r="B621" s="1130"/>
      <c r="C621" s="1130"/>
      <c r="D621" s="1130"/>
      <c r="E621" s="1130"/>
      <c r="F621" s="1130"/>
      <c r="G621" s="1130"/>
      <c r="H621" s="1130"/>
      <c r="I621" s="1130"/>
      <c r="J621" s="1130"/>
      <c r="K621" s="1130"/>
      <c r="L621" s="1130"/>
      <c r="M621" s="1130"/>
      <c r="N621" s="1130"/>
      <c r="O621" s="1130"/>
      <c r="P621" s="1130"/>
      <c r="Q621" s="1130"/>
      <c r="R621" s="1130"/>
      <c r="S621" s="1130"/>
      <c r="T621" s="1130"/>
      <c r="U621" s="1130"/>
      <c r="V621" s="1130"/>
      <c r="W621" s="1130"/>
      <c r="X621" s="1130"/>
      <c r="Y621" s="1130"/>
      <c r="Z621" s="1130"/>
      <c r="AA621" s="1130"/>
    </row>
    <row r="622" spans="1:27" ht="15.75" customHeight="1">
      <c r="A622" s="1130"/>
      <c r="B622" s="1130"/>
      <c r="C622" s="1130"/>
      <c r="D622" s="1130"/>
      <c r="E622" s="1130"/>
      <c r="F622" s="1130"/>
      <c r="G622" s="1130"/>
      <c r="H622" s="1130"/>
      <c r="I622" s="1130"/>
      <c r="J622" s="1130"/>
      <c r="K622" s="1130"/>
      <c r="L622" s="1130"/>
      <c r="M622" s="1130"/>
      <c r="N622" s="1130"/>
      <c r="O622" s="1130"/>
      <c r="P622" s="1130"/>
      <c r="Q622" s="1130"/>
      <c r="R622" s="1130"/>
      <c r="S622" s="1130"/>
      <c r="T622" s="1130"/>
      <c r="U622" s="1130"/>
      <c r="V622" s="1130"/>
      <c r="W622" s="1130"/>
      <c r="X622" s="1130"/>
      <c r="Y622" s="1130"/>
      <c r="Z622" s="1130"/>
      <c r="AA622" s="1130"/>
    </row>
    <row r="623" spans="1:27" ht="15.75" customHeight="1">
      <c r="A623" s="1130"/>
      <c r="B623" s="1130"/>
      <c r="C623" s="1130"/>
      <c r="D623" s="1130"/>
      <c r="E623" s="1130"/>
      <c r="F623" s="1130"/>
      <c r="G623" s="1130"/>
      <c r="H623" s="1130"/>
      <c r="I623" s="1130"/>
      <c r="J623" s="1130"/>
      <c r="K623" s="1130"/>
      <c r="L623" s="1130"/>
      <c r="M623" s="1130"/>
      <c r="N623" s="1130"/>
      <c r="O623" s="1130"/>
      <c r="P623" s="1130"/>
      <c r="Q623" s="1130"/>
      <c r="R623" s="1130"/>
      <c r="S623" s="1130"/>
      <c r="T623" s="1130"/>
      <c r="U623" s="1130"/>
      <c r="V623" s="1130"/>
      <c r="W623" s="1130"/>
      <c r="X623" s="1130"/>
      <c r="Y623" s="1130"/>
      <c r="Z623" s="1130"/>
      <c r="AA623" s="1130"/>
    </row>
    <row r="624" spans="1:27" ht="15.75" customHeight="1">
      <c r="A624" s="1130"/>
      <c r="B624" s="1130"/>
      <c r="C624" s="1130"/>
      <c r="D624" s="1130"/>
      <c r="E624" s="1130"/>
      <c r="F624" s="1130"/>
      <c r="G624" s="1130"/>
      <c r="H624" s="1130"/>
      <c r="I624" s="1130"/>
      <c r="J624" s="1130"/>
      <c r="K624" s="1130"/>
      <c r="L624" s="1130"/>
      <c r="M624" s="1130"/>
      <c r="N624" s="1130"/>
      <c r="O624" s="1130"/>
      <c r="P624" s="1130"/>
      <c r="Q624" s="1130"/>
      <c r="R624" s="1130"/>
      <c r="S624" s="1130"/>
      <c r="T624" s="1130"/>
      <c r="U624" s="1130"/>
      <c r="V624" s="1130"/>
      <c r="W624" s="1130"/>
      <c r="X624" s="1130"/>
      <c r="Y624" s="1130"/>
      <c r="Z624" s="1130"/>
      <c r="AA624" s="1130"/>
    </row>
    <row r="625" spans="1:27" ht="15.75" customHeight="1">
      <c r="A625" s="1130"/>
      <c r="B625" s="1130"/>
      <c r="C625" s="1130"/>
      <c r="D625" s="1130"/>
      <c r="E625" s="1130"/>
      <c r="F625" s="1130"/>
      <c r="G625" s="1130"/>
      <c r="H625" s="1130"/>
      <c r="I625" s="1130"/>
      <c r="J625" s="1130"/>
      <c r="K625" s="1130"/>
      <c r="L625" s="1130"/>
      <c r="M625" s="1130"/>
      <c r="N625" s="1130"/>
      <c r="O625" s="1130"/>
      <c r="P625" s="1130"/>
      <c r="Q625" s="1130"/>
      <c r="R625" s="1130"/>
      <c r="S625" s="1130"/>
      <c r="T625" s="1130"/>
      <c r="U625" s="1130"/>
      <c r="V625" s="1130"/>
      <c r="W625" s="1130"/>
      <c r="X625" s="1130"/>
      <c r="Y625" s="1130"/>
      <c r="Z625" s="1130"/>
      <c r="AA625" s="1130"/>
    </row>
    <row r="626" spans="1:27" ht="15.75" customHeight="1">
      <c r="A626" s="1130"/>
      <c r="B626" s="1130"/>
      <c r="C626" s="1130"/>
      <c r="D626" s="1130"/>
      <c r="E626" s="1130"/>
      <c r="F626" s="1130"/>
      <c r="G626" s="1130"/>
      <c r="H626" s="1130"/>
      <c r="I626" s="1130"/>
      <c r="J626" s="1130"/>
      <c r="K626" s="1130"/>
      <c r="L626" s="1130"/>
      <c r="M626" s="1130"/>
      <c r="N626" s="1130"/>
      <c r="O626" s="1130"/>
      <c r="P626" s="1130"/>
      <c r="Q626" s="1130"/>
      <c r="R626" s="1130"/>
      <c r="S626" s="1130"/>
      <c r="T626" s="1130"/>
      <c r="U626" s="1130"/>
      <c r="V626" s="1130"/>
      <c r="W626" s="1130"/>
      <c r="X626" s="1130"/>
      <c r="Y626" s="1130"/>
      <c r="Z626" s="1130"/>
      <c r="AA626" s="1130"/>
    </row>
    <row r="627" spans="1:27" ht="15.75" customHeight="1">
      <c r="A627" s="1130"/>
      <c r="B627" s="1130"/>
      <c r="C627" s="1130"/>
      <c r="D627" s="1130"/>
      <c r="E627" s="1130"/>
      <c r="F627" s="1130"/>
      <c r="G627" s="1130"/>
      <c r="H627" s="1130"/>
      <c r="I627" s="1130"/>
      <c r="J627" s="1130"/>
      <c r="K627" s="1130"/>
      <c r="L627" s="1130"/>
      <c r="M627" s="1130"/>
      <c r="N627" s="1130"/>
      <c r="O627" s="1130"/>
      <c r="P627" s="1130"/>
      <c r="Q627" s="1130"/>
      <c r="R627" s="1130"/>
      <c r="S627" s="1130"/>
      <c r="T627" s="1130"/>
      <c r="U627" s="1130"/>
      <c r="V627" s="1130"/>
      <c r="W627" s="1130"/>
      <c r="X627" s="1130"/>
      <c r="Y627" s="1130"/>
      <c r="Z627" s="1130"/>
      <c r="AA627" s="1130"/>
    </row>
    <row r="628" spans="1:27" ht="15.75" customHeight="1">
      <c r="A628" s="1130"/>
      <c r="B628" s="1130"/>
      <c r="C628" s="1130"/>
      <c r="D628" s="1130"/>
      <c r="E628" s="1130"/>
      <c r="F628" s="1130"/>
      <c r="G628" s="1130"/>
      <c r="H628" s="1130"/>
      <c r="I628" s="1130"/>
      <c r="J628" s="1130"/>
      <c r="K628" s="1130"/>
      <c r="L628" s="1130"/>
      <c r="M628" s="1130"/>
      <c r="N628" s="1130"/>
      <c r="O628" s="1130"/>
      <c r="P628" s="1130"/>
      <c r="Q628" s="1130"/>
      <c r="R628" s="1130"/>
      <c r="S628" s="1130"/>
      <c r="T628" s="1130"/>
      <c r="U628" s="1130"/>
      <c r="V628" s="1130"/>
      <c r="W628" s="1130"/>
      <c r="X628" s="1130"/>
      <c r="Y628" s="1130"/>
      <c r="Z628" s="1130"/>
      <c r="AA628" s="1130"/>
    </row>
    <row r="629" spans="1:27" ht="15.75" customHeight="1">
      <c r="A629" s="1130"/>
      <c r="B629" s="1130"/>
      <c r="C629" s="1130"/>
      <c r="D629" s="1130"/>
      <c r="E629" s="1130"/>
      <c r="F629" s="1130"/>
      <c r="G629" s="1130"/>
      <c r="H629" s="1130"/>
      <c r="I629" s="1130"/>
      <c r="J629" s="1130"/>
      <c r="K629" s="1130"/>
      <c r="L629" s="1130"/>
      <c r="M629" s="1130"/>
      <c r="N629" s="1130"/>
      <c r="O629" s="1130"/>
      <c r="P629" s="1130"/>
      <c r="Q629" s="1130"/>
      <c r="R629" s="1130"/>
      <c r="S629" s="1130"/>
      <c r="T629" s="1130"/>
      <c r="U629" s="1130"/>
      <c r="V629" s="1130"/>
      <c r="W629" s="1130"/>
      <c r="X629" s="1130"/>
      <c r="Y629" s="1130"/>
      <c r="Z629" s="1130"/>
      <c r="AA629" s="1130"/>
    </row>
    <row r="630" spans="1:27" ht="15.75" customHeight="1">
      <c r="A630" s="1130"/>
      <c r="B630" s="1130"/>
      <c r="C630" s="1130"/>
      <c r="D630" s="1130"/>
      <c r="E630" s="1130"/>
      <c r="F630" s="1130"/>
      <c r="G630" s="1130"/>
      <c r="H630" s="1130"/>
      <c r="I630" s="1130"/>
      <c r="J630" s="1130"/>
      <c r="K630" s="1130"/>
      <c r="L630" s="1130"/>
      <c r="M630" s="1130"/>
      <c r="N630" s="1130"/>
      <c r="O630" s="1130"/>
      <c r="P630" s="1130"/>
      <c r="Q630" s="1130"/>
      <c r="R630" s="1130"/>
      <c r="S630" s="1130"/>
      <c r="T630" s="1130"/>
      <c r="U630" s="1130"/>
      <c r="V630" s="1130"/>
      <c r="W630" s="1130"/>
      <c r="X630" s="1130"/>
      <c r="Y630" s="1130"/>
      <c r="Z630" s="1130"/>
      <c r="AA630" s="1130"/>
    </row>
    <row r="631" spans="1:27" ht="15.75" customHeight="1">
      <c r="A631" s="1130"/>
      <c r="B631" s="1130"/>
      <c r="C631" s="1130"/>
      <c r="D631" s="1130"/>
      <c r="E631" s="1130"/>
      <c r="F631" s="1130"/>
      <c r="G631" s="1130"/>
      <c r="H631" s="1130"/>
      <c r="I631" s="1130"/>
      <c r="J631" s="1130"/>
      <c r="K631" s="1130"/>
      <c r="L631" s="1130"/>
      <c r="M631" s="1130"/>
      <c r="N631" s="1130"/>
      <c r="O631" s="1130"/>
      <c r="P631" s="1130"/>
      <c r="Q631" s="1130"/>
      <c r="R631" s="1130"/>
      <c r="S631" s="1130"/>
      <c r="T631" s="1130"/>
      <c r="U631" s="1130"/>
      <c r="V631" s="1130"/>
      <c r="W631" s="1130"/>
      <c r="X631" s="1130"/>
      <c r="Y631" s="1130"/>
      <c r="Z631" s="1130"/>
      <c r="AA631" s="1130"/>
    </row>
    <row r="632" spans="1:27" ht="15.75" customHeight="1">
      <c r="A632" s="1130"/>
      <c r="B632" s="1130"/>
      <c r="C632" s="1130"/>
      <c r="D632" s="1130"/>
      <c r="E632" s="1130"/>
      <c r="F632" s="1130"/>
      <c r="G632" s="1130"/>
      <c r="H632" s="1130"/>
      <c r="I632" s="1130"/>
      <c r="J632" s="1130"/>
      <c r="K632" s="1130"/>
      <c r="L632" s="1130"/>
      <c r="M632" s="1130"/>
      <c r="N632" s="1130"/>
      <c r="O632" s="1130"/>
      <c r="P632" s="1130"/>
      <c r="Q632" s="1130"/>
      <c r="R632" s="1130"/>
      <c r="S632" s="1130"/>
      <c r="T632" s="1130"/>
      <c r="U632" s="1130"/>
      <c r="V632" s="1130"/>
      <c r="W632" s="1130"/>
      <c r="X632" s="1130"/>
      <c r="Y632" s="1130"/>
      <c r="Z632" s="1130"/>
      <c r="AA632" s="1130"/>
    </row>
    <row r="633" spans="1:27" ht="15.75" customHeight="1">
      <c r="A633" s="1130"/>
      <c r="B633" s="1130"/>
      <c r="C633" s="1130"/>
      <c r="D633" s="1130"/>
      <c r="E633" s="1130"/>
      <c r="F633" s="1130"/>
      <c r="G633" s="1130"/>
      <c r="H633" s="1130"/>
      <c r="I633" s="1130"/>
      <c r="J633" s="1130"/>
      <c r="K633" s="1130"/>
      <c r="L633" s="1130"/>
      <c r="M633" s="1130"/>
      <c r="N633" s="1130"/>
      <c r="O633" s="1130"/>
      <c r="P633" s="1130"/>
      <c r="Q633" s="1130"/>
      <c r="R633" s="1130"/>
      <c r="S633" s="1130"/>
      <c r="T633" s="1130"/>
      <c r="U633" s="1130"/>
      <c r="V633" s="1130"/>
      <c r="W633" s="1130"/>
      <c r="X633" s="1130"/>
      <c r="Y633" s="1130"/>
      <c r="Z633" s="1130"/>
      <c r="AA633" s="1130"/>
    </row>
    <row r="634" spans="1:27" ht="15.75" customHeight="1">
      <c r="A634" s="1130"/>
      <c r="B634" s="1130"/>
      <c r="C634" s="1130"/>
      <c r="D634" s="1130"/>
      <c r="E634" s="1130"/>
      <c r="F634" s="1130"/>
      <c r="G634" s="1130"/>
      <c r="H634" s="1130"/>
      <c r="I634" s="1130"/>
      <c r="J634" s="1130"/>
      <c r="K634" s="1130"/>
      <c r="L634" s="1130"/>
      <c r="M634" s="1130"/>
      <c r="N634" s="1130"/>
      <c r="O634" s="1130"/>
      <c r="P634" s="1130"/>
      <c r="Q634" s="1130"/>
      <c r="R634" s="1130"/>
      <c r="S634" s="1130"/>
      <c r="T634" s="1130"/>
      <c r="U634" s="1130"/>
      <c r="V634" s="1130"/>
      <c r="W634" s="1130"/>
      <c r="X634" s="1130"/>
      <c r="Y634" s="1130"/>
      <c r="Z634" s="1130"/>
      <c r="AA634" s="1130"/>
    </row>
    <row r="635" spans="1:27" ht="15.75" customHeight="1">
      <c r="A635" s="1130"/>
      <c r="B635" s="1130"/>
      <c r="C635" s="1130"/>
      <c r="D635" s="1130"/>
      <c r="E635" s="1130"/>
      <c r="F635" s="1130"/>
      <c r="G635" s="1130"/>
      <c r="H635" s="1130"/>
      <c r="I635" s="1130"/>
      <c r="J635" s="1130"/>
      <c r="K635" s="1130"/>
      <c r="L635" s="1130"/>
      <c r="M635" s="1130"/>
      <c r="N635" s="1130"/>
      <c r="O635" s="1130"/>
      <c r="P635" s="1130"/>
      <c r="Q635" s="1130"/>
      <c r="R635" s="1130"/>
      <c r="S635" s="1130"/>
      <c r="T635" s="1130"/>
      <c r="U635" s="1130"/>
      <c r="V635" s="1130"/>
      <c r="W635" s="1130"/>
      <c r="X635" s="1130"/>
      <c r="Y635" s="1130"/>
      <c r="Z635" s="1130"/>
      <c r="AA635" s="1130"/>
    </row>
    <row r="636" spans="1:27" ht="15.75" customHeight="1">
      <c r="A636" s="1130"/>
      <c r="B636" s="1130"/>
      <c r="C636" s="1130"/>
      <c r="D636" s="1130"/>
      <c r="E636" s="1130"/>
      <c r="F636" s="1130"/>
      <c r="G636" s="1130"/>
      <c r="H636" s="1130"/>
      <c r="I636" s="1130"/>
      <c r="J636" s="1130"/>
      <c r="K636" s="1130"/>
      <c r="L636" s="1130"/>
      <c r="M636" s="1130"/>
      <c r="N636" s="1130"/>
      <c r="O636" s="1130"/>
      <c r="P636" s="1130"/>
      <c r="Q636" s="1130"/>
      <c r="R636" s="1130"/>
      <c r="S636" s="1130"/>
      <c r="T636" s="1130"/>
      <c r="U636" s="1130"/>
      <c r="V636" s="1130"/>
      <c r="W636" s="1130"/>
      <c r="X636" s="1130"/>
      <c r="Y636" s="1130"/>
      <c r="Z636" s="1130"/>
      <c r="AA636" s="1130"/>
    </row>
    <row r="637" spans="1:27" ht="15.75" customHeight="1">
      <c r="A637" s="1130"/>
      <c r="B637" s="1130"/>
      <c r="C637" s="1130"/>
      <c r="D637" s="1130"/>
      <c r="E637" s="1130"/>
      <c r="F637" s="1130"/>
      <c r="G637" s="1130"/>
      <c r="H637" s="1130"/>
      <c r="I637" s="1130"/>
      <c r="J637" s="1130"/>
      <c r="K637" s="1130"/>
      <c r="L637" s="1130"/>
      <c r="M637" s="1130"/>
      <c r="N637" s="1130"/>
      <c r="O637" s="1130"/>
      <c r="P637" s="1130"/>
      <c r="Q637" s="1130"/>
      <c r="R637" s="1130"/>
      <c r="S637" s="1130"/>
      <c r="T637" s="1130"/>
      <c r="U637" s="1130"/>
      <c r="V637" s="1130"/>
      <c r="W637" s="1130"/>
      <c r="X637" s="1130"/>
      <c r="Y637" s="1130"/>
      <c r="Z637" s="1130"/>
      <c r="AA637" s="1130"/>
    </row>
    <row r="638" spans="1:27" ht="15.75" customHeight="1">
      <c r="A638" s="1130"/>
      <c r="B638" s="1130"/>
      <c r="C638" s="1130"/>
      <c r="D638" s="1130"/>
      <c r="E638" s="1130"/>
      <c r="F638" s="1130"/>
      <c r="G638" s="1130"/>
      <c r="H638" s="1130"/>
      <c r="I638" s="1130"/>
      <c r="J638" s="1130"/>
      <c r="K638" s="1130"/>
      <c r="L638" s="1130"/>
      <c r="M638" s="1130"/>
      <c r="N638" s="1130"/>
      <c r="O638" s="1130"/>
      <c r="P638" s="1130"/>
      <c r="Q638" s="1130"/>
      <c r="R638" s="1130"/>
      <c r="S638" s="1130"/>
      <c r="T638" s="1130"/>
      <c r="U638" s="1130"/>
      <c r="V638" s="1130"/>
      <c r="W638" s="1130"/>
      <c r="X638" s="1130"/>
      <c r="Y638" s="1130"/>
      <c r="Z638" s="1130"/>
      <c r="AA638" s="1130"/>
    </row>
    <row r="639" spans="1:27" ht="15.75" customHeight="1">
      <c r="A639" s="1130"/>
      <c r="B639" s="1130"/>
      <c r="C639" s="1130"/>
      <c r="D639" s="1130"/>
      <c r="E639" s="1130"/>
      <c r="F639" s="1130"/>
      <c r="G639" s="1130"/>
      <c r="H639" s="1130"/>
      <c r="I639" s="1130"/>
      <c r="J639" s="1130"/>
      <c r="K639" s="1130"/>
      <c r="L639" s="1130"/>
      <c r="M639" s="1130"/>
      <c r="N639" s="1130"/>
      <c r="O639" s="1130"/>
      <c r="P639" s="1130"/>
      <c r="Q639" s="1130"/>
      <c r="R639" s="1130"/>
      <c r="S639" s="1130"/>
      <c r="T639" s="1130"/>
      <c r="U639" s="1130"/>
      <c r="V639" s="1130"/>
      <c r="W639" s="1130"/>
      <c r="X639" s="1130"/>
      <c r="Y639" s="1130"/>
      <c r="Z639" s="1130"/>
      <c r="AA639" s="1130"/>
    </row>
    <row r="640" spans="1:27" ht="15.75" customHeight="1">
      <c r="A640" s="1130"/>
      <c r="B640" s="1130"/>
      <c r="C640" s="1130"/>
      <c r="D640" s="1130"/>
      <c r="E640" s="1130"/>
      <c r="F640" s="1130"/>
      <c r="G640" s="1130"/>
      <c r="H640" s="1130"/>
      <c r="I640" s="1130"/>
      <c r="J640" s="1130"/>
      <c r="K640" s="1130"/>
      <c r="L640" s="1130"/>
      <c r="M640" s="1130"/>
      <c r="N640" s="1130"/>
      <c r="O640" s="1130"/>
      <c r="P640" s="1130"/>
      <c r="Q640" s="1130"/>
      <c r="R640" s="1130"/>
      <c r="S640" s="1130"/>
      <c r="T640" s="1130"/>
      <c r="U640" s="1130"/>
      <c r="V640" s="1130"/>
      <c r="W640" s="1130"/>
      <c r="X640" s="1130"/>
      <c r="Y640" s="1130"/>
      <c r="Z640" s="1130"/>
      <c r="AA640" s="1130"/>
    </row>
    <row r="641" spans="1:27" ht="15.75" customHeight="1">
      <c r="A641" s="1130"/>
      <c r="B641" s="1130"/>
      <c r="C641" s="1130"/>
      <c r="D641" s="1130"/>
      <c r="E641" s="1130"/>
      <c r="F641" s="1130"/>
      <c r="G641" s="1130"/>
      <c r="H641" s="1130"/>
      <c r="I641" s="1130"/>
      <c r="J641" s="1130"/>
      <c r="K641" s="1130"/>
      <c r="L641" s="1130"/>
      <c r="M641" s="1130"/>
      <c r="N641" s="1130"/>
      <c r="O641" s="1130"/>
      <c r="P641" s="1130"/>
      <c r="Q641" s="1130"/>
      <c r="R641" s="1130"/>
      <c r="S641" s="1130"/>
      <c r="T641" s="1130"/>
      <c r="U641" s="1130"/>
      <c r="V641" s="1130"/>
      <c r="W641" s="1130"/>
      <c r="X641" s="1130"/>
      <c r="Y641" s="1130"/>
      <c r="Z641" s="1130"/>
      <c r="AA641" s="1130"/>
    </row>
    <row r="642" spans="1:27" ht="15.75" customHeight="1">
      <c r="A642" s="1130"/>
      <c r="B642" s="1130"/>
      <c r="C642" s="1130"/>
      <c r="D642" s="1130"/>
      <c r="E642" s="1130"/>
      <c r="F642" s="1130"/>
      <c r="G642" s="1130"/>
      <c r="H642" s="1130"/>
      <c r="I642" s="1130"/>
      <c r="J642" s="1130"/>
      <c r="K642" s="1130"/>
      <c r="L642" s="1130"/>
      <c r="M642" s="1130"/>
      <c r="N642" s="1130"/>
      <c r="O642" s="1130"/>
      <c r="P642" s="1130"/>
      <c r="Q642" s="1130"/>
      <c r="R642" s="1130"/>
      <c r="S642" s="1130"/>
      <c r="T642" s="1130"/>
      <c r="U642" s="1130"/>
      <c r="V642" s="1130"/>
      <c r="W642" s="1130"/>
      <c r="X642" s="1130"/>
      <c r="Y642" s="1130"/>
      <c r="Z642" s="1130"/>
      <c r="AA642" s="1130"/>
    </row>
    <row r="643" spans="1:27" ht="15.75" customHeight="1">
      <c r="A643" s="1130"/>
      <c r="B643" s="1130"/>
      <c r="C643" s="1130"/>
      <c r="D643" s="1130"/>
      <c r="E643" s="1130"/>
      <c r="F643" s="1130"/>
      <c r="G643" s="1130"/>
      <c r="H643" s="1130"/>
      <c r="I643" s="1130"/>
      <c r="J643" s="1130"/>
      <c r="K643" s="1130"/>
      <c r="L643" s="1130"/>
      <c r="M643" s="1130"/>
      <c r="N643" s="1130"/>
      <c r="O643" s="1130"/>
      <c r="P643" s="1130"/>
      <c r="Q643" s="1130"/>
      <c r="R643" s="1130"/>
      <c r="S643" s="1130"/>
      <c r="T643" s="1130"/>
      <c r="U643" s="1130"/>
      <c r="V643" s="1130"/>
      <c r="W643" s="1130"/>
      <c r="X643" s="1130"/>
      <c r="Y643" s="1130"/>
      <c r="Z643" s="1130"/>
      <c r="AA643" s="1130"/>
    </row>
    <row r="644" spans="1:27" ht="15.75" customHeight="1">
      <c r="A644" s="1130"/>
      <c r="B644" s="1130"/>
      <c r="C644" s="1130"/>
      <c r="D644" s="1130"/>
      <c r="E644" s="1130"/>
      <c r="F644" s="1130"/>
      <c r="G644" s="1130"/>
      <c r="H644" s="1130"/>
      <c r="I644" s="1130"/>
      <c r="J644" s="1130"/>
      <c r="K644" s="1130"/>
      <c r="L644" s="1130"/>
      <c r="M644" s="1130"/>
      <c r="N644" s="1130"/>
      <c r="O644" s="1130"/>
      <c r="P644" s="1130"/>
      <c r="Q644" s="1130"/>
      <c r="R644" s="1130"/>
      <c r="S644" s="1130"/>
      <c r="T644" s="1130"/>
      <c r="U644" s="1130"/>
      <c r="V644" s="1130"/>
      <c r="W644" s="1130"/>
      <c r="X644" s="1130"/>
      <c r="Y644" s="1130"/>
      <c r="Z644" s="1130"/>
      <c r="AA644" s="1130"/>
    </row>
    <row r="645" spans="1:27" ht="15.75" customHeight="1">
      <c r="A645" s="1130"/>
      <c r="B645" s="1130"/>
      <c r="C645" s="1130"/>
      <c r="D645" s="1130"/>
      <c r="E645" s="1130"/>
      <c r="F645" s="1130"/>
      <c r="G645" s="1130"/>
      <c r="H645" s="1130"/>
      <c r="I645" s="1130"/>
      <c r="J645" s="1130"/>
      <c r="K645" s="1130"/>
      <c r="L645" s="1130"/>
      <c r="M645" s="1130"/>
      <c r="N645" s="1130"/>
      <c r="O645" s="1130"/>
      <c r="P645" s="1130"/>
      <c r="Q645" s="1130"/>
      <c r="R645" s="1130"/>
      <c r="S645" s="1130"/>
      <c r="T645" s="1130"/>
      <c r="U645" s="1130"/>
      <c r="V645" s="1130"/>
      <c r="W645" s="1130"/>
      <c r="X645" s="1130"/>
      <c r="Y645" s="1130"/>
      <c r="Z645" s="1130"/>
      <c r="AA645" s="1130"/>
    </row>
    <row r="646" spans="1:27" ht="15.75" customHeight="1">
      <c r="A646" s="1130"/>
      <c r="B646" s="1130"/>
      <c r="C646" s="1130"/>
      <c r="D646" s="1130"/>
      <c r="E646" s="1130"/>
      <c r="F646" s="1130"/>
      <c r="G646" s="1130"/>
      <c r="H646" s="1130"/>
      <c r="I646" s="1130"/>
      <c r="J646" s="1130"/>
      <c r="K646" s="1130"/>
      <c r="L646" s="1130"/>
      <c r="M646" s="1130"/>
      <c r="N646" s="1130"/>
      <c r="O646" s="1130"/>
      <c r="P646" s="1130"/>
      <c r="Q646" s="1130"/>
      <c r="R646" s="1130"/>
      <c r="S646" s="1130"/>
      <c r="T646" s="1130"/>
      <c r="U646" s="1130"/>
      <c r="V646" s="1130"/>
      <c r="W646" s="1130"/>
      <c r="X646" s="1130"/>
      <c r="Y646" s="1130"/>
      <c r="Z646" s="1130"/>
      <c r="AA646" s="1130"/>
    </row>
    <row r="647" spans="1:27" ht="15.75" customHeight="1">
      <c r="A647" s="1130"/>
      <c r="B647" s="1130"/>
      <c r="C647" s="1130"/>
      <c r="D647" s="1130"/>
      <c r="E647" s="1130"/>
      <c r="F647" s="1130"/>
      <c r="G647" s="1130"/>
      <c r="H647" s="1130"/>
      <c r="I647" s="1130"/>
      <c r="J647" s="1130"/>
      <c r="K647" s="1130"/>
      <c r="L647" s="1130"/>
      <c r="M647" s="1130"/>
      <c r="N647" s="1130"/>
      <c r="O647" s="1130"/>
      <c r="P647" s="1130"/>
      <c r="Q647" s="1130"/>
      <c r="R647" s="1130"/>
      <c r="S647" s="1130"/>
      <c r="T647" s="1130"/>
      <c r="U647" s="1130"/>
      <c r="V647" s="1130"/>
      <c r="W647" s="1130"/>
      <c r="X647" s="1130"/>
      <c r="Y647" s="1130"/>
      <c r="Z647" s="1130"/>
      <c r="AA647" s="1130"/>
    </row>
    <row r="648" spans="1:27" ht="15.75" customHeight="1">
      <c r="A648" s="1130"/>
      <c r="B648" s="1130"/>
      <c r="C648" s="1130"/>
      <c r="D648" s="1130"/>
      <c r="E648" s="1130"/>
      <c r="F648" s="1130"/>
      <c r="G648" s="1130"/>
      <c r="H648" s="1130"/>
      <c r="I648" s="1130"/>
      <c r="J648" s="1130"/>
      <c r="K648" s="1130"/>
      <c r="L648" s="1130"/>
      <c r="M648" s="1130"/>
      <c r="N648" s="1130"/>
      <c r="O648" s="1130"/>
      <c r="P648" s="1130"/>
      <c r="Q648" s="1130"/>
      <c r="R648" s="1130"/>
      <c r="S648" s="1130"/>
      <c r="T648" s="1130"/>
      <c r="U648" s="1130"/>
      <c r="V648" s="1130"/>
      <c r="W648" s="1130"/>
      <c r="X648" s="1130"/>
      <c r="Y648" s="1130"/>
      <c r="Z648" s="1130"/>
      <c r="AA648" s="1130"/>
    </row>
    <row r="649" spans="1:27" ht="15.75" customHeight="1">
      <c r="A649" s="1130"/>
      <c r="B649" s="1130"/>
      <c r="C649" s="1130"/>
      <c r="D649" s="1130"/>
      <c r="E649" s="1130"/>
      <c r="F649" s="1130"/>
      <c r="G649" s="1130"/>
      <c r="H649" s="1130"/>
      <c r="I649" s="1130"/>
      <c r="J649" s="1130"/>
      <c r="K649" s="1130"/>
      <c r="L649" s="1130"/>
      <c r="M649" s="1130"/>
      <c r="N649" s="1130"/>
      <c r="O649" s="1130"/>
      <c r="P649" s="1130"/>
      <c r="Q649" s="1130"/>
      <c r="R649" s="1130"/>
      <c r="S649" s="1130"/>
      <c r="T649" s="1130"/>
      <c r="U649" s="1130"/>
      <c r="V649" s="1130"/>
      <c r="W649" s="1130"/>
      <c r="X649" s="1130"/>
      <c r="Y649" s="1130"/>
      <c r="Z649" s="1130"/>
      <c r="AA649" s="1130"/>
    </row>
    <row r="650" spans="1:27" ht="15.75" customHeight="1">
      <c r="A650" s="1130"/>
      <c r="B650" s="1130"/>
      <c r="C650" s="1130"/>
      <c r="D650" s="1130"/>
      <c r="E650" s="1130"/>
      <c r="F650" s="1130"/>
      <c r="G650" s="1130"/>
      <c r="H650" s="1130"/>
      <c r="I650" s="1130"/>
      <c r="J650" s="1130"/>
      <c r="K650" s="1130"/>
      <c r="L650" s="1130"/>
      <c r="M650" s="1130"/>
      <c r="N650" s="1130"/>
      <c r="O650" s="1130"/>
      <c r="P650" s="1130"/>
      <c r="Q650" s="1130"/>
      <c r="R650" s="1130"/>
      <c r="S650" s="1130"/>
      <c r="T650" s="1130"/>
      <c r="U650" s="1130"/>
      <c r="V650" s="1130"/>
      <c r="W650" s="1130"/>
      <c r="X650" s="1130"/>
      <c r="Y650" s="1130"/>
      <c r="Z650" s="1130"/>
      <c r="AA650" s="1130"/>
    </row>
    <row r="651" spans="1:27" ht="15.75" customHeight="1">
      <c r="A651" s="1130"/>
      <c r="B651" s="1130"/>
      <c r="C651" s="1130"/>
      <c r="D651" s="1130"/>
      <c r="E651" s="1130"/>
      <c r="F651" s="1130"/>
      <c r="G651" s="1130"/>
      <c r="H651" s="1130"/>
      <c r="I651" s="1130"/>
      <c r="J651" s="1130"/>
      <c r="K651" s="1130"/>
      <c r="L651" s="1130"/>
      <c r="M651" s="1130"/>
      <c r="N651" s="1130"/>
      <c r="O651" s="1130"/>
      <c r="P651" s="1130"/>
      <c r="Q651" s="1130"/>
      <c r="R651" s="1130"/>
      <c r="S651" s="1130"/>
      <c r="T651" s="1130"/>
      <c r="U651" s="1130"/>
      <c r="V651" s="1130"/>
      <c r="W651" s="1130"/>
      <c r="X651" s="1130"/>
      <c r="Y651" s="1130"/>
      <c r="Z651" s="1130"/>
      <c r="AA651" s="1130"/>
    </row>
    <row r="652" spans="1:27" ht="15.75" customHeight="1">
      <c r="A652" s="1130"/>
      <c r="B652" s="1130"/>
      <c r="C652" s="1130"/>
      <c r="D652" s="1130"/>
      <c r="E652" s="1130"/>
      <c r="F652" s="1130"/>
      <c r="G652" s="1130"/>
      <c r="H652" s="1130"/>
      <c r="I652" s="1130"/>
      <c r="J652" s="1130"/>
      <c r="K652" s="1130"/>
      <c r="L652" s="1130"/>
      <c r="M652" s="1130"/>
      <c r="N652" s="1130"/>
      <c r="O652" s="1130"/>
      <c r="P652" s="1130"/>
      <c r="Q652" s="1130"/>
      <c r="R652" s="1130"/>
      <c r="S652" s="1130"/>
      <c r="T652" s="1130"/>
      <c r="U652" s="1130"/>
      <c r="V652" s="1130"/>
      <c r="W652" s="1130"/>
      <c r="X652" s="1130"/>
      <c r="Y652" s="1130"/>
      <c r="Z652" s="1130"/>
      <c r="AA652" s="1130"/>
    </row>
    <row r="653" spans="1:27" ht="15.75" customHeight="1">
      <c r="A653" s="1130"/>
      <c r="B653" s="1130"/>
      <c r="C653" s="1130"/>
      <c r="D653" s="1130"/>
      <c r="E653" s="1130"/>
      <c r="F653" s="1130"/>
      <c r="G653" s="1130"/>
      <c r="H653" s="1130"/>
      <c r="I653" s="1130"/>
      <c r="J653" s="1130"/>
      <c r="K653" s="1130"/>
      <c r="L653" s="1130"/>
      <c r="M653" s="1130"/>
      <c r="N653" s="1130"/>
      <c r="O653" s="1130"/>
      <c r="P653" s="1130"/>
      <c r="Q653" s="1130"/>
      <c r="R653" s="1130"/>
      <c r="S653" s="1130"/>
      <c r="T653" s="1130"/>
      <c r="U653" s="1130"/>
      <c r="V653" s="1130"/>
      <c r="W653" s="1130"/>
      <c r="X653" s="1130"/>
      <c r="Y653" s="1130"/>
      <c r="Z653" s="1130"/>
      <c r="AA653" s="1130"/>
    </row>
    <row r="654" spans="1:27" ht="15.75" customHeight="1">
      <c r="A654" s="1130"/>
      <c r="B654" s="1130"/>
      <c r="C654" s="1130"/>
      <c r="D654" s="1130"/>
      <c r="E654" s="1130"/>
      <c r="F654" s="1130"/>
      <c r="G654" s="1130"/>
      <c r="H654" s="1130"/>
      <c r="I654" s="1130"/>
      <c r="J654" s="1130"/>
      <c r="K654" s="1130"/>
      <c r="L654" s="1130"/>
      <c r="M654" s="1130"/>
      <c r="N654" s="1130"/>
      <c r="O654" s="1130"/>
      <c r="P654" s="1130"/>
      <c r="Q654" s="1130"/>
      <c r="R654" s="1130"/>
      <c r="S654" s="1130"/>
      <c r="T654" s="1130"/>
      <c r="U654" s="1130"/>
      <c r="V654" s="1130"/>
      <c r="W654" s="1130"/>
      <c r="X654" s="1130"/>
      <c r="Y654" s="1130"/>
      <c r="Z654" s="1130"/>
      <c r="AA654" s="1130"/>
    </row>
    <row r="655" spans="1:27" ht="15.75" customHeight="1">
      <c r="A655" s="1130"/>
      <c r="B655" s="1130"/>
      <c r="C655" s="1130"/>
      <c r="D655" s="1130"/>
      <c r="E655" s="1130"/>
      <c r="F655" s="1130"/>
      <c r="G655" s="1130"/>
      <c r="H655" s="1130"/>
      <c r="I655" s="1130"/>
      <c r="J655" s="1130"/>
      <c r="K655" s="1130"/>
      <c r="L655" s="1130"/>
      <c r="M655" s="1130"/>
      <c r="N655" s="1130"/>
      <c r="O655" s="1130"/>
      <c r="P655" s="1130"/>
      <c r="Q655" s="1130"/>
      <c r="R655" s="1130"/>
      <c r="S655" s="1130"/>
      <c r="T655" s="1130"/>
      <c r="U655" s="1130"/>
      <c r="V655" s="1130"/>
      <c r="W655" s="1130"/>
      <c r="X655" s="1130"/>
      <c r="Y655" s="1130"/>
      <c r="Z655" s="1130"/>
      <c r="AA655" s="1130"/>
    </row>
    <row r="656" spans="1:27" ht="15.75" customHeight="1">
      <c r="A656" s="1130"/>
      <c r="B656" s="1130"/>
      <c r="C656" s="1130"/>
      <c r="D656" s="1130"/>
      <c r="E656" s="1130"/>
      <c r="F656" s="1130"/>
      <c r="G656" s="1130"/>
      <c r="H656" s="1130"/>
      <c r="I656" s="1130"/>
      <c r="J656" s="1130"/>
      <c r="K656" s="1130"/>
      <c r="L656" s="1130"/>
      <c r="M656" s="1130"/>
      <c r="N656" s="1130"/>
      <c r="O656" s="1130"/>
      <c r="P656" s="1130"/>
      <c r="Q656" s="1130"/>
      <c r="R656" s="1130"/>
      <c r="S656" s="1130"/>
      <c r="T656" s="1130"/>
      <c r="U656" s="1130"/>
      <c r="V656" s="1130"/>
      <c r="W656" s="1130"/>
      <c r="X656" s="1130"/>
      <c r="Y656" s="1130"/>
      <c r="Z656" s="1130"/>
      <c r="AA656" s="1130"/>
    </row>
    <row r="657" spans="1:27" ht="15.75" customHeight="1">
      <c r="A657" s="1130"/>
      <c r="B657" s="1130"/>
      <c r="C657" s="1130"/>
      <c r="D657" s="1130"/>
      <c r="E657" s="1130"/>
      <c r="F657" s="1130"/>
      <c r="G657" s="1130"/>
      <c r="H657" s="1130"/>
      <c r="I657" s="1130"/>
      <c r="J657" s="1130"/>
      <c r="K657" s="1130"/>
      <c r="L657" s="1130"/>
      <c r="M657" s="1130"/>
      <c r="N657" s="1130"/>
      <c r="O657" s="1130"/>
      <c r="P657" s="1130"/>
      <c r="Q657" s="1130"/>
      <c r="R657" s="1130"/>
      <c r="S657" s="1130"/>
      <c r="T657" s="1130"/>
      <c r="U657" s="1130"/>
      <c r="V657" s="1130"/>
      <c r="W657" s="1130"/>
      <c r="X657" s="1130"/>
      <c r="Y657" s="1130"/>
      <c r="Z657" s="1130"/>
      <c r="AA657" s="1130"/>
    </row>
    <row r="658" spans="1:27" ht="15.75" customHeight="1">
      <c r="A658" s="1130"/>
      <c r="B658" s="1130"/>
      <c r="C658" s="1130"/>
      <c r="D658" s="1130"/>
      <c r="E658" s="1130"/>
      <c r="F658" s="1130"/>
      <c r="G658" s="1130"/>
      <c r="H658" s="1130"/>
      <c r="I658" s="1130"/>
      <c r="J658" s="1130"/>
      <c r="K658" s="1130"/>
      <c r="L658" s="1130"/>
      <c r="M658" s="1130"/>
      <c r="N658" s="1130"/>
      <c r="O658" s="1130"/>
      <c r="P658" s="1130"/>
      <c r="Q658" s="1130"/>
      <c r="R658" s="1130"/>
      <c r="S658" s="1130"/>
      <c r="T658" s="1130"/>
      <c r="U658" s="1130"/>
      <c r="V658" s="1130"/>
      <c r="W658" s="1130"/>
      <c r="X658" s="1130"/>
      <c r="Y658" s="1130"/>
      <c r="Z658" s="1130"/>
      <c r="AA658" s="1130"/>
    </row>
    <row r="659" spans="1:27" ht="15.75" customHeight="1">
      <c r="A659" s="1130"/>
      <c r="B659" s="1130"/>
      <c r="C659" s="1130"/>
      <c r="D659" s="1130"/>
      <c r="E659" s="1130"/>
      <c r="F659" s="1130"/>
      <c r="G659" s="1130"/>
      <c r="H659" s="1130"/>
      <c r="I659" s="1130"/>
      <c r="J659" s="1130"/>
      <c r="K659" s="1130"/>
      <c r="L659" s="1130"/>
      <c r="M659" s="1130"/>
      <c r="N659" s="1130"/>
      <c r="O659" s="1130"/>
      <c r="P659" s="1130"/>
      <c r="Q659" s="1130"/>
      <c r="R659" s="1130"/>
      <c r="S659" s="1130"/>
      <c r="T659" s="1130"/>
      <c r="U659" s="1130"/>
      <c r="V659" s="1130"/>
      <c r="W659" s="1130"/>
      <c r="X659" s="1130"/>
      <c r="Y659" s="1130"/>
      <c r="Z659" s="1130"/>
      <c r="AA659" s="1130"/>
    </row>
    <row r="660" spans="1:27" ht="15.75" customHeight="1">
      <c r="A660" s="1130"/>
      <c r="B660" s="1130"/>
      <c r="C660" s="1130"/>
      <c r="D660" s="1130"/>
      <c r="E660" s="1130"/>
      <c r="F660" s="1130"/>
      <c r="G660" s="1130"/>
      <c r="H660" s="1130"/>
      <c r="I660" s="1130"/>
      <c r="J660" s="1130"/>
      <c r="K660" s="1130"/>
      <c r="L660" s="1130"/>
      <c r="M660" s="1130"/>
      <c r="N660" s="1130"/>
      <c r="O660" s="1130"/>
      <c r="P660" s="1130"/>
      <c r="Q660" s="1130"/>
      <c r="R660" s="1130"/>
      <c r="S660" s="1130"/>
      <c r="T660" s="1130"/>
      <c r="U660" s="1130"/>
      <c r="V660" s="1130"/>
      <c r="W660" s="1130"/>
      <c r="X660" s="1130"/>
      <c r="Y660" s="1130"/>
      <c r="Z660" s="1130"/>
      <c r="AA660" s="1130"/>
    </row>
    <row r="661" spans="1:27" ht="15.75" customHeight="1">
      <c r="A661" s="1130"/>
      <c r="B661" s="1130"/>
      <c r="C661" s="1130"/>
      <c r="D661" s="1130"/>
      <c r="E661" s="1130"/>
      <c r="F661" s="1130"/>
      <c r="G661" s="1130"/>
      <c r="H661" s="1130"/>
      <c r="I661" s="1130"/>
      <c r="J661" s="1130"/>
      <c r="K661" s="1130"/>
      <c r="L661" s="1130"/>
      <c r="M661" s="1130"/>
      <c r="N661" s="1130"/>
      <c r="O661" s="1130"/>
      <c r="P661" s="1130"/>
      <c r="Q661" s="1130"/>
      <c r="R661" s="1130"/>
      <c r="S661" s="1130"/>
      <c r="T661" s="1130"/>
      <c r="U661" s="1130"/>
      <c r="V661" s="1130"/>
      <c r="W661" s="1130"/>
      <c r="X661" s="1130"/>
      <c r="Y661" s="1130"/>
      <c r="Z661" s="1130"/>
      <c r="AA661" s="1130"/>
    </row>
    <row r="662" spans="1:27" ht="15.75" customHeight="1">
      <c r="A662" s="1130"/>
      <c r="B662" s="1130"/>
      <c r="C662" s="1130"/>
      <c r="D662" s="1130"/>
      <c r="E662" s="1130"/>
      <c r="F662" s="1130"/>
      <c r="G662" s="1130"/>
      <c r="H662" s="1130"/>
      <c r="I662" s="1130"/>
      <c r="J662" s="1130"/>
      <c r="K662" s="1130"/>
      <c r="L662" s="1130"/>
      <c r="M662" s="1130"/>
      <c r="N662" s="1130"/>
      <c r="O662" s="1130"/>
      <c r="P662" s="1130"/>
      <c r="Q662" s="1130"/>
      <c r="R662" s="1130"/>
      <c r="S662" s="1130"/>
      <c r="T662" s="1130"/>
      <c r="U662" s="1130"/>
      <c r="V662" s="1130"/>
      <c r="W662" s="1130"/>
      <c r="X662" s="1130"/>
      <c r="Y662" s="1130"/>
      <c r="Z662" s="1130"/>
      <c r="AA662" s="1130"/>
    </row>
    <row r="663" spans="1:27" ht="15.75" customHeight="1">
      <c r="A663" s="1130"/>
      <c r="B663" s="1130"/>
      <c r="C663" s="1130"/>
      <c r="D663" s="1130"/>
      <c r="E663" s="1130"/>
      <c r="F663" s="1130"/>
      <c r="G663" s="1130"/>
      <c r="H663" s="1130"/>
      <c r="I663" s="1130"/>
      <c r="J663" s="1130"/>
      <c r="K663" s="1130"/>
      <c r="L663" s="1130"/>
      <c r="M663" s="1130"/>
      <c r="N663" s="1130"/>
      <c r="O663" s="1130"/>
      <c r="P663" s="1130"/>
      <c r="Q663" s="1130"/>
      <c r="R663" s="1130"/>
      <c r="S663" s="1130"/>
      <c r="T663" s="1130"/>
      <c r="U663" s="1130"/>
      <c r="V663" s="1130"/>
      <c r="W663" s="1130"/>
      <c r="X663" s="1130"/>
      <c r="Y663" s="1130"/>
      <c r="Z663" s="1130"/>
      <c r="AA663" s="1130"/>
    </row>
    <row r="664" spans="1:27" ht="15.75" customHeight="1">
      <c r="A664" s="1130"/>
      <c r="B664" s="1130"/>
      <c r="C664" s="1130"/>
      <c r="D664" s="1130"/>
      <c r="E664" s="1130"/>
      <c r="F664" s="1130"/>
      <c r="G664" s="1130"/>
      <c r="H664" s="1130"/>
      <c r="I664" s="1130"/>
      <c r="J664" s="1130"/>
      <c r="K664" s="1130"/>
      <c r="L664" s="1130"/>
      <c r="M664" s="1130"/>
      <c r="N664" s="1130"/>
      <c r="O664" s="1130"/>
      <c r="P664" s="1130"/>
      <c r="Q664" s="1130"/>
      <c r="R664" s="1130"/>
      <c r="S664" s="1130"/>
      <c r="T664" s="1130"/>
      <c r="U664" s="1130"/>
      <c r="V664" s="1130"/>
      <c r="W664" s="1130"/>
      <c r="X664" s="1130"/>
      <c r="Y664" s="1130"/>
      <c r="Z664" s="1130"/>
      <c r="AA664" s="1130"/>
    </row>
    <row r="665" spans="1:27" ht="15.75" customHeight="1">
      <c r="A665" s="1130"/>
      <c r="B665" s="1130"/>
      <c r="C665" s="1130"/>
      <c r="D665" s="1130"/>
      <c r="E665" s="1130"/>
      <c r="F665" s="1130"/>
      <c r="G665" s="1130"/>
      <c r="H665" s="1130"/>
      <c r="I665" s="1130"/>
      <c r="J665" s="1130"/>
      <c r="K665" s="1130"/>
      <c r="L665" s="1130"/>
      <c r="M665" s="1130"/>
      <c r="N665" s="1130"/>
      <c r="O665" s="1130"/>
      <c r="P665" s="1130"/>
      <c r="Q665" s="1130"/>
      <c r="R665" s="1130"/>
      <c r="S665" s="1130"/>
      <c r="T665" s="1130"/>
      <c r="U665" s="1130"/>
      <c r="V665" s="1130"/>
      <c r="W665" s="1130"/>
      <c r="X665" s="1130"/>
      <c r="Y665" s="1130"/>
      <c r="Z665" s="1130"/>
      <c r="AA665" s="1130"/>
    </row>
    <row r="666" spans="1:27" ht="15.75" customHeight="1">
      <c r="A666" s="1130"/>
      <c r="B666" s="1130"/>
      <c r="C666" s="1130"/>
      <c r="D666" s="1130"/>
      <c r="E666" s="1130"/>
      <c r="F666" s="1130"/>
      <c r="G666" s="1130"/>
      <c r="H666" s="1130"/>
      <c r="I666" s="1130"/>
      <c r="J666" s="1130"/>
      <c r="K666" s="1130"/>
      <c r="L666" s="1130"/>
      <c r="M666" s="1130"/>
      <c r="N666" s="1130"/>
      <c r="O666" s="1130"/>
      <c r="P666" s="1130"/>
      <c r="Q666" s="1130"/>
      <c r="R666" s="1130"/>
      <c r="S666" s="1130"/>
      <c r="T666" s="1130"/>
      <c r="U666" s="1130"/>
      <c r="V666" s="1130"/>
      <c r="W666" s="1130"/>
      <c r="X666" s="1130"/>
      <c r="Y666" s="1130"/>
      <c r="Z666" s="1130"/>
      <c r="AA666" s="1130"/>
    </row>
    <row r="667" spans="1:27" ht="15.75" customHeight="1">
      <c r="A667" s="1130"/>
      <c r="B667" s="1130"/>
      <c r="C667" s="1130"/>
      <c r="D667" s="1130"/>
      <c r="E667" s="1130"/>
      <c r="F667" s="1130"/>
      <c r="G667" s="1130"/>
      <c r="H667" s="1130"/>
      <c r="I667" s="1130"/>
      <c r="J667" s="1130"/>
      <c r="K667" s="1130"/>
      <c r="L667" s="1130"/>
      <c r="M667" s="1130"/>
      <c r="N667" s="1130"/>
      <c r="O667" s="1130"/>
      <c r="P667" s="1130"/>
      <c r="Q667" s="1130"/>
      <c r="R667" s="1130"/>
      <c r="S667" s="1130"/>
      <c r="T667" s="1130"/>
      <c r="U667" s="1130"/>
      <c r="V667" s="1130"/>
      <c r="W667" s="1130"/>
      <c r="X667" s="1130"/>
      <c r="Y667" s="1130"/>
      <c r="Z667" s="1130"/>
      <c r="AA667" s="1130"/>
    </row>
    <row r="668" spans="1:27" ht="15.75" customHeight="1">
      <c r="A668" s="1130"/>
      <c r="B668" s="1130"/>
      <c r="C668" s="1130"/>
      <c r="D668" s="1130"/>
      <c r="E668" s="1130"/>
      <c r="F668" s="1130"/>
      <c r="G668" s="1130"/>
      <c r="H668" s="1130"/>
      <c r="I668" s="1130"/>
      <c r="J668" s="1130"/>
      <c r="K668" s="1130"/>
      <c r="L668" s="1130"/>
      <c r="M668" s="1130"/>
      <c r="N668" s="1130"/>
      <c r="O668" s="1130"/>
      <c r="P668" s="1130"/>
      <c r="Q668" s="1130"/>
      <c r="R668" s="1130"/>
      <c r="S668" s="1130"/>
      <c r="T668" s="1130"/>
      <c r="U668" s="1130"/>
      <c r="V668" s="1130"/>
      <c r="W668" s="1130"/>
      <c r="X668" s="1130"/>
      <c r="Y668" s="1130"/>
      <c r="Z668" s="1130"/>
      <c r="AA668" s="1130"/>
    </row>
    <row r="669" spans="1:27" ht="15.75" customHeight="1">
      <c r="A669" s="1130"/>
      <c r="B669" s="1130"/>
      <c r="C669" s="1130"/>
      <c r="D669" s="1130"/>
      <c r="E669" s="1130"/>
      <c r="F669" s="1130"/>
      <c r="G669" s="1130"/>
      <c r="H669" s="1130"/>
      <c r="I669" s="1130"/>
      <c r="J669" s="1130"/>
      <c r="K669" s="1130"/>
      <c r="L669" s="1130"/>
      <c r="M669" s="1130"/>
      <c r="N669" s="1130"/>
      <c r="O669" s="1130"/>
      <c r="P669" s="1130"/>
      <c r="Q669" s="1130"/>
      <c r="R669" s="1130"/>
      <c r="S669" s="1130"/>
      <c r="T669" s="1130"/>
      <c r="U669" s="1130"/>
      <c r="V669" s="1130"/>
      <c r="W669" s="1130"/>
      <c r="X669" s="1130"/>
      <c r="Y669" s="1130"/>
      <c r="Z669" s="1130"/>
      <c r="AA669" s="1130"/>
    </row>
    <row r="670" spans="1:27" ht="15.75" customHeight="1">
      <c r="A670" s="1130"/>
      <c r="B670" s="1130"/>
      <c r="C670" s="1130"/>
      <c r="D670" s="1130"/>
      <c r="E670" s="1130"/>
      <c r="F670" s="1130"/>
      <c r="G670" s="1130"/>
      <c r="H670" s="1130"/>
      <c r="I670" s="1130"/>
      <c r="J670" s="1130"/>
      <c r="K670" s="1130"/>
      <c r="L670" s="1130"/>
      <c r="M670" s="1130"/>
      <c r="N670" s="1130"/>
      <c r="O670" s="1130"/>
      <c r="P670" s="1130"/>
      <c r="Q670" s="1130"/>
      <c r="R670" s="1130"/>
      <c r="S670" s="1130"/>
      <c r="T670" s="1130"/>
      <c r="U670" s="1130"/>
      <c r="V670" s="1130"/>
      <c r="W670" s="1130"/>
      <c r="X670" s="1130"/>
      <c r="Y670" s="1130"/>
      <c r="Z670" s="1130"/>
      <c r="AA670" s="1130"/>
    </row>
    <row r="671" spans="1:27" ht="15.75" customHeight="1">
      <c r="A671" s="1130"/>
      <c r="B671" s="1130"/>
      <c r="C671" s="1130"/>
      <c r="D671" s="1130"/>
      <c r="E671" s="1130"/>
      <c r="F671" s="1130"/>
      <c r="G671" s="1130"/>
      <c r="H671" s="1130"/>
      <c r="I671" s="1130"/>
      <c r="J671" s="1130"/>
      <c r="K671" s="1130"/>
      <c r="L671" s="1130"/>
      <c r="M671" s="1130"/>
      <c r="N671" s="1130"/>
      <c r="O671" s="1130"/>
      <c r="P671" s="1130"/>
      <c r="Q671" s="1130"/>
      <c r="R671" s="1130"/>
      <c r="S671" s="1130"/>
      <c r="T671" s="1130"/>
      <c r="U671" s="1130"/>
      <c r="V671" s="1130"/>
      <c r="W671" s="1130"/>
      <c r="X671" s="1130"/>
      <c r="Y671" s="1130"/>
      <c r="Z671" s="1130"/>
      <c r="AA671" s="1130"/>
    </row>
    <row r="672" spans="1:27" ht="15.75" customHeight="1">
      <c r="A672" s="1130"/>
      <c r="B672" s="1130"/>
      <c r="C672" s="1130"/>
      <c r="D672" s="1130"/>
      <c r="E672" s="1130"/>
      <c r="F672" s="1130"/>
      <c r="G672" s="1130"/>
      <c r="H672" s="1130"/>
      <c r="I672" s="1130"/>
      <c r="J672" s="1130"/>
      <c r="K672" s="1130"/>
      <c r="L672" s="1130"/>
      <c r="M672" s="1130"/>
      <c r="N672" s="1130"/>
      <c r="O672" s="1130"/>
      <c r="P672" s="1130"/>
      <c r="Q672" s="1130"/>
      <c r="R672" s="1130"/>
      <c r="S672" s="1130"/>
      <c r="T672" s="1130"/>
      <c r="U672" s="1130"/>
      <c r="V672" s="1130"/>
      <c r="W672" s="1130"/>
      <c r="X672" s="1130"/>
      <c r="Y672" s="1130"/>
      <c r="Z672" s="1130"/>
      <c r="AA672" s="1130"/>
    </row>
    <row r="673" spans="1:27" ht="15.75" customHeight="1">
      <c r="A673" s="1130"/>
      <c r="B673" s="1130"/>
      <c r="C673" s="1130"/>
      <c r="D673" s="1130"/>
      <c r="E673" s="1130"/>
      <c r="F673" s="1130"/>
      <c r="G673" s="1130"/>
      <c r="H673" s="1130"/>
      <c r="I673" s="1130"/>
      <c r="J673" s="1130"/>
      <c r="K673" s="1130"/>
      <c r="L673" s="1130"/>
      <c r="M673" s="1130"/>
      <c r="N673" s="1130"/>
      <c r="O673" s="1130"/>
      <c r="P673" s="1130"/>
      <c r="Q673" s="1130"/>
      <c r="R673" s="1130"/>
      <c r="S673" s="1130"/>
      <c r="T673" s="1130"/>
      <c r="U673" s="1130"/>
      <c r="V673" s="1130"/>
      <c r="W673" s="1130"/>
      <c r="X673" s="1130"/>
      <c r="Y673" s="1130"/>
      <c r="Z673" s="1130"/>
      <c r="AA673" s="1130"/>
    </row>
    <row r="674" spans="1:27" ht="15.75" customHeight="1">
      <c r="A674" s="1130"/>
      <c r="B674" s="1130"/>
      <c r="C674" s="1130"/>
      <c r="D674" s="1130"/>
      <c r="E674" s="1130"/>
      <c r="F674" s="1130"/>
      <c r="G674" s="1130"/>
      <c r="H674" s="1130"/>
      <c r="I674" s="1130"/>
      <c r="J674" s="1130"/>
      <c r="K674" s="1130"/>
      <c r="L674" s="1130"/>
      <c r="M674" s="1130"/>
      <c r="N674" s="1130"/>
      <c r="O674" s="1130"/>
      <c r="P674" s="1130"/>
      <c r="Q674" s="1130"/>
      <c r="R674" s="1130"/>
      <c r="S674" s="1130"/>
      <c r="T674" s="1130"/>
      <c r="U674" s="1130"/>
      <c r="V674" s="1130"/>
      <c r="W674" s="1130"/>
      <c r="X674" s="1130"/>
      <c r="Y674" s="1130"/>
      <c r="Z674" s="1130"/>
      <c r="AA674" s="1130"/>
    </row>
    <row r="675" spans="1:27" ht="15.75" customHeight="1">
      <c r="A675" s="1130"/>
      <c r="B675" s="1130"/>
      <c r="C675" s="1130"/>
      <c r="D675" s="1130"/>
      <c r="E675" s="1130"/>
      <c r="F675" s="1130"/>
      <c r="G675" s="1130"/>
      <c r="H675" s="1130"/>
      <c r="I675" s="1130"/>
      <c r="J675" s="1130"/>
      <c r="K675" s="1130"/>
      <c r="L675" s="1130"/>
      <c r="M675" s="1130"/>
      <c r="N675" s="1130"/>
      <c r="O675" s="1130"/>
      <c r="P675" s="1130"/>
      <c r="Q675" s="1130"/>
      <c r="R675" s="1130"/>
      <c r="S675" s="1130"/>
      <c r="T675" s="1130"/>
      <c r="U675" s="1130"/>
      <c r="V675" s="1130"/>
      <c r="W675" s="1130"/>
      <c r="X675" s="1130"/>
      <c r="Y675" s="1130"/>
      <c r="Z675" s="1130"/>
      <c r="AA675" s="1130"/>
    </row>
    <row r="676" spans="1:27" ht="15.75" customHeight="1">
      <c r="A676" s="1130"/>
      <c r="B676" s="1130"/>
      <c r="C676" s="1130"/>
      <c r="D676" s="1130"/>
      <c r="E676" s="1130"/>
      <c r="F676" s="1130"/>
      <c r="G676" s="1130"/>
      <c r="H676" s="1130"/>
      <c r="I676" s="1130"/>
      <c r="J676" s="1130"/>
      <c r="K676" s="1130"/>
      <c r="L676" s="1130"/>
      <c r="M676" s="1130"/>
      <c r="N676" s="1130"/>
      <c r="O676" s="1130"/>
      <c r="P676" s="1130"/>
      <c r="Q676" s="1130"/>
      <c r="R676" s="1130"/>
      <c r="S676" s="1130"/>
      <c r="T676" s="1130"/>
      <c r="U676" s="1130"/>
      <c r="V676" s="1130"/>
      <c r="W676" s="1130"/>
      <c r="X676" s="1130"/>
      <c r="Y676" s="1130"/>
      <c r="Z676" s="1130"/>
      <c r="AA676" s="1130"/>
    </row>
    <row r="677" spans="1:27" ht="15.75" customHeight="1">
      <c r="A677" s="1130"/>
      <c r="B677" s="1130"/>
      <c r="C677" s="1130"/>
      <c r="D677" s="1130"/>
      <c r="E677" s="1130"/>
      <c r="F677" s="1130"/>
      <c r="G677" s="1130"/>
      <c r="H677" s="1130"/>
      <c r="I677" s="1130"/>
      <c r="J677" s="1130"/>
      <c r="K677" s="1130"/>
      <c r="L677" s="1130"/>
      <c r="M677" s="1130"/>
      <c r="N677" s="1130"/>
      <c r="O677" s="1130"/>
      <c r="P677" s="1130"/>
      <c r="Q677" s="1130"/>
      <c r="R677" s="1130"/>
      <c r="S677" s="1130"/>
      <c r="T677" s="1130"/>
      <c r="U677" s="1130"/>
      <c r="V677" s="1130"/>
      <c r="W677" s="1130"/>
      <c r="X677" s="1130"/>
      <c r="Y677" s="1130"/>
      <c r="Z677" s="1130"/>
      <c r="AA677" s="1130"/>
    </row>
    <row r="678" spans="1:27" ht="15.75" customHeight="1">
      <c r="A678" s="1130"/>
      <c r="B678" s="1130"/>
      <c r="C678" s="1130"/>
      <c r="D678" s="1130"/>
      <c r="E678" s="1130"/>
      <c r="F678" s="1130"/>
      <c r="G678" s="1130"/>
      <c r="H678" s="1130"/>
      <c r="I678" s="1130"/>
      <c r="J678" s="1130"/>
      <c r="K678" s="1130"/>
      <c r="L678" s="1130"/>
      <c r="M678" s="1130"/>
      <c r="N678" s="1130"/>
      <c r="O678" s="1130"/>
      <c r="P678" s="1130"/>
      <c r="Q678" s="1130"/>
      <c r="R678" s="1130"/>
      <c r="S678" s="1130"/>
      <c r="T678" s="1130"/>
      <c r="U678" s="1130"/>
      <c r="V678" s="1130"/>
      <c r="W678" s="1130"/>
      <c r="X678" s="1130"/>
      <c r="Y678" s="1130"/>
      <c r="Z678" s="1130"/>
      <c r="AA678" s="1130"/>
    </row>
    <row r="679" spans="1:27" ht="15.75" customHeight="1">
      <c r="A679" s="1130"/>
      <c r="B679" s="1130"/>
      <c r="C679" s="1130"/>
      <c r="D679" s="1130"/>
      <c r="E679" s="1130"/>
      <c r="F679" s="1130"/>
      <c r="G679" s="1130"/>
      <c r="H679" s="1130"/>
      <c r="I679" s="1130"/>
      <c r="J679" s="1130"/>
      <c r="K679" s="1130"/>
      <c r="L679" s="1130"/>
      <c r="M679" s="1130"/>
      <c r="N679" s="1130"/>
      <c r="O679" s="1130"/>
      <c r="P679" s="1130"/>
      <c r="Q679" s="1130"/>
      <c r="R679" s="1130"/>
      <c r="S679" s="1130"/>
      <c r="T679" s="1130"/>
      <c r="U679" s="1130"/>
      <c r="V679" s="1130"/>
      <c r="W679" s="1130"/>
      <c r="X679" s="1130"/>
      <c r="Y679" s="1130"/>
      <c r="Z679" s="1130"/>
      <c r="AA679" s="1130"/>
    </row>
    <row r="680" spans="1:27" ht="15.75" customHeight="1">
      <c r="A680" s="1130"/>
      <c r="B680" s="1130"/>
      <c r="C680" s="1130"/>
      <c r="D680" s="1130"/>
      <c r="E680" s="1130"/>
      <c r="F680" s="1130"/>
      <c r="G680" s="1130"/>
      <c r="H680" s="1130"/>
      <c r="I680" s="1130"/>
      <c r="J680" s="1130"/>
      <c r="K680" s="1130"/>
      <c r="L680" s="1130"/>
      <c r="M680" s="1130"/>
      <c r="N680" s="1130"/>
      <c r="O680" s="1130"/>
      <c r="P680" s="1130"/>
      <c r="Q680" s="1130"/>
      <c r="R680" s="1130"/>
      <c r="S680" s="1130"/>
      <c r="T680" s="1130"/>
      <c r="U680" s="1130"/>
      <c r="V680" s="1130"/>
      <c r="W680" s="1130"/>
      <c r="X680" s="1130"/>
      <c r="Y680" s="1130"/>
      <c r="Z680" s="1130"/>
      <c r="AA680" s="1130"/>
    </row>
    <row r="681" spans="1:27" ht="15.75" customHeight="1">
      <c r="A681" s="1130"/>
      <c r="B681" s="1130"/>
      <c r="C681" s="1130"/>
      <c r="D681" s="1130"/>
      <c r="E681" s="1130"/>
      <c r="F681" s="1130"/>
      <c r="G681" s="1130"/>
      <c r="H681" s="1130"/>
      <c r="I681" s="1130"/>
      <c r="J681" s="1130"/>
      <c r="K681" s="1130"/>
      <c r="L681" s="1130"/>
      <c r="M681" s="1130"/>
      <c r="N681" s="1130"/>
      <c r="O681" s="1130"/>
      <c r="P681" s="1130"/>
      <c r="Q681" s="1130"/>
      <c r="R681" s="1130"/>
      <c r="S681" s="1130"/>
      <c r="T681" s="1130"/>
      <c r="U681" s="1130"/>
      <c r="V681" s="1130"/>
      <c r="W681" s="1130"/>
      <c r="X681" s="1130"/>
      <c r="Y681" s="1130"/>
      <c r="Z681" s="1130"/>
      <c r="AA681" s="1130"/>
    </row>
    <row r="682" spans="1:27" ht="15.75" customHeight="1">
      <c r="A682" s="1130"/>
      <c r="B682" s="1130"/>
      <c r="C682" s="1130"/>
      <c r="D682" s="1130"/>
      <c r="E682" s="1130"/>
      <c r="F682" s="1130"/>
      <c r="G682" s="1130"/>
      <c r="H682" s="1130"/>
      <c r="I682" s="1130"/>
      <c r="J682" s="1130"/>
      <c r="K682" s="1130"/>
      <c r="L682" s="1130"/>
      <c r="M682" s="1130"/>
      <c r="N682" s="1130"/>
      <c r="O682" s="1130"/>
      <c r="P682" s="1130"/>
      <c r="Q682" s="1130"/>
      <c r="R682" s="1130"/>
      <c r="S682" s="1130"/>
      <c r="T682" s="1130"/>
      <c r="U682" s="1130"/>
      <c r="V682" s="1130"/>
      <c r="W682" s="1130"/>
      <c r="X682" s="1130"/>
      <c r="Y682" s="1130"/>
      <c r="Z682" s="1130"/>
      <c r="AA682" s="1130"/>
    </row>
    <row r="683" spans="1:27" ht="15.75" customHeight="1">
      <c r="A683" s="1130"/>
      <c r="B683" s="1130"/>
      <c r="C683" s="1130"/>
      <c r="D683" s="1130"/>
      <c r="E683" s="1130"/>
      <c r="F683" s="1130"/>
      <c r="G683" s="1130"/>
      <c r="H683" s="1130"/>
      <c r="I683" s="1130"/>
      <c r="J683" s="1130"/>
      <c r="K683" s="1130"/>
      <c r="L683" s="1130"/>
      <c r="M683" s="1130"/>
      <c r="N683" s="1130"/>
      <c r="O683" s="1130"/>
      <c r="P683" s="1130"/>
      <c r="Q683" s="1130"/>
      <c r="R683" s="1130"/>
      <c r="S683" s="1130"/>
      <c r="T683" s="1130"/>
      <c r="U683" s="1130"/>
      <c r="V683" s="1130"/>
      <c r="W683" s="1130"/>
      <c r="X683" s="1130"/>
      <c r="Y683" s="1130"/>
      <c r="Z683" s="1130"/>
      <c r="AA683" s="1130"/>
    </row>
    <row r="684" spans="1:27" ht="15.75" customHeight="1">
      <c r="A684" s="1130"/>
      <c r="B684" s="1130"/>
      <c r="C684" s="1130"/>
      <c r="D684" s="1130"/>
      <c r="E684" s="1130"/>
      <c r="F684" s="1130"/>
      <c r="G684" s="1130"/>
      <c r="H684" s="1130"/>
      <c r="I684" s="1130"/>
      <c r="J684" s="1130"/>
      <c r="K684" s="1130"/>
      <c r="L684" s="1130"/>
      <c r="M684" s="1130"/>
      <c r="N684" s="1130"/>
      <c r="O684" s="1130"/>
      <c r="P684" s="1130"/>
      <c r="Q684" s="1130"/>
      <c r="R684" s="1130"/>
      <c r="S684" s="1130"/>
      <c r="T684" s="1130"/>
      <c r="U684" s="1130"/>
      <c r="V684" s="1130"/>
      <c r="W684" s="1130"/>
      <c r="X684" s="1130"/>
      <c r="Y684" s="1130"/>
      <c r="Z684" s="1130"/>
      <c r="AA684" s="1130"/>
    </row>
    <row r="685" spans="1:27" ht="15.75" customHeight="1">
      <c r="A685" s="1130"/>
      <c r="B685" s="1130"/>
      <c r="C685" s="1130"/>
      <c r="D685" s="1130"/>
      <c r="E685" s="1130"/>
      <c r="F685" s="1130"/>
      <c r="G685" s="1130"/>
      <c r="H685" s="1130"/>
      <c r="I685" s="1130"/>
      <c r="J685" s="1130"/>
      <c r="K685" s="1130"/>
      <c r="L685" s="1130"/>
      <c r="M685" s="1130"/>
      <c r="N685" s="1130"/>
      <c r="O685" s="1130"/>
      <c r="P685" s="1130"/>
      <c r="Q685" s="1130"/>
      <c r="R685" s="1130"/>
      <c r="S685" s="1130"/>
      <c r="T685" s="1130"/>
      <c r="U685" s="1130"/>
      <c r="V685" s="1130"/>
      <c r="W685" s="1130"/>
      <c r="X685" s="1130"/>
      <c r="Y685" s="1130"/>
      <c r="Z685" s="1130"/>
      <c r="AA685" s="1130"/>
    </row>
    <row r="686" spans="1:27" ht="15.75" customHeight="1">
      <c r="A686" s="1130"/>
      <c r="B686" s="1130"/>
      <c r="C686" s="1130"/>
      <c r="D686" s="1130"/>
      <c r="E686" s="1130"/>
      <c r="F686" s="1130"/>
      <c r="G686" s="1130"/>
      <c r="H686" s="1130"/>
      <c r="I686" s="1130"/>
      <c r="J686" s="1130"/>
      <c r="K686" s="1130"/>
      <c r="L686" s="1130"/>
      <c r="M686" s="1130"/>
      <c r="N686" s="1130"/>
      <c r="O686" s="1130"/>
      <c r="P686" s="1130"/>
      <c r="Q686" s="1130"/>
      <c r="R686" s="1130"/>
      <c r="S686" s="1130"/>
      <c r="T686" s="1130"/>
      <c r="U686" s="1130"/>
      <c r="V686" s="1130"/>
      <c r="W686" s="1130"/>
      <c r="X686" s="1130"/>
      <c r="Y686" s="1130"/>
      <c r="Z686" s="1130"/>
      <c r="AA686" s="1130"/>
    </row>
    <row r="687" spans="1:27" ht="15.75" customHeight="1">
      <c r="A687" s="1130"/>
      <c r="B687" s="1130"/>
      <c r="C687" s="1130"/>
      <c r="D687" s="1130"/>
      <c r="E687" s="1130"/>
      <c r="F687" s="1130"/>
      <c r="G687" s="1130"/>
      <c r="H687" s="1130"/>
      <c r="I687" s="1130"/>
      <c r="J687" s="1130"/>
      <c r="K687" s="1130"/>
      <c r="L687" s="1130"/>
      <c r="M687" s="1130"/>
      <c r="N687" s="1130"/>
      <c r="O687" s="1130"/>
      <c r="P687" s="1130"/>
      <c r="Q687" s="1130"/>
      <c r="R687" s="1130"/>
      <c r="S687" s="1130"/>
      <c r="T687" s="1130"/>
      <c r="U687" s="1130"/>
      <c r="V687" s="1130"/>
      <c r="W687" s="1130"/>
      <c r="X687" s="1130"/>
      <c r="Y687" s="1130"/>
      <c r="Z687" s="1130"/>
      <c r="AA687" s="1130"/>
    </row>
    <row r="688" spans="1:27" ht="15.75" customHeight="1">
      <c r="A688" s="1130"/>
      <c r="B688" s="1130"/>
      <c r="C688" s="1130"/>
      <c r="D688" s="1130"/>
      <c r="E688" s="1130"/>
      <c r="F688" s="1130"/>
      <c r="G688" s="1130"/>
      <c r="H688" s="1130"/>
      <c r="I688" s="1130"/>
      <c r="J688" s="1130"/>
      <c r="K688" s="1130"/>
      <c r="L688" s="1130"/>
      <c r="M688" s="1130"/>
      <c r="N688" s="1130"/>
      <c r="O688" s="1130"/>
      <c r="P688" s="1130"/>
      <c r="Q688" s="1130"/>
      <c r="R688" s="1130"/>
      <c r="S688" s="1130"/>
      <c r="T688" s="1130"/>
      <c r="U688" s="1130"/>
      <c r="V688" s="1130"/>
      <c r="W688" s="1130"/>
      <c r="X688" s="1130"/>
      <c r="Y688" s="1130"/>
      <c r="Z688" s="1130"/>
      <c r="AA688" s="1130"/>
    </row>
    <row r="689" spans="1:27" ht="15.75" customHeight="1">
      <c r="A689" s="1130"/>
      <c r="B689" s="1130"/>
      <c r="C689" s="1130"/>
      <c r="D689" s="1130"/>
      <c r="E689" s="1130"/>
      <c r="F689" s="1130"/>
      <c r="G689" s="1130"/>
      <c r="H689" s="1130"/>
      <c r="I689" s="1130"/>
      <c r="J689" s="1130"/>
      <c r="K689" s="1130"/>
      <c r="L689" s="1130"/>
      <c r="M689" s="1130"/>
      <c r="N689" s="1130"/>
      <c r="O689" s="1130"/>
      <c r="P689" s="1130"/>
      <c r="Q689" s="1130"/>
      <c r="R689" s="1130"/>
      <c r="S689" s="1130"/>
      <c r="T689" s="1130"/>
      <c r="U689" s="1130"/>
      <c r="V689" s="1130"/>
      <c r="W689" s="1130"/>
      <c r="X689" s="1130"/>
      <c r="Y689" s="1130"/>
      <c r="Z689" s="1130"/>
      <c r="AA689" s="1130"/>
    </row>
    <row r="690" spans="1:27" ht="15.75" customHeight="1">
      <c r="A690" s="1130"/>
      <c r="B690" s="1130"/>
      <c r="C690" s="1130"/>
      <c r="D690" s="1130"/>
      <c r="E690" s="1130"/>
      <c r="F690" s="1130"/>
      <c r="G690" s="1130"/>
      <c r="H690" s="1130"/>
      <c r="I690" s="1130"/>
      <c r="J690" s="1130"/>
      <c r="K690" s="1130"/>
      <c r="L690" s="1130"/>
      <c r="M690" s="1130"/>
      <c r="N690" s="1130"/>
      <c r="O690" s="1130"/>
      <c r="P690" s="1130"/>
      <c r="Q690" s="1130"/>
      <c r="R690" s="1130"/>
      <c r="S690" s="1130"/>
      <c r="T690" s="1130"/>
      <c r="U690" s="1130"/>
      <c r="V690" s="1130"/>
      <c r="W690" s="1130"/>
      <c r="X690" s="1130"/>
      <c r="Y690" s="1130"/>
      <c r="Z690" s="1130"/>
      <c r="AA690" s="1130"/>
    </row>
    <row r="691" spans="1:27" ht="15.75" customHeight="1">
      <c r="A691" s="1130"/>
      <c r="B691" s="1130"/>
      <c r="C691" s="1130"/>
      <c r="D691" s="1130"/>
      <c r="E691" s="1130"/>
      <c r="F691" s="1130"/>
      <c r="G691" s="1130"/>
      <c r="H691" s="1130"/>
      <c r="I691" s="1130"/>
      <c r="J691" s="1130"/>
      <c r="K691" s="1130"/>
      <c r="L691" s="1130"/>
      <c r="M691" s="1130"/>
      <c r="N691" s="1130"/>
      <c r="O691" s="1130"/>
      <c r="P691" s="1130"/>
      <c r="Q691" s="1130"/>
      <c r="R691" s="1130"/>
      <c r="S691" s="1130"/>
      <c r="T691" s="1130"/>
      <c r="U691" s="1130"/>
      <c r="V691" s="1130"/>
      <c r="W691" s="1130"/>
      <c r="X691" s="1130"/>
      <c r="Y691" s="1130"/>
      <c r="Z691" s="1130"/>
      <c r="AA691" s="1130"/>
    </row>
    <row r="692" spans="1:27" ht="15.75" customHeight="1">
      <c r="A692" s="1130"/>
      <c r="B692" s="1130"/>
      <c r="C692" s="1130"/>
      <c r="D692" s="1130"/>
      <c r="E692" s="1130"/>
      <c r="F692" s="1130"/>
      <c r="G692" s="1130"/>
      <c r="H692" s="1130"/>
      <c r="I692" s="1130"/>
      <c r="J692" s="1130"/>
      <c r="K692" s="1130"/>
      <c r="L692" s="1130"/>
      <c r="M692" s="1130"/>
      <c r="N692" s="1130"/>
      <c r="O692" s="1130"/>
      <c r="P692" s="1130"/>
      <c r="Q692" s="1130"/>
      <c r="R692" s="1130"/>
      <c r="S692" s="1130"/>
      <c r="T692" s="1130"/>
      <c r="U692" s="1130"/>
      <c r="V692" s="1130"/>
      <c r="W692" s="1130"/>
      <c r="X692" s="1130"/>
      <c r="Y692" s="1130"/>
      <c r="Z692" s="1130"/>
      <c r="AA692" s="1130"/>
    </row>
    <row r="693" spans="1:27" ht="15.75" customHeight="1">
      <c r="A693" s="1130"/>
      <c r="B693" s="1130"/>
      <c r="C693" s="1130"/>
      <c r="D693" s="1130"/>
      <c r="E693" s="1130"/>
      <c r="F693" s="1130"/>
      <c r="G693" s="1130"/>
      <c r="H693" s="1130"/>
      <c r="I693" s="1130"/>
      <c r="J693" s="1130"/>
      <c r="K693" s="1130"/>
      <c r="L693" s="1130"/>
      <c r="M693" s="1130"/>
      <c r="N693" s="1130"/>
      <c r="O693" s="1130"/>
      <c r="P693" s="1130"/>
      <c r="Q693" s="1130"/>
      <c r="R693" s="1130"/>
      <c r="S693" s="1130"/>
      <c r="T693" s="1130"/>
      <c r="U693" s="1130"/>
      <c r="V693" s="1130"/>
      <c r="W693" s="1130"/>
      <c r="X693" s="1130"/>
      <c r="Y693" s="1130"/>
      <c r="Z693" s="1130"/>
      <c r="AA693" s="1130"/>
    </row>
    <row r="694" spans="1:27" ht="15.75" customHeight="1">
      <c r="A694" s="1130"/>
      <c r="B694" s="1130"/>
      <c r="C694" s="1130"/>
      <c r="D694" s="1130"/>
      <c r="E694" s="1130"/>
      <c r="F694" s="1130"/>
      <c r="G694" s="1130"/>
      <c r="H694" s="1130"/>
      <c r="I694" s="1130"/>
      <c r="J694" s="1130"/>
      <c r="K694" s="1130"/>
      <c r="L694" s="1130"/>
      <c r="M694" s="1130"/>
      <c r="N694" s="1130"/>
      <c r="O694" s="1130"/>
      <c r="P694" s="1130"/>
      <c r="Q694" s="1130"/>
      <c r="R694" s="1130"/>
      <c r="S694" s="1130"/>
      <c r="T694" s="1130"/>
      <c r="U694" s="1130"/>
      <c r="V694" s="1130"/>
      <c r="W694" s="1130"/>
      <c r="X694" s="1130"/>
      <c r="Y694" s="1130"/>
      <c r="Z694" s="1130"/>
      <c r="AA694" s="1130"/>
    </row>
    <row r="695" spans="1:27" ht="15.75" customHeight="1">
      <c r="A695" s="1130"/>
      <c r="B695" s="1130"/>
      <c r="C695" s="1130"/>
      <c r="D695" s="1130"/>
      <c r="E695" s="1130"/>
      <c r="F695" s="1130"/>
      <c r="G695" s="1130"/>
      <c r="H695" s="1130"/>
      <c r="I695" s="1130"/>
      <c r="J695" s="1130"/>
      <c r="K695" s="1130"/>
      <c r="L695" s="1130"/>
      <c r="M695" s="1130"/>
      <c r="N695" s="1130"/>
      <c r="O695" s="1130"/>
      <c r="P695" s="1130"/>
      <c r="Q695" s="1130"/>
      <c r="R695" s="1130"/>
      <c r="S695" s="1130"/>
      <c r="T695" s="1130"/>
      <c r="U695" s="1130"/>
      <c r="V695" s="1130"/>
      <c r="W695" s="1130"/>
      <c r="X695" s="1130"/>
      <c r="Y695" s="1130"/>
      <c r="Z695" s="1130"/>
      <c r="AA695" s="1130"/>
    </row>
    <row r="696" spans="1:27" ht="15.75" customHeight="1">
      <c r="A696" s="1130"/>
      <c r="B696" s="1130"/>
      <c r="C696" s="1130"/>
      <c r="D696" s="1130"/>
      <c r="E696" s="1130"/>
      <c r="F696" s="1130"/>
      <c r="G696" s="1130"/>
      <c r="H696" s="1130"/>
      <c r="I696" s="1130"/>
      <c r="J696" s="1130"/>
      <c r="K696" s="1130"/>
      <c r="L696" s="1130"/>
      <c r="M696" s="1130"/>
      <c r="N696" s="1130"/>
      <c r="O696" s="1130"/>
      <c r="P696" s="1130"/>
      <c r="Q696" s="1130"/>
      <c r="R696" s="1130"/>
      <c r="S696" s="1130"/>
      <c r="T696" s="1130"/>
      <c r="U696" s="1130"/>
      <c r="V696" s="1130"/>
      <c r="W696" s="1130"/>
      <c r="X696" s="1130"/>
      <c r="Y696" s="1130"/>
      <c r="Z696" s="1130"/>
      <c r="AA696" s="1130"/>
    </row>
    <row r="697" spans="1:27" ht="15.75" customHeight="1">
      <c r="A697" s="1130"/>
      <c r="B697" s="1130"/>
      <c r="C697" s="1130"/>
      <c r="D697" s="1130"/>
      <c r="E697" s="1130"/>
      <c r="F697" s="1130"/>
      <c r="G697" s="1130"/>
      <c r="H697" s="1130"/>
      <c r="I697" s="1130"/>
      <c r="J697" s="1130"/>
      <c r="K697" s="1130"/>
      <c r="L697" s="1130"/>
      <c r="M697" s="1130"/>
      <c r="N697" s="1130"/>
      <c r="O697" s="1130"/>
      <c r="P697" s="1130"/>
      <c r="Q697" s="1130"/>
      <c r="R697" s="1130"/>
      <c r="S697" s="1130"/>
      <c r="T697" s="1130"/>
      <c r="U697" s="1130"/>
      <c r="V697" s="1130"/>
      <c r="W697" s="1130"/>
      <c r="X697" s="1130"/>
      <c r="Y697" s="1130"/>
      <c r="Z697" s="1130"/>
      <c r="AA697" s="1130"/>
    </row>
    <row r="698" spans="1:27" ht="15.75" customHeight="1">
      <c r="A698" s="1130"/>
      <c r="B698" s="1130"/>
      <c r="C698" s="1130"/>
      <c r="D698" s="1130"/>
      <c r="E698" s="1130"/>
      <c r="F698" s="1130"/>
      <c r="G698" s="1130"/>
      <c r="H698" s="1130"/>
      <c r="I698" s="1130"/>
      <c r="J698" s="1130"/>
      <c r="K698" s="1130"/>
      <c r="L698" s="1130"/>
      <c r="M698" s="1130"/>
      <c r="N698" s="1130"/>
      <c r="O698" s="1130"/>
      <c r="P698" s="1130"/>
      <c r="Q698" s="1130"/>
      <c r="R698" s="1130"/>
      <c r="S698" s="1130"/>
      <c r="T698" s="1130"/>
      <c r="U698" s="1130"/>
      <c r="V698" s="1130"/>
      <c r="W698" s="1130"/>
      <c r="X698" s="1130"/>
      <c r="Y698" s="1130"/>
      <c r="Z698" s="1130"/>
      <c r="AA698" s="1130"/>
    </row>
    <row r="699" spans="1:27" ht="15.75" customHeight="1">
      <c r="A699" s="1130"/>
      <c r="B699" s="1130"/>
      <c r="C699" s="1130"/>
      <c r="D699" s="1130"/>
      <c r="E699" s="1130"/>
      <c r="F699" s="1130"/>
      <c r="G699" s="1130"/>
      <c r="H699" s="1130"/>
      <c r="I699" s="1130"/>
      <c r="J699" s="1130"/>
      <c r="K699" s="1130"/>
      <c r="L699" s="1130"/>
      <c r="M699" s="1130"/>
      <c r="N699" s="1130"/>
      <c r="O699" s="1130"/>
      <c r="P699" s="1130"/>
      <c r="Q699" s="1130"/>
      <c r="R699" s="1130"/>
      <c r="S699" s="1130"/>
      <c r="T699" s="1130"/>
      <c r="U699" s="1130"/>
      <c r="V699" s="1130"/>
      <c r="W699" s="1130"/>
      <c r="X699" s="1130"/>
      <c r="Y699" s="1130"/>
      <c r="Z699" s="1130"/>
      <c r="AA699" s="1130"/>
    </row>
    <row r="700" spans="1:27" ht="15.75" customHeight="1">
      <c r="A700" s="1130"/>
      <c r="B700" s="1130"/>
      <c r="C700" s="1130"/>
      <c r="D700" s="1130"/>
      <c r="E700" s="1130"/>
      <c r="F700" s="1130"/>
      <c r="G700" s="1130"/>
      <c r="H700" s="1130"/>
      <c r="I700" s="1130"/>
      <c r="J700" s="1130"/>
      <c r="K700" s="1130"/>
      <c r="L700" s="1130"/>
      <c r="M700" s="1130"/>
      <c r="N700" s="1130"/>
      <c r="O700" s="1130"/>
      <c r="P700" s="1130"/>
      <c r="Q700" s="1130"/>
      <c r="R700" s="1130"/>
      <c r="S700" s="1130"/>
      <c r="T700" s="1130"/>
      <c r="U700" s="1130"/>
      <c r="V700" s="1130"/>
      <c r="W700" s="1130"/>
      <c r="X700" s="1130"/>
      <c r="Y700" s="1130"/>
      <c r="Z700" s="1130"/>
      <c r="AA700" s="1130"/>
    </row>
    <row r="701" spans="1:27" ht="15.75" customHeight="1">
      <c r="A701" s="1130"/>
      <c r="B701" s="1130"/>
      <c r="C701" s="1130"/>
      <c r="D701" s="1130"/>
      <c r="E701" s="1130"/>
      <c r="F701" s="1130"/>
      <c r="G701" s="1130"/>
      <c r="H701" s="1130"/>
      <c r="I701" s="1130"/>
      <c r="J701" s="1130"/>
      <c r="K701" s="1130"/>
      <c r="L701" s="1130"/>
      <c r="M701" s="1130"/>
      <c r="N701" s="1130"/>
      <c r="O701" s="1130"/>
      <c r="P701" s="1130"/>
      <c r="Q701" s="1130"/>
      <c r="R701" s="1130"/>
      <c r="S701" s="1130"/>
      <c r="T701" s="1130"/>
      <c r="U701" s="1130"/>
      <c r="V701" s="1130"/>
      <c r="W701" s="1130"/>
      <c r="X701" s="1130"/>
      <c r="Y701" s="1130"/>
      <c r="Z701" s="1130"/>
      <c r="AA701" s="1130"/>
    </row>
    <row r="702" spans="1:27" ht="15.75" customHeight="1">
      <c r="A702" s="1130"/>
      <c r="B702" s="1130"/>
      <c r="C702" s="1130"/>
      <c r="D702" s="1130"/>
      <c r="E702" s="1130"/>
      <c r="F702" s="1130"/>
      <c r="G702" s="1130"/>
      <c r="H702" s="1130"/>
      <c r="I702" s="1130"/>
      <c r="J702" s="1130"/>
      <c r="K702" s="1130"/>
      <c r="L702" s="1130"/>
      <c r="M702" s="1130"/>
      <c r="N702" s="1130"/>
      <c r="O702" s="1130"/>
      <c r="P702" s="1130"/>
      <c r="Q702" s="1130"/>
      <c r="R702" s="1130"/>
      <c r="S702" s="1130"/>
      <c r="T702" s="1130"/>
      <c r="U702" s="1130"/>
      <c r="V702" s="1130"/>
      <c r="W702" s="1130"/>
      <c r="X702" s="1130"/>
      <c r="Y702" s="1130"/>
      <c r="Z702" s="1130"/>
      <c r="AA702" s="1130"/>
    </row>
    <row r="703" spans="1:27" ht="15.75" customHeight="1">
      <c r="A703" s="1130"/>
      <c r="B703" s="1130"/>
      <c r="C703" s="1130"/>
      <c r="D703" s="1130"/>
      <c r="E703" s="1130"/>
      <c r="F703" s="1130"/>
      <c r="G703" s="1130"/>
      <c r="H703" s="1130"/>
      <c r="I703" s="1130"/>
      <c r="J703" s="1130"/>
      <c r="K703" s="1130"/>
      <c r="L703" s="1130"/>
      <c r="M703" s="1130"/>
      <c r="N703" s="1130"/>
      <c r="O703" s="1130"/>
      <c r="P703" s="1130"/>
      <c r="Q703" s="1130"/>
      <c r="R703" s="1130"/>
      <c r="S703" s="1130"/>
      <c r="T703" s="1130"/>
      <c r="U703" s="1130"/>
      <c r="V703" s="1130"/>
      <c r="W703" s="1130"/>
      <c r="X703" s="1130"/>
      <c r="Y703" s="1130"/>
      <c r="Z703" s="1130"/>
      <c r="AA703" s="1130"/>
    </row>
    <row r="704" spans="1:27" ht="15.75" customHeight="1">
      <c r="A704" s="1130"/>
      <c r="B704" s="1130"/>
      <c r="C704" s="1130"/>
      <c r="D704" s="1130"/>
      <c r="E704" s="1130"/>
      <c r="F704" s="1130"/>
      <c r="G704" s="1130"/>
      <c r="H704" s="1130"/>
      <c r="I704" s="1130"/>
      <c r="J704" s="1130"/>
      <c r="K704" s="1130"/>
      <c r="L704" s="1130"/>
      <c r="M704" s="1130"/>
      <c r="N704" s="1130"/>
      <c r="O704" s="1130"/>
      <c r="P704" s="1130"/>
      <c r="Q704" s="1130"/>
      <c r="R704" s="1130"/>
      <c r="S704" s="1130"/>
      <c r="T704" s="1130"/>
      <c r="U704" s="1130"/>
      <c r="V704" s="1130"/>
      <c r="W704" s="1130"/>
      <c r="X704" s="1130"/>
      <c r="Y704" s="1130"/>
      <c r="Z704" s="1130"/>
      <c r="AA704" s="1130"/>
    </row>
    <row r="705" spans="1:27" ht="15.75" customHeight="1">
      <c r="A705" s="1130"/>
      <c r="B705" s="1130"/>
      <c r="C705" s="1130"/>
      <c r="D705" s="1130"/>
      <c r="E705" s="1130"/>
      <c r="F705" s="1130"/>
      <c r="G705" s="1130"/>
      <c r="H705" s="1130"/>
      <c r="I705" s="1130"/>
      <c r="J705" s="1130"/>
      <c r="K705" s="1130"/>
      <c r="L705" s="1130"/>
      <c r="M705" s="1130"/>
      <c r="N705" s="1130"/>
      <c r="O705" s="1130"/>
      <c r="P705" s="1130"/>
      <c r="Q705" s="1130"/>
      <c r="R705" s="1130"/>
      <c r="S705" s="1130"/>
      <c r="T705" s="1130"/>
      <c r="U705" s="1130"/>
      <c r="V705" s="1130"/>
      <c r="W705" s="1130"/>
      <c r="X705" s="1130"/>
      <c r="Y705" s="1130"/>
      <c r="Z705" s="1130"/>
      <c r="AA705" s="1130"/>
    </row>
    <row r="706" spans="1:27" ht="15.75" customHeight="1">
      <c r="A706" s="1130"/>
      <c r="B706" s="1130"/>
      <c r="C706" s="1130"/>
      <c r="D706" s="1130"/>
      <c r="E706" s="1130"/>
      <c r="F706" s="1130"/>
      <c r="G706" s="1130"/>
      <c r="H706" s="1130"/>
      <c r="I706" s="1130"/>
      <c r="J706" s="1130"/>
      <c r="K706" s="1130"/>
      <c r="L706" s="1130"/>
      <c r="M706" s="1130"/>
      <c r="N706" s="1130"/>
      <c r="O706" s="1130"/>
      <c r="P706" s="1130"/>
      <c r="Q706" s="1130"/>
      <c r="R706" s="1130"/>
      <c r="S706" s="1130"/>
      <c r="T706" s="1130"/>
      <c r="U706" s="1130"/>
      <c r="V706" s="1130"/>
      <c r="W706" s="1130"/>
      <c r="X706" s="1130"/>
      <c r="Y706" s="1130"/>
      <c r="Z706" s="1130"/>
      <c r="AA706" s="1130"/>
    </row>
    <row r="707" spans="1:27" ht="15.75" customHeight="1">
      <c r="A707" s="1130"/>
      <c r="B707" s="1130"/>
      <c r="C707" s="1130"/>
      <c r="D707" s="1130"/>
      <c r="E707" s="1130"/>
      <c r="F707" s="1130"/>
      <c r="G707" s="1130"/>
      <c r="H707" s="1130"/>
      <c r="I707" s="1130"/>
      <c r="J707" s="1130"/>
      <c r="K707" s="1130"/>
      <c r="L707" s="1130"/>
      <c r="M707" s="1130"/>
      <c r="N707" s="1130"/>
      <c r="O707" s="1130"/>
      <c r="P707" s="1130"/>
      <c r="Q707" s="1130"/>
      <c r="R707" s="1130"/>
      <c r="S707" s="1130"/>
      <c r="T707" s="1130"/>
      <c r="U707" s="1130"/>
      <c r="V707" s="1130"/>
      <c r="W707" s="1130"/>
      <c r="X707" s="1130"/>
      <c r="Y707" s="1130"/>
      <c r="Z707" s="1130"/>
      <c r="AA707" s="1130"/>
    </row>
    <row r="708" spans="1:27" ht="15.75" customHeight="1">
      <c r="A708" s="1130"/>
      <c r="B708" s="1130"/>
      <c r="C708" s="1130"/>
      <c r="D708" s="1130"/>
      <c r="E708" s="1130"/>
      <c r="F708" s="1130"/>
      <c r="G708" s="1130"/>
      <c r="H708" s="1130"/>
      <c r="I708" s="1130"/>
      <c r="J708" s="1130"/>
      <c r="K708" s="1130"/>
      <c r="L708" s="1130"/>
      <c r="M708" s="1130"/>
      <c r="N708" s="1130"/>
      <c r="O708" s="1130"/>
      <c r="P708" s="1130"/>
      <c r="Q708" s="1130"/>
      <c r="R708" s="1130"/>
      <c r="S708" s="1130"/>
      <c r="T708" s="1130"/>
      <c r="U708" s="1130"/>
      <c r="V708" s="1130"/>
      <c r="W708" s="1130"/>
      <c r="X708" s="1130"/>
      <c r="Y708" s="1130"/>
      <c r="Z708" s="1130"/>
      <c r="AA708" s="1130"/>
    </row>
    <row r="709" spans="1:27" ht="15.75" customHeight="1">
      <c r="A709" s="1130"/>
      <c r="B709" s="1130"/>
      <c r="C709" s="1130"/>
      <c r="D709" s="1130"/>
      <c r="E709" s="1130"/>
      <c r="F709" s="1130"/>
      <c r="G709" s="1130"/>
      <c r="H709" s="1130"/>
      <c r="I709" s="1130"/>
      <c r="J709" s="1130"/>
      <c r="K709" s="1130"/>
      <c r="L709" s="1130"/>
      <c r="M709" s="1130"/>
      <c r="N709" s="1130"/>
      <c r="O709" s="1130"/>
      <c r="P709" s="1130"/>
      <c r="Q709" s="1130"/>
      <c r="R709" s="1130"/>
      <c r="S709" s="1130"/>
      <c r="T709" s="1130"/>
      <c r="U709" s="1130"/>
      <c r="V709" s="1130"/>
      <c r="W709" s="1130"/>
      <c r="X709" s="1130"/>
      <c r="Y709" s="1130"/>
      <c r="Z709" s="1130"/>
      <c r="AA709" s="1130"/>
    </row>
    <row r="710" spans="1:27" ht="15.75" customHeight="1">
      <c r="A710" s="1130"/>
      <c r="B710" s="1130"/>
      <c r="C710" s="1130"/>
      <c r="D710" s="1130"/>
      <c r="E710" s="1130"/>
      <c r="F710" s="1130"/>
      <c r="G710" s="1130"/>
      <c r="H710" s="1130"/>
      <c r="I710" s="1130"/>
      <c r="J710" s="1130"/>
      <c r="K710" s="1130"/>
      <c r="L710" s="1130"/>
      <c r="M710" s="1130"/>
      <c r="N710" s="1130"/>
      <c r="O710" s="1130"/>
      <c r="P710" s="1130"/>
      <c r="Q710" s="1130"/>
      <c r="R710" s="1130"/>
      <c r="S710" s="1130"/>
      <c r="T710" s="1130"/>
      <c r="U710" s="1130"/>
      <c r="V710" s="1130"/>
      <c r="W710" s="1130"/>
      <c r="X710" s="1130"/>
      <c r="Y710" s="1130"/>
      <c r="Z710" s="1130"/>
      <c r="AA710" s="1130"/>
    </row>
    <row r="711" spans="1:27" ht="15.75" customHeight="1">
      <c r="A711" s="1130"/>
      <c r="B711" s="1130"/>
      <c r="C711" s="1130"/>
      <c r="D711" s="1130"/>
      <c r="E711" s="1130"/>
      <c r="F711" s="1130"/>
      <c r="G711" s="1130"/>
      <c r="H711" s="1130"/>
      <c r="I711" s="1130"/>
      <c r="J711" s="1130"/>
      <c r="K711" s="1130"/>
      <c r="L711" s="1130"/>
      <c r="M711" s="1130"/>
      <c r="N711" s="1130"/>
      <c r="O711" s="1130"/>
      <c r="P711" s="1130"/>
      <c r="Q711" s="1130"/>
      <c r="R711" s="1130"/>
      <c r="S711" s="1130"/>
      <c r="T711" s="1130"/>
      <c r="U711" s="1130"/>
      <c r="V711" s="1130"/>
      <c r="W711" s="1130"/>
      <c r="X711" s="1130"/>
      <c r="Y711" s="1130"/>
      <c r="Z711" s="1130"/>
      <c r="AA711" s="1130"/>
    </row>
    <row r="712" spans="1:27" ht="15.75" customHeight="1">
      <c r="A712" s="1130"/>
      <c r="B712" s="1130"/>
      <c r="C712" s="1130"/>
      <c r="D712" s="1130"/>
      <c r="E712" s="1130"/>
      <c r="F712" s="1130"/>
      <c r="G712" s="1130"/>
      <c r="H712" s="1130"/>
      <c r="I712" s="1130"/>
      <c r="J712" s="1130"/>
      <c r="K712" s="1130"/>
      <c r="L712" s="1130"/>
      <c r="M712" s="1130"/>
      <c r="N712" s="1130"/>
      <c r="O712" s="1130"/>
      <c r="P712" s="1130"/>
      <c r="Q712" s="1130"/>
      <c r="R712" s="1130"/>
      <c r="S712" s="1130"/>
      <c r="T712" s="1130"/>
      <c r="U712" s="1130"/>
      <c r="V712" s="1130"/>
      <c r="W712" s="1130"/>
      <c r="X712" s="1130"/>
      <c r="Y712" s="1130"/>
      <c r="Z712" s="1130"/>
      <c r="AA712" s="1130"/>
    </row>
    <row r="713" spans="1:27" ht="15.75" customHeight="1">
      <c r="A713" s="1130"/>
      <c r="B713" s="1130"/>
      <c r="C713" s="1130"/>
      <c r="D713" s="1130"/>
      <c r="E713" s="1130"/>
      <c r="F713" s="1130"/>
      <c r="G713" s="1130"/>
      <c r="H713" s="1130"/>
      <c r="I713" s="1130"/>
      <c r="J713" s="1130"/>
      <c r="K713" s="1130"/>
      <c r="L713" s="1130"/>
      <c r="M713" s="1130"/>
      <c r="N713" s="1130"/>
      <c r="O713" s="1130"/>
      <c r="P713" s="1130"/>
      <c r="Q713" s="1130"/>
      <c r="R713" s="1130"/>
      <c r="S713" s="1130"/>
      <c r="T713" s="1130"/>
      <c r="U713" s="1130"/>
      <c r="V713" s="1130"/>
      <c r="W713" s="1130"/>
      <c r="X713" s="1130"/>
      <c r="Y713" s="1130"/>
      <c r="Z713" s="1130"/>
      <c r="AA713" s="1130"/>
    </row>
    <row r="714" spans="1:27" ht="15.75" customHeight="1">
      <c r="A714" s="1130"/>
      <c r="B714" s="1130"/>
      <c r="C714" s="1130"/>
      <c r="D714" s="1130"/>
      <c r="E714" s="1130"/>
      <c r="F714" s="1130"/>
      <c r="G714" s="1130"/>
      <c r="H714" s="1130"/>
      <c r="I714" s="1130"/>
      <c r="J714" s="1130"/>
      <c r="K714" s="1130"/>
      <c r="L714" s="1130"/>
      <c r="M714" s="1130"/>
      <c r="N714" s="1130"/>
      <c r="O714" s="1130"/>
      <c r="P714" s="1130"/>
      <c r="Q714" s="1130"/>
      <c r="R714" s="1130"/>
      <c r="S714" s="1130"/>
      <c r="T714" s="1130"/>
      <c r="U714" s="1130"/>
      <c r="V714" s="1130"/>
      <c r="W714" s="1130"/>
      <c r="X714" s="1130"/>
      <c r="Y714" s="1130"/>
      <c r="Z714" s="1130"/>
      <c r="AA714" s="1130"/>
    </row>
    <row r="715" spans="1:27" ht="15.75" customHeight="1">
      <c r="A715" s="1130"/>
      <c r="B715" s="1130"/>
      <c r="C715" s="1130"/>
      <c r="D715" s="1130"/>
      <c r="E715" s="1130"/>
      <c r="F715" s="1130"/>
      <c r="G715" s="1130"/>
      <c r="H715" s="1130"/>
      <c r="I715" s="1130"/>
      <c r="J715" s="1130"/>
      <c r="K715" s="1130"/>
      <c r="L715" s="1130"/>
      <c r="M715" s="1130"/>
      <c r="N715" s="1130"/>
      <c r="O715" s="1130"/>
      <c r="P715" s="1130"/>
      <c r="Q715" s="1130"/>
      <c r="R715" s="1130"/>
      <c r="S715" s="1130"/>
      <c r="T715" s="1130"/>
      <c r="U715" s="1130"/>
      <c r="V715" s="1130"/>
      <c r="W715" s="1130"/>
      <c r="X715" s="1130"/>
      <c r="Y715" s="1130"/>
      <c r="Z715" s="1130"/>
      <c r="AA715" s="1130"/>
    </row>
    <row r="716" spans="1:27" ht="15.75" customHeight="1">
      <c r="A716" s="1130"/>
      <c r="B716" s="1130"/>
      <c r="C716" s="1130"/>
      <c r="D716" s="1130"/>
      <c r="E716" s="1130"/>
      <c r="F716" s="1130"/>
      <c r="G716" s="1130"/>
      <c r="H716" s="1130"/>
      <c r="I716" s="1130"/>
      <c r="J716" s="1130"/>
      <c r="K716" s="1130"/>
      <c r="L716" s="1130"/>
      <c r="M716" s="1130"/>
      <c r="N716" s="1130"/>
      <c r="O716" s="1130"/>
      <c r="P716" s="1130"/>
      <c r="Q716" s="1130"/>
      <c r="R716" s="1130"/>
      <c r="S716" s="1130"/>
      <c r="T716" s="1130"/>
      <c r="U716" s="1130"/>
      <c r="V716" s="1130"/>
      <c r="W716" s="1130"/>
      <c r="X716" s="1130"/>
      <c r="Y716" s="1130"/>
      <c r="Z716" s="1130"/>
      <c r="AA716" s="1130"/>
    </row>
    <row r="717" spans="1:27" ht="15.75" customHeight="1">
      <c r="A717" s="1130"/>
      <c r="B717" s="1130"/>
      <c r="C717" s="1130"/>
      <c r="D717" s="1130"/>
      <c r="E717" s="1130"/>
      <c r="F717" s="1130"/>
      <c r="G717" s="1130"/>
      <c r="H717" s="1130"/>
      <c r="I717" s="1130"/>
      <c r="J717" s="1130"/>
      <c r="K717" s="1130"/>
      <c r="L717" s="1130"/>
      <c r="M717" s="1130"/>
      <c r="N717" s="1130"/>
      <c r="O717" s="1130"/>
      <c r="P717" s="1130"/>
      <c r="Q717" s="1130"/>
      <c r="R717" s="1130"/>
      <c r="S717" s="1130"/>
      <c r="T717" s="1130"/>
      <c r="U717" s="1130"/>
      <c r="V717" s="1130"/>
      <c r="W717" s="1130"/>
      <c r="X717" s="1130"/>
      <c r="Y717" s="1130"/>
      <c r="Z717" s="1130"/>
      <c r="AA717" s="1130"/>
    </row>
    <row r="718" spans="1:27" ht="15.75" customHeight="1">
      <c r="A718" s="1130"/>
      <c r="B718" s="1130"/>
      <c r="C718" s="1130"/>
      <c r="D718" s="1130"/>
      <c r="E718" s="1130"/>
      <c r="F718" s="1130"/>
      <c r="G718" s="1130"/>
      <c r="H718" s="1130"/>
      <c r="I718" s="1130"/>
      <c r="J718" s="1130"/>
      <c r="K718" s="1130"/>
      <c r="L718" s="1130"/>
      <c r="M718" s="1130"/>
      <c r="N718" s="1130"/>
      <c r="O718" s="1130"/>
      <c r="P718" s="1130"/>
      <c r="Q718" s="1130"/>
      <c r="R718" s="1130"/>
      <c r="S718" s="1130"/>
      <c r="T718" s="1130"/>
      <c r="U718" s="1130"/>
      <c r="V718" s="1130"/>
      <c r="W718" s="1130"/>
      <c r="X718" s="1130"/>
      <c r="Y718" s="1130"/>
      <c r="Z718" s="1130"/>
      <c r="AA718" s="1130"/>
    </row>
    <row r="719" spans="1:27" ht="15.75" customHeight="1">
      <c r="A719" s="1130"/>
      <c r="B719" s="1130"/>
      <c r="C719" s="1130"/>
      <c r="D719" s="1130"/>
      <c r="E719" s="1130"/>
      <c r="F719" s="1130"/>
      <c r="G719" s="1130"/>
      <c r="H719" s="1130"/>
      <c r="I719" s="1130"/>
      <c r="J719" s="1130"/>
      <c r="K719" s="1130"/>
      <c r="L719" s="1130"/>
      <c r="M719" s="1130"/>
      <c r="N719" s="1130"/>
      <c r="O719" s="1130"/>
      <c r="P719" s="1130"/>
      <c r="Q719" s="1130"/>
      <c r="R719" s="1130"/>
      <c r="S719" s="1130"/>
      <c r="T719" s="1130"/>
      <c r="U719" s="1130"/>
      <c r="V719" s="1130"/>
      <c r="W719" s="1130"/>
      <c r="X719" s="1130"/>
      <c r="Y719" s="1130"/>
      <c r="Z719" s="1130"/>
      <c r="AA719" s="1130"/>
    </row>
    <row r="720" spans="1:27" ht="15.75" customHeight="1">
      <c r="A720" s="1130"/>
      <c r="B720" s="1130"/>
      <c r="C720" s="1130"/>
      <c r="D720" s="1130"/>
      <c r="E720" s="1130"/>
      <c r="F720" s="1130"/>
      <c r="G720" s="1130"/>
      <c r="H720" s="1130"/>
      <c r="I720" s="1130"/>
      <c r="J720" s="1130"/>
      <c r="K720" s="1130"/>
      <c r="L720" s="1130"/>
      <c r="M720" s="1130"/>
      <c r="N720" s="1130"/>
      <c r="O720" s="1130"/>
      <c r="P720" s="1130"/>
      <c r="Q720" s="1130"/>
      <c r="R720" s="1130"/>
      <c r="S720" s="1130"/>
      <c r="T720" s="1130"/>
      <c r="U720" s="1130"/>
      <c r="V720" s="1130"/>
      <c r="W720" s="1130"/>
      <c r="X720" s="1130"/>
      <c r="Y720" s="1130"/>
      <c r="Z720" s="1130"/>
      <c r="AA720" s="1130"/>
    </row>
    <row r="721" spans="1:27" ht="15.75" customHeight="1">
      <c r="A721" s="1130"/>
      <c r="B721" s="1130"/>
      <c r="C721" s="1130"/>
      <c r="D721" s="1130"/>
      <c r="E721" s="1130"/>
      <c r="F721" s="1130"/>
      <c r="G721" s="1130"/>
      <c r="H721" s="1130"/>
      <c r="I721" s="1130"/>
      <c r="J721" s="1130"/>
      <c r="K721" s="1130"/>
      <c r="L721" s="1130"/>
      <c r="M721" s="1130"/>
      <c r="N721" s="1130"/>
      <c r="O721" s="1130"/>
      <c r="P721" s="1130"/>
      <c r="Q721" s="1130"/>
      <c r="R721" s="1130"/>
      <c r="S721" s="1130"/>
      <c r="T721" s="1130"/>
      <c r="U721" s="1130"/>
      <c r="V721" s="1130"/>
      <c r="W721" s="1130"/>
      <c r="X721" s="1130"/>
      <c r="Y721" s="1130"/>
      <c r="Z721" s="1130"/>
      <c r="AA721" s="1130"/>
    </row>
    <row r="722" spans="1:27" ht="15.75" customHeight="1">
      <c r="A722" s="1130"/>
      <c r="B722" s="1130"/>
      <c r="C722" s="1130"/>
      <c r="D722" s="1130"/>
      <c r="E722" s="1130"/>
      <c r="F722" s="1130"/>
      <c r="G722" s="1130"/>
      <c r="H722" s="1130"/>
      <c r="I722" s="1130"/>
      <c r="J722" s="1130"/>
      <c r="K722" s="1130"/>
      <c r="L722" s="1130"/>
      <c r="M722" s="1130"/>
      <c r="N722" s="1130"/>
      <c r="O722" s="1130"/>
      <c r="P722" s="1130"/>
      <c r="Q722" s="1130"/>
      <c r="R722" s="1130"/>
      <c r="S722" s="1130"/>
      <c r="T722" s="1130"/>
      <c r="U722" s="1130"/>
      <c r="V722" s="1130"/>
      <c r="W722" s="1130"/>
      <c r="X722" s="1130"/>
      <c r="Y722" s="1130"/>
      <c r="Z722" s="1130"/>
      <c r="AA722" s="1130"/>
    </row>
    <row r="723" spans="1:27" ht="15.75" customHeight="1">
      <c r="A723" s="1130"/>
      <c r="B723" s="1130"/>
      <c r="C723" s="1130"/>
      <c r="D723" s="1130"/>
      <c r="E723" s="1130"/>
      <c r="F723" s="1130"/>
      <c r="G723" s="1130"/>
      <c r="H723" s="1130"/>
      <c r="I723" s="1130"/>
      <c r="J723" s="1130"/>
      <c r="K723" s="1130"/>
      <c r="L723" s="1130"/>
      <c r="M723" s="1130"/>
      <c r="N723" s="1130"/>
      <c r="O723" s="1130"/>
      <c r="P723" s="1130"/>
      <c r="Q723" s="1130"/>
      <c r="R723" s="1130"/>
      <c r="S723" s="1130"/>
      <c r="T723" s="1130"/>
      <c r="U723" s="1130"/>
      <c r="V723" s="1130"/>
      <c r="W723" s="1130"/>
      <c r="X723" s="1130"/>
      <c r="Y723" s="1130"/>
      <c r="Z723" s="1130"/>
      <c r="AA723" s="1130"/>
    </row>
    <row r="724" spans="1:27" ht="15.75" customHeight="1">
      <c r="A724" s="1130"/>
      <c r="B724" s="1130"/>
      <c r="C724" s="1130"/>
      <c r="D724" s="1130"/>
      <c r="E724" s="1130"/>
      <c r="F724" s="1130"/>
      <c r="G724" s="1130"/>
      <c r="H724" s="1130"/>
      <c r="I724" s="1130"/>
      <c r="J724" s="1130"/>
      <c r="K724" s="1130"/>
      <c r="L724" s="1130"/>
      <c r="M724" s="1130"/>
      <c r="N724" s="1130"/>
      <c r="O724" s="1130"/>
      <c r="P724" s="1130"/>
      <c r="Q724" s="1130"/>
      <c r="R724" s="1130"/>
      <c r="S724" s="1130"/>
      <c r="T724" s="1130"/>
      <c r="U724" s="1130"/>
      <c r="V724" s="1130"/>
      <c r="W724" s="1130"/>
      <c r="X724" s="1130"/>
      <c r="Y724" s="1130"/>
      <c r="Z724" s="1130"/>
      <c r="AA724" s="1130"/>
    </row>
    <row r="725" spans="1:27" ht="15.75" customHeight="1">
      <c r="A725" s="1130"/>
      <c r="B725" s="1130"/>
      <c r="C725" s="1130"/>
      <c r="D725" s="1130"/>
      <c r="E725" s="1130"/>
      <c r="F725" s="1130"/>
      <c r="G725" s="1130"/>
      <c r="H725" s="1130"/>
      <c r="I725" s="1130"/>
      <c r="J725" s="1130"/>
      <c r="K725" s="1130"/>
      <c r="L725" s="1130"/>
      <c r="M725" s="1130"/>
      <c r="N725" s="1130"/>
      <c r="O725" s="1130"/>
      <c r="P725" s="1130"/>
      <c r="Q725" s="1130"/>
      <c r="R725" s="1130"/>
      <c r="S725" s="1130"/>
      <c r="T725" s="1130"/>
      <c r="U725" s="1130"/>
      <c r="V725" s="1130"/>
      <c r="W725" s="1130"/>
      <c r="X725" s="1130"/>
      <c r="Y725" s="1130"/>
      <c r="Z725" s="1130"/>
      <c r="AA725" s="1130"/>
    </row>
    <row r="726" spans="1:27" ht="15.75" customHeight="1">
      <c r="A726" s="1130"/>
      <c r="B726" s="1130"/>
      <c r="C726" s="1130"/>
      <c r="D726" s="1130"/>
      <c r="E726" s="1130"/>
      <c r="F726" s="1130"/>
      <c r="G726" s="1130"/>
      <c r="H726" s="1130"/>
      <c r="I726" s="1130"/>
      <c r="J726" s="1130"/>
      <c r="K726" s="1130"/>
      <c r="L726" s="1130"/>
      <c r="M726" s="1130"/>
      <c r="N726" s="1130"/>
      <c r="O726" s="1130"/>
      <c r="P726" s="1130"/>
      <c r="Q726" s="1130"/>
      <c r="R726" s="1130"/>
      <c r="S726" s="1130"/>
      <c r="T726" s="1130"/>
      <c r="U726" s="1130"/>
      <c r="V726" s="1130"/>
      <c r="W726" s="1130"/>
      <c r="X726" s="1130"/>
      <c r="Y726" s="1130"/>
      <c r="Z726" s="1130"/>
      <c r="AA726" s="1130"/>
    </row>
    <row r="727" spans="1:27" ht="15.75" customHeight="1">
      <c r="A727" s="1130"/>
      <c r="B727" s="1130"/>
      <c r="C727" s="1130"/>
      <c r="D727" s="1130"/>
      <c r="E727" s="1130"/>
      <c r="F727" s="1130"/>
      <c r="G727" s="1130"/>
      <c r="H727" s="1130"/>
      <c r="I727" s="1130"/>
      <c r="J727" s="1130"/>
      <c r="K727" s="1130"/>
      <c r="L727" s="1130"/>
      <c r="M727" s="1130"/>
      <c r="N727" s="1130"/>
      <c r="O727" s="1130"/>
      <c r="P727" s="1130"/>
      <c r="Q727" s="1130"/>
      <c r="R727" s="1130"/>
      <c r="S727" s="1130"/>
      <c r="T727" s="1130"/>
      <c r="U727" s="1130"/>
      <c r="V727" s="1130"/>
      <c r="W727" s="1130"/>
      <c r="X727" s="1130"/>
      <c r="Y727" s="1130"/>
      <c r="Z727" s="1130"/>
      <c r="AA727" s="1130"/>
    </row>
    <row r="728" spans="1:27" ht="15.75" customHeight="1">
      <c r="A728" s="1130"/>
      <c r="B728" s="1130"/>
      <c r="C728" s="1130"/>
      <c r="D728" s="1130"/>
      <c r="E728" s="1130"/>
      <c r="F728" s="1130"/>
      <c r="G728" s="1130"/>
      <c r="H728" s="1130"/>
      <c r="I728" s="1130"/>
      <c r="J728" s="1130"/>
      <c r="K728" s="1130"/>
      <c r="L728" s="1130"/>
      <c r="M728" s="1130"/>
      <c r="N728" s="1130"/>
      <c r="O728" s="1130"/>
      <c r="P728" s="1130"/>
      <c r="Q728" s="1130"/>
      <c r="R728" s="1130"/>
      <c r="S728" s="1130"/>
      <c r="T728" s="1130"/>
      <c r="U728" s="1130"/>
      <c r="V728" s="1130"/>
      <c r="W728" s="1130"/>
      <c r="X728" s="1130"/>
      <c r="Y728" s="1130"/>
      <c r="Z728" s="1130"/>
      <c r="AA728" s="1130"/>
    </row>
    <row r="729" spans="1:27" ht="15.75" customHeight="1">
      <c r="A729" s="1130"/>
      <c r="B729" s="1130"/>
      <c r="C729" s="1130"/>
      <c r="D729" s="1130"/>
      <c r="E729" s="1130"/>
      <c r="F729" s="1130"/>
      <c r="G729" s="1130"/>
      <c r="H729" s="1130"/>
      <c r="I729" s="1130"/>
      <c r="J729" s="1130"/>
      <c r="K729" s="1130"/>
      <c r="L729" s="1130"/>
      <c r="M729" s="1130"/>
      <c r="N729" s="1130"/>
      <c r="O729" s="1130"/>
      <c r="P729" s="1130"/>
      <c r="Q729" s="1130"/>
      <c r="R729" s="1130"/>
      <c r="S729" s="1130"/>
      <c r="T729" s="1130"/>
      <c r="U729" s="1130"/>
      <c r="V729" s="1130"/>
      <c r="W729" s="1130"/>
      <c r="X729" s="1130"/>
      <c r="Y729" s="1130"/>
      <c r="Z729" s="1130"/>
      <c r="AA729" s="1130"/>
    </row>
    <row r="730" spans="1:27" ht="15.75" customHeight="1">
      <c r="A730" s="1130"/>
      <c r="B730" s="1130"/>
      <c r="C730" s="1130"/>
      <c r="D730" s="1130"/>
      <c r="E730" s="1130"/>
      <c r="F730" s="1130"/>
      <c r="G730" s="1130"/>
      <c r="H730" s="1130"/>
      <c r="I730" s="1130"/>
      <c r="J730" s="1130"/>
      <c r="K730" s="1130"/>
      <c r="L730" s="1130"/>
      <c r="M730" s="1130"/>
      <c r="N730" s="1130"/>
      <c r="O730" s="1130"/>
      <c r="P730" s="1130"/>
      <c r="Q730" s="1130"/>
      <c r="R730" s="1130"/>
      <c r="S730" s="1130"/>
      <c r="T730" s="1130"/>
      <c r="U730" s="1130"/>
      <c r="V730" s="1130"/>
      <c r="W730" s="1130"/>
      <c r="X730" s="1130"/>
      <c r="Y730" s="1130"/>
      <c r="Z730" s="1130"/>
      <c r="AA730" s="1130"/>
    </row>
    <row r="731" spans="1:27" ht="15.75" customHeight="1">
      <c r="A731" s="1130"/>
      <c r="B731" s="1130"/>
      <c r="C731" s="1130"/>
      <c r="D731" s="1130"/>
      <c r="E731" s="1130"/>
      <c r="F731" s="1130"/>
      <c r="G731" s="1130"/>
      <c r="H731" s="1130"/>
      <c r="I731" s="1130"/>
      <c r="J731" s="1130"/>
      <c r="K731" s="1130"/>
      <c r="L731" s="1130"/>
      <c r="M731" s="1130"/>
      <c r="N731" s="1130"/>
      <c r="O731" s="1130"/>
      <c r="P731" s="1130"/>
      <c r="Q731" s="1130"/>
      <c r="R731" s="1130"/>
      <c r="S731" s="1130"/>
      <c r="T731" s="1130"/>
      <c r="U731" s="1130"/>
      <c r="V731" s="1130"/>
      <c r="W731" s="1130"/>
      <c r="X731" s="1130"/>
      <c r="Y731" s="1130"/>
      <c r="Z731" s="1130"/>
      <c r="AA731" s="1130"/>
    </row>
    <row r="732" spans="1:27" ht="15.75" customHeight="1">
      <c r="A732" s="1130"/>
      <c r="B732" s="1130"/>
      <c r="C732" s="1130"/>
      <c r="D732" s="1130"/>
      <c r="E732" s="1130"/>
      <c r="F732" s="1130"/>
      <c r="G732" s="1130"/>
      <c r="H732" s="1130"/>
      <c r="I732" s="1130"/>
      <c r="J732" s="1130"/>
      <c r="K732" s="1130"/>
      <c r="L732" s="1130"/>
      <c r="M732" s="1130"/>
      <c r="N732" s="1130"/>
      <c r="O732" s="1130"/>
      <c r="P732" s="1130"/>
      <c r="Q732" s="1130"/>
      <c r="R732" s="1130"/>
      <c r="S732" s="1130"/>
      <c r="T732" s="1130"/>
      <c r="U732" s="1130"/>
      <c r="V732" s="1130"/>
      <c r="W732" s="1130"/>
      <c r="X732" s="1130"/>
      <c r="Y732" s="1130"/>
      <c r="Z732" s="1130"/>
      <c r="AA732" s="1130"/>
    </row>
    <row r="733" spans="1:27" ht="15.75" customHeight="1">
      <c r="A733" s="1130"/>
      <c r="B733" s="1130"/>
      <c r="C733" s="1130"/>
      <c r="D733" s="1130"/>
      <c r="E733" s="1130"/>
      <c r="F733" s="1130"/>
      <c r="G733" s="1130"/>
      <c r="H733" s="1130"/>
      <c r="I733" s="1130"/>
      <c r="J733" s="1130"/>
      <c r="K733" s="1130"/>
      <c r="L733" s="1130"/>
      <c r="M733" s="1130"/>
      <c r="N733" s="1130"/>
      <c r="O733" s="1130"/>
      <c r="P733" s="1130"/>
      <c r="Q733" s="1130"/>
      <c r="R733" s="1130"/>
      <c r="S733" s="1130"/>
      <c r="T733" s="1130"/>
      <c r="U733" s="1130"/>
      <c r="V733" s="1130"/>
      <c r="W733" s="1130"/>
      <c r="X733" s="1130"/>
      <c r="Y733" s="1130"/>
      <c r="Z733" s="1130"/>
      <c r="AA733" s="1130"/>
    </row>
    <row r="734" spans="1:27" ht="15.75" customHeight="1">
      <c r="A734" s="1130"/>
      <c r="B734" s="1130"/>
      <c r="C734" s="1130"/>
      <c r="D734" s="1130"/>
      <c r="E734" s="1130"/>
      <c r="F734" s="1130"/>
      <c r="G734" s="1130"/>
      <c r="H734" s="1130"/>
      <c r="I734" s="1130"/>
      <c r="J734" s="1130"/>
      <c r="K734" s="1130"/>
      <c r="L734" s="1130"/>
      <c r="M734" s="1130"/>
      <c r="N734" s="1130"/>
      <c r="O734" s="1130"/>
      <c r="P734" s="1130"/>
      <c r="Q734" s="1130"/>
      <c r="R734" s="1130"/>
      <c r="S734" s="1130"/>
      <c r="T734" s="1130"/>
      <c r="U734" s="1130"/>
      <c r="V734" s="1130"/>
      <c r="W734" s="1130"/>
      <c r="X734" s="1130"/>
      <c r="Y734" s="1130"/>
      <c r="Z734" s="1130"/>
      <c r="AA734" s="1130"/>
    </row>
    <row r="735" spans="1:27" ht="15.75" customHeight="1">
      <c r="A735" s="1130"/>
      <c r="B735" s="1130"/>
      <c r="C735" s="1130"/>
      <c r="D735" s="1130"/>
      <c r="E735" s="1130"/>
      <c r="F735" s="1130"/>
      <c r="G735" s="1130"/>
      <c r="H735" s="1130"/>
      <c r="I735" s="1130"/>
      <c r="J735" s="1130"/>
      <c r="K735" s="1130"/>
      <c r="L735" s="1130"/>
      <c r="M735" s="1130"/>
      <c r="N735" s="1130"/>
      <c r="O735" s="1130"/>
      <c r="P735" s="1130"/>
      <c r="Q735" s="1130"/>
      <c r="R735" s="1130"/>
      <c r="S735" s="1130"/>
      <c r="T735" s="1130"/>
      <c r="U735" s="1130"/>
      <c r="V735" s="1130"/>
      <c r="W735" s="1130"/>
      <c r="X735" s="1130"/>
      <c r="Y735" s="1130"/>
      <c r="Z735" s="1130"/>
      <c r="AA735" s="1130"/>
    </row>
    <row r="736" spans="1:27" ht="15.75" customHeight="1">
      <c r="A736" s="1130"/>
      <c r="B736" s="1130"/>
      <c r="C736" s="1130"/>
      <c r="D736" s="1130"/>
      <c r="E736" s="1130"/>
      <c r="F736" s="1130"/>
      <c r="G736" s="1130"/>
      <c r="H736" s="1130"/>
      <c r="I736" s="1130"/>
      <c r="J736" s="1130"/>
      <c r="K736" s="1130"/>
      <c r="L736" s="1130"/>
      <c r="M736" s="1130"/>
      <c r="N736" s="1130"/>
      <c r="O736" s="1130"/>
      <c r="P736" s="1130"/>
      <c r="Q736" s="1130"/>
      <c r="R736" s="1130"/>
      <c r="S736" s="1130"/>
      <c r="T736" s="1130"/>
      <c r="U736" s="1130"/>
      <c r="V736" s="1130"/>
      <c r="W736" s="1130"/>
      <c r="X736" s="1130"/>
      <c r="Y736" s="1130"/>
      <c r="Z736" s="1130"/>
      <c r="AA736" s="1130"/>
    </row>
    <row r="737" spans="1:27" ht="15.75" customHeight="1">
      <c r="A737" s="1130"/>
      <c r="B737" s="1130"/>
      <c r="C737" s="1130"/>
      <c r="D737" s="1130"/>
      <c r="E737" s="1130"/>
      <c r="F737" s="1130"/>
      <c r="G737" s="1130"/>
      <c r="H737" s="1130"/>
      <c r="I737" s="1130"/>
      <c r="J737" s="1130"/>
      <c r="K737" s="1130"/>
      <c r="L737" s="1130"/>
      <c r="M737" s="1130"/>
      <c r="N737" s="1130"/>
      <c r="O737" s="1130"/>
      <c r="P737" s="1130"/>
      <c r="Q737" s="1130"/>
      <c r="R737" s="1130"/>
      <c r="S737" s="1130"/>
      <c r="T737" s="1130"/>
      <c r="U737" s="1130"/>
      <c r="V737" s="1130"/>
      <c r="W737" s="1130"/>
      <c r="X737" s="1130"/>
      <c r="Y737" s="1130"/>
      <c r="Z737" s="1130"/>
      <c r="AA737" s="1130"/>
    </row>
    <row r="738" spans="1:27" ht="15.75" customHeight="1">
      <c r="A738" s="1130"/>
      <c r="B738" s="1130"/>
      <c r="C738" s="1130"/>
      <c r="D738" s="1130"/>
      <c r="E738" s="1130"/>
      <c r="F738" s="1130"/>
      <c r="G738" s="1130"/>
      <c r="H738" s="1130"/>
      <c r="I738" s="1130"/>
      <c r="J738" s="1130"/>
      <c r="K738" s="1130"/>
      <c r="L738" s="1130"/>
      <c r="M738" s="1130"/>
      <c r="N738" s="1130"/>
      <c r="O738" s="1130"/>
      <c r="P738" s="1130"/>
      <c r="Q738" s="1130"/>
      <c r="R738" s="1130"/>
      <c r="S738" s="1130"/>
      <c r="T738" s="1130"/>
      <c r="U738" s="1130"/>
      <c r="V738" s="1130"/>
      <c r="W738" s="1130"/>
      <c r="X738" s="1130"/>
      <c r="Y738" s="1130"/>
      <c r="Z738" s="1130"/>
      <c r="AA738" s="1130"/>
    </row>
    <row r="739" spans="1:27" ht="15.75" customHeight="1">
      <c r="A739" s="1130"/>
      <c r="B739" s="1130"/>
      <c r="C739" s="1130"/>
      <c r="D739" s="1130"/>
      <c r="E739" s="1130"/>
      <c r="F739" s="1130"/>
      <c r="G739" s="1130"/>
      <c r="H739" s="1130"/>
      <c r="I739" s="1130"/>
      <c r="J739" s="1130"/>
      <c r="K739" s="1130"/>
      <c r="L739" s="1130"/>
      <c r="M739" s="1130"/>
      <c r="N739" s="1130"/>
      <c r="O739" s="1130"/>
      <c r="P739" s="1130"/>
      <c r="Q739" s="1130"/>
      <c r="R739" s="1130"/>
      <c r="S739" s="1130"/>
      <c r="T739" s="1130"/>
      <c r="U739" s="1130"/>
      <c r="V739" s="1130"/>
      <c r="W739" s="1130"/>
      <c r="X739" s="1130"/>
      <c r="Y739" s="1130"/>
      <c r="Z739" s="1130"/>
      <c r="AA739" s="1130"/>
    </row>
    <row r="740" spans="1:27" ht="15.75" customHeight="1">
      <c r="A740" s="1130"/>
      <c r="B740" s="1130"/>
      <c r="C740" s="1130"/>
      <c r="D740" s="1130"/>
      <c r="E740" s="1130"/>
      <c r="F740" s="1130"/>
      <c r="G740" s="1130"/>
      <c r="H740" s="1130"/>
      <c r="I740" s="1130"/>
      <c r="J740" s="1130"/>
      <c r="K740" s="1130"/>
      <c r="L740" s="1130"/>
      <c r="M740" s="1130"/>
      <c r="N740" s="1130"/>
      <c r="O740" s="1130"/>
      <c r="P740" s="1130"/>
      <c r="Q740" s="1130"/>
      <c r="R740" s="1130"/>
      <c r="S740" s="1130"/>
      <c r="T740" s="1130"/>
      <c r="U740" s="1130"/>
      <c r="V740" s="1130"/>
      <c r="W740" s="1130"/>
      <c r="X740" s="1130"/>
      <c r="Y740" s="1130"/>
      <c r="Z740" s="1130"/>
      <c r="AA740" s="1130"/>
    </row>
    <row r="741" spans="1:27" ht="15.75" customHeight="1">
      <c r="A741" s="1130"/>
      <c r="B741" s="1130"/>
      <c r="C741" s="1130"/>
      <c r="D741" s="1130"/>
      <c r="E741" s="1130"/>
      <c r="F741" s="1130"/>
      <c r="G741" s="1130"/>
      <c r="H741" s="1130"/>
      <c r="I741" s="1130"/>
      <c r="J741" s="1130"/>
      <c r="K741" s="1130"/>
      <c r="L741" s="1130"/>
      <c r="M741" s="1130"/>
      <c r="N741" s="1130"/>
      <c r="O741" s="1130"/>
      <c r="P741" s="1130"/>
      <c r="Q741" s="1130"/>
      <c r="R741" s="1130"/>
      <c r="S741" s="1130"/>
      <c r="T741" s="1130"/>
      <c r="U741" s="1130"/>
      <c r="V741" s="1130"/>
      <c r="W741" s="1130"/>
      <c r="X741" s="1130"/>
      <c r="Y741" s="1130"/>
      <c r="Z741" s="1130"/>
      <c r="AA741" s="1130"/>
    </row>
    <row r="742" spans="1:27" ht="15.75" customHeight="1">
      <c r="A742" s="1130"/>
      <c r="B742" s="1130"/>
      <c r="C742" s="1130"/>
      <c r="D742" s="1130"/>
      <c r="E742" s="1130"/>
      <c r="F742" s="1130"/>
      <c r="G742" s="1130"/>
      <c r="H742" s="1130"/>
      <c r="I742" s="1130"/>
      <c r="J742" s="1130"/>
      <c r="K742" s="1130"/>
      <c r="L742" s="1130"/>
      <c r="M742" s="1130"/>
      <c r="N742" s="1130"/>
      <c r="O742" s="1130"/>
      <c r="P742" s="1130"/>
      <c r="Q742" s="1130"/>
      <c r="R742" s="1130"/>
      <c r="S742" s="1130"/>
      <c r="T742" s="1130"/>
      <c r="U742" s="1130"/>
      <c r="V742" s="1130"/>
      <c r="W742" s="1130"/>
      <c r="X742" s="1130"/>
      <c r="Y742" s="1130"/>
      <c r="Z742" s="1130"/>
      <c r="AA742" s="1130"/>
    </row>
    <row r="743" spans="1:27" ht="15.75" customHeight="1">
      <c r="A743" s="1130"/>
      <c r="B743" s="1130"/>
      <c r="C743" s="1130"/>
      <c r="D743" s="1130"/>
      <c r="E743" s="1130"/>
      <c r="F743" s="1130"/>
      <c r="G743" s="1130"/>
      <c r="H743" s="1130"/>
      <c r="I743" s="1130"/>
      <c r="J743" s="1130"/>
      <c r="K743" s="1130"/>
      <c r="L743" s="1130"/>
      <c r="M743" s="1130"/>
      <c r="N743" s="1130"/>
      <c r="O743" s="1130"/>
      <c r="P743" s="1130"/>
      <c r="Q743" s="1130"/>
      <c r="R743" s="1130"/>
      <c r="S743" s="1130"/>
      <c r="T743" s="1130"/>
      <c r="U743" s="1130"/>
      <c r="V743" s="1130"/>
      <c r="W743" s="1130"/>
      <c r="X743" s="1130"/>
      <c r="Y743" s="1130"/>
      <c r="Z743" s="1130"/>
      <c r="AA743" s="1130"/>
    </row>
    <row r="744" spans="1:27" ht="15.75" customHeight="1">
      <c r="A744" s="1130"/>
      <c r="B744" s="1130"/>
      <c r="C744" s="1130"/>
      <c r="D744" s="1130"/>
      <c r="E744" s="1130"/>
      <c r="F744" s="1130"/>
      <c r="G744" s="1130"/>
      <c r="H744" s="1130"/>
      <c r="I744" s="1130"/>
      <c r="J744" s="1130"/>
      <c r="K744" s="1130"/>
      <c r="L744" s="1130"/>
      <c r="M744" s="1130"/>
      <c r="N744" s="1130"/>
      <c r="O744" s="1130"/>
      <c r="P744" s="1130"/>
      <c r="Q744" s="1130"/>
      <c r="R744" s="1130"/>
      <c r="S744" s="1130"/>
      <c r="T744" s="1130"/>
      <c r="U744" s="1130"/>
      <c r="V744" s="1130"/>
      <c r="W744" s="1130"/>
      <c r="X744" s="1130"/>
      <c r="Y744" s="1130"/>
      <c r="Z744" s="1130"/>
      <c r="AA744" s="1130"/>
    </row>
    <row r="745" spans="1:27" ht="15.75" customHeight="1">
      <c r="A745" s="1130"/>
      <c r="B745" s="1130"/>
      <c r="C745" s="1130"/>
      <c r="D745" s="1130"/>
      <c r="E745" s="1130"/>
      <c r="F745" s="1130"/>
      <c r="G745" s="1130"/>
      <c r="H745" s="1130"/>
      <c r="I745" s="1130"/>
      <c r="J745" s="1130"/>
      <c r="K745" s="1130"/>
      <c r="L745" s="1130"/>
      <c r="M745" s="1130"/>
      <c r="N745" s="1130"/>
      <c r="O745" s="1130"/>
      <c r="P745" s="1130"/>
      <c r="Q745" s="1130"/>
      <c r="R745" s="1130"/>
      <c r="S745" s="1130"/>
      <c r="T745" s="1130"/>
      <c r="U745" s="1130"/>
      <c r="V745" s="1130"/>
      <c r="W745" s="1130"/>
      <c r="X745" s="1130"/>
      <c r="Y745" s="1130"/>
      <c r="Z745" s="1130"/>
      <c r="AA745" s="1130"/>
    </row>
    <row r="746" spans="1:27" ht="15.75" customHeight="1">
      <c r="A746" s="1130"/>
      <c r="B746" s="1130"/>
      <c r="C746" s="1130"/>
      <c r="D746" s="1130"/>
      <c r="E746" s="1130"/>
      <c r="F746" s="1130"/>
      <c r="G746" s="1130"/>
      <c r="H746" s="1130"/>
      <c r="I746" s="1130"/>
      <c r="J746" s="1130"/>
      <c r="K746" s="1130"/>
      <c r="L746" s="1130"/>
      <c r="M746" s="1130"/>
      <c r="N746" s="1130"/>
      <c r="O746" s="1130"/>
      <c r="P746" s="1130"/>
      <c r="Q746" s="1130"/>
      <c r="R746" s="1130"/>
      <c r="S746" s="1130"/>
      <c r="T746" s="1130"/>
      <c r="U746" s="1130"/>
      <c r="V746" s="1130"/>
      <c r="W746" s="1130"/>
      <c r="X746" s="1130"/>
      <c r="Y746" s="1130"/>
      <c r="Z746" s="1130"/>
      <c r="AA746" s="1130"/>
    </row>
    <row r="747" spans="1:27" ht="15.75" customHeight="1">
      <c r="A747" s="1130"/>
      <c r="B747" s="1130"/>
      <c r="C747" s="1130"/>
      <c r="D747" s="1130"/>
      <c r="E747" s="1130"/>
      <c r="F747" s="1130"/>
      <c r="G747" s="1130"/>
      <c r="H747" s="1130"/>
      <c r="I747" s="1130"/>
      <c r="J747" s="1130"/>
      <c r="K747" s="1130"/>
      <c r="L747" s="1130"/>
      <c r="M747" s="1130"/>
      <c r="N747" s="1130"/>
      <c r="O747" s="1130"/>
      <c r="P747" s="1130"/>
      <c r="Q747" s="1130"/>
      <c r="R747" s="1130"/>
      <c r="S747" s="1130"/>
      <c r="T747" s="1130"/>
      <c r="U747" s="1130"/>
      <c r="V747" s="1130"/>
      <c r="W747" s="1130"/>
      <c r="X747" s="1130"/>
      <c r="Y747" s="1130"/>
      <c r="Z747" s="1130"/>
      <c r="AA747" s="1130"/>
    </row>
    <row r="748" spans="1:27" ht="15.75" customHeight="1">
      <c r="A748" s="1130"/>
      <c r="B748" s="1130"/>
      <c r="C748" s="1130"/>
      <c r="D748" s="1130"/>
      <c r="E748" s="1130"/>
      <c r="F748" s="1130"/>
      <c r="G748" s="1130"/>
      <c r="H748" s="1130"/>
      <c r="I748" s="1130"/>
      <c r="J748" s="1130"/>
      <c r="K748" s="1130"/>
      <c r="L748" s="1130"/>
      <c r="M748" s="1130"/>
      <c r="N748" s="1130"/>
      <c r="O748" s="1130"/>
      <c r="P748" s="1130"/>
      <c r="Q748" s="1130"/>
      <c r="R748" s="1130"/>
      <c r="S748" s="1130"/>
      <c r="T748" s="1130"/>
      <c r="U748" s="1130"/>
      <c r="V748" s="1130"/>
      <c r="W748" s="1130"/>
      <c r="X748" s="1130"/>
      <c r="Y748" s="1130"/>
      <c r="Z748" s="1130"/>
      <c r="AA748" s="1130"/>
    </row>
    <row r="749" spans="1:27" ht="15.75" customHeight="1">
      <c r="A749" s="1130"/>
      <c r="B749" s="1130"/>
      <c r="C749" s="1130"/>
      <c r="D749" s="1130"/>
      <c r="E749" s="1130"/>
      <c r="F749" s="1130"/>
      <c r="G749" s="1130"/>
      <c r="H749" s="1130"/>
      <c r="I749" s="1130"/>
      <c r="J749" s="1130"/>
      <c r="K749" s="1130"/>
      <c r="L749" s="1130"/>
      <c r="M749" s="1130"/>
      <c r="N749" s="1130"/>
      <c r="O749" s="1130"/>
      <c r="P749" s="1130"/>
      <c r="Q749" s="1130"/>
      <c r="R749" s="1130"/>
      <c r="S749" s="1130"/>
      <c r="T749" s="1130"/>
      <c r="U749" s="1130"/>
      <c r="V749" s="1130"/>
      <c r="W749" s="1130"/>
      <c r="X749" s="1130"/>
      <c r="Y749" s="1130"/>
      <c r="Z749" s="1130"/>
      <c r="AA749" s="1130"/>
    </row>
    <row r="750" spans="1:27" ht="15.75" customHeight="1">
      <c r="A750" s="1130"/>
      <c r="B750" s="1130"/>
      <c r="C750" s="1130"/>
      <c r="D750" s="1130"/>
      <c r="E750" s="1130"/>
      <c r="F750" s="1130"/>
      <c r="G750" s="1130"/>
      <c r="H750" s="1130"/>
      <c r="I750" s="1130"/>
      <c r="J750" s="1130"/>
      <c r="K750" s="1130"/>
      <c r="L750" s="1130"/>
      <c r="M750" s="1130"/>
      <c r="N750" s="1130"/>
      <c r="O750" s="1130"/>
      <c r="P750" s="1130"/>
      <c r="Q750" s="1130"/>
      <c r="R750" s="1130"/>
      <c r="S750" s="1130"/>
      <c r="T750" s="1130"/>
      <c r="U750" s="1130"/>
      <c r="V750" s="1130"/>
      <c r="W750" s="1130"/>
      <c r="X750" s="1130"/>
      <c r="Y750" s="1130"/>
      <c r="Z750" s="1130"/>
      <c r="AA750" s="1130"/>
    </row>
    <row r="751" spans="1:27" ht="15.75" customHeight="1">
      <c r="A751" s="1130"/>
      <c r="B751" s="1130"/>
      <c r="C751" s="1130"/>
      <c r="D751" s="1130"/>
      <c r="E751" s="1130"/>
      <c r="F751" s="1130"/>
      <c r="G751" s="1130"/>
      <c r="H751" s="1130"/>
      <c r="I751" s="1130"/>
      <c r="J751" s="1130"/>
      <c r="K751" s="1130"/>
      <c r="L751" s="1130"/>
      <c r="M751" s="1130"/>
      <c r="N751" s="1130"/>
      <c r="O751" s="1130"/>
      <c r="P751" s="1130"/>
      <c r="Q751" s="1130"/>
      <c r="R751" s="1130"/>
      <c r="S751" s="1130"/>
      <c r="T751" s="1130"/>
      <c r="U751" s="1130"/>
      <c r="V751" s="1130"/>
      <c r="W751" s="1130"/>
      <c r="X751" s="1130"/>
      <c r="Y751" s="1130"/>
      <c r="Z751" s="1130"/>
      <c r="AA751" s="1130"/>
    </row>
    <row r="752" spans="1:27" ht="15.75" customHeight="1">
      <c r="A752" s="1130"/>
      <c r="B752" s="1130"/>
      <c r="C752" s="1130"/>
      <c r="D752" s="1130"/>
      <c r="E752" s="1130"/>
      <c r="F752" s="1130"/>
      <c r="G752" s="1130"/>
      <c r="H752" s="1130"/>
      <c r="I752" s="1130"/>
      <c r="J752" s="1130"/>
      <c r="K752" s="1130"/>
      <c r="L752" s="1130"/>
      <c r="M752" s="1130"/>
      <c r="N752" s="1130"/>
      <c r="O752" s="1130"/>
      <c r="P752" s="1130"/>
      <c r="Q752" s="1130"/>
      <c r="R752" s="1130"/>
      <c r="S752" s="1130"/>
      <c r="T752" s="1130"/>
      <c r="U752" s="1130"/>
      <c r="V752" s="1130"/>
      <c r="W752" s="1130"/>
      <c r="X752" s="1130"/>
      <c r="Y752" s="1130"/>
      <c r="Z752" s="1130"/>
      <c r="AA752" s="1130"/>
    </row>
    <row r="753" spans="1:27" ht="15.75" customHeight="1">
      <c r="A753" s="1130"/>
      <c r="B753" s="1130"/>
      <c r="C753" s="1130"/>
      <c r="D753" s="1130"/>
      <c r="E753" s="1130"/>
      <c r="F753" s="1130"/>
      <c r="G753" s="1130"/>
      <c r="H753" s="1130"/>
      <c r="I753" s="1130"/>
      <c r="J753" s="1130"/>
      <c r="K753" s="1130"/>
      <c r="L753" s="1130"/>
      <c r="M753" s="1130"/>
      <c r="N753" s="1130"/>
      <c r="O753" s="1130"/>
      <c r="P753" s="1130"/>
      <c r="Q753" s="1130"/>
      <c r="R753" s="1130"/>
      <c r="S753" s="1130"/>
      <c r="T753" s="1130"/>
      <c r="U753" s="1130"/>
      <c r="V753" s="1130"/>
      <c r="W753" s="1130"/>
      <c r="X753" s="1130"/>
      <c r="Y753" s="1130"/>
      <c r="Z753" s="1130"/>
      <c r="AA753" s="1130"/>
    </row>
    <row r="754" spans="1:27" ht="15.75" customHeight="1">
      <c r="A754" s="1130"/>
      <c r="B754" s="1130"/>
      <c r="C754" s="1130"/>
      <c r="D754" s="1130"/>
      <c r="E754" s="1130"/>
      <c r="F754" s="1130"/>
      <c r="G754" s="1130"/>
      <c r="H754" s="1130"/>
      <c r="I754" s="1130"/>
      <c r="J754" s="1130"/>
      <c r="K754" s="1130"/>
      <c r="L754" s="1130"/>
      <c r="M754" s="1130"/>
      <c r="N754" s="1130"/>
      <c r="O754" s="1130"/>
      <c r="P754" s="1130"/>
      <c r="Q754" s="1130"/>
      <c r="R754" s="1130"/>
      <c r="S754" s="1130"/>
      <c r="T754" s="1130"/>
      <c r="U754" s="1130"/>
      <c r="V754" s="1130"/>
      <c r="W754" s="1130"/>
      <c r="X754" s="1130"/>
      <c r="Y754" s="1130"/>
      <c r="Z754" s="1130"/>
      <c r="AA754" s="1130"/>
    </row>
    <row r="755" spans="1:27" ht="15.75" customHeight="1">
      <c r="A755" s="1130"/>
      <c r="B755" s="1130"/>
      <c r="C755" s="1130"/>
      <c r="D755" s="1130"/>
      <c r="E755" s="1130"/>
      <c r="F755" s="1130"/>
      <c r="G755" s="1130"/>
      <c r="H755" s="1130"/>
      <c r="I755" s="1130"/>
      <c r="J755" s="1130"/>
      <c r="K755" s="1130"/>
      <c r="L755" s="1130"/>
      <c r="M755" s="1130"/>
      <c r="N755" s="1130"/>
      <c r="O755" s="1130"/>
      <c r="P755" s="1130"/>
      <c r="Q755" s="1130"/>
      <c r="R755" s="1130"/>
      <c r="S755" s="1130"/>
      <c r="T755" s="1130"/>
      <c r="U755" s="1130"/>
      <c r="V755" s="1130"/>
      <c r="W755" s="1130"/>
      <c r="X755" s="1130"/>
      <c r="Y755" s="1130"/>
      <c r="Z755" s="1130"/>
      <c r="AA755" s="1130"/>
    </row>
    <row r="756" spans="1:27" ht="15.75" customHeight="1">
      <c r="A756" s="1130"/>
      <c r="B756" s="1130"/>
      <c r="C756" s="1130"/>
      <c r="D756" s="1130"/>
      <c r="E756" s="1130"/>
      <c r="F756" s="1130"/>
      <c r="G756" s="1130"/>
      <c r="H756" s="1130"/>
      <c r="I756" s="1130"/>
      <c r="J756" s="1130"/>
      <c r="K756" s="1130"/>
      <c r="L756" s="1130"/>
      <c r="M756" s="1130"/>
      <c r="N756" s="1130"/>
      <c r="O756" s="1130"/>
      <c r="P756" s="1130"/>
      <c r="Q756" s="1130"/>
      <c r="R756" s="1130"/>
      <c r="S756" s="1130"/>
      <c r="T756" s="1130"/>
      <c r="U756" s="1130"/>
      <c r="V756" s="1130"/>
      <c r="W756" s="1130"/>
      <c r="X756" s="1130"/>
      <c r="Y756" s="1130"/>
      <c r="Z756" s="1130"/>
      <c r="AA756" s="1130"/>
    </row>
    <row r="757" spans="1:27" ht="15.75" customHeight="1">
      <c r="A757" s="1130"/>
      <c r="B757" s="1130"/>
      <c r="C757" s="1130"/>
      <c r="D757" s="1130"/>
      <c r="E757" s="1130"/>
      <c r="F757" s="1130"/>
      <c r="G757" s="1130"/>
      <c r="H757" s="1130"/>
      <c r="I757" s="1130"/>
      <c r="J757" s="1130"/>
      <c r="K757" s="1130"/>
      <c r="L757" s="1130"/>
      <c r="M757" s="1130"/>
      <c r="N757" s="1130"/>
      <c r="O757" s="1130"/>
      <c r="P757" s="1130"/>
      <c r="Q757" s="1130"/>
      <c r="R757" s="1130"/>
      <c r="S757" s="1130"/>
      <c r="T757" s="1130"/>
      <c r="U757" s="1130"/>
      <c r="V757" s="1130"/>
      <c r="W757" s="1130"/>
      <c r="X757" s="1130"/>
      <c r="Y757" s="1130"/>
      <c r="Z757" s="1130"/>
      <c r="AA757" s="1130"/>
    </row>
    <row r="758" spans="1:27" ht="15.75" customHeight="1">
      <c r="A758" s="1130"/>
      <c r="B758" s="1130"/>
      <c r="C758" s="1130"/>
      <c r="D758" s="1130"/>
      <c r="E758" s="1130"/>
      <c r="F758" s="1130"/>
      <c r="G758" s="1130"/>
      <c r="H758" s="1130"/>
      <c r="I758" s="1130"/>
      <c r="J758" s="1130"/>
      <c r="K758" s="1130"/>
      <c r="L758" s="1130"/>
      <c r="M758" s="1130"/>
      <c r="N758" s="1130"/>
      <c r="O758" s="1130"/>
      <c r="P758" s="1130"/>
      <c r="Q758" s="1130"/>
      <c r="R758" s="1130"/>
      <c r="S758" s="1130"/>
      <c r="T758" s="1130"/>
      <c r="U758" s="1130"/>
      <c r="V758" s="1130"/>
      <c r="W758" s="1130"/>
      <c r="X758" s="1130"/>
      <c r="Y758" s="1130"/>
      <c r="Z758" s="1130"/>
      <c r="AA758" s="1130"/>
    </row>
    <row r="759" spans="1:27" ht="15.75" customHeight="1">
      <c r="A759" s="1130"/>
      <c r="B759" s="1130"/>
      <c r="C759" s="1130"/>
      <c r="D759" s="1130"/>
      <c r="E759" s="1130"/>
      <c r="F759" s="1130"/>
      <c r="G759" s="1130"/>
      <c r="H759" s="1130"/>
      <c r="I759" s="1130"/>
      <c r="J759" s="1130"/>
      <c r="K759" s="1130"/>
      <c r="L759" s="1130"/>
      <c r="M759" s="1130"/>
      <c r="N759" s="1130"/>
      <c r="O759" s="1130"/>
      <c r="P759" s="1130"/>
      <c r="Q759" s="1130"/>
      <c r="R759" s="1130"/>
      <c r="S759" s="1130"/>
      <c r="T759" s="1130"/>
      <c r="U759" s="1130"/>
      <c r="V759" s="1130"/>
      <c r="W759" s="1130"/>
      <c r="X759" s="1130"/>
      <c r="Y759" s="1130"/>
      <c r="Z759" s="1130"/>
      <c r="AA759" s="1130"/>
    </row>
    <row r="760" spans="1:27" ht="15.75" customHeight="1">
      <c r="A760" s="1130"/>
      <c r="B760" s="1130"/>
      <c r="C760" s="1130"/>
      <c r="D760" s="1130"/>
      <c r="E760" s="1130"/>
      <c r="F760" s="1130"/>
      <c r="G760" s="1130"/>
      <c r="H760" s="1130"/>
      <c r="I760" s="1130"/>
      <c r="J760" s="1130"/>
      <c r="K760" s="1130"/>
      <c r="L760" s="1130"/>
      <c r="M760" s="1130"/>
      <c r="N760" s="1130"/>
      <c r="O760" s="1130"/>
      <c r="P760" s="1130"/>
      <c r="Q760" s="1130"/>
      <c r="R760" s="1130"/>
      <c r="S760" s="1130"/>
      <c r="T760" s="1130"/>
      <c r="U760" s="1130"/>
      <c r="V760" s="1130"/>
      <c r="W760" s="1130"/>
      <c r="X760" s="1130"/>
      <c r="Y760" s="1130"/>
      <c r="Z760" s="1130"/>
      <c r="AA760" s="1130"/>
    </row>
    <row r="761" spans="1:27" ht="15.75" customHeight="1">
      <c r="A761" s="1130"/>
      <c r="B761" s="1130"/>
      <c r="C761" s="1130"/>
      <c r="D761" s="1130"/>
      <c r="E761" s="1130"/>
      <c r="F761" s="1130"/>
      <c r="G761" s="1130"/>
      <c r="H761" s="1130"/>
      <c r="I761" s="1130"/>
      <c r="J761" s="1130"/>
      <c r="K761" s="1130"/>
      <c r="L761" s="1130"/>
      <c r="M761" s="1130"/>
      <c r="N761" s="1130"/>
      <c r="O761" s="1130"/>
      <c r="P761" s="1130"/>
      <c r="Q761" s="1130"/>
      <c r="R761" s="1130"/>
      <c r="S761" s="1130"/>
      <c r="T761" s="1130"/>
      <c r="U761" s="1130"/>
      <c r="V761" s="1130"/>
      <c r="W761" s="1130"/>
      <c r="X761" s="1130"/>
      <c r="Y761" s="1130"/>
      <c r="Z761" s="1130"/>
      <c r="AA761" s="1130"/>
    </row>
    <row r="762" spans="1:27" ht="15.75" customHeight="1">
      <c r="A762" s="1130"/>
      <c r="B762" s="1130"/>
      <c r="C762" s="1130"/>
      <c r="D762" s="1130"/>
      <c r="E762" s="1130"/>
      <c r="F762" s="1130"/>
      <c r="G762" s="1130"/>
      <c r="H762" s="1130"/>
      <c r="I762" s="1130"/>
      <c r="J762" s="1130"/>
      <c r="K762" s="1130"/>
      <c r="L762" s="1130"/>
      <c r="M762" s="1130"/>
      <c r="N762" s="1130"/>
      <c r="O762" s="1130"/>
      <c r="P762" s="1130"/>
      <c r="Q762" s="1130"/>
      <c r="R762" s="1130"/>
      <c r="S762" s="1130"/>
      <c r="T762" s="1130"/>
      <c r="U762" s="1130"/>
      <c r="V762" s="1130"/>
      <c r="W762" s="1130"/>
      <c r="X762" s="1130"/>
      <c r="Y762" s="1130"/>
      <c r="Z762" s="1130"/>
      <c r="AA762" s="1130"/>
    </row>
    <row r="763" spans="1:27" ht="15.75" customHeight="1">
      <c r="A763" s="1130"/>
      <c r="B763" s="1130"/>
      <c r="C763" s="1130"/>
      <c r="D763" s="1130"/>
      <c r="E763" s="1130"/>
      <c r="F763" s="1130"/>
      <c r="G763" s="1130"/>
      <c r="H763" s="1130"/>
      <c r="I763" s="1130"/>
      <c r="J763" s="1130"/>
      <c r="K763" s="1130"/>
      <c r="L763" s="1130"/>
      <c r="M763" s="1130"/>
      <c r="N763" s="1130"/>
      <c r="O763" s="1130"/>
      <c r="P763" s="1130"/>
      <c r="Q763" s="1130"/>
      <c r="R763" s="1130"/>
      <c r="S763" s="1130"/>
      <c r="T763" s="1130"/>
      <c r="U763" s="1130"/>
      <c r="V763" s="1130"/>
      <c r="W763" s="1130"/>
      <c r="X763" s="1130"/>
      <c r="Y763" s="1130"/>
      <c r="Z763" s="1130"/>
      <c r="AA763" s="1130"/>
    </row>
    <row r="764" spans="1:27" ht="15.75" customHeight="1">
      <c r="A764" s="1130"/>
      <c r="B764" s="1130"/>
      <c r="C764" s="1130"/>
      <c r="D764" s="1130"/>
      <c r="E764" s="1130"/>
      <c r="F764" s="1130"/>
      <c r="G764" s="1130"/>
      <c r="H764" s="1130"/>
      <c r="I764" s="1130"/>
      <c r="J764" s="1130"/>
      <c r="K764" s="1130"/>
      <c r="L764" s="1130"/>
      <c r="M764" s="1130"/>
      <c r="N764" s="1130"/>
      <c r="O764" s="1130"/>
      <c r="P764" s="1130"/>
      <c r="Q764" s="1130"/>
      <c r="R764" s="1130"/>
      <c r="S764" s="1130"/>
      <c r="T764" s="1130"/>
      <c r="U764" s="1130"/>
      <c r="V764" s="1130"/>
      <c r="W764" s="1130"/>
      <c r="X764" s="1130"/>
      <c r="Y764" s="1130"/>
      <c r="Z764" s="1130"/>
      <c r="AA764" s="1130"/>
    </row>
    <row r="765" spans="1:27" ht="15.75" customHeight="1">
      <c r="A765" s="1130"/>
      <c r="B765" s="1130"/>
      <c r="C765" s="1130"/>
      <c r="D765" s="1130"/>
      <c r="E765" s="1130"/>
      <c r="F765" s="1130"/>
      <c r="G765" s="1130"/>
      <c r="H765" s="1130"/>
      <c r="I765" s="1130"/>
      <c r="J765" s="1130"/>
      <c r="K765" s="1130"/>
      <c r="L765" s="1130"/>
      <c r="M765" s="1130"/>
      <c r="N765" s="1130"/>
      <c r="O765" s="1130"/>
      <c r="P765" s="1130"/>
      <c r="Q765" s="1130"/>
      <c r="R765" s="1130"/>
      <c r="S765" s="1130"/>
      <c r="T765" s="1130"/>
      <c r="U765" s="1130"/>
      <c r="V765" s="1130"/>
      <c r="W765" s="1130"/>
      <c r="X765" s="1130"/>
      <c r="Y765" s="1130"/>
      <c r="Z765" s="1130"/>
      <c r="AA765" s="1130"/>
    </row>
    <row r="766" spans="1:27" ht="15.75" customHeight="1">
      <c r="A766" s="1130"/>
      <c r="B766" s="1130"/>
      <c r="C766" s="1130"/>
      <c r="D766" s="1130"/>
      <c r="E766" s="1130"/>
      <c r="F766" s="1130"/>
      <c r="G766" s="1130"/>
      <c r="H766" s="1130"/>
      <c r="I766" s="1130"/>
      <c r="J766" s="1130"/>
      <c r="K766" s="1130"/>
      <c r="L766" s="1130"/>
      <c r="M766" s="1130"/>
      <c r="N766" s="1130"/>
      <c r="O766" s="1130"/>
      <c r="P766" s="1130"/>
      <c r="Q766" s="1130"/>
      <c r="R766" s="1130"/>
      <c r="S766" s="1130"/>
      <c r="T766" s="1130"/>
      <c r="U766" s="1130"/>
      <c r="V766" s="1130"/>
      <c r="W766" s="1130"/>
      <c r="X766" s="1130"/>
      <c r="Y766" s="1130"/>
      <c r="Z766" s="1130"/>
      <c r="AA766" s="1130"/>
    </row>
    <row r="767" spans="1:27" ht="15.75" customHeight="1">
      <c r="A767" s="1130"/>
      <c r="B767" s="1130"/>
      <c r="C767" s="1130"/>
      <c r="D767" s="1130"/>
      <c r="E767" s="1130"/>
      <c r="F767" s="1130"/>
      <c r="G767" s="1130"/>
      <c r="H767" s="1130"/>
      <c r="I767" s="1130"/>
      <c r="J767" s="1130"/>
      <c r="K767" s="1130"/>
      <c r="L767" s="1130"/>
      <c r="M767" s="1130"/>
      <c r="N767" s="1130"/>
      <c r="O767" s="1130"/>
      <c r="P767" s="1130"/>
      <c r="Q767" s="1130"/>
      <c r="R767" s="1130"/>
      <c r="S767" s="1130"/>
      <c r="T767" s="1130"/>
      <c r="U767" s="1130"/>
      <c r="V767" s="1130"/>
      <c r="W767" s="1130"/>
      <c r="X767" s="1130"/>
      <c r="Y767" s="1130"/>
      <c r="Z767" s="1130"/>
      <c r="AA767" s="1130"/>
    </row>
    <row r="768" spans="1:27" ht="15.75" customHeight="1">
      <c r="A768" s="1130"/>
      <c r="B768" s="1130"/>
      <c r="C768" s="1130"/>
      <c r="D768" s="1130"/>
      <c r="E768" s="1130"/>
      <c r="F768" s="1130"/>
      <c r="G768" s="1130"/>
      <c r="H768" s="1130"/>
      <c r="I768" s="1130"/>
      <c r="J768" s="1130"/>
      <c r="K768" s="1130"/>
      <c r="L768" s="1130"/>
      <c r="M768" s="1130"/>
      <c r="N768" s="1130"/>
      <c r="O768" s="1130"/>
      <c r="P768" s="1130"/>
      <c r="Q768" s="1130"/>
      <c r="R768" s="1130"/>
      <c r="S768" s="1130"/>
      <c r="T768" s="1130"/>
      <c r="U768" s="1130"/>
      <c r="V768" s="1130"/>
      <c r="W768" s="1130"/>
      <c r="X768" s="1130"/>
      <c r="Y768" s="1130"/>
      <c r="Z768" s="1130"/>
      <c r="AA768" s="1130"/>
    </row>
    <row r="769" spans="1:27" ht="15.75" customHeight="1">
      <c r="A769" s="1130"/>
      <c r="B769" s="1130"/>
      <c r="C769" s="1130"/>
      <c r="D769" s="1130"/>
      <c r="E769" s="1130"/>
      <c r="F769" s="1130"/>
      <c r="G769" s="1130"/>
      <c r="H769" s="1130"/>
      <c r="I769" s="1130"/>
      <c r="J769" s="1130"/>
      <c r="K769" s="1130"/>
      <c r="L769" s="1130"/>
      <c r="M769" s="1130"/>
      <c r="N769" s="1130"/>
      <c r="O769" s="1130"/>
      <c r="P769" s="1130"/>
      <c r="Q769" s="1130"/>
      <c r="R769" s="1130"/>
      <c r="S769" s="1130"/>
      <c r="T769" s="1130"/>
      <c r="U769" s="1130"/>
      <c r="V769" s="1130"/>
      <c r="W769" s="1130"/>
      <c r="X769" s="1130"/>
      <c r="Y769" s="1130"/>
      <c r="Z769" s="1130"/>
      <c r="AA769" s="1130"/>
    </row>
    <row r="770" spans="1:27" ht="15.75" customHeight="1">
      <c r="A770" s="1130"/>
      <c r="B770" s="1130"/>
      <c r="C770" s="1130"/>
      <c r="D770" s="1130"/>
      <c r="E770" s="1130"/>
      <c r="F770" s="1130"/>
      <c r="G770" s="1130"/>
      <c r="H770" s="1130"/>
      <c r="I770" s="1130"/>
      <c r="J770" s="1130"/>
      <c r="K770" s="1130"/>
      <c r="L770" s="1130"/>
      <c r="M770" s="1130"/>
      <c r="N770" s="1130"/>
      <c r="O770" s="1130"/>
      <c r="P770" s="1130"/>
      <c r="Q770" s="1130"/>
      <c r="R770" s="1130"/>
      <c r="S770" s="1130"/>
      <c r="T770" s="1130"/>
      <c r="U770" s="1130"/>
      <c r="V770" s="1130"/>
      <c r="W770" s="1130"/>
      <c r="X770" s="1130"/>
      <c r="Y770" s="1130"/>
      <c r="Z770" s="1130"/>
      <c r="AA770" s="1130"/>
    </row>
    <row r="771" spans="1:27" ht="15.75" customHeight="1">
      <c r="A771" s="1130"/>
      <c r="B771" s="1130"/>
      <c r="C771" s="1130"/>
      <c r="D771" s="1130"/>
      <c r="E771" s="1130"/>
      <c r="F771" s="1130"/>
      <c r="G771" s="1130"/>
      <c r="H771" s="1130"/>
      <c r="I771" s="1130"/>
      <c r="J771" s="1130"/>
      <c r="K771" s="1130"/>
      <c r="L771" s="1130"/>
      <c r="M771" s="1130"/>
      <c r="N771" s="1130"/>
      <c r="O771" s="1130"/>
      <c r="P771" s="1130"/>
      <c r="Q771" s="1130"/>
      <c r="R771" s="1130"/>
      <c r="S771" s="1130"/>
      <c r="T771" s="1130"/>
      <c r="U771" s="1130"/>
      <c r="V771" s="1130"/>
      <c r="W771" s="1130"/>
      <c r="X771" s="1130"/>
      <c r="Y771" s="1130"/>
      <c r="Z771" s="1130"/>
      <c r="AA771" s="1130"/>
    </row>
    <row r="772" spans="1:27" ht="15.75" customHeight="1">
      <c r="A772" s="1130"/>
      <c r="B772" s="1130"/>
      <c r="C772" s="1130"/>
      <c r="D772" s="1130"/>
      <c r="E772" s="1130"/>
      <c r="F772" s="1130"/>
      <c r="G772" s="1130"/>
      <c r="H772" s="1130"/>
      <c r="I772" s="1130"/>
      <c r="J772" s="1130"/>
      <c r="K772" s="1130"/>
      <c r="L772" s="1130"/>
      <c r="M772" s="1130"/>
      <c r="N772" s="1130"/>
      <c r="O772" s="1130"/>
      <c r="P772" s="1130"/>
      <c r="Q772" s="1130"/>
      <c r="R772" s="1130"/>
      <c r="S772" s="1130"/>
      <c r="T772" s="1130"/>
      <c r="U772" s="1130"/>
      <c r="V772" s="1130"/>
      <c r="W772" s="1130"/>
      <c r="X772" s="1130"/>
      <c r="Y772" s="1130"/>
      <c r="Z772" s="1130"/>
      <c r="AA772" s="1130"/>
    </row>
    <row r="773" spans="1:27" ht="15.75" customHeight="1">
      <c r="A773" s="1130"/>
      <c r="B773" s="1130"/>
      <c r="C773" s="1130"/>
      <c r="D773" s="1130"/>
      <c r="E773" s="1130"/>
      <c r="F773" s="1130"/>
      <c r="G773" s="1130"/>
      <c r="H773" s="1130"/>
      <c r="I773" s="1130"/>
      <c r="J773" s="1130"/>
      <c r="K773" s="1130"/>
      <c r="L773" s="1130"/>
      <c r="M773" s="1130"/>
      <c r="N773" s="1130"/>
      <c r="O773" s="1130"/>
      <c r="P773" s="1130"/>
      <c r="Q773" s="1130"/>
      <c r="R773" s="1130"/>
      <c r="S773" s="1130"/>
      <c r="T773" s="1130"/>
      <c r="U773" s="1130"/>
      <c r="V773" s="1130"/>
      <c r="W773" s="1130"/>
      <c r="X773" s="1130"/>
      <c r="Y773" s="1130"/>
      <c r="Z773" s="1130"/>
      <c r="AA773" s="1130"/>
    </row>
    <row r="774" spans="1:27" ht="15.75" customHeight="1">
      <c r="A774" s="1130"/>
      <c r="B774" s="1130"/>
      <c r="C774" s="1130"/>
      <c r="D774" s="1130"/>
      <c r="E774" s="1130"/>
      <c r="F774" s="1130"/>
      <c r="G774" s="1130"/>
      <c r="H774" s="1130"/>
      <c r="I774" s="1130"/>
      <c r="J774" s="1130"/>
      <c r="K774" s="1130"/>
      <c r="L774" s="1130"/>
      <c r="M774" s="1130"/>
      <c r="N774" s="1130"/>
      <c r="O774" s="1130"/>
      <c r="P774" s="1130"/>
      <c r="Q774" s="1130"/>
      <c r="R774" s="1130"/>
      <c r="S774" s="1130"/>
      <c r="T774" s="1130"/>
      <c r="U774" s="1130"/>
      <c r="V774" s="1130"/>
      <c r="W774" s="1130"/>
      <c r="X774" s="1130"/>
      <c r="Y774" s="1130"/>
      <c r="Z774" s="1130"/>
      <c r="AA774" s="1130"/>
    </row>
    <row r="775" spans="1:27" ht="15.75" customHeight="1">
      <c r="A775" s="1130"/>
      <c r="B775" s="1130"/>
      <c r="C775" s="1130"/>
      <c r="D775" s="1130"/>
      <c r="E775" s="1130"/>
      <c r="F775" s="1130"/>
      <c r="G775" s="1130"/>
      <c r="H775" s="1130"/>
      <c r="I775" s="1130"/>
      <c r="J775" s="1130"/>
      <c r="K775" s="1130"/>
      <c r="L775" s="1130"/>
      <c r="M775" s="1130"/>
      <c r="N775" s="1130"/>
      <c r="O775" s="1130"/>
      <c r="P775" s="1130"/>
      <c r="Q775" s="1130"/>
      <c r="R775" s="1130"/>
      <c r="S775" s="1130"/>
      <c r="T775" s="1130"/>
      <c r="U775" s="1130"/>
      <c r="V775" s="1130"/>
      <c r="W775" s="1130"/>
      <c r="X775" s="1130"/>
      <c r="Y775" s="1130"/>
      <c r="Z775" s="1130"/>
      <c r="AA775" s="1130"/>
    </row>
    <row r="776" spans="1:27" ht="15.75" customHeight="1">
      <c r="A776" s="1130"/>
      <c r="B776" s="1130"/>
      <c r="C776" s="1130"/>
      <c r="D776" s="1130"/>
      <c r="E776" s="1130"/>
      <c r="F776" s="1130"/>
      <c r="G776" s="1130"/>
      <c r="H776" s="1130"/>
      <c r="I776" s="1130"/>
      <c r="J776" s="1130"/>
      <c r="K776" s="1130"/>
      <c r="L776" s="1130"/>
      <c r="M776" s="1130"/>
      <c r="N776" s="1130"/>
      <c r="O776" s="1130"/>
      <c r="P776" s="1130"/>
      <c r="Q776" s="1130"/>
      <c r="R776" s="1130"/>
      <c r="S776" s="1130"/>
      <c r="T776" s="1130"/>
      <c r="U776" s="1130"/>
      <c r="V776" s="1130"/>
      <c r="W776" s="1130"/>
      <c r="X776" s="1130"/>
      <c r="Y776" s="1130"/>
      <c r="Z776" s="1130"/>
      <c r="AA776" s="1130"/>
    </row>
    <row r="777" spans="1:27" ht="15.75" customHeight="1">
      <c r="A777" s="1130"/>
      <c r="B777" s="1130"/>
      <c r="C777" s="1130"/>
      <c r="D777" s="1130"/>
      <c r="E777" s="1130"/>
      <c r="F777" s="1130"/>
      <c r="G777" s="1130"/>
      <c r="H777" s="1130"/>
      <c r="I777" s="1130"/>
      <c r="J777" s="1130"/>
      <c r="K777" s="1130"/>
      <c r="L777" s="1130"/>
      <c r="M777" s="1130"/>
      <c r="N777" s="1130"/>
      <c r="O777" s="1130"/>
      <c r="P777" s="1130"/>
      <c r="Q777" s="1130"/>
      <c r="R777" s="1130"/>
      <c r="S777" s="1130"/>
      <c r="T777" s="1130"/>
      <c r="U777" s="1130"/>
      <c r="V777" s="1130"/>
      <c r="W777" s="1130"/>
      <c r="X777" s="1130"/>
      <c r="Y777" s="1130"/>
      <c r="Z777" s="1130"/>
      <c r="AA777" s="1130"/>
    </row>
    <row r="778" spans="1:27" ht="15.75" customHeight="1">
      <c r="A778" s="1130"/>
      <c r="B778" s="1130"/>
      <c r="C778" s="1130"/>
      <c r="D778" s="1130"/>
      <c r="E778" s="1130"/>
      <c r="F778" s="1130"/>
      <c r="G778" s="1130"/>
      <c r="H778" s="1130"/>
      <c r="I778" s="1130"/>
      <c r="J778" s="1130"/>
      <c r="K778" s="1130"/>
      <c r="L778" s="1130"/>
      <c r="M778" s="1130"/>
      <c r="N778" s="1130"/>
      <c r="O778" s="1130"/>
      <c r="P778" s="1130"/>
      <c r="Q778" s="1130"/>
      <c r="R778" s="1130"/>
      <c r="S778" s="1130"/>
      <c r="T778" s="1130"/>
      <c r="U778" s="1130"/>
      <c r="V778" s="1130"/>
      <c r="W778" s="1130"/>
      <c r="X778" s="1130"/>
      <c r="Y778" s="1130"/>
      <c r="Z778" s="1130"/>
      <c r="AA778" s="1130"/>
    </row>
    <row r="779" spans="1:27" ht="15.75" customHeight="1">
      <c r="A779" s="1130"/>
      <c r="B779" s="1130"/>
      <c r="C779" s="1130"/>
      <c r="D779" s="1130"/>
      <c r="E779" s="1130"/>
      <c r="F779" s="1130"/>
      <c r="G779" s="1130"/>
      <c r="H779" s="1130"/>
      <c r="I779" s="1130"/>
      <c r="J779" s="1130"/>
      <c r="K779" s="1130"/>
      <c r="L779" s="1130"/>
      <c r="M779" s="1130"/>
      <c r="N779" s="1130"/>
      <c r="O779" s="1130"/>
      <c r="P779" s="1130"/>
      <c r="Q779" s="1130"/>
      <c r="R779" s="1130"/>
      <c r="S779" s="1130"/>
      <c r="T779" s="1130"/>
      <c r="U779" s="1130"/>
      <c r="V779" s="1130"/>
      <c r="W779" s="1130"/>
      <c r="X779" s="1130"/>
      <c r="Y779" s="1130"/>
      <c r="Z779" s="1130"/>
      <c r="AA779" s="1130"/>
    </row>
    <row r="780" spans="1:27" ht="15.75" customHeight="1">
      <c r="A780" s="1130"/>
      <c r="B780" s="1130"/>
      <c r="C780" s="1130"/>
      <c r="D780" s="1130"/>
      <c r="E780" s="1130"/>
      <c r="F780" s="1130"/>
      <c r="G780" s="1130"/>
      <c r="H780" s="1130"/>
      <c r="I780" s="1130"/>
      <c r="J780" s="1130"/>
      <c r="K780" s="1130"/>
      <c r="L780" s="1130"/>
      <c r="M780" s="1130"/>
      <c r="N780" s="1130"/>
      <c r="O780" s="1130"/>
      <c r="P780" s="1130"/>
      <c r="Q780" s="1130"/>
      <c r="R780" s="1130"/>
      <c r="S780" s="1130"/>
      <c r="T780" s="1130"/>
      <c r="U780" s="1130"/>
      <c r="V780" s="1130"/>
      <c r="W780" s="1130"/>
      <c r="X780" s="1130"/>
      <c r="Y780" s="1130"/>
      <c r="Z780" s="1130"/>
      <c r="AA780" s="1130"/>
    </row>
    <row r="781" spans="1:27" ht="15.75" customHeight="1">
      <c r="A781" s="1130"/>
      <c r="B781" s="1130"/>
      <c r="C781" s="1130"/>
      <c r="D781" s="1130"/>
      <c r="E781" s="1130"/>
      <c r="F781" s="1130"/>
      <c r="G781" s="1130"/>
      <c r="H781" s="1130"/>
      <c r="I781" s="1130"/>
      <c r="J781" s="1130"/>
      <c r="K781" s="1130"/>
      <c r="L781" s="1130"/>
      <c r="M781" s="1130"/>
      <c r="N781" s="1130"/>
      <c r="O781" s="1130"/>
      <c r="P781" s="1130"/>
      <c r="Q781" s="1130"/>
      <c r="R781" s="1130"/>
      <c r="S781" s="1130"/>
      <c r="T781" s="1130"/>
      <c r="U781" s="1130"/>
      <c r="V781" s="1130"/>
      <c r="W781" s="1130"/>
      <c r="X781" s="1130"/>
      <c r="Y781" s="1130"/>
      <c r="Z781" s="1130"/>
      <c r="AA781" s="1130"/>
    </row>
    <row r="782" spans="1:27" ht="15.75" customHeight="1">
      <c r="A782" s="1130"/>
      <c r="B782" s="1130"/>
      <c r="C782" s="1130"/>
      <c r="D782" s="1130"/>
      <c r="E782" s="1130"/>
      <c r="F782" s="1130"/>
      <c r="G782" s="1130"/>
      <c r="H782" s="1130"/>
      <c r="I782" s="1130"/>
      <c r="J782" s="1130"/>
      <c r="K782" s="1130"/>
      <c r="L782" s="1130"/>
      <c r="M782" s="1130"/>
      <c r="N782" s="1130"/>
      <c r="O782" s="1130"/>
      <c r="P782" s="1130"/>
      <c r="Q782" s="1130"/>
      <c r="R782" s="1130"/>
      <c r="S782" s="1130"/>
      <c r="T782" s="1130"/>
      <c r="U782" s="1130"/>
      <c r="V782" s="1130"/>
      <c r="W782" s="1130"/>
      <c r="X782" s="1130"/>
      <c r="Y782" s="1130"/>
      <c r="Z782" s="1130"/>
      <c r="AA782" s="1130"/>
    </row>
    <row r="783" spans="1:27" ht="15.75" customHeight="1">
      <c r="A783" s="1130"/>
      <c r="B783" s="1130"/>
      <c r="C783" s="1130"/>
      <c r="D783" s="1130"/>
      <c r="E783" s="1130"/>
      <c r="F783" s="1130"/>
      <c r="G783" s="1130"/>
      <c r="H783" s="1130"/>
      <c r="I783" s="1130"/>
      <c r="J783" s="1130"/>
      <c r="K783" s="1130"/>
      <c r="L783" s="1130"/>
      <c r="M783" s="1130"/>
      <c r="N783" s="1130"/>
      <c r="O783" s="1130"/>
      <c r="P783" s="1130"/>
      <c r="Q783" s="1130"/>
      <c r="R783" s="1130"/>
      <c r="S783" s="1130"/>
      <c r="T783" s="1130"/>
      <c r="U783" s="1130"/>
      <c r="V783" s="1130"/>
      <c r="W783" s="1130"/>
      <c r="X783" s="1130"/>
      <c r="Y783" s="1130"/>
      <c r="Z783" s="1130"/>
      <c r="AA783" s="1130"/>
    </row>
    <row r="784" spans="1:27" ht="15.75" customHeight="1">
      <c r="A784" s="1130"/>
      <c r="B784" s="1130"/>
      <c r="C784" s="1130"/>
      <c r="D784" s="1130"/>
      <c r="E784" s="1130"/>
      <c r="F784" s="1130"/>
      <c r="G784" s="1130"/>
      <c r="H784" s="1130"/>
      <c r="I784" s="1130"/>
      <c r="J784" s="1130"/>
      <c r="K784" s="1130"/>
      <c r="L784" s="1130"/>
      <c r="M784" s="1130"/>
      <c r="N784" s="1130"/>
      <c r="O784" s="1130"/>
      <c r="P784" s="1130"/>
      <c r="Q784" s="1130"/>
      <c r="R784" s="1130"/>
      <c r="S784" s="1130"/>
      <c r="T784" s="1130"/>
      <c r="U784" s="1130"/>
      <c r="V784" s="1130"/>
      <c r="W784" s="1130"/>
      <c r="X784" s="1130"/>
      <c r="Y784" s="1130"/>
      <c r="Z784" s="1130"/>
      <c r="AA784" s="1130"/>
    </row>
    <row r="785" spans="1:27" ht="15.75" customHeight="1">
      <c r="A785" s="1130"/>
      <c r="B785" s="1130"/>
      <c r="C785" s="1130"/>
      <c r="D785" s="1130"/>
      <c r="E785" s="1130"/>
      <c r="F785" s="1130"/>
      <c r="G785" s="1130"/>
      <c r="H785" s="1130"/>
      <c r="I785" s="1130"/>
      <c r="J785" s="1130"/>
      <c r="K785" s="1130"/>
      <c r="L785" s="1130"/>
      <c r="M785" s="1130"/>
      <c r="N785" s="1130"/>
      <c r="O785" s="1130"/>
      <c r="P785" s="1130"/>
      <c r="Q785" s="1130"/>
      <c r="R785" s="1130"/>
      <c r="S785" s="1130"/>
      <c r="T785" s="1130"/>
      <c r="U785" s="1130"/>
      <c r="V785" s="1130"/>
      <c r="W785" s="1130"/>
      <c r="X785" s="1130"/>
      <c r="Y785" s="1130"/>
      <c r="Z785" s="1130"/>
      <c r="AA785" s="1130"/>
    </row>
    <row r="786" spans="1:27" ht="15.75" customHeight="1">
      <c r="A786" s="1130"/>
      <c r="B786" s="1130"/>
      <c r="C786" s="1130"/>
      <c r="D786" s="1130"/>
      <c r="E786" s="1130"/>
      <c r="F786" s="1130"/>
      <c r="G786" s="1130"/>
      <c r="H786" s="1130"/>
      <c r="I786" s="1130"/>
      <c r="J786" s="1130"/>
      <c r="K786" s="1130"/>
      <c r="L786" s="1130"/>
      <c r="M786" s="1130"/>
      <c r="N786" s="1130"/>
      <c r="O786" s="1130"/>
      <c r="P786" s="1130"/>
      <c r="Q786" s="1130"/>
      <c r="R786" s="1130"/>
      <c r="S786" s="1130"/>
      <c r="T786" s="1130"/>
      <c r="U786" s="1130"/>
      <c r="V786" s="1130"/>
      <c r="W786" s="1130"/>
      <c r="X786" s="1130"/>
      <c r="Y786" s="1130"/>
      <c r="Z786" s="1130"/>
      <c r="AA786" s="1130"/>
    </row>
    <row r="787" spans="1:27" ht="15.75" customHeight="1">
      <c r="A787" s="1130"/>
      <c r="B787" s="1130"/>
      <c r="C787" s="1130"/>
      <c r="D787" s="1130"/>
      <c r="E787" s="1130"/>
      <c r="F787" s="1130"/>
      <c r="G787" s="1130"/>
      <c r="H787" s="1130"/>
      <c r="I787" s="1130"/>
      <c r="J787" s="1130"/>
      <c r="K787" s="1130"/>
      <c r="L787" s="1130"/>
      <c r="M787" s="1130"/>
      <c r="N787" s="1130"/>
      <c r="O787" s="1130"/>
      <c r="P787" s="1130"/>
      <c r="Q787" s="1130"/>
      <c r="R787" s="1130"/>
      <c r="S787" s="1130"/>
      <c r="T787" s="1130"/>
      <c r="U787" s="1130"/>
      <c r="V787" s="1130"/>
      <c r="W787" s="1130"/>
      <c r="X787" s="1130"/>
      <c r="Y787" s="1130"/>
      <c r="Z787" s="1130"/>
      <c r="AA787" s="1130"/>
    </row>
    <row r="788" spans="1:27" ht="15.75" customHeight="1">
      <c r="A788" s="1130"/>
      <c r="B788" s="1130"/>
      <c r="C788" s="1130"/>
      <c r="D788" s="1130"/>
      <c r="E788" s="1130"/>
      <c r="F788" s="1130"/>
      <c r="G788" s="1130"/>
      <c r="H788" s="1130"/>
      <c r="I788" s="1130"/>
      <c r="J788" s="1130"/>
      <c r="K788" s="1130"/>
      <c r="L788" s="1130"/>
      <c r="M788" s="1130"/>
      <c r="N788" s="1130"/>
      <c r="O788" s="1130"/>
      <c r="P788" s="1130"/>
      <c r="Q788" s="1130"/>
      <c r="R788" s="1130"/>
      <c r="S788" s="1130"/>
      <c r="T788" s="1130"/>
      <c r="U788" s="1130"/>
      <c r="V788" s="1130"/>
      <c r="W788" s="1130"/>
      <c r="X788" s="1130"/>
      <c r="Y788" s="1130"/>
      <c r="Z788" s="1130"/>
      <c r="AA788" s="1130"/>
    </row>
    <row r="789" spans="1:27" ht="15.75" customHeight="1">
      <c r="A789" s="1130"/>
      <c r="B789" s="1130"/>
      <c r="C789" s="1130"/>
      <c r="D789" s="1130"/>
      <c r="E789" s="1130"/>
      <c r="F789" s="1130"/>
      <c r="G789" s="1130"/>
      <c r="H789" s="1130"/>
      <c r="I789" s="1130"/>
      <c r="J789" s="1130"/>
      <c r="K789" s="1130"/>
      <c r="L789" s="1130"/>
      <c r="M789" s="1130"/>
      <c r="N789" s="1130"/>
      <c r="O789" s="1130"/>
      <c r="P789" s="1130"/>
      <c r="Q789" s="1130"/>
      <c r="R789" s="1130"/>
      <c r="S789" s="1130"/>
      <c r="T789" s="1130"/>
      <c r="U789" s="1130"/>
      <c r="V789" s="1130"/>
      <c r="W789" s="1130"/>
      <c r="X789" s="1130"/>
      <c r="Y789" s="1130"/>
      <c r="Z789" s="1130"/>
      <c r="AA789" s="1130"/>
    </row>
    <row r="790" spans="1:27" ht="15.75" customHeight="1">
      <c r="A790" s="1130"/>
      <c r="B790" s="1130"/>
      <c r="C790" s="1130"/>
      <c r="D790" s="1130"/>
      <c r="E790" s="1130"/>
      <c r="F790" s="1130"/>
      <c r="G790" s="1130"/>
      <c r="H790" s="1130"/>
      <c r="I790" s="1130"/>
      <c r="J790" s="1130"/>
      <c r="K790" s="1130"/>
      <c r="L790" s="1130"/>
      <c r="M790" s="1130"/>
      <c r="N790" s="1130"/>
      <c r="O790" s="1130"/>
      <c r="P790" s="1130"/>
      <c r="Q790" s="1130"/>
      <c r="R790" s="1130"/>
      <c r="S790" s="1130"/>
      <c r="T790" s="1130"/>
      <c r="U790" s="1130"/>
      <c r="V790" s="1130"/>
      <c r="W790" s="1130"/>
      <c r="X790" s="1130"/>
      <c r="Y790" s="1130"/>
      <c r="Z790" s="1130"/>
      <c r="AA790" s="1130"/>
    </row>
    <row r="791" spans="1:27" ht="15.75" customHeight="1">
      <c r="A791" s="1130"/>
      <c r="B791" s="1130"/>
      <c r="C791" s="1130"/>
      <c r="D791" s="1130"/>
      <c r="E791" s="1130"/>
      <c r="F791" s="1130"/>
      <c r="G791" s="1130"/>
      <c r="H791" s="1130"/>
      <c r="I791" s="1130"/>
      <c r="J791" s="1130"/>
      <c r="K791" s="1130"/>
      <c r="L791" s="1130"/>
      <c r="M791" s="1130"/>
      <c r="N791" s="1130"/>
      <c r="O791" s="1130"/>
      <c r="P791" s="1130"/>
      <c r="Q791" s="1130"/>
      <c r="R791" s="1130"/>
      <c r="S791" s="1130"/>
      <c r="T791" s="1130"/>
      <c r="U791" s="1130"/>
      <c r="V791" s="1130"/>
      <c r="W791" s="1130"/>
      <c r="X791" s="1130"/>
      <c r="Y791" s="1130"/>
      <c r="Z791" s="1130"/>
      <c r="AA791" s="1130"/>
    </row>
    <row r="792" spans="1:27" ht="15.75" customHeight="1">
      <c r="A792" s="1130"/>
      <c r="B792" s="1130"/>
      <c r="C792" s="1130"/>
      <c r="D792" s="1130"/>
      <c r="E792" s="1130"/>
      <c r="F792" s="1130"/>
      <c r="G792" s="1130"/>
      <c r="H792" s="1130"/>
      <c r="I792" s="1130"/>
      <c r="J792" s="1130"/>
      <c r="K792" s="1130"/>
      <c r="L792" s="1130"/>
      <c r="M792" s="1130"/>
      <c r="N792" s="1130"/>
      <c r="O792" s="1130"/>
      <c r="P792" s="1130"/>
      <c r="Q792" s="1130"/>
      <c r="R792" s="1130"/>
      <c r="S792" s="1130"/>
      <c r="T792" s="1130"/>
      <c r="U792" s="1130"/>
      <c r="V792" s="1130"/>
      <c r="W792" s="1130"/>
      <c r="X792" s="1130"/>
      <c r="Y792" s="1130"/>
      <c r="Z792" s="1130"/>
      <c r="AA792" s="1130"/>
    </row>
    <row r="793" spans="1:27" ht="15.75" customHeight="1">
      <c r="A793" s="1130"/>
      <c r="B793" s="1130"/>
      <c r="C793" s="1130"/>
      <c r="D793" s="1130"/>
      <c r="E793" s="1130"/>
      <c r="F793" s="1130"/>
      <c r="G793" s="1130"/>
      <c r="H793" s="1130"/>
      <c r="I793" s="1130"/>
      <c r="J793" s="1130"/>
      <c r="K793" s="1130"/>
      <c r="L793" s="1130"/>
      <c r="M793" s="1130"/>
      <c r="N793" s="1130"/>
      <c r="O793" s="1130"/>
      <c r="P793" s="1130"/>
      <c r="Q793" s="1130"/>
      <c r="R793" s="1130"/>
      <c r="S793" s="1130"/>
      <c r="T793" s="1130"/>
      <c r="U793" s="1130"/>
      <c r="V793" s="1130"/>
      <c r="W793" s="1130"/>
      <c r="X793" s="1130"/>
      <c r="Y793" s="1130"/>
      <c r="Z793" s="1130"/>
      <c r="AA793" s="1130"/>
    </row>
    <row r="794" spans="1:27" ht="15.75" customHeight="1">
      <c r="A794" s="1130"/>
      <c r="B794" s="1130"/>
      <c r="C794" s="1130"/>
      <c r="D794" s="1130"/>
      <c r="E794" s="1130"/>
      <c r="F794" s="1130"/>
      <c r="G794" s="1130"/>
      <c r="H794" s="1130"/>
      <c r="I794" s="1130"/>
      <c r="J794" s="1130"/>
      <c r="K794" s="1130"/>
      <c r="L794" s="1130"/>
      <c r="M794" s="1130"/>
      <c r="N794" s="1130"/>
      <c r="O794" s="1130"/>
      <c r="P794" s="1130"/>
      <c r="Q794" s="1130"/>
      <c r="R794" s="1130"/>
      <c r="S794" s="1130"/>
      <c r="T794" s="1130"/>
      <c r="U794" s="1130"/>
      <c r="V794" s="1130"/>
      <c r="W794" s="1130"/>
      <c r="X794" s="1130"/>
      <c r="Y794" s="1130"/>
      <c r="Z794" s="1130"/>
      <c r="AA794" s="1130"/>
    </row>
    <row r="795" spans="1:27" ht="15.75" customHeight="1">
      <c r="A795" s="1130"/>
      <c r="B795" s="1130"/>
      <c r="C795" s="1130"/>
      <c r="D795" s="1130"/>
      <c r="E795" s="1130"/>
      <c r="F795" s="1130"/>
      <c r="G795" s="1130"/>
      <c r="H795" s="1130"/>
      <c r="I795" s="1130"/>
      <c r="J795" s="1130"/>
      <c r="K795" s="1130"/>
      <c r="L795" s="1130"/>
      <c r="M795" s="1130"/>
      <c r="N795" s="1130"/>
      <c r="O795" s="1130"/>
      <c r="P795" s="1130"/>
      <c r="Q795" s="1130"/>
      <c r="R795" s="1130"/>
      <c r="S795" s="1130"/>
      <c r="T795" s="1130"/>
      <c r="U795" s="1130"/>
      <c r="V795" s="1130"/>
      <c r="W795" s="1130"/>
      <c r="X795" s="1130"/>
      <c r="Y795" s="1130"/>
      <c r="Z795" s="1130"/>
      <c r="AA795" s="1130"/>
    </row>
    <row r="796" spans="1:27" ht="15.75" customHeight="1">
      <c r="A796" s="1130"/>
      <c r="B796" s="1130"/>
      <c r="C796" s="1130"/>
      <c r="D796" s="1130"/>
      <c r="E796" s="1130"/>
      <c r="F796" s="1130"/>
      <c r="G796" s="1130"/>
      <c r="H796" s="1130"/>
      <c r="I796" s="1130"/>
      <c r="J796" s="1130"/>
      <c r="K796" s="1130"/>
      <c r="L796" s="1130"/>
      <c r="M796" s="1130"/>
      <c r="N796" s="1130"/>
      <c r="O796" s="1130"/>
      <c r="P796" s="1130"/>
      <c r="Q796" s="1130"/>
      <c r="R796" s="1130"/>
      <c r="S796" s="1130"/>
      <c r="T796" s="1130"/>
      <c r="U796" s="1130"/>
      <c r="V796" s="1130"/>
      <c r="W796" s="1130"/>
      <c r="X796" s="1130"/>
      <c r="Y796" s="1130"/>
      <c r="Z796" s="1130"/>
      <c r="AA796" s="1130"/>
    </row>
    <row r="797" spans="1:27" ht="15.75" customHeight="1">
      <c r="A797" s="1130"/>
      <c r="B797" s="1130"/>
      <c r="C797" s="1130"/>
      <c r="D797" s="1130"/>
      <c r="E797" s="1130"/>
      <c r="F797" s="1130"/>
      <c r="G797" s="1130"/>
      <c r="H797" s="1130"/>
      <c r="I797" s="1130"/>
      <c r="J797" s="1130"/>
      <c r="K797" s="1130"/>
      <c r="L797" s="1130"/>
      <c r="M797" s="1130"/>
      <c r="N797" s="1130"/>
      <c r="O797" s="1130"/>
      <c r="P797" s="1130"/>
      <c r="Q797" s="1130"/>
      <c r="R797" s="1130"/>
      <c r="S797" s="1130"/>
      <c r="T797" s="1130"/>
      <c r="U797" s="1130"/>
      <c r="V797" s="1130"/>
      <c r="W797" s="1130"/>
      <c r="X797" s="1130"/>
      <c r="Y797" s="1130"/>
      <c r="Z797" s="1130"/>
      <c r="AA797" s="1130"/>
    </row>
    <row r="798" spans="1:27" ht="15.75" customHeight="1">
      <c r="A798" s="1130"/>
      <c r="B798" s="1130"/>
      <c r="C798" s="1130"/>
      <c r="D798" s="1130"/>
      <c r="E798" s="1130"/>
      <c r="F798" s="1130"/>
      <c r="G798" s="1130"/>
      <c r="H798" s="1130"/>
      <c r="I798" s="1130"/>
      <c r="J798" s="1130"/>
      <c r="K798" s="1130"/>
      <c r="L798" s="1130"/>
      <c r="M798" s="1130"/>
      <c r="N798" s="1130"/>
      <c r="O798" s="1130"/>
      <c r="P798" s="1130"/>
      <c r="Q798" s="1130"/>
      <c r="R798" s="1130"/>
      <c r="S798" s="1130"/>
      <c r="T798" s="1130"/>
      <c r="U798" s="1130"/>
      <c r="V798" s="1130"/>
      <c r="W798" s="1130"/>
      <c r="X798" s="1130"/>
      <c r="Y798" s="1130"/>
      <c r="Z798" s="1130"/>
      <c r="AA798" s="1130"/>
    </row>
    <row r="799" spans="1:27" ht="15.75" customHeight="1">
      <c r="A799" s="1130"/>
      <c r="B799" s="1130"/>
      <c r="C799" s="1130"/>
      <c r="D799" s="1130"/>
      <c r="E799" s="1130"/>
      <c r="F799" s="1130"/>
      <c r="G799" s="1130"/>
      <c r="H799" s="1130"/>
      <c r="I799" s="1130"/>
      <c r="J799" s="1130"/>
      <c r="K799" s="1130"/>
      <c r="L799" s="1130"/>
      <c r="M799" s="1130"/>
      <c r="N799" s="1130"/>
      <c r="O799" s="1130"/>
      <c r="P799" s="1130"/>
      <c r="Q799" s="1130"/>
      <c r="R799" s="1130"/>
      <c r="S799" s="1130"/>
      <c r="T799" s="1130"/>
      <c r="U799" s="1130"/>
      <c r="V799" s="1130"/>
      <c r="W799" s="1130"/>
      <c r="X799" s="1130"/>
      <c r="Y799" s="1130"/>
      <c r="Z799" s="1130"/>
      <c r="AA799" s="1130"/>
    </row>
    <row r="800" spans="1:27" ht="15.75" customHeight="1">
      <c r="A800" s="1130"/>
      <c r="B800" s="1130"/>
      <c r="C800" s="1130"/>
      <c r="D800" s="1130"/>
      <c r="E800" s="1130"/>
      <c r="F800" s="1130"/>
      <c r="G800" s="1130"/>
      <c r="H800" s="1130"/>
      <c r="I800" s="1130"/>
      <c r="J800" s="1130"/>
      <c r="K800" s="1130"/>
      <c r="L800" s="1130"/>
      <c r="M800" s="1130"/>
      <c r="N800" s="1130"/>
      <c r="O800" s="1130"/>
      <c r="P800" s="1130"/>
      <c r="Q800" s="1130"/>
      <c r="R800" s="1130"/>
      <c r="S800" s="1130"/>
      <c r="T800" s="1130"/>
      <c r="U800" s="1130"/>
      <c r="V800" s="1130"/>
      <c r="W800" s="1130"/>
      <c r="X800" s="1130"/>
      <c r="Y800" s="1130"/>
      <c r="Z800" s="1130"/>
      <c r="AA800" s="1130"/>
    </row>
    <row r="801" spans="1:27" ht="15.75" customHeight="1">
      <c r="A801" s="1130"/>
      <c r="B801" s="1130"/>
      <c r="C801" s="1130"/>
      <c r="D801" s="1130"/>
      <c r="E801" s="1130"/>
      <c r="F801" s="1130"/>
      <c r="G801" s="1130"/>
      <c r="H801" s="1130"/>
      <c r="I801" s="1130"/>
      <c r="J801" s="1130"/>
      <c r="K801" s="1130"/>
      <c r="L801" s="1130"/>
      <c r="M801" s="1130"/>
      <c r="N801" s="1130"/>
      <c r="O801" s="1130"/>
      <c r="P801" s="1130"/>
      <c r="Q801" s="1130"/>
      <c r="R801" s="1130"/>
      <c r="S801" s="1130"/>
      <c r="T801" s="1130"/>
      <c r="U801" s="1130"/>
      <c r="V801" s="1130"/>
      <c r="W801" s="1130"/>
      <c r="X801" s="1130"/>
      <c r="Y801" s="1130"/>
      <c r="Z801" s="1130"/>
      <c r="AA801" s="1130"/>
    </row>
    <row r="802" spans="1:27" ht="15.75" customHeight="1">
      <c r="A802" s="1130"/>
      <c r="B802" s="1130"/>
      <c r="C802" s="1130"/>
      <c r="D802" s="1130"/>
      <c r="E802" s="1130"/>
      <c r="F802" s="1130"/>
      <c r="G802" s="1130"/>
      <c r="H802" s="1130"/>
      <c r="I802" s="1130"/>
      <c r="J802" s="1130"/>
      <c r="K802" s="1130"/>
      <c r="L802" s="1130"/>
      <c r="M802" s="1130"/>
      <c r="N802" s="1130"/>
      <c r="O802" s="1130"/>
      <c r="P802" s="1130"/>
      <c r="Q802" s="1130"/>
      <c r="R802" s="1130"/>
      <c r="S802" s="1130"/>
      <c r="T802" s="1130"/>
      <c r="U802" s="1130"/>
      <c r="V802" s="1130"/>
      <c r="W802" s="1130"/>
      <c r="X802" s="1130"/>
      <c r="Y802" s="1130"/>
      <c r="Z802" s="1130"/>
      <c r="AA802" s="1130"/>
    </row>
    <row r="803" spans="1:27" ht="15.75" customHeight="1">
      <c r="A803" s="1130"/>
      <c r="B803" s="1130"/>
      <c r="C803" s="1130"/>
      <c r="D803" s="1130"/>
      <c r="E803" s="1130"/>
      <c r="F803" s="1130"/>
      <c r="G803" s="1130"/>
      <c r="H803" s="1130"/>
      <c r="I803" s="1130"/>
      <c r="J803" s="1130"/>
      <c r="K803" s="1130"/>
      <c r="L803" s="1130"/>
      <c r="M803" s="1130"/>
      <c r="N803" s="1130"/>
      <c r="O803" s="1130"/>
      <c r="P803" s="1130"/>
      <c r="Q803" s="1130"/>
      <c r="R803" s="1130"/>
      <c r="S803" s="1130"/>
      <c r="T803" s="1130"/>
      <c r="U803" s="1130"/>
      <c r="V803" s="1130"/>
      <c r="W803" s="1130"/>
      <c r="X803" s="1130"/>
      <c r="Y803" s="1130"/>
      <c r="Z803" s="1130"/>
      <c r="AA803" s="1130"/>
    </row>
    <row r="804" spans="1:27" ht="15.75" customHeight="1">
      <c r="A804" s="1130"/>
      <c r="B804" s="1130"/>
      <c r="C804" s="1130"/>
      <c r="D804" s="1130"/>
      <c r="E804" s="1130"/>
      <c r="F804" s="1130"/>
      <c r="G804" s="1130"/>
      <c r="H804" s="1130"/>
      <c r="I804" s="1130"/>
      <c r="J804" s="1130"/>
      <c r="K804" s="1130"/>
      <c r="L804" s="1130"/>
      <c r="M804" s="1130"/>
      <c r="N804" s="1130"/>
      <c r="O804" s="1130"/>
      <c r="P804" s="1130"/>
      <c r="Q804" s="1130"/>
      <c r="R804" s="1130"/>
      <c r="S804" s="1130"/>
      <c r="T804" s="1130"/>
      <c r="U804" s="1130"/>
      <c r="V804" s="1130"/>
      <c r="W804" s="1130"/>
      <c r="X804" s="1130"/>
      <c r="Y804" s="1130"/>
      <c r="Z804" s="1130"/>
      <c r="AA804" s="1130"/>
    </row>
    <row r="805" spans="1:27" ht="15.75" customHeight="1">
      <c r="A805" s="1130"/>
      <c r="B805" s="1130"/>
      <c r="C805" s="1130"/>
      <c r="D805" s="1130"/>
      <c r="E805" s="1130"/>
      <c r="F805" s="1130"/>
      <c r="G805" s="1130"/>
      <c r="H805" s="1130"/>
      <c r="I805" s="1130"/>
      <c r="J805" s="1130"/>
      <c r="K805" s="1130"/>
      <c r="L805" s="1130"/>
      <c r="M805" s="1130"/>
      <c r="N805" s="1130"/>
      <c r="O805" s="1130"/>
      <c r="P805" s="1130"/>
      <c r="Q805" s="1130"/>
      <c r="R805" s="1130"/>
      <c r="S805" s="1130"/>
      <c r="T805" s="1130"/>
      <c r="U805" s="1130"/>
      <c r="V805" s="1130"/>
      <c r="W805" s="1130"/>
      <c r="X805" s="1130"/>
      <c r="Y805" s="1130"/>
      <c r="Z805" s="1130"/>
      <c r="AA805" s="1130"/>
    </row>
    <row r="806" spans="1:27" ht="15.75" customHeight="1">
      <c r="A806" s="1130"/>
      <c r="B806" s="1130"/>
      <c r="C806" s="1130"/>
      <c r="D806" s="1130"/>
      <c r="E806" s="1130"/>
      <c r="F806" s="1130"/>
      <c r="G806" s="1130"/>
      <c r="H806" s="1130"/>
      <c r="I806" s="1130"/>
      <c r="J806" s="1130"/>
      <c r="K806" s="1130"/>
      <c r="L806" s="1130"/>
      <c r="M806" s="1130"/>
      <c r="N806" s="1130"/>
      <c r="O806" s="1130"/>
      <c r="P806" s="1130"/>
      <c r="Q806" s="1130"/>
      <c r="R806" s="1130"/>
      <c r="S806" s="1130"/>
      <c r="T806" s="1130"/>
      <c r="U806" s="1130"/>
      <c r="V806" s="1130"/>
      <c r="W806" s="1130"/>
      <c r="X806" s="1130"/>
      <c r="Y806" s="1130"/>
      <c r="Z806" s="1130"/>
      <c r="AA806" s="1130"/>
    </row>
    <row r="807" spans="1:27" ht="15.75" customHeight="1">
      <c r="A807" s="1130"/>
      <c r="B807" s="1130"/>
      <c r="C807" s="1130"/>
      <c r="D807" s="1130"/>
      <c r="E807" s="1130"/>
      <c r="F807" s="1130"/>
      <c r="G807" s="1130"/>
      <c r="H807" s="1130"/>
      <c r="I807" s="1130"/>
      <c r="J807" s="1130"/>
      <c r="K807" s="1130"/>
      <c r="L807" s="1130"/>
      <c r="M807" s="1130"/>
      <c r="N807" s="1130"/>
      <c r="O807" s="1130"/>
      <c r="P807" s="1130"/>
      <c r="Q807" s="1130"/>
      <c r="R807" s="1130"/>
      <c r="S807" s="1130"/>
      <c r="T807" s="1130"/>
      <c r="U807" s="1130"/>
      <c r="V807" s="1130"/>
      <c r="W807" s="1130"/>
      <c r="X807" s="1130"/>
      <c r="Y807" s="1130"/>
      <c r="Z807" s="1130"/>
      <c r="AA807" s="1130"/>
    </row>
    <row r="808" spans="1:27" ht="15.75" customHeight="1">
      <c r="A808" s="1130"/>
      <c r="B808" s="1130"/>
      <c r="C808" s="1130"/>
      <c r="D808" s="1130"/>
      <c r="E808" s="1130"/>
      <c r="F808" s="1130"/>
      <c r="G808" s="1130"/>
      <c r="H808" s="1130"/>
      <c r="I808" s="1130"/>
      <c r="J808" s="1130"/>
      <c r="K808" s="1130"/>
      <c r="L808" s="1130"/>
      <c r="M808" s="1130"/>
      <c r="N808" s="1130"/>
      <c r="O808" s="1130"/>
      <c r="P808" s="1130"/>
      <c r="Q808" s="1130"/>
      <c r="R808" s="1130"/>
      <c r="S808" s="1130"/>
      <c r="T808" s="1130"/>
      <c r="U808" s="1130"/>
      <c r="V808" s="1130"/>
      <c r="W808" s="1130"/>
      <c r="X808" s="1130"/>
      <c r="Y808" s="1130"/>
      <c r="Z808" s="1130"/>
      <c r="AA808" s="1130"/>
    </row>
    <row r="809" spans="1:27" ht="15.75" customHeight="1">
      <c r="A809" s="1130"/>
      <c r="B809" s="1130"/>
      <c r="C809" s="1130"/>
      <c r="D809" s="1130"/>
      <c r="E809" s="1130"/>
      <c r="F809" s="1130"/>
      <c r="G809" s="1130"/>
      <c r="H809" s="1130"/>
      <c r="I809" s="1130"/>
      <c r="J809" s="1130"/>
      <c r="K809" s="1130"/>
      <c r="L809" s="1130"/>
      <c r="M809" s="1130"/>
      <c r="N809" s="1130"/>
      <c r="O809" s="1130"/>
      <c r="P809" s="1130"/>
      <c r="Q809" s="1130"/>
      <c r="R809" s="1130"/>
      <c r="S809" s="1130"/>
      <c r="T809" s="1130"/>
      <c r="U809" s="1130"/>
      <c r="V809" s="1130"/>
      <c r="W809" s="1130"/>
      <c r="X809" s="1130"/>
      <c r="Y809" s="1130"/>
      <c r="Z809" s="1130"/>
      <c r="AA809" s="1130"/>
    </row>
    <row r="810" spans="1:27" ht="15.75" customHeight="1">
      <c r="A810" s="1130"/>
      <c r="B810" s="1130"/>
      <c r="C810" s="1130"/>
      <c r="D810" s="1130"/>
      <c r="E810" s="1130"/>
      <c r="F810" s="1130"/>
      <c r="G810" s="1130"/>
      <c r="H810" s="1130"/>
      <c r="I810" s="1130"/>
      <c r="J810" s="1130"/>
      <c r="K810" s="1130"/>
      <c r="L810" s="1130"/>
      <c r="M810" s="1130"/>
      <c r="N810" s="1130"/>
      <c r="O810" s="1130"/>
      <c r="P810" s="1130"/>
      <c r="Q810" s="1130"/>
      <c r="R810" s="1130"/>
      <c r="S810" s="1130"/>
      <c r="T810" s="1130"/>
      <c r="U810" s="1130"/>
      <c r="V810" s="1130"/>
      <c r="W810" s="1130"/>
      <c r="X810" s="1130"/>
      <c r="Y810" s="1130"/>
      <c r="Z810" s="1130"/>
      <c r="AA810" s="1130"/>
    </row>
    <row r="811" spans="1:27" ht="15.75" customHeight="1">
      <c r="A811" s="1130"/>
      <c r="B811" s="1130"/>
      <c r="C811" s="1130"/>
      <c r="D811" s="1130"/>
      <c r="E811" s="1130"/>
      <c r="F811" s="1130"/>
      <c r="G811" s="1130"/>
      <c r="H811" s="1130"/>
      <c r="I811" s="1130"/>
      <c r="J811" s="1130"/>
      <c r="K811" s="1130"/>
      <c r="L811" s="1130"/>
      <c r="M811" s="1130"/>
      <c r="N811" s="1130"/>
      <c r="O811" s="1130"/>
      <c r="P811" s="1130"/>
      <c r="Q811" s="1130"/>
      <c r="R811" s="1130"/>
      <c r="S811" s="1130"/>
      <c r="T811" s="1130"/>
      <c r="U811" s="1130"/>
      <c r="V811" s="1130"/>
      <c r="W811" s="1130"/>
      <c r="X811" s="1130"/>
      <c r="Y811" s="1130"/>
      <c r="Z811" s="1130"/>
      <c r="AA811" s="1130"/>
    </row>
    <row r="812" spans="1:27" ht="15.75" customHeight="1">
      <c r="A812" s="1130"/>
      <c r="B812" s="1130"/>
      <c r="C812" s="1130"/>
      <c r="D812" s="1130"/>
      <c r="E812" s="1130"/>
      <c r="F812" s="1130"/>
      <c r="G812" s="1130"/>
      <c r="H812" s="1130"/>
      <c r="I812" s="1130"/>
      <c r="J812" s="1130"/>
      <c r="K812" s="1130"/>
      <c r="L812" s="1130"/>
      <c r="M812" s="1130"/>
      <c r="N812" s="1130"/>
      <c r="O812" s="1130"/>
      <c r="P812" s="1130"/>
      <c r="Q812" s="1130"/>
      <c r="R812" s="1130"/>
      <c r="S812" s="1130"/>
      <c r="T812" s="1130"/>
      <c r="U812" s="1130"/>
      <c r="V812" s="1130"/>
      <c r="W812" s="1130"/>
      <c r="X812" s="1130"/>
      <c r="Y812" s="1130"/>
      <c r="Z812" s="1130"/>
      <c r="AA812" s="1130"/>
    </row>
    <row r="813" spans="1:27" ht="15.75" customHeight="1">
      <c r="A813" s="1130"/>
      <c r="B813" s="1130"/>
      <c r="C813" s="1130"/>
      <c r="D813" s="1130"/>
      <c r="E813" s="1130"/>
      <c r="F813" s="1130"/>
      <c r="G813" s="1130"/>
      <c r="H813" s="1130"/>
      <c r="I813" s="1130"/>
      <c r="J813" s="1130"/>
      <c r="K813" s="1130"/>
      <c r="L813" s="1130"/>
      <c r="M813" s="1130"/>
      <c r="N813" s="1130"/>
      <c r="O813" s="1130"/>
      <c r="P813" s="1130"/>
      <c r="Q813" s="1130"/>
      <c r="R813" s="1130"/>
      <c r="S813" s="1130"/>
      <c r="T813" s="1130"/>
      <c r="U813" s="1130"/>
      <c r="V813" s="1130"/>
      <c r="W813" s="1130"/>
      <c r="X813" s="1130"/>
      <c r="Y813" s="1130"/>
      <c r="Z813" s="1130"/>
      <c r="AA813" s="1130"/>
    </row>
    <row r="814" spans="1:27" ht="15.75" customHeight="1">
      <c r="A814" s="1130"/>
      <c r="B814" s="1130"/>
      <c r="C814" s="1130"/>
      <c r="D814" s="1130"/>
      <c r="E814" s="1130"/>
      <c r="F814" s="1130"/>
      <c r="G814" s="1130"/>
      <c r="H814" s="1130"/>
      <c r="I814" s="1130"/>
      <c r="J814" s="1130"/>
      <c r="K814" s="1130"/>
      <c r="L814" s="1130"/>
      <c r="M814" s="1130"/>
      <c r="N814" s="1130"/>
      <c r="O814" s="1130"/>
      <c r="P814" s="1130"/>
      <c r="Q814" s="1130"/>
      <c r="R814" s="1130"/>
      <c r="S814" s="1130"/>
      <c r="T814" s="1130"/>
      <c r="U814" s="1130"/>
      <c r="V814" s="1130"/>
      <c r="W814" s="1130"/>
      <c r="X814" s="1130"/>
      <c r="Y814" s="1130"/>
      <c r="Z814" s="1130"/>
      <c r="AA814" s="1130"/>
    </row>
    <row r="815" spans="1:27" ht="15.75" customHeight="1">
      <c r="A815" s="1130"/>
      <c r="B815" s="1130"/>
      <c r="C815" s="1130"/>
      <c r="D815" s="1130"/>
      <c r="E815" s="1130"/>
      <c r="F815" s="1130"/>
      <c r="G815" s="1130"/>
      <c r="H815" s="1130"/>
      <c r="I815" s="1130"/>
      <c r="J815" s="1130"/>
      <c r="K815" s="1130"/>
      <c r="L815" s="1130"/>
      <c r="M815" s="1130"/>
      <c r="N815" s="1130"/>
      <c r="O815" s="1130"/>
      <c r="P815" s="1130"/>
      <c r="Q815" s="1130"/>
      <c r="R815" s="1130"/>
      <c r="S815" s="1130"/>
      <c r="T815" s="1130"/>
      <c r="U815" s="1130"/>
      <c r="V815" s="1130"/>
      <c r="W815" s="1130"/>
      <c r="X815" s="1130"/>
      <c r="Y815" s="1130"/>
      <c r="Z815" s="1130"/>
      <c r="AA815" s="1130"/>
    </row>
    <row r="816" spans="1:27" ht="15.75" customHeight="1">
      <c r="A816" s="1130"/>
      <c r="B816" s="1130"/>
      <c r="C816" s="1130"/>
      <c r="D816" s="1130"/>
      <c r="E816" s="1130"/>
      <c r="F816" s="1130"/>
      <c r="G816" s="1130"/>
      <c r="H816" s="1130"/>
      <c r="I816" s="1130"/>
      <c r="J816" s="1130"/>
      <c r="K816" s="1130"/>
      <c r="L816" s="1130"/>
      <c r="M816" s="1130"/>
      <c r="N816" s="1130"/>
      <c r="O816" s="1130"/>
      <c r="P816" s="1130"/>
      <c r="Q816" s="1130"/>
      <c r="R816" s="1130"/>
      <c r="S816" s="1130"/>
      <c r="T816" s="1130"/>
      <c r="U816" s="1130"/>
      <c r="V816" s="1130"/>
      <c r="W816" s="1130"/>
      <c r="X816" s="1130"/>
      <c r="Y816" s="1130"/>
      <c r="Z816" s="1130"/>
      <c r="AA816" s="1130"/>
    </row>
    <row r="817" spans="1:27" ht="15.75" customHeight="1">
      <c r="A817" s="1130"/>
      <c r="B817" s="1130"/>
      <c r="C817" s="1130"/>
      <c r="D817" s="1130"/>
      <c r="E817" s="1130"/>
      <c r="F817" s="1130"/>
      <c r="G817" s="1130"/>
      <c r="H817" s="1130"/>
      <c r="I817" s="1130"/>
      <c r="J817" s="1130"/>
      <c r="K817" s="1130"/>
      <c r="L817" s="1130"/>
      <c r="M817" s="1130"/>
      <c r="N817" s="1130"/>
      <c r="O817" s="1130"/>
      <c r="P817" s="1130"/>
      <c r="Q817" s="1130"/>
      <c r="R817" s="1130"/>
      <c r="S817" s="1130"/>
      <c r="T817" s="1130"/>
      <c r="U817" s="1130"/>
      <c r="V817" s="1130"/>
      <c r="W817" s="1130"/>
      <c r="X817" s="1130"/>
      <c r="Y817" s="1130"/>
      <c r="Z817" s="1130"/>
      <c r="AA817" s="1130"/>
    </row>
    <row r="818" spans="1:27" ht="15.75" customHeight="1">
      <c r="A818" s="1130"/>
      <c r="B818" s="1130"/>
      <c r="C818" s="1130"/>
      <c r="D818" s="1130"/>
      <c r="E818" s="1130"/>
      <c r="F818" s="1130"/>
      <c r="G818" s="1130"/>
      <c r="H818" s="1130"/>
      <c r="I818" s="1130"/>
      <c r="J818" s="1130"/>
      <c r="K818" s="1130"/>
      <c r="L818" s="1130"/>
      <c r="M818" s="1130"/>
      <c r="N818" s="1130"/>
      <c r="O818" s="1130"/>
      <c r="P818" s="1130"/>
      <c r="Q818" s="1130"/>
      <c r="R818" s="1130"/>
      <c r="S818" s="1130"/>
      <c r="T818" s="1130"/>
      <c r="U818" s="1130"/>
      <c r="V818" s="1130"/>
      <c r="W818" s="1130"/>
      <c r="X818" s="1130"/>
      <c r="Y818" s="1130"/>
      <c r="Z818" s="1130"/>
      <c r="AA818" s="1130"/>
    </row>
    <row r="819" spans="1:27" ht="15.75" customHeight="1">
      <c r="A819" s="1130"/>
      <c r="B819" s="1130"/>
      <c r="C819" s="1130"/>
      <c r="D819" s="1130"/>
      <c r="E819" s="1130"/>
      <c r="F819" s="1130"/>
      <c r="G819" s="1130"/>
      <c r="H819" s="1130"/>
      <c r="I819" s="1130"/>
      <c r="J819" s="1130"/>
      <c r="K819" s="1130"/>
      <c r="L819" s="1130"/>
      <c r="M819" s="1130"/>
      <c r="N819" s="1130"/>
      <c r="O819" s="1130"/>
      <c r="P819" s="1130"/>
      <c r="Q819" s="1130"/>
      <c r="R819" s="1130"/>
      <c r="S819" s="1130"/>
      <c r="T819" s="1130"/>
      <c r="U819" s="1130"/>
      <c r="V819" s="1130"/>
      <c r="W819" s="1130"/>
      <c r="X819" s="1130"/>
      <c r="Y819" s="1130"/>
      <c r="Z819" s="1130"/>
      <c r="AA819" s="1130"/>
    </row>
    <row r="820" spans="1:27" ht="15.75" customHeight="1">
      <c r="A820" s="1130"/>
      <c r="B820" s="1130"/>
      <c r="C820" s="1130"/>
      <c r="D820" s="1130"/>
      <c r="E820" s="1130"/>
      <c r="F820" s="1130"/>
      <c r="G820" s="1130"/>
      <c r="H820" s="1130"/>
      <c r="I820" s="1130"/>
      <c r="J820" s="1130"/>
      <c r="K820" s="1130"/>
      <c r="L820" s="1130"/>
      <c r="M820" s="1130"/>
      <c r="N820" s="1130"/>
      <c r="O820" s="1130"/>
      <c r="P820" s="1130"/>
      <c r="Q820" s="1130"/>
      <c r="R820" s="1130"/>
      <c r="S820" s="1130"/>
      <c r="T820" s="1130"/>
      <c r="U820" s="1130"/>
      <c r="V820" s="1130"/>
      <c r="W820" s="1130"/>
      <c r="X820" s="1130"/>
      <c r="Y820" s="1130"/>
      <c r="Z820" s="1130"/>
      <c r="AA820" s="1130"/>
    </row>
    <row r="821" spans="1:27" ht="15.75" customHeight="1">
      <c r="A821" s="1130"/>
      <c r="B821" s="1130"/>
      <c r="C821" s="1130"/>
      <c r="D821" s="1130"/>
      <c r="E821" s="1130"/>
      <c r="F821" s="1130"/>
      <c r="G821" s="1130"/>
      <c r="H821" s="1130"/>
      <c r="I821" s="1130"/>
      <c r="J821" s="1130"/>
      <c r="K821" s="1130"/>
      <c r="L821" s="1130"/>
      <c r="M821" s="1130"/>
      <c r="N821" s="1130"/>
      <c r="O821" s="1130"/>
      <c r="P821" s="1130"/>
      <c r="Q821" s="1130"/>
      <c r="R821" s="1130"/>
      <c r="S821" s="1130"/>
      <c r="T821" s="1130"/>
      <c r="U821" s="1130"/>
      <c r="V821" s="1130"/>
      <c r="W821" s="1130"/>
      <c r="X821" s="1130"/>
      <c r="Y821" s="1130"/>
      <c r="Z821" s="1130"/>
      <c r="AA821" s="1130"/>
    </row>
    <row r="822" spans="1:27" ht="15.75" customHeight="1">
      <c r="A822" s="1130"/>
      <c r="B822" s="1130"/>
      <c r="C822" s="1130"/>
      <c r="D822" s="1130"/>
      <c r="E822" s="1130"/>
      <c r="F822" s="1130"/>
      <c r="G822" s="1130"/>
      <c r="H822" s="1130"/>
      <c r="I822" s="1130"/>
      <c r="J822" s="1130"/>
      <c r="K822" s="1130"/>
      <c r="L822" s="1130"/>
      <c r="M822" s="1130"/>
      <c r="N822" s="1130"/>
      <c r="O822" s="1130"/>
      <c r="P822" s="1130"/>
      <c r="Q822" s="1130"/>
      <c r="R822" s="1130"/>
      <c r="S822" s="1130"/>
      <c r="T822" s="1130"/>
      <c r="U822" s="1130"/>
      <c r="V822" s="1130"/>
      <c r="W822" s="1130"/>
      <c r="X822" s="1130"/>
      <c r="Y822" s="1130"/>
      <c r="Z822" s="1130"/>
      <c r="AA822" s="1130"/>
    </row>
    <row r="823" spans="1:27" ht="15.75" customHeight="1">
      <c r="A823" s="1130"/>
      <c r="B823" s="1130"/>
      <c r="C823" s="1130"/>
      <c r="D823" s="1130"/>
      <c r="E823" s="1130"/>
      <c r="F823" s="1130"/>
      <c r="G823" s="1130"/>
      <c r="H823" s="1130"/>
      <c r="I823" s="1130"/>
      <c r="J823" s="1130"/>
      <c r="K823" s="1130"/>
      <c r="L823" s="1130"/>
      <c r="M823" s="1130"/>
      <c r="N823" s="1130"/>
      <c r="O823" s="1130"/>
      <c r="P823" s="1130"/>
      <c r="Q823" s="1130"/>
      <c r="R823" s="1130"/>
      <c r="S823" s="1130"/>
      <c r="T823" s="1130"/>
      <c r="U823" s="1130"/>
      <c r="V823" s="1130"/>
      <c r="W823" s="1130"/>
      <c r="X823" s="1130"/>
      <c r="Y823" s="1130"/>
      <c r="Z823" s="1130"/>
      <c r="AA823" s="1130"/>
    </row>
    <row r="824" spans="1:27" ht="15.75" customHeight="1">
      <c r="A824" s="1130"/>
      <c r="B824" s="1130"/>
      <c r="C824" s="1130"/>
      <c r="D824" s="1130"/>
      <c r="E824" s="1130"/>
      <c r="F824" s="1130"/>
      <c r="G824" s="1130"/>
      <c r="H824" s="1130"/>
      <c r="I824" s="1130"/>
      <c r="J824" s="1130"/>
      <c r="K824" s="1130"/>
      <c r="L824" s="1130"/>
      <c r="M824" s="1130"/>
      <c r="N824" s="1130"/>
      <c r="O824" s="1130"/>
      <c r="P824" s="1130"/>
      <c r="Q824" s="1130"/>
      <c r="R824" s="1130"/>
      <c r="S824" s="1130"/>
      <c r="T824" s="1130"/>
      <c r="U824" s="1130"/>
      <c r="V824" s="1130"/>
      <c r="W824" s="1130"/>
      <c r="X824" s="1130"/>
      <c r="Y824" s="1130"/>
      <c r="Z824" s="1130"/>
      <c r="AA824" s="1130"/>
    </row>
    <row r="825" spans="1:27" ht="15.75" customHeight="1">
      <c r="A825" s="1130"/>
      <c r="B825" s="1130"/>
      <c r="C825" s="1130"/>
      <c r="D825" s="1130"/>
      <c r="E825" s="1130"/>
      <c r="F825" s="1130"/>
      <c r="G825" s="1130"/>
      <c r="H825" s="1130"/>
      <c r="I825" s="1130"/>
      <c r="J825" s="1130"/>
      <c r="K825" s="1130"/>
      <c r="L825" s="1130"/>
      <c r="M825" s="1130"/>
      <c r="N825" s="1130"/>
      <c r="O825" s="1130"/>
      <c r="P825" s="1130"/>
      <c r="Q825" s="1130"/>
      <c r="R825" s="1130"/>
      <c r="S825" s="1130"/>
      <c r="T825" s="1130"/>
      <c r="U825" s="1130"/>
      <c r="V825" s="1130"/>
      <c r="W825" s="1130"/>
      <c r="X825" s="1130"/>
      <c r="Y825" s="1130"/>
      <c r="Z825" s="1130"/>
      <c r="AA825" s="1130"/>
    </row>
    <row r="826" spans="1:27" ht="15.75" customHeight="1">
      <c r="A826" s="1130"/>
      <c r="B826" s="1130"/>
      <c r="C826" s="1130"/>
      <c r="D826" s="1130"/>
      <c r="E826" s="1130"/>
      <c r="F826" s="1130"/>
      <c r="G826" s="1130"/>
      <c r="H826" s="1130"/>
      <c r="I826" s="1130"/>
      <c r="J826" s="1130"/>
      <c r="K826" s="1130"/>
      <c r="L826" s="1130"/>
      <c r="M826" s="1130"/>
      <c r="N826" s="1130"/>
      <c r="O826" s="1130"/>
      <c r="P826" s="1130"/>
      <c r="Q826" s="1130"/>
      <c r="R826" s="1130"/>
      <c r="S826" s="1130"/>
      <c r="T826" s="1130"/>
      <c r="U826" s="1130"/>
      <c r="V826" s="1130"/>
      <c r="W826" s="1130"/>
      <c r="X826" s="1130"/>
      <c r="Y826" s="1130"/>
      <c r="Z826" s="1130"/>
      <c r="AA826" s="1130"/>
    </row>
    <row r="827" spans="1:27" ht="15.75" customHeight="1">
      <c r="A827" s="1130"/>
      <c r="B827" s="1130"/>
      <c r="C827" s="1130"/>
      <c r="D827" s="1130"/>
      <c r="E827" s="1130"/>
      <c r="F827" s="1130"/>
      <c r="G827" s="1130"/>
      <c r="H827" s="1130"/>
      <c r="I827" s="1130"/>
      <c r="J827" s="1130"/>
      <c r="K827" s="1130"/>
      <c r="L827" s="1130"/>
      <c r="M827" s="1130"/>
      <c r="N827" s="1130"/>
      <c r="O827" s="1130"/>
      <c r="P827" s="1130"/>
      <c r="Q827" s="1130"/>
      <c r="R827" s="1130"/>
      <c r="S827" s="1130"/>
      <c r="T827" s="1130"/>
      <c r="U827" s="1130"/>
      <c r="V827" s="1130"/>
      <c r="W827" s="1130"/>
      <c r="X827" s="1130"/>
      <c r="Y827" s="1130"/>
      <c r="Z827" s="1130"/>
      <c r="AA827" s="1130"/>
    </row>
    <row r="828" spans="1:27" ht="15.75" customHeight="1">
      <c r="A828" s="1130"/>
      <c r="B828" s="1130"/>
      <c r="C828" s="1130"/>
      <c r="D828" s="1130"/>
      <c r="E828" s="1130"/>
      <c r="F828" s="1130"/>
      <c r="G828" s="1130"/>
      <c r="H828" s="1130"/>
      <c r="I828" s="1130"/>
      <c r="J828" s="1130"/>
      <c r="K828" s="1130"/>
      <c r="L828" s="1130"/>
      <c r="M828" s="1130"/>
      <c r="N828" s="1130"/>
      <c r="O828" s="1130"/>
      <c r="P828" s="1130"/>
      <c r="Q828" s="1130"/>
      <c r="R828" s="1130"/>
      <c r="S828" s="1130"/>
      <c r="T828" s="1130"/>
      <c r="U828" s="1130"/>
      <c r="V828" s="1130"/>
      <c r="W828" s="1130"/>
      <c r="X828" s="1130"/>
      <c r="Y828" s="1130"/>
      <c r="Z828" s="1130"/>
      <c r="AA828" s="1130"/>
    </row>
    <row r="829" spans="1:27" ht="15.75" customHeight="1">
      <c r="A829" s="1130"/>
      <c r="B829" s="1130"/>
      <c r="C829" s="1130"/>
      <c r="D829" s="1130"/>
      <c r="E829" s="1130"/>
      <c r="F829" s="1130"/>
      <c r="G829" s="1130"/>
      <c r="H829" s="1130"/>
      <c r="I829" s="1130"/>
      <c r="J829" s="1130"/>
      <c r="K829" s="1130"/>
      <c r="L829" s="1130"/>
      <c r="M829" s="1130"/>
      <c r="N829" s="1130"/>
      <c r="O829" s="1130"/>
      <c r="P829" s="1130"/>
      <c r="Q829" s="1130"/>
      <c r="R829" s="1130"/>
      <c r="S829" s="1130"/>
      <c r="T829" s="1130"/>
      <c r="U829" s="1130"/>
      <c r="V829" s="1130"/>
      <c r="W829" s="1130"/>
      <c r="X829" s="1130"/>
      <c r="Y829" s="1130"/>
      <c r="Z829" s="1130"/>
      <c r="AA829" s="1130"/>
    </row>
    <row r="830" spans="1:27" ht="15.75" customHeight="1">
      <c r="A830" s="1130"/>
      <c r="B830" s="1130"/>
      <c r="C830" s="1130"/>
      <c r="D830" s="1130"/>
      <c r="E830" s="1130"/>
      <c r="F830" s="1130"/>
      <c r="G830" s="1130"/>
      <c r="H830" s="1130"/>
      <c r="I830" s="1130"/>
      <c r="J830" s="1130"/>
      <c r="K830" s="1130"/>
      <c r="L830" s="1130"/>
      <c r="M830" s="1130"/>
      <c r="N830" s="1130"/>
      <c r="O830" s="1130"/>
      <c r="P830" s="1130"/>
      <c r="Q830" s="1130"/>
      <c r="R830" s="1130"/>
      <c r="S830" s="1130"/>
      <c r="T830" s="1130"/>
      <c r="U830" s="1130"/>
      <c r="V830" s="1130"/>
      <c r="W830" s="1130"/>
      <c r="X830" s="1130"/>
      <c r="Y830" s="1130"/>
      <c r="Z830" s="1130"/>
      <c r="AA830" s="1130"/>
    </row>
    <row r="831" spans="1:27" ht="15.75" customHeight="1">
      <c r="A831" s="1130"/>
      <c r="B831" s="1130"/>
      <c r="C831" s="1130"/>
      <c r="D831" s="1130"/>
      <c r="E831" s="1130"/>
      <c r="F831" s="1130"/>
      <c r="G831" s="1130"/>
      <c r="H831" s="1130"/>
      <c r="I831" s="1130"/>
      <c r="J831" s="1130"/>
      <c r="K831" s="1130"/>
      <c r="L831" s="1130"/>
      <c r="M831" s="1130"/>
      <c r="N831" s="1130"/>
      <c r="O831" s="1130"/>
      <c r="P831" s="1130"/>
      <c r="Q831" s="1130"/>
      <c r="R831" s="1130"/>
      <c r="S831" s="1130"/>
      <c r="T831" s="1130"/>
      <c r="U831" s="1130"/>
      <c r="V831" s="1130"/>
      <c r="W831" s="1130"/>
      <c r="X831" s="1130"/>
      <c r="Y831" s="1130"/>
      <c r="Z831" s="1130"/>
      <c r="AA831" s="1130"/>
    </row>
    <row r="832" spans="1:27" ht="15.75" customHeight="1">
      <c r="A832" s="1130"/>
      <c r="B832" s="1130"/>
      <c r="C832" s="1130"/>
      <c r="D832" s="1130"/>
      <c r="E832" s="1130"/>
      <c r="F832" s="1130"/>
      <c r="G832" s="1130"/>
      <c r="H832" s="1130"/>
      <c r="I832" s="1130"/>
      <c r="J832" s="1130"/>
      <c r="K832" s="1130"/>
      <c r="L832" s="1130"/>
      <c r="M832" s="1130"/>
      <c r="N832" s="1130"/>
      <c r="O832" s="1130"/>
      <c r="P832" s="1130"/>
      <c r="Q832" s="1130"/>
      <c r="R832" s="1130"/>
      <c r="S832" s="1130"/>
      <c r="T832" s="1130"/>
      <c r="U832" s="1130"/>
      <c r="V832" s="1130"/>
      <c r="W832" s="1130"/>
      <c r="X832" s="1130"/>
      <c r="Y832" s="1130"/>
      <c r="Z832" s="1130"/>
      <c r="AA832" s="1130"/>
    </row>
    <row r="833" spans="1:27" ht="15.75" customHeight="1">
      <c r="A833" s="1130"/>
      <c r="B833" s="1130"/>
      <c r="C833" s="1130"/>
      <c r="D833" s="1130"/>
      <c r="E833" s="1130"/>
      <c r="F833" s="1130"/>
      <c r="G833" s="1130"/>
      <c r="H833" s="1130"/>
      <c r="I833" s="1130"/>
      <c r="J833" s="1130"/>
      <c r="K833" s="1130"/>
      <c r="L833" s="1130"/>
      <c r="M833" s="1130"/>
      <c r="N833" s="1130"/>
      <c r="O833" s="1130"/>
      <c r="P833" s="1130"/>
      <c r="Q833" s="1130"/>
      <c r="R833" s="1130"/>
      <c r="S833" s="1130"/>
      <c r="T833" s="1130"/>
      <c r="U833" s="1130"/>
      <c r="V833" s="1130"/>
      <c r="W833" s="1130"/>
      <c r="X833" s="1130"/>
      <c r="Y833" s="1130"/>
      <c r="Z833" s="1130"/>
      <c r="AA833" s="1130"/>
    </row>
    <row r="834" spans="1:27" ht="15.75" customHeight="1">
      <c r="A834" s="1130"/>
      <c r="B834" s="1130"/>
      <c r="C834" s="1130"/>
      <c r="D834" s="1130"/>
      <c r="E834" s="1130"/>
      <c r="F834" s="1130"/>
      <c r="G834" s="1130"/>
      <c r="H834" s="1130"/>
      <c r="I834" s="1130"/>
      <c r="J834" s="1130"/>
      <c r="K834" s="1130"/>
      <c r="L834" s="1130"/>
      <c r="M834" s="1130"/>
      <c r="N834" s="1130"/>
      <c r="O834" s="1130"/>
      <c r="P834" s="1130"/>
      <c r="Q834" s="1130"/>
      <c r="R834" s="1130"/>
      <c r="S834" s="1130"/>
      <c r="T834" s="1130"/>
      <c r="U834" s="1130"/>
      <c r="V834" s="1130"/>
      <c r="W834" s="1130"/>
      <c r="X834" s="1130"/>
      <c r="Y834" s="1130"/>
      <c r="Z834" s="1130"/>
      <c r="AA834" s="1130"/>
    </row>
    <row r="835" spans="1:27" ht="15.75" customHeight="1">
      <c r="A835" s="1130"/>
      <c r="B835" s="1130"/>
      <c r="C835" s="1130"/>
      <c r="D835" s="1130"/>
      <c r="E835" s="1130"/>
      <c r="F835" s="1130"/>
      <c r="G835" s="1130"/>
      <c r="H835" s="1130"/>
      <c r="I835" s="1130"/>
      <c r="J835" s="1130"/>
      <c r="K835" s="1130"/>
      <c r="L835" s="1130"/>
      <c r="M835" s="1130"/>
      <c r="N835" s="1130"/>
      <c r="O835" s="1130"/>
      <c r="P835" s="1130"/>
      <c r="Q835" s="1130"/>
      <c r="R835" s="1130"/>
      <c r="S835" s="1130"/>
      <c r="T835" s="1130"/>
      <c r="U835" s="1130"/>
      <c r="V835" s="1130"/>
      <c r="W835" s="1130"/>
      <c r="X835" s="1130"/>
      <c r="Y835" s="1130"/>
      <c r="Z835" s="1130"/>
      <c r="AA835" s="1130"/>
    </row>
    <row r="836" spans="1:27" ht="15.75" customHeight="1">
      <c r="A836" s="1130"/>
      <c r="B836" s="1130"/>
      <c r="C836" s="1130"/>
      <c r="D836" s="1130"/>
      <c r="E836" s="1130"/>
      <c r="F836" s="1130"/>
      <c r="G836" s="1130"/>
      <c r="H836" s="1130"/>
      <c r="I836" s="1130"/>
      <c r="J836" s="1130"/>
      <c r="K836" s="1130"/>
      <c r="L836" s="1130"/>
      <c r="M836" s="1130"/>
      <c r="N836" s="1130"/>
      <c r="O836" s="1130"/>
      <c r="P836" s="1130"/>
      <c r="Q836" s="1130"/>
      <c r="R836" s="1130"/>
      <c r="S836" s="1130"/>
      <c r="T836" s="1130"/>
      <c r="U836" s="1130"/>
      <c r="V836" s="1130"/>
      <c r="W836" s="1130"/>
      <c r="X836" s="1130"/>
      <c r="Y836" s="1130"/>
      <c r="Z836" s="1130"/>
      <c r="AA836" s="1130"/>
    </row>
    <row r="837" spans="1:27" ht="15.75" customHeight="1">
      <c r="A837" s="1130"/>
      <c r="B837" s="1130"/>
      <c r="C837" s="1130"/>
      <c r="D837" s="1130"/>
      <c r="E837" s="1130"/>
      <c r="F837" s="1130"/>
      <c r="G837" s="1130"/>
      <c r="H837" s="1130"/>
      <c r="I837" s="1130"/>
      <c r="J837" s="1130"/>
      <c r="K837" s="1130"/>
      <c r="L837" s="1130"/>
      <c r="M837" s="1130"/>
      <c r="N837" s="1130"/>
      <c r="O837" s="1130"/>
      <c r="P837" s="1130"/>
      <c r="Q837" s="1130"/>
      <c r="R837" s="1130"/>
      <c r="S837" s="1130"/>
      <c r="T837" s="1130"/>
      <c r="U837" s="1130"/>
      <c r="V837" s="1130"/>
      <c r="W837" s="1130"/>
      <c r="X837" s="1130"/>
      <c r="Y837" s="1130"/>
      <c r="Z837" s="1130"/>
      <c r="AA837" s="1130"/>
    </row>
    <row r="838" spans="1:27" ht="15.75" customHeight="1">
      <c r="A838" s="1130"/>
      <c r="B838" s="1130"/>
      <c r="C838" s="1130"/>
      <c r="D838" s="1130"/>
      <c r="E838" s="1130"/>
      <c r="F838" s="1130"/>
      <c r="G838" s="1130"/>
      <c r="H838" s="1130"/>
      <c r="I838" s="1130"/>
      <c r="J838" s="1130"/>
      <c r="K838" s="1130"/>
      <c r="L838" s="1130"/>
      <c r="M838" s="1130"/>
      <c r="N838" s="1130"/>
      <c r="O838" s="1130"/>
      <c r="P838" s="1130"/>
      <c r="Q838" s="1130"/>
      <c r="R838" s="1130"/>
      <c r="S838" s="1130"/>
      <c r="T838" s="1130"/>
      <c r="U838" s="1130"/>
      <c r="V838" s="1130"/>
      <c r="W838" s="1130"/>
      <c r="X838" s="1130"/>
      <c r="Y838" s="1130"/>
      <c r="Z838" s="1130"/>
      <c r="AA838" s="1130"/>
    </row>
    <row r="839" spans="1:27" ht="15.75" customHeight="1">
      <c r="A839" s="1130"/>
      <c r="B839" s="1130"/>
      <c r="C839" s="1130"/>
      <c r="D839" s="1130"/>
      <c r="E839" s="1130"/>
      <c r="F839" s="1130"/>
      <c r="G839" s="1130"/>
      <c r="H839" s="1130"/>
      <c r="I839" s="1130"/>
      <c r="J839" s="1130"/>
      <c r="K839" s="1130"/>
      <c r="L839" s="1130"/>
      <c r="M839" s="1130"/>
      <c r="N839" s="1130"/>
      <c r="O839" s="1130"/>
      <c r="P839" s="1130"/>
      <c r="Q839" s="1130"/>
      <c r="R839" s="1130"/>
      <c r="S839" s="1130"/>
      <c r="T839" s="1130"/>
      <c r="U839" s="1130"/>
      <c r="V839" s="1130"/>
      <c r="W839" s="1130"/>
      <c r="X839" s="1130"/>
      <c r="Y839" s="1130"/>
      <c r="Z839" s="1130"/>
      <c r="AA839" s="1130"/>
    </row>
    <row r="840" spans="1:27" ht="15.75" customHeight="1">
      <c r="A840" s="1130"/>
      <c r="B840" s="1130"/>
      <c r="C840" s="1130"/>
      <c r="D840" s="1130"/>
      <c r="E840" s="1130"/>
      <c r="F840" s="1130"/>
      <c r="G840" s="1130"/>
      <c r="H840" s="1130"/>
      <c r="I840" s="1130"/>
      <c r="J840" s="1130"/>
      <c r="K840" s="1130"/>
      <c r="L840" s="1130"/>
      <c r="M840" s="1130"/>
      <c r="N840" s="1130"/>
      <c r="O840" s="1130"/>
      <c r="P840" s="1130"/>
      <c r="Q840" s="1130"/>
      <c r="R840" s="1130"/>
      <c r="S840" s="1130"/>
      <c r="T840" s="1130"/>
      <c r="U840" s="1130"/>
      <c r="V840" s="1130"/>
      <c r="W840" s="1130"/>
      <c r="X840" s="1130"/>
      <c r="Y840" s="1130"/>
      <c r="Z840" s="1130"/>
      <c r="AA840" s="1130"/>
    </row>
    <row r="841" spans="1:27" ht="15.75" customHeight="1">
      <c r="A841" s="1130"/>
      <c r="B841" s="1130"/>
      <c r="C841" s="1130"/>
      <c r="D841" s="1130"/>
      <c r="E841" s="1130"/>
      <c r="F841" s="1130"/>
      <c r="G841" s="1130"/>
      <c r="H841" s="1130"/>
      <c r="I841" s="1130"/>
      <c r="J841" s="1130"/>
      <c r="K841" s="1130"/>
      <c r="L841" s="1130"/>
      <c r="M841" s="1130"/>
      <c r="N841" s="1130"/>
      <c r="O841" s="1130"/>
      <c r="P841" s="1130"/>
      <c r="Q841" s="1130"/>
      <c r="R841" s="1130"/>
      <c r="S841" s="1130"/>
      <c r="T841" s="1130"/>
      <c r="U841" s="1130"/>
      <c r="V841" s="1130"/>
      <c r="W841" s="1130"/>
      <c r="X841" s="1130"/>
      <c r="Y841" s="1130"/>
      <c r="Z841" s="1130"/>
      <c r="AA841" s="1130"/>
    </row>
    <row r="842" spans="1:27" ht="15.75" customHeight="1">
      <c r="A842" s="1130"/>
      <c r="B842" s="1130"/>
      <c r="C842" s="1130"/>
      <c r="D842" s="1130"/>
      <c r="E842" s="1130"/>
      <c r="F842" s="1130"/>
      <c r="G842" s="1130"/>
      <c r="H842" s="1130"/>
      <c r="I842" s="1130"/>
      <c r="J842" s="1130"/>
      <c r="K842" s="1130"/>
      <c r="L842" s="1130"/>
      <c r="M842" s="1130"/>
      <c r="N842" s="1130"/>
      <c r="O842" s="1130"/>
      <c r="P842" s="1130"/>
      <c r="Q842" s="1130"/>
      <c r="R842" s="1130"/>
      <c r="S842" s="1130"/>
      <c r="T842" s="1130"/>
      <c r="U842" s="1130"/>
      <c r="V842" s="1130"/>
      <c r="W842" s="1130"/>
      <c r="X842" s="1130"/>
      <c r="Y842" s="1130"/>
      <c r="Z842" s="1130"/>
      <c r="AA842" s="1130"/>
    </row>
    <row r="843" spans="1:27" ht="15.75" customHeight="1">
      <c r="A843" s="1130"/>
      <c r="B843" s="1130"/>
      <c r="C843" s="1130"/>
      <c r="D843" s="1130"/>
      <c r="E843" s="1130"/>
      <c r="F843" s="1130"/>
      <c r="G843" s="1130"/>
      <c r="H843" s="1130"/>
      <c r="I843" s="1130"/>
      <c r="J843" s="1130"/>
      <c r="K843" s="1130"/>
      <c r="L843" s="1130"/>
      <c r="M843" s="1130"/>
      <c r="N843" s="1130"/>
      <c r="O843" s="1130"/>
      <c r="P843" s="1130"/>
      <c r="Q843" s="1130"/>
      <c r="R843" s="1130"/>
      <c r="S843" s="1130"/>
      <c r="T843" s="1130"/>
      <c r="U843" s="1130"/>
      <c r="V843" s="1130"/>
      <c r="W843" s="1130"/>
      <c r="X843" s="1130"/>
      <c r="Y843" s="1130"/>
      <c r="Z843" s="1130"/>
      <c r="AA843" s="1130"/>
    </row>
    <row r="844" spans="1:27" ht="15.75" customHeight="1">
      <c r="A844" s="1130"/>
      <c r="B844" s="1130"/>
      <c r="C844" s="1130"/>
      <c r="D844" s="1130"/>
      <c r="E844" s="1130"/>
      <c r="F844" s="1130"/>
      <c r="G844" s="1130"/>
      <c r="H844" s="1130"/>
      <c r="I844" s="1130"/>
      <c r="J844" s="1130"/>
      <c r="K844" s="1130"/>
      <c r="L844" s="1130"/>
      <c r="M844" s="1130"/>
      <c r="N844" s="1130"/>
      <c r="O844" s="1130"/>
      <c r="P844" s="1130"/>
      <c r="Q844" s="1130"/>
      <c r="R844" s="1130"/>
      <c r="S844" s="1130"/>
      <c r="T844" s="1130"/>
      <c r="U844" s="1130"/>
      <c r="V844" s="1130"/>
      <c r="W844" s="1130"/>
      <c r="X844" s="1130"/>
      <c r="Y844" s="1130"/>
      <c r="Z844" s="1130"/>
      <c r="AA844" s="1130"/>
    </row>
    <row r="845" spans="1:27" ht="15.75" customHeight="1">
      <c r="A845" s="1130"/>
      <c r="B845" s="1130"/>
      <c r="C845" s="1130"/>
      <c r="D845" s="1130"/>
      <c r="E845" s="1130"/>
      <c r="F845" s="1130"/>
      <c r="G845" s="1130"/>
      <c r="H845" s="1130"/>
      <c r="I845" s="1130"/>
      <c r="J845" s="1130"/>
      <c r="K845" s="1130"/>
      <c r="L845" s="1130"/>
      <c r="M845" s="1130"/>
      <c r="N845" s="1130"/>
      <c r="O845" s="1130"/>
      <c r="P845" s="1130"/>
      <c r="Q845" s="1130"/>
      <c r="R845" s="1130"/>
      <c r="S845" s="1130"/>
      <c r="T845" s="1130"/>
      <c r="U845" s="1130"/>
      <c r="V845" s="1130"/>
      <c r="W845" s="1130"/>
      <c r="X845" s="1130"/>
      <c r="Y845" s="1130"/>
      <c r="Z845" s="1130"/>
      <c r="AA845" s="1130"/>
    </row>
    <row r="846" spans="1:27" ht="15.75" customHeight="1">
      <c r="A846" s="1130"/>
      <c r="B846" s="1130"/>
      <c r="C846" s="1130"/>
      <c r="D846" s="1130"/>
      <c r="E846" s="1130"/>
      <c r="F846" s="1130"/>
      <c r="G846" s="1130"/>
      <c r="H846" s="1130"/>
      <c r="I846" s="1130"/>
      <c r="J846" s="1130"/>
      <c r="K846" s="1130"/>
      <c r="L846" s="1130"/>
      <c r="M846" s="1130"/>
      <c r="N846" s="1130"/>
      <c r="O846" s="1130"/>
      <c r="P846" s="1130"/>
      <c r="Q846" s="1130"/>
      <c r="R846" s="1130"/>
      <c r="S846" s="1130"/>
      <c r="T846" s="1130"/>
      <c r="U846" s="1130"/>
      <c r="V846" s="1130"/>
      <c r="W846" s="1130"/>
      <c r="X846" s="1130"/>
      <c r="Y846" s="1130"/>
      <c r="Z846" s="1130"/>
      <c r="AA846" s="1130"/>
    </row>
    <row r="847" spans="1:27" ht="15.75" customHeight="1">
      <c r="A847" s="1130"/>
      <c r="B847" s="1130"/>
      <c r="C847" s="1130"/>
      <c r="D847" s="1130"/>
      <c r="E847" s="1130"/>
      <c r="F847" s="1130"/>
      <c r="G847" s="1130"/>
      <c r="H847" s="1130"/>
      <c r="I847" s="1130"/>
      <c r="J847" s="1130"/>
      <c r="K847" s="1130"/>
      <c r="L847" s="1130"/>
      <c r="M847" s="1130"/>
      <c r="N847" s="1130"/>
      <c r="O847" s="1130"/>
      <c r="P847" s="1130"/>
      <c r="Q847" s="1130"/>
      <c r="R847" s="1130"/>
      <c r="S847" s="1130"/>
      <c r="T847" s="1130"/>
      <c r="U847" s="1130"/>
      <c r="V847" s="1130"/>
      <c r="W847" s="1130"/>
      <c r="X847" s="1130"/>
      <c r="Y847" s="1130"/>
      <c r="Z847" s="1130"/>
      <c r="AA847" s="1130"/>
    </row>
    <row r="848" spans="1:27" ht="15.75" customHeight="1">
      <c r="A848" s="1130"/>
      <c r="B848" s="1130"/>
      <c r="C848" s="1130"/>
      <c r="D848" s="1130"/>
      <c r="E848" s="1130"/>
      <c r="F848" s="1130"/>
      <c r="G848" s="1130"/>
      <c r="H848" s="1130"/>
      <c r="I848" s="1130"/>
      <c r="J848" s="1130"/>
      <c r="K848" s="1130"/>
      <c r="L848" s="1130"/>
      <c r="M848" s="1130"/>
      <c r="N848" s="1130"/>
      <c r="O848" s="1130"/>
      <c r="P848" s="1130"/>
      <c r="Q848" s="1130"/>
      <c r="R848" s="1130"/>
      <c r="S848" s="1130"/>
      <c r="T848" s="1130"/>
      <c r="U848" s="1130"/>
      <c r="V848" s="1130"/>
      <c r="W848" s="1130"/>
      <c r="X848" s="1130"/>
      <c r="Y848" s="1130"/>
      <c r="Z848" s="1130"/>
      <c r="AA848" s="1130"/>
    </row>
    <row r="849" spans="1:27" ht="15.75" customHeight="1">
      <c r="A849" s="1130"/>
      <c r="B849" s="1130"/>
      <c r="C849" s="1130"/>
      <c r="D849" s="1130"/>
      <c r="E849" s="1130"/>
      <c r="F849" s="1130"/>
      <c r="G849" s="1130"/>
      <c r="H849" s="1130"/>
      <c r="I849" s="1130"/>
      <c r="J849" s="1130"/>
      <c r="K849" s="1130"/>
      <c r="L849" s="1130"/>
      <c r="M849" s="1130"/>
      <c r="N849" s="1130"/>
      <c r="O849" s="1130"/>
      <c r="P849" s="1130"/>
      <c r="Q849" s="1130"/>
      <c r="R849" s="1130"/>
      <c r="S849" s="1130"/>
      <c r="T849" s="1130"/>
      <c r="U849" s="1130"/>
      <c r="V849" s="1130"/>
      <c r="W849" s="1130"/>
      <c r="X849" s="1130"/>
      <c r="Y849" s="1130"/>
      <c r="Z849" s="1130"/>
      <c r="AA849" s="1130"/>
    </row>
    <row r="850" spans="1:27" ht="15.75" customHeight="1">
      <c r="A850" s="1130"/>
      <c r="B850" s="1130"/>
      <c r="C850" s="1130"/>
      <c r="D850" s="1130"/>
      <c r="E850" s="1130"/>
      <c r="F850" s="1130"/>
      <c r="G850" s="1130"/>
      <c r="H850" s="1130"/>
      <c r="I850" s="1130"/>
      <c r="J850" s="1130"/>
      <c r="K850" s="1130"/>
      <c r="L850" s="1130"/>
      <c r="M850" s="1130"/>
      <c r="N850" s="1130"/>
      <c r="O850" s="1130"/>
      <c r="P850" s="1130"/>
      <c r="Q850" s="1130"/>
      <c r="R850" s="1130"/>
      <c r="S850" s="1130"/>
      <c r="T850" s="1130"/>
      <c r="U850" s="1130"/>
      <c r="V850" s="1130"/>
      <c r="W850" s="1130"/>
      <c r="X850" s="1130"/>
      <c r="Y850" s="1130"/>
      <c r="Z850" s="1130"/>
      <c r="AA850" s="1130"/>
    </row>
    <row r="851" spans="1:27" ht="15.75" customHeight="1">
      <c r="A851" s="1130"/>
      <c r="B851" s="1130"/>
      <c r="C851" s="1130"/>
      <c r="D851" s="1130"/>
      <c r="E851" s="1130"/>
      <c r="F851" s="1130"/>
      <c r="G851" s="1130"/>
      <c r="H851" s="1130"/>
      <c r="I851" s="1130"/>
      <c r="J851" s="1130"/>
      <c r="K851" s="1130"/>
      <c r="L851" s="1130"/>
      <c r="M851" s="1130"/>
      <c r="N851" s="1130"/>
      <c r="O851" s="1130"/>
      <c r="P851" s="1130"/>
      <c r="Q851" s="1130"/>
      <c r="R851" s="1130"/>
      <c r="S851" s="1130"/>
      <c r="T851" s="1130"/>
      <c r="U851" s="1130"/>
      <c r="V851" s="1130"/>
      <c r="W851" s="1130"/>
      <c r="X851" s="1130"/>
      <c r="Y851" s="1130"/>
      <c r="Z851" s="1130"/>
      <c r="AA851" s="1130"/>
    </row>
    <row r="852" spans="1:27" ht="15.75" customHeight="1">
      <c r="A852" s="1130"/>
      <c r="B852" s="1130"/>
      <c r="C852" s="1130"/>
      <c r="D852" s="1130"/>
      <c r="E852" s="1130"/>
      <c r="F852" s="1130"/>
      <c r="G852" s="1130"/>
      <c r="H852" s="1130"/>
      <c r="I852" s="1130"/>
      <c r="J852" s="1130"/>
      <c r="K852" s="1130"/>
      <c r="L852" s="1130"/>
      <c r="M852" s="1130"/>
      <c r="N852" s="1130"/>
      <c r="O852" s="1130"/>
      <c r="P852" s="1130"/>
      <c r="Q852" s="1130"/>
      <c r="R852" s="1130"/>
      <c r="S852" s="1130"/>
      <c r="T852" s="1130"/>
      <c r="U852" s="1130"/>
      <c r="V852" s="1130"/>
      <c r="W852" s="1130"/>
      <c r="X852" s="1130"/>
      <c r="Y852" s="1130"/>
      <c r="Z852" s="1130"/>
      <c r="AA852" s="1130"/>
    </row>
    <row r="853" spans="1:27" ht="15.75" customHeight="1">
      <c r="A853" s="1130"/>
      <c r="B853" s="1130"/>
      <c r="C853" s="1130"/>
      <c r="D853" s="1130"/>
      <c r="E853" s="1130"/>
      <c r="F853" s="1130"/>
      <c r="G853" s="1130"/>
      <c r="H853" s="1130"/>
      <c r="I853" s="1130"/>
      <c r="J853" s="1130"/>
      <c r="K853" s="1130"/>
      <c r="L853" s="1130"/>
      <c r="M853" s="1130"/>
      <c r="N853" s="1130"/>
      <c r="O853" s="1130"/>
      <c r="P853" s="1130"/>
      <c r="Q853" s="1130"/>
      <c r="R853" s="1130"/>
      <c r="S853" s="1130"/>
      <c r="T853" s="1130"/>
      <c r="U853" s="1130"/>
      <c r="V853" s="1130"/>
      <c r="W853" s="1130"/>
      <c r="X853" s="1130"/>
      <c r="Y853" s="1130"/>
      <c r="Z853" s="1130"/>
      <c r="AA853" s="1130"/>
    </row>
    <row r="854" spans="1:27" ht="15.75" customHeight="1">
      <c r="A854" s="1130"/>
      <c r="B854" s="1130"/>
      <c r="C854" s="1130"/>
      <c r="D854" s="1130"/>
      <c r="E854" s="1130"/>
      <c r="F854" s="1130"/>
      <c r="G854" s="1130"/>
      <c r="H854" s="1130"/>
      <c r="I854" s="1130"/>
      <c r="J854" s="1130"/>
      <c r="K854" s="1130"/>
      <c r="L854" s="1130"/>
      <c r="M854" s="1130"/>
      <c r="N854" s="1130"/>
      <c r="O854" s="1130"/>
      <c r="P854" s="1130"/>
      <c r="Q854" s="1130"/>
      <c r="R854" s="1130"/>
      <c r="S854" s="1130"/>
      <c r="T854" s="1130"/>
      <c r="U854" s="1130"/>
      <c r="V854" s="1130"/>
      <c r="W854" s="1130"/>
      <c r="X854" s="1130"/>
      <c r="Y854" s="1130"/>
      <c r="Z854" s="1130"/>
      <c r="AA854" s="1130"/>
    </row>
    <row r="855" spans="1:27" ht="15.75" customHeight="1">
      <c r="A855" s="1130"/>
      <c r="B855" s="1130"/>
      <c r="C855" s="1130"/>
      <c r="D855" s="1130"/>
      <c r="E855" s="1130"/>
      <c r="F855" s="1130"/>
      <c r="G855" s="1130"/>
      <c r="H855" s="1130"/>
      <c r="I855" s="1130"/>
      <c r="J855" s="1130"/>
      <c r="K855" s="1130"/>
      <c r="L855" s="1130"/>
      <c r="M855" s="1130"/>
      <c r="N855" s="1130"/>
      <c r="O855" s="1130"/>
      <c r="P855" s="1130"/>
      <c r="Q855" s="1130"/>
      <c r="R855" s="1130"/>
      <c r="S855" s="1130"/>
      <c r="T855" s="1130"/>
      <c r="U855" s="1130"/>
      <c r="V855" s="1130"/>
      <c r="W855" s="1130"/>
      <c r="X855" s="1130"/>
      <c r="Y855" s="1130"/>
      <c r="Z855" s="1130"/>
      <c r="AA855" s="1130"/>
    </row>
    <row r="856" spans="1:27" ht="15.75" customHeight="1">
      <c r="A856" s="1130"/>
      <c r="B856" s="1130"/>
      <c r="C856" s="1130"/>
      <c r="D856" s="1130"/>
      <c r="E856" s="1130"/>
      <c r="F856" s="1130"/>
      <c r="G856" s="1130"/>
      <c r="H856" s="1130"/>
      <c r="I856" s="1130"/>
      <c r="J856" s="1130"/>
      <c r="K856" s="1130"/>
      <c r="L856" s="1130"/>
      <c r="M856" s="1130"/>
      <c r="N856" s="1130"/>
      <c r="O856" s="1130"/>
      <c r="P856" s="1130"/>
      <c r="Q856" s="1130"/>
      <c r="R856" s="1130"/>
      <c r="S856" s="1130"/>
      <c r="T856" s="1130"/>
      <c r="U856" s="1130"/>
      <c r="V856" s="1130"/>
      <c r="W856" s="1130"/>
      <c r="X856" s="1130"/>
      <c r="Y856" s="1130"/>
      <c r="Z856" s="1130"/>
      <c r="AA856" s="1130"/>
    </row>
    <row r="857" spans="1:27" ht="15.75" customHeight="1">
      <c r="A857" s="1130"/>
      <c r="B857" s="1130"/>
      <c r="C857" s="1130"/>
      <c r="D857" s="1130"/>
      <c r="E857" s="1130"/>
      <c r="F857" s="1130"/>
      <c r="G857" s="1130"/>
      <c r="H857" s="1130"/>
      <c r="I857" s="1130"/>
      <c r="J857" s="1130"/>
      <c r="K857" s="1130"/>
      <c r="L857" s="1130"/>
      <c r="M857" s="1130"/>
      <c r="N857" s="1130"/>
      <c r="O857" s="1130"/>
      <c r="P857" s="1130"/>
      <c r="Q857" s="1130"/>
      <c r="R857" s="1130"/>
      <c r="S857" s="1130"/>
      <c r="T857" s="1130"/>
      <c r="U857" s="1130"/>
      <c r="V857" s="1130"/>
      <c r="W857" s="1130"/>
      <c r="X857" s="1130"/>
      <c r="Y857" s="1130"/>
      <c r="Z857" s="1130"/>
      <c r="AA857" s="1130"/>
    </row>
    <row r="858" spans="1:27" ht="15.75" customHeight="1">
      <c r="A858" s="1130"/>
      <c r="B858" s="1130"/>
      <c r="C858" s="1130"/>
      <c r="D858" s="1130"/>
      <c r="E858" s="1130"/>
      <c r="F858" s="1130"/>
      <c r="G858" s="1130"/>
      <c r="H858" s="1130"/>
      <c r="I858" s="1130"/>
      <c r="J858" s="1130"/>
      <c r="K858" s="1130"/>
      <c r="L858" s="1130"/>
      <c r="M858" s="1130"/>
      <c r="N858" s="1130"/>
      <c r="O858" s="1130"/>
      <c r="P858" s="1130"/>
      <c r="Q858" s="1130"/>
      <c r="R858" s="1130"/>
      <c r="S858" s="1130"/>
      <c r="T858" s="1130"/>
      <c r="U858" s="1130"/>
      <c r="V858" s="1130"/>
      <c r="W858" s="1130"/>
      <c r="X858" s="1130"/>
      <c r="Y858" s="1130"/>
      <c r="Z858" s="1130"/>
      <c r="AA858" s="1130"/>
    </row>
    <row r="859" spans="1:27" ht="15.75" customHeight="1">
      <c r="A859" s="1130"/>
      <c r="B859" s="1130"/>
      <c r="C859" s="1130"/>
      <c r="D859" s="1130"/>
      <c r="E859" s="1130"/>
      <c r="F859" s="1130"/>
      <c r="G859" s="1130"/>
      <c r="H859" s="1130"/>
      <c r="I859" s="1130"/>
      <c r="J859" s="1130"/>
      <c r="K859" s="1130"/>
      <c r="L859" s="1130"/>
      <c r="M859" s="1130"/>
      <c r="N859" s="1130"/>
      <c r="O859" s="1130"/>
      <c r="P859" s="1130"/>
      <c r="Q859" s="1130"/>
      <c r="R859" s="1130"/>
      <c r="S859" s="1130"/>
      <c r="T859" s="1130"/>
      <c r="U859" s="1130"/>
      <c r="V859" s="1130"/>
      <c r="W859" s="1130"/>
      <c r="X859" s="1130"/>
      <c r="Y859" s="1130"/>
      <c r="Z859" s="1130"/>
      <c r="AA859" s="1130"/>
    </row>
    <row r="860" spans="1:27" ht="15.75" customHeight="1">
      <c r="A860" s="1130"/>
      <c r="B860" s="1130"/>
      <c r="C860" s="1130"/>
      <c r="D860" s="1130"/>
      <c r="E860" s="1130"/>
      <c r="F860" s="1130"/>
      <c r="G860" s="1130"/>
      <c r="H860" s="1130"/>
      <c r="I860" s="1130"/>
      <c r="J860" s="1130"/>
      <c r="K860" s="1130"/>
      <c r="L860" s="1130"/>
      <c r="M860" s="1130"/>
      <c r="N860" s="1130"/>
      <c r="O860" s="1130"/>
      <c r="P860" s="1130"/>
      <c r="Q860" s="1130"/>
      <c r="R860" s="1130"/>
      <c r="S860" s="1130"/>
      <c r="T860" s="1130"/>
      <c r="U860" s="1130"/>
      <c r="V860" s="1130"/>
      <c r="W860" s="1130"/>
      <c r="X860" s="1130"/>
      <c r="Y860" s="1130"/>
      <c r="Z860" s="1130"/>
      <c r="AA860" s="1130"/>
    </row>
    <row r="861" spans="1:27" ht="15.75" customHeight="1">
      <c r="A861" s="1130"/>
      <c r="B861" s="1130"/>
      <c r="C861" s="1130"/>
      <c r="D861" s="1130"/>
      <c r="E861" s="1130"/>
      <c r="F861" s="1130"/>
      <c r="G861" s="1130"/>
      <c r="H861" s="1130"/>
      <c r="I861" s="1130"/>
      <c r="J861" s="1130"/>
      <c r="K861" s="1130"/>
      <c r="L861" s="1130"/>
      <c r="M861" s="1130"/>
      <c r="N861" s="1130"/>
      <c r="O861" s="1130"/>
      <c r="P861" s="1130"/>
      <c r="Q861" s="1130"/>
      <c r="R861" s="1130"/>
      <c r="S861" s="1130"/>
      <c r="T861" s="1130"/>
      <c r="U861" s="1130"/>
      <c r="V861" s="1130"/>
      <c r="W861" s="1130"/>
      <c r="X861" s="1130"/>
      <c r="Y861" s="1130"/>
      <c r="Z861" s="1130"/>
      <c r="AA861" s="1130"/>
    </row>
    <row r="862" spans="1:27" ht="15.75" customHeight="1">
      <c r="A862" s="1130"/>
      <c r="B862" s="1130"/>
      <c r="C862" s="1130"/>
      <c r="D862" s="1130"/>
      <c r="E862" s="1130"/>
      <c r="F862" s="1130"/>
      <c r="G862" s="1130"/>
      <c r="H862" s="1130"/>
      <c r="I862" s="1130"/>
      <c r="J862" s="1130"/>
      <c r="K862" s="1130"/>
      <c r="L862" s="1130"/>
      <c r="M862" s="1130"/>
      <c r="N862" s="1130"/>
      <c r="O862" s="1130"/>
      <c r="P862" s="1130"/>
      <c r="Q862" s="1130"/>
      <c r="R862" s="1130"/>
      <c r="S862" s="1130"/>
      <c r="T862" s="1130"/>
      <c r="U862" s="1130"/>
      <c r="V862" s="1130"/>
      <c r="W862" s="1130"/>
      <c r="X862" s="1130"/>
      <c r="Y862" s="1130"/>
      <c r="Z862" s="1130"/>
      <c r="AA862" s="1130"/>
    </row>
    <row r="863" spans="1:27" ht="15.75" customHeight="1">
      <c r="A863" s="1130"/>
      <c r="B863" s="1130"/>
      <c r="C863" s="1130"/>
      <c r="D863" s="1130"/>
      <c r="E863" s="1130"/>
      <c r="F863" s="1130"/>
      <c r="G863" s="1130"/>
      <c r="H863" s="1130"/>
      <c r="I863" s="1130"/>
      <c r="J863" s="1130"/>
      <c r="K863" s="1130"/>
      <c r="L863" s="1130"/>
      <c r="M863" s="1130"/>
      <c r="N863" s="1130"/>
      <c r="O863" s="1130"/>
      <c r="P863" s="1130"/>
      <c r="Q863" s="1130"/>
      <c r="R863" s="1130"/>
      <c r="S863" s="1130"/>
      <c r="T863" s="1130"/>
      <c r="U863" s="1130"/>
      <c r="V863" s="1130"/>
      <c r="W863" s="1130"/>
      <c r="X863" s="1130"/>
      <c r="Y863" s="1130"/>
      <c r="Z863" s="1130"/>
      <c r="AA863" s="1130"/>
    </row>
    <row r="864" spans="1:27" ht="15.75" customHeight="1">
      <c r="A864" s="1130"/>
      <c r="B864" s="1130"/>
      <c r="C864" s="1130"/>
      <c r="D864" s="1130"/>
      <c r="E864" s="1130"/>
      <c r="F864" s="1130"/>
      <c r="G864" s="1130"/>
      <c r="H864" s="1130"/>
      <c r="I864" s="1130"/>
      <c r="J864" s="1130"/>
      <c r="K864" s="1130"/>
      <c r="L864" s="1130"/>
      <c r="M864" s="1130"/>
      <c r="N864" s="1130"/>
      <c r="O864" s="1130"/>
      <c r="P864" s="1130"/>
      <c r="Q864" s="1130"/>
      <c r="R864" s="1130"/>
      <c r="S864" s="1130"/>
      <c r="T864" s="1130"/>
      <c r="U864" s="1130"/>
      <c r="V864" s="1130"/>
      <c r="W864" s="1130"/>
      <c r="X864" s="1130"/>
      <c r="Y864" s="1130"/>
      <c r="Z864" s="1130"/>
      <c r="AA864" s="1130"/>
    </row>
    <row r="865" spans="1:27" ht="15.75" customHeight="1">
      <c r="A865" s="1130"/>
      <c r="B865" s="1130"/>
      <c r="C865" s="1130"/>
      <c r="D865" s="1130"/>
      <c r="E865" s="1130"/>
      <c r="F865" s="1130"/>
      <c r="G865" s="1130"/>
      <c r="H865" s="1130"/>
      <c r="I865" s="1130"/>
      <c r="J865" s="1130"/>
      <c r="K865" s="1130"/>
      <c r="L865" s="1130"/>
      <c r="M865" s="1130"/>
      <c r="N865" s="1130"/>
      <c r="O865" s="1130"/>
      <c r="P865" s="1130"/>
      <c r="Q865" s="1130"/>
      <c r="R865" s="1130"/>
      <c r="S865" s="1130"/>
      <c r="T865" s="1130"/>
      <c r="U865" s="1130"/>
      <c r="V865" s="1130"/>
      <c r="W865" s="1130"/>
      <c r="X865" s="1130"/>
      <c r="Y865" s="1130"/>
      <c r="Z865" s="1130"/>
      <c r="AA865" s="1130"/>
    </row>
    <row r="866" spans="1:27" ht="15.75" customHeight="1">
      <c r="A866" s="1130"/>
      <c r="B866" s="1130"/>
      <c r="C866" s="1130"/>
      <c r="D866" s="1130"/>
      <c r="E866" s="1130"/>
      <c r="F866" s="1130"/>
      <c r="G866" s="1130"/>
      <c r="H866" s="1130"/>
      <c r="I866" s="1130"/>
      <c r="J866" s="1130"/>
      <c r="K866" s="1130"/>
      <c r="L866" s="1130"/>
      <c r="M866" s="1130"/>
      <c r="N866" s="1130"/>
      <c r="O866" s="1130"/>
      <c r="P866" s="1130"/>
      <c r="Q866" s="1130"/>
      <c r="R866" s="1130"/>
      <c r="S866" s="1130"/>
      <c r="T866" s="1130"/>
      <c r="U866" s="1130"/>
      <c r="V866" s="1130"/>
      <c r="W866" s="1130"/>
      <c r="X866" s="1130"/>
      <c r="Y866" s="1130"/>
      <c r="Z866" s="1130"/>
      <c r="AA866" s="1130"/>
    </row>
    <row r="867" spans="1:27" ht="15.75" customHeight="1">
      <c r="A867" s="1130"/>
      <c r="B867" s="1130"/>
      <c r="C867" s="1130"/>
      <c r="D867" s="1130"/>
      <c r="E867" s="1130"/>
      <c r="F867" s="1130"/>
      <c r="G867" s="1130"/>
      <c r="H867" s="1130"/>
      <c r="I867" s="1130"/>
      <c r="J867" s="1130"/>
      <c r="K867" s="1130"/>
      <c r="L867" s="1130"/>
      <c r="M867" s="1130"/>
      <c r="N867" s="1130"/>
      <c r="O867" s="1130"/>
      <c r="P867" s="1130"/>
      <c r="Q867" s="1130"/>
      <c r="R867" s="1130"/>
      <c r="S867" s="1130"/>
      <c r="T867" s="1130"/>
      <c r="U867" s="1130"/>
      <c r="V867" s="1130"/>
      <c r="W867" s="1130"/>
      <c r="X867" s="1130"/>
      <c r="Y867" s="1130"/>
      <c r="Z867" s="1130"/>
      <c r="AA867" s="1130"/>
    </row>
    <row r="868" spans="1:27" ht="15.75" customHeight="1">
      <c r="A868" s="1130"/>
      <c r="B868" s="1130"/>
      <c r="C868" s="1130"/>
      <c r="D868" s="1130"/>
      <c r="E868" s="1130"/>
      <c r="F868" s="1130"/>
      <c r="G868" s="1130"/>
      <c r="H868" s="1130"/>
      <c r="I868" s="1130"/>
      <c r="J868" s="1130"/>
      <c r="K868" s="1130"/>
      <c r="L868" s="1130"/>
      <c r="M868" s="1130"/>
      <c r="N868" s="1130"/>
      <c r="O868" s="1130"/>
      <c r="P868" s="1130"/>
      <c r="Q868" s="1130"/>
      <c r="R868" s="1130"/>
      <c r="S868" s="1130"/>
      <c r="T868" s="1130"/>
      <c r="U868" s="1130"/>
      <c r="V868" s="1130"/>
      <c r="W868" s="1130"/>
      <c r="X868" s="1130"/>
      <c r="Y868" s="1130"/>
      <c r="Z868" s="1130"/>
      <c r="AA868" s="1130"/>
    </row>
    <row r="869" spans="1:27" ht="15.75" customHeight="1">
      <c r="A869" s="1130"/>
      <c r="B869" s="1130"/>
      <c r="C869" s="1130"/>
      <c r="D869" s="1130"/>
      <c r="E869" s="1130"/>
      <c r="F869" s="1130"/>
      <c r="G869" s="1130"/>
      <c r="H869" s="1130"/>
      <c r="I869" s="1130"/>
      <c r="J869" s="1130"/>
      <c r="K869" s="1130"/>
      <c r="L869" s="1130"/>
      <c r="M869" s="1130"/>
      <c r="N869" s="1130"/>
      <c r="O869" s="1130"/>
      <c r="P869" s="1130"/>
      <c r="Q869" s="1130"/>
      <c r="R869" s="1130"/>
      <c r="S869" s="1130"/>
      <c r="T869" s="1130"/>
      <c r="U869" s="1130"/>
      <c r="V869" s="1130"/>
      <c r="W869" s="1130"/>
      <c r="X869" s="1130"/>
      <c r="Y869" s="1130"/>
      <c r="Z869" s="1130"/>
      <c r="AA869" s="1130"/>
    </row>
    <row r="870" spans="1:27" ht="15.75" customHeight="1">
      <c r="A870" s="1130"/>
      <c r="B870" s="1130"/>
      <c r="C870" s="1130"/>
      <c r="D870" s="1130"/>
      <c r="E870" s="1130"/>
      <c r="F870" s="1130"/>
      <c r="G870" s="1130"/>
      <c r="H870" s="1130"/>
      <c r="I870" s="1130"/>
      <c r="J870" s="1130"/>
      <c r="K870" s="1130"/>
      <c r="L870" s="1130"/>
      <c r="M870" s="1130"/>
      <c r="N870" s="1130"/>
      <c r="O870" s="1130"/>
      <c r="P870" s="1130"/>
      <c r="Q870" s="1130"/>
      <c r="R870" s="1130"/>
      <c r="S870" s="1130"/>
      <c r="T870" s="1130"/>
      <c r="U870" s="1130"/>
      <c r="V870" s="1130"/>
      <c r="W870" s="1130"/>
      <c r="X870" s="1130"/>
      <c r="Y870" s="1130"/>
      <c r="Z870" s="1130"/>
      <c r="AA870" s="1130"/>
    </row>
    <row r="871" spans="1:27" ht="15.75" customHeight="1">
      <c r="A871" s="1130"/>
      <c r="B871" s="1130"/>
      <c r="C871" s="1130"/>
      <c r="D871" s="1130"/>
      <c r="E871" s="1130"/>
      <c r="F871" s="1130"/>
      <c r="G871" s="1130"/>
      <c r="H871" s="1130"/>
      <c r="I871" s="1130"/>
      <c r="J871" s="1130"/>
      <c r="K871" s="1130"/>
      <c r="L871" s="1130"/>
      <c r="M871" s="1130"/>
      <c r="N871" s="1130"/>
      <c r="O871" s="1130"/>
      <c r="P871" s="1130"/>
      <c r="Q871" s="1130"/>
      <c r="R871" s="1130"/>
      <c r="S871" s="1130"/>
      <c r="T871" s="1130"/>
      <c r="U871" s="1130"/>
      <c r="V871" s="1130"/>
      <c r="W871" s="1130"/>
      <c r="X871" s="1130"/>
      <c r="Y871" s="1130"/>
      <c r="Z871" s="1130"/>
      <c r="AA871" s="1130"/>
    </row>
    <row r="872" spans="1:27" ht="15.75" customHeight="1">
      <c r="A872" s="1130"/>
      <c r="B872" s="1130"/>
      <c r="C872" s="1130"/>
      <c r="D872" s="1130"/>
      <c r="E872" s="1130"/>
      <c r="F872" s="1130"/>
      <c r="G872" s="1130"/>
      <c r="H872" s="1130"/>
      <c r="I872" s="1130"/>
      <c r="J872" s="1130"/>
      <c r="K872" s="1130"/>
      <c r="L872" s="1130"/>
      <c r="M872" s="1130"/>
      <c r="N872" s="1130"/>
      <c r="O872" s="1130"/>
      <c r="P872" s="1130"/>
      <c r="Q872" s="1130"/>
      <c r="R872" s="1130"/>
      <c r="S872" s="1130"/>
      <c r="T872" s="1130"/>
      <c r="U872" s="1130"/>
      <c r="V872" s="1130"/>
      <c r="W872" s="1130"/>
      <c r="X872" s="1130"/>
      <c r="Y872" s="1130"/>
      <c r="Z872" s="1130"/>
      <c r="AA872" s="1130"/>
    </row>
    <row r="873" spans="1:27" ht="15.75" customHeight="1">
      <c r="A873" s="1130"/>
      <c r="B873" s="1130"/>
      <c r="C873" s="1130"/>
      <c r="D873" s="1130"/>
      <c r="E873" s="1130"/>
      <c r="F873" s="1130"/>
      <c r="G873" s="1130"/>
      <c r="H873" s="1130"/>
      <c r="I873" s="1130"/>
      <c r="J873" s="1130"/>
      <c r="K873" s="1130"/>
      <c r="L873" s="1130"/>
      <c r="M873" s="1130"/>
      <c r="N873" s="1130"/>
      <c r="O873" s="1130"/>
      <c r="P873" s="1130"/>
      <c r="Q873" s="1130"/>
      <c r="R873" s="1130"/>
      <c r="S873" s="1130"/>
      <c r="T873" s="1130"/>
      <c r="U873" s="1130"/>
      <c r="V873" s="1130"/>
      <c r="W873" s="1130"/>
      <c r="X873" s="1130"/>
      <c r="Y873" s="1130"/>
      <c r="Z873" s="1130"/>
      <c r="AA873" s="1130"/>
    </row>
    <row r="874" spans="1:27" ht="15.75" customHeight="1">
      <c r="A874" s="1130"/>
      <c r="B874" s="1130"/>
      <c r="C874" s="1130"/>
      <c r="D874" s="1130"/>
      <c r="E874" s="1130"/>
      <c r="F874" s="1130"/>
      <c r="G874" s="1130"/>
      <c r="H874" s="1130"/>
      <c r="I874" s="1130"/>
      <c r="J874" s="1130"/>
      <c r="K874" s="1130"/>
      <c r="L874" s="1130"/>
      <c r="M874" s="1130"/>
      <c r="N874" s="1130"/>
      <c r="O874" s="1130"/>
      <c r="P874" s="1130"/>
      <c r="Q874" s="1130"/>
      <c r="R874" s="1130"/>
      <c r="S874" s="1130"/>
      <c r="T874" s="1130"/>
      <c r="U874" s="1130"/>
      <c r="V874" s="1130"/>
      <c r="W874" s="1130"/>
      <c r="X874" s="1130"/>
      <c r="Y874" s="1130"/>
      <c r="Z874" s="1130"/>
      <c r="AA874" s="1130"/>
    </row>
    <row r="875" spans="1:27" ht="15.75" customHeight="1">
      <c r="A875" s="1130"/>
      <c r="B875" s="1130"/>
      <c r="C875" s="1130"/>
      <c r="D875" s="1130"/>
      <c r="E875" s="1130"/>
      <c r="F875" s="1130"/>
      <c r="G875" s="1130"/>
      <c r="H875" s="1130"/>
      <c r="I875" s="1130"/>
      <c r="J875" s="1130"/>
      <c r="K875" s="1130"/>
      <c r="L875" s="1130"/>
      <c r="M875" s="1130"/>
      <c r="N875" s="1130"/>
      <c r="O875" s="1130"/>
      <c r="P875" s="1130"/>
      <c r="Q875" s="1130"/>
      <c r="R875" s="1130"/>
      <c r="S875" s="1130"/>
      <c r="T875" s="1130"/>
      <c r="U875" s="1130"/>
      <c r="V875" s="1130"/>
      <c r="W875" s="1130"/>
      <c r="X875" s="1130"/>
      <c r="Y875" s="1130"/>
      <c r="Z875" s="1130"/>
      <c r="AA875" s="1130"/>
    </row>
    <row r="876" spans="1:27" ht="15.75" customHeight="1">
      <c r="A876" s="1130"/>
      <c r="B876" s="1130"/>
      <c r="C876" s="1130"/>
      <c r="D876" s="1130"/>
      <c r="E876" s="1130"/>
      <c r="F876" s="1130"/>
      <c r="G876" s="1130"/>
      <c r="H876" s="1130"/>
      <c r="I876" s="1130"/>
      <c r="J876" s="1130"/>
      <c r="K876" s="1130"/>
      <c r="L876" s="1130"/>
      <c r="M876" s="1130"/>
      <c r="N876" s="1130"/>
      <c r="O876" s="1130"/>
      <c r="P876" s="1130"/>
      <c r="Q876" s="1130"/>
      <c r="R876" s="1130"/>
      <c r="S876" s="1130"/>
      <c r="T876" s="1130"/>
      <c r="U876" s="1130"/>
      <c r="V876" s="1130"/>
      <c r="W876" s="1130"/>
      <c r="X876" s="1130"/>
      <c r="Y876" s="1130"/>
      <c r="Z876" s="1130"/>
      <c r="AA876" s="1130"/>
    </row>
    <row r="877" spans="1:27" ht="15.75" customHeight="1">
      <c r="A877" s="1130"/>
      <c r="B877" s="1130"/>
      <c r="C877" s="1130"/>
      <c r="D877" s="1130"/>
      <c r="E877" s="1130"/>
      <c r="F877" s="1130"/>
      <c r="G877" s="1130"/>
      <c r="H877" s="1130"/>
      <c r="I877" s="1130"/>
      <c r="J877" s="1130"/>
      <c r="K877" s="1130"/>
      <c r="L877" s="1130"/>
      <c r="M877" s="1130"/>
      <c r="N877" s="1130"/>
      <c r="O877" s="1130"/>
      <c r="P877" s="1130"/>
      <c r="Q877" s="1130"/>
      <c r="R877" s="1130"/>
      <c r="S877" s="1130"/>
      <c r="T877" s="1130"/>
      <c r="U877" s="1130"/>
      <c r="V877" s="1130"/>
      <c r="W877" s="1130"/>
      <c r="X877" s="1130"/>
      <c r="Y877" s="1130"/>
      <c r="Z877" s="1130"/>
      <c r="AA877" s="1130"/>
    </row>
    <row r="878" spans="1:27" ht="15.75" customHeight="1">
      <c r="A878" s="1130"/>
      <c r="B878" s="1130"/>
      <c r="C878" s="1130"/>
      <c r="D878" s="1130"/>
      <c r="E878" s="1130"/>
      <c r="F878" s="1130"/>
      <c r="G878" s="1130"/>
      <c r="H878" s="1130"/>
      <c r="I878" s="1130"/>
      <c r="J878" s="1130"/>
      <c r="K878" s="1130"/>
      <c r="L878" s="1130"/>
      <c r="M878" s="1130"/>
      <c r="N878" s="1130"/>
      <c r="O878" s="1130"/>
      <c r="P878" s="1130"/>
      <c r="Q878" s="1130"/>
      <c r="R878" s="1130"/>
      <c r="S878" s="1130"/>
      <c r="T878" s="1130"/>
      <c r="U878" s="1130"/>
      <c r="V878" s="1130"/>
      <c r="W878" s="1130"/>
      <c r="X878" s="1130"/>
      <c r="Y878" s="1130"/>
      <c r="Z878" s="1130"/>
      <c r="AA878" s="1130"/>
    </row>
    <row r="879" spans="1:27" ht="15.75" customHeight="1">
      <c r="A879" s="1130"/>
      <c r="B879" s="1130"/>
      <c r="C879" s="1130"/>
      <c r="D879" s="1130"/>
      <c r="E879" s="1130"/>
      <c r="F879" s="1130"/>
      <c r="G879" s="1130"/>
      <c r="H879" s="1130"/>
      <c r="I879" s="1130"/>
      <c r="J879" s="1130"/>
      <c r="K879" s="1130"/>
      <c r="L879" s="1130"/>
      <c r="M879" s="1130"/>
      <c r="N879" s="1130"/>
      <c r="O879" s="1130"/>
      <c r="P879" s="1130"/>
      <c r="Q879" s="1130"/>
      <c r="R879" s="1130"/>
      <c r="S879" s="1130"/>
      <c r="T879" s="1130"/>
      <c r="U879" s="1130"/>
      <c r="V879" s="1130"/>
      <c r="W879" s="1130"/>
      <c r="X879" s="1130"/>
      <c r="Y879" s="1130"/>
      <c r="Z879" s="1130"/>
      <c r="AA879" s="1130"/>
    </row>
    <row r="880" spans="1:27" ht="15.75" customHeight="1">
      <c r="A880" s="1130"/>
      <c r="B880" s="1130"/>
      <c r="C880" s="1130"/>
      <c r="D880" s="1130"/>
      <c r="E880" s="1130"/>
      <c r="F880" s="1130"/>
      <c r="G880" s="1130"/>
      <c r="H880" s="1130"/>
      <c r="I880" s="1130"/>
      <c r="J880" s="1130"/>
      <c r="K880" s="1130"/>
      <c r="L880" s="1130"/>
      <c r="M880" s="1130"/>
      <c r="N880" s="1130"/>
      <c r="O880" s="1130"/>
      <c r="P880" s="1130"/>
      <c r="Q880" s="1130"/>
      <c r="R880" s="1130"/>
      <c r="S880" s="1130"/>
      <c r="T880" s="1130"/>
      <c r="U880" s="1130"/>
      <c r="V880" s="1130"/>
      <c r="W880" s="1130"/>
      <c r="X880" s="1130"/>
      <c r="Y880" s="1130"/>
      <c r="Z880" s="1130"/>
      <c r="AA880" s="1130"/>
    </row>
    <row r="881" spans="1:27" ht="15.75" customHeight="1">
      <c r="A881" s="1130"/>
      <c r="B881" s="1130"/>
      <c r="C881" s="1130"/>
      <c r="D881" s="1130"/>
      <c r="E881" s="1130"/>
      <c r="F881" s="1130"/>
      <c r="G881" s="1130"/>
      <c r="H881" s="1130"/>
      <c r="I881" s="1130"/>
      <c r="J881" s="1130"/>
      <c r="K881" s="1130"/>
      <c r="L881" s="1130"/>
      <c r="M881" s="1130"/>
      <c r="N881" s="1130"/>
      <c r="O881" s="1130"/>
      <c r="P881" s="1130"/>
      <c r="Q881" s="1130"/>
      <c r="R881" s="1130"/>
      <c r="S881" s="1130"/>
      <c r="T881" s="1130"/>
      <c r="U881" s="1130"/>
      <c r="V881" s="1130"/>
      <c r="W881" s="1130"/>
      <c r="X881" s="1130"/>
      <c r="Y881" s="1130"/>
      <c r="Z881" s="1130"/>
      <c r="AA881" s="1130"/>
    </row>
    <row r="882" spans="1:27" ht="15.75" customHeight="1">
      <c r="A882" s="1130"/>
      <c r="B882" s="1130"/>
      <c r="C882" s="1130"/>
      <c r="D882" s="1130"/>
      <c r="E882" s="1130"/>
      <c r="F882" s="1130"/>
      <c r="G882" s="1130"/>
      <c r="H882" s="1130"/>
      <c r="I882" s="1130"/>
      <c r="J882" s="1130"/>
      <c r="K882" s="1130"/>
      <c r="L882" s="1130"/>
      <c r="M882" s="1130"/>
      <c r="N882" s="1130"/>
      <c r="O882" s="1130"/>
      <c r="P882" s="1130"/>
      <c r="Q882" s="1130"/>
      <c r="R882" s="1130"/>
      <c r="S882" s="1130"/>
      <c r="T882" s="1130"/>
      <c r="U882" s="1130"/>
      <c r="V882" s="1130"/>
      <c r="W882" s="1130"/>
      <c r="X882" s="1130"/>
      <c r="Y882" s="1130"/>
      <c r="Z882" s="1130"/>
      <c r="AA882" s="1130"/>
    </row>
    <row r="883" spans="1:27" ht="15.75" customHeight="1">
      <c r="A883" s="1130"/>
      <c r="B883" s="1130"/>
      <c r="C883" s="1130"/>
      <c r="D883" s="1130"/>
      <c r="E883" s="1130"/>
      <c r="F883" s="1130"/>
      <c r="G883" s="1130"/>
      <c r="H883" s="1130"/>
      <c r="I883" s="1130"/>
      <c r="J883" s="1130"/>
      <c r="K883" s="1130"/>
      <c r="L883" s="1130"/>
      <c r="M883" s="1130"/>
      <c r="N883" s="1130"/>
      <c r="O883" s="1130"/>
      <c r="P883" s="1130"/>
      <c r="Q883" s="1130"/>
      <c r="R883" s="1130"/>
      <c r="S883" s="1130"/>
      <c r="T883" s="1130"/>
      <c r="U883" s="1130"/>
      <c r="V883" s="1130"/>
      <c r="W883" s="1130"/>
      <c r="X883" s="1130"/>
      <c r="Y883" s="1130"/>
      <c r="Z883" s="1130"/>
      <c r="AA883" s="1130"/>
    </row>
    <row r="884" spans="1:27" ht="15.75" customHeight="1">
      <c r="A884" s="1130"/>
      <c r="B884" s="1130"/>
      <c r="C884" s="1130"/>
      <c r="D884" s="1130"/>
      <c r="E884" s="1130"/>
      <c r="F884" s="1130"/>
      <c r="G884" s="1130"/>
      <c r="H884" s="1130"/>
      <c r="I884" s="1130"/>
      <c r="J884" s="1130"/>
      <c r="K884" s="1130"/>
      <c r="L884" s="1130"/>
      <c r="M884" s="1130"/>
      <c r="N884" s="1130"/>
      <c r="O884" s="1130"/>
      <c r="P884" s="1130"/>
      <c r="Q884" s="1130"/>
      <c r="R884" s="1130"/>
      <c r="S884" s="1130"/>
      <c r="T884" s="1130"/>
      <c r="U884" s="1130"/>
      <c r="V884" s="1130"/>
      <c r="W884" s="1130"/>
      <c r="X884" s="1130"/>
      <c r="Y884" s="1130"/>
      <c r="Z884" s="1130"/>
      <c r="AA884" s="1130"/>
    </row>
    <row r="885" spans="1:27" ht="15.75" customHeight="1">
      <c r="A885" s="1130"/>
      <c r="B885" s="1130"/>
      <c r="C885" s="1130"/>
      <c r="D885" s="1130"/>
      <c r="E885" s="1130"/>
      <c r="F885" s="1130"/>
      <c r="G885" s="1130"/>
      <c r="H885" s="1130"/>
      <c r="I885" s="1130"/>
      <c r="J885" s="1130"/>
      <c r="K885" s="1130"/>
      <c r="L885" s="1130"/>
      <c r="M885" s="1130"/>
      <c r="N885" s="1130"/>
      <c r="O885" s="1130"/>
      <c r="P885" s="1130"/>
      <c r="Q885" s="1130"/>
      <c r="R885" s="1130"/>
      <c r="S885" s="1130"/>
      <c r="T885" s="1130"/>
      <c r="U885" s="1130"/>
      <c r="V885" s="1130"/>
      <c r="W885" s="1130"/>
      <c r="X885" s="1130"/>
      <c r="Y885" s="1130"/>
      <c r="Z885" s="1130"/>
      <c r="AA885" s="1130"/>
    </row>
    <row r="886" spans="1:27" ht="15.75" customHeight="1">
      <c r="A886" s="1130"/>
      <c r="B886" s="1130"/>
      <c r="C886" s="1130"/>
      <c r="D886" s="1130"/>
      <c r="E886" s="1130"/>
      <c r="F886" s="1130"/>
      <c r="G886" s="1130"/>
      <c r="H886" s="1130"/>
      <c r="I886" s="1130"/>
      <c r="J886" s="1130"/>
      <c r="K886" s="1130"/>
      <c r="L886" s="1130"/>
      <c r="M886" s="1130"/>
      <c r="N886" s="1130"/>
      <c r="O886" s="1130"/>
      <c r="P886" s="1130"/>
      <c r="Q886" s="1130"/>
      <c r="R886" s="1130"/>
      <c r="S886" s="1130"/>
      <c r="T886" s="1130"/>
      <c r="U886" s="1130"/>
      <c r="V886" s="1130"/>
      <c r="W886" s="1130"/>
      <c r="X886" s="1130"/>
      <c r="Y886" s="1130"/>
      <c r="Z886" s="1130"/>
      <c r="AA886" s="1130"/>
    </row>
    <row r="887" spans="1:27" ht="15.75" customHeight="1">
      <c r="A887" s="1130"/>
      <c r="B887" s="1130"/>
      <c r="C887" s="1130"/>
      <c r="D887" s="1130"/>
      <c r="E887" s="1130"/>
      <c r="F887" s="1130"/>
      <c r="G887" s="1130"/>
      <c r="H887" s="1130"/>
      <c r="I887" s="1130"/>
      <c r="J887" s="1130"/>
      <c r="K887" s="1130"/>
      <c r="L887" s="1130"/>
      <c r="M887" s="1130"/>
      <c r="N887" s="1130"/>
      <c r="O887" s="1130"/>
      <c r="P887" s="1130"/>
      <c r="Q887" s="1130"/>
      <c r="R887" s="1130"/>
      <c r="S887" s="1130"/>
      <c r="T887" s="1130"/>
      <c r="U887" s="1130"/>
      <c r="V887" s="1130"/>
      <c r="W887" s="1130"/>
      <c r="X887" s="1130"/>
      <c r="Y887" s="1130"/>
      <c r="Z887" s="1130"/>
      <c r="AA887" s="1130"/>
    </row>
    <row r="888" spans="1:27" ht="15.75" customHeight="1">
      <c r="A888" s="1130"/>
      <c r="B888" s="1130"/>
      <c r="C888" s="1130"/>
      <c r="D888" s="1130"/>
      <c r="E888" s="1130"/>
      <c r="F888" s="1130"/>
      <c r="G888" s="1130"/>
      <c r="H888" s="1130"/>
      <c r="I888" s="1130"/>
      <c r="J888" s="1130"/>
      <c r="K888" s="1130"/>
      <c r="L888" s="1130"/>
      <c r="M888" s="1130"/>
      <c r="N888" s="1130"/>
      <c r="O888" s="1130"/>
      <c r="P888" s="1130"/>
      <c r="Q888" s="1130"/>
      <c r="R888" s="1130"/>
      <c r="S888" s="1130"/>
      <c r="T888" s="1130"/>
      <c r="U888" s="1130"/>
      <c r="V888" s="1130"/>
      <c r="W888" s="1130"/>
      <c r="X888" s="1130"/>
      <c r="Y888" s="1130"/>
      <c r="Z888" s="1130"/>
      <c r="AA888" s="1130"/>
    </row>
    <row r="889" spans="1:27" ht="15.75" customHeight="1">
      <c r="A889" s="1130"/>
      <c r="B889" s="1130"/>
      <c r="C889" s="1130"/>
      <c r="D889" s="1130"/>
      <c r="E889" s="1130"/>
      <c r="F889" s="1130"/>
      <c r="G889" s="1130"/>
      <c r="H889" s="1130"/>
      <c r="I889" s="1130"/>
      <c r="J889" s="1130"/>
      <c r="K889" s="1130"/>
      <c r="L889" s="1130"/>
      <c r="M889" s="1130"/>
      <c r="N889" s="1130"/>
      <c r="O889" s="1130"/>
      <c r="P889" s="1130"/>
      <c r="Q889" s="1130"/>
      <c r="R889" s="1130"/>
      <c r="S889" s="1130"/>
      <c r="T889" s="1130"/>
      <c r="U889" s="1130"/>
      <c r="V889" s="1130"/>
      <c r="W889" s="1130"/>
      <c r="X889" s="1130"/>
      <c r="Y889" s="1130"/>
      <c r="Z889" s="1130"/>
      <c r="AA889" s="1130"/>
    </row>
    <row r="890" spans="1:27" ht="15.75" customHeight="1">
      <c r="A890" s="1130"/>
      <c r="B890" s="1130"/>
      <c r="C890" s="1130"/>
      <c r="D890" s="1130"/>
      <c r="E890" s="1130"/>
      <c r="F890" s="1130"/>
      <c r="G890" s="1130"/>
      <c r="H890" s="1130"/>
      <c r="I890" s="1130"/>
      <c r="J890" s="1130"/>
      <c r="K890" s="1130"/>
      <c r="L890" s="1130"/>
      <c r="M890" s="1130"/>
      <c r="N890" s="1130"/>
      <c r="O890" s="1130"/>
      <c r="P890" s="1130"/>
      <c r="Q890" s="1130"/>
      <c r="R890" s="1130"/>
      <c r="S890" s="1130"/>
      <c r="T890" s="1130"/>
      <c r="U890" s="1130"/>
      <c r="V890" s="1130"/>
      <c r="W890" s="1130"/>
      <c r="X890" s="1130"/>
      <c r="Y890" s="1130"/>
      <c r="Z890" s="1130"/>
      <c r="AA890" s="1130"/>
    </row>
    <row r="891" spans="1:27" ht="15.75" customHeight="1">
      <c r="A891" s="1130"/>
      <c r="B891" s="1130"/>
      <c r="C891" s="1130"/>
      <c r="D891" s="1130"/>
      <c r="E891" s="1130"/>
      <c r="F891" s="1130"/>
      <c r="G891" s="1130"/>
      <c r="H891" s="1130"/>
      <c r="I891" s="1130"/>
      <c r="J891" s="1130"/>
      <c r="K891" s="1130"/>
      <c r="L891" s="1130"/>
      <c r="M891" s="1130"/>
      <c r="N891" s="1130"/>
      <c r="O891" s="1130"/>
      <c r="P891" s="1130"/>
      <c r="Q891" s="1130"/>
      <c r="R891" s="1130"/>
      <c r="S891" s="1130"/>
      <c r="T891" s="1130"/>
      <c r="U891" s="1130"/>
      <c r="V891" s="1130"/>
      <c r="W891" s="1130"/>
      <c r="X891" s="1130"/>
      <c r="Y891" s="1130"/>
      <c r="Z891" s="1130"/>
      <c r="AA891" s="1130"/>
    </row>
    <row r="892" spans="1:27" ht="15.75" customHeight="1">
      <c r="A892" s="1130"/>
      <c r="B892" s="1130"/>
      <c r="C892" s="1130"/>
      <c r="D892" s="1130"/>
      <c r="E892" s="1130"/>
      <c r="F892" s="1130"/>
      <c r="G892" s="1130"/>
      <c r="H892" s="1130"/>
      <c r="I892" s="1130"/>
      <c r="J892" s="1130"/>
      <c r="K892" s="1130"/>
      <c r="L892" s="1130"/>
      <c r="M892" s="1130"/>
      <c r="N892" s="1130"/>
      <c r="O892" s="1130"/>
      <c r="P892" s="1130"/>
      <c r="Q892" s="1130"/>
      <c r="R892" s="1130"/>
      <c r="S892" s="1130"/>
      <c r="T892" s="1130"/>
      <c r="U892" s="1130"/>
      <c r="V892" s="1130"/>
      <c r="W892" s="1130"/>
      <c r="X892" s="1130"/>
      <c r="Y892" s="1130"/>
      <c r="Z892" s="1130"/>
      <c r="AA892" s="1130"/>
    </row>
    <row r="893" spans="1:27" ht="15.75" customHeight="1">
      <c r="A893" s="1130"/>
      <c r="B893" s="1130"/>
      <c r="C893" s="1130"/>
      <c r="D893" s="1130"/>
      <c r="E893" s="1130"/>
      <c r="F893" s="1130"/>
      <c r="G893" s="1130"/>
      <c r="H893" s="1130"/>
      <c r="I893" s="1130"/>
      <c r="J893" s="1130"/>
      <c r="K893" s="1130"/>
      <c r="L893" s="1130"/>
      <c r="M893" s="1130"/>
      <c r="N893" s="1130"/>
      <c r="O893" s="1130"/>
      <c r="P893" s="1130"/>
      <c r="Q893" s="1130"/>
      <c r="R893" s="1130"/>
      <c r="S893" s="1130"/>
      <c r="T893" s="1130"/>
      <c r="U893" s="1130"/>
      <c r="V893" s="1130"/>
      <c r="W893" s="1130"/>
      <c r="X893" s="1130"/>
      <c r="Y893" s="1130"/>
      <c r="Z893" s="1130"/>
      <c r="AA893" s="1130"/>
    </row>
    <row r="894" spans="1:27" ht="15.75" customHeight="1">
      <c r="A894" s="1130"/>
      <c r="B894" s="1130"/>
      <c r="C894" s="1130"/>
      <c r="D894" s="1130"/>
      <c r="E894" s="1130"/>
      <c r="F894" s="1130"/>
      <c r="G894" s="1130"/>
      <c r="H894" s="1130"/>
      <c r="I894" s="1130"/>
      <c r="J894" s="1130"/>
      <c r="K894" s="1130"/>
      <c r="L894" s="1130"/>
      <c r="M894" s="1130"/>
      <c r="N894" s="1130"/>
      <c r="O894" s="1130"/>
      <c r="P894" s="1130"/>
      <c r="Q894" s="1130"/>
      <c r="R894" s="1130"/>
      <c r="S894" s="1130"/>
      <c r="T894" s="1130"/>
      <c r="U894" s="1130"/>
      <c r="V894" s="1130"/>
      <c r="W894" s="1130"/>
      <c r="X894" s="1130"/>
      <c r="Y894" s="1130"/>
      <c r="Z894" s="1130"/>
      <c r="AA894" s="1130"/>
    </row>
    <row r="895" spans="1:27" ht="15.75" customHeight="1">
      <c r="A895" s="1130"/>
      <c r="B895" s="1130"/>
      <c r="C895" s="1130"/>
      <c r="D895" s="1130"/>
      <c r="E895" s="1130"/>
      <c r="F895" s="1130"/>
      <c r="G895" s="1130"/>
      <c r="H895" s="1130"/>
      <c r="I895" s="1130"/>
      <c r="J895" s="1130"/>
      <c r="K895" s="1130"/>
      <c r="L895" s="1130"/>
      <c r="M895" s="1130"/>
      <c r="N895" s="1130"/>
      <c r="O895" s="1130"/>
      <c r="P895" s="1130"/>
      <c r="Q895" s="1130"/>
      <c r="R895" s="1130"/>
      <c r="S895" s="1130"/>
      <c r="T895" s="1130"/>
      <c r="U895" s="1130"/>
      <c r="V895" s="1130"/>
      <c r="W895" s="1130"/>
      <c r="X895" s="1130"/>
      <c r="Y895" s="1130"/>
      <c r="Z895" s="1130"/>
      <c r="AA895" s="1130"/>
    </row>
    <row r="896" spans="1:27" ht="15.75" customHeight="1">
      <c r="A896" s="1130"/>
      <c r="B896" s="1130"/>
      <c r="C896" s="1130"/>
      <c r="D896" s="1130"/>
      <c r="E896" s="1130"/>
      <c r="F896" s="1130"/>
      <c r="G896" s="1130"/>
      <c r="H896" s="1130"/>
      <c r="I896" s="1130"/>
      <c r="J896" s="1130"/>
      <c r="K896" s="1130"/>
      <c r="L896" s="1130"/>
      <c r="M896" s="1130"/>
      <c r="N896" s="1130"/>
      <c r="O896" s="1130"/>
      <c r="P896" s="1130"/>
      <c r="Q896" s="1130"/>
      <c r="R896" s="1130"/>
      <c r="S896" s="1130"/>
      <c r="T896" s="1130"/>
      <c r="U896" s="1130"/>
      <c r="V896" s="1130"/>
      <c r="W896" s="1130"/>
      <c r="X896" s="1130"/>
      <c r="Y896" s="1130"/>
      <c r="Z896" s="1130"/>
      <c r="AA896" s="1130"/>
    </row>
    <row r="897" spans="1:27" ht="15.75" customHeight="1">
      <c r="A897" s="1130"/>
      <c r="B897" s="1130"/>
      <c r="C897" s="1130"/>
      <c r="D897" s="1130"/>
      <c r="E897" s="1130"/>
      <c r="F897" s="1130"/>
      <c r="G897" s="1130"/>
      <c r="H897" s="1130"/>
      <c r="I897" s="1130"/>
      <c r="J897" s="1130"/>
      <c r="K897" s="1130"/>
      <c r="L897" s="1130"/>
      <c r="M897" s="1130"/>
      <c r="N897" s="1130"/>
      <c r="O897" s="1130"/>
      <c r="P897" s="1130"/>
      <c r="Q897" s="1130"/>
      <c r="R897" s="1130"/>
      <c r="S897" s="1130"/>
      <c r="T897" s="1130"/>
      <c r="U897" s="1130"/>
      <c r="V897" s="1130"/>
      <c r="W897" s="1130"/>
      <c r="X897" s="1130"/>
      <c r="Y897" s="1130"/>
      <c r="Z897" s="1130"/>
      <c r="AA897" s="1130"/>
    </row>
    <row r="898" spans="1:27" ht="15.75" customHeight="1">
      <c r="A898" s="1130"/>
      <c r="B898" s="1130"/>
      <c r="C898" s="1130"/>
      <c r="D898" s="1130"/>
      <c r="E898" s="1130"/>
      <c r="F898" s="1130"/>
      <c r="G898" s="1130"/>
      <c r="H898" s="1130"/>
      <c r="I898" s="1130"/>
      <c r="J898" s="1130"/>
      <c r="K898" s="1130"/>
      <c r="L898" s="1130"/>
      <c r="M898" s="1130"/>
      <c r="N898" s="1130"/>
      <c r="O898" s="1130"/>
      <c r="P898" s="1130"/>
      <c r="Q898" s="1130"/>
      <c r="R898" s="1130"/>
      <c r="S898" s="1130"/>
      <c r="T898" s="1130"/>
      <c r="U898" s="1130"/>
      <c r="V898" s="1130"/>
      <c r="W898" s="1130"/>
      <c r="X898" s="1130"/>
      <c r="Y898" s="1130"/>
      <c r="Z898" s="1130"/>
      <c r="AA898" s="1130"/>
    </row>
    <row r="899" spans="1:27" ht="15.75" customHeight="1">
      <c r="A899" s="1130"/>
      <c r="B899" s="1130"/>
      <c r="C899" s="1130"/>
      <c r="D899" s="1130"/>
      <c r="E899" s="1130"/>
      <c r="F899" s="1130"/>
      <c r="G899" s="1130"/>
      <c r="H899" s="1130"/>
      <c r="I899" s="1130"/>
      <c r="J899" s="1130"/>
      <c r="K899" s="1130"/>
      <c r="L899" s="1130"/>
      <c r="M899" s="1130"/>
      <c r="N899" s="1130"/>
      <c r="O899" s="1130"/>
      <c r="P899" s="1130"/>
      <c r="Q899" s="1130"/>
      <c r="R899" s="1130"/>
      <c r="S899" s="1130"/>
      <c r="T899" s="1130"/>
      <c r="U899" s="1130"/>
      <c r="V899" s="1130"/>
      <c r="W899" s="1130"/>
      <c r="X899" s="1130"/>
      <c r="Y899" s="1130"/>
      <c r="Z899" s="1130"/>
      <c r="AA899" s="1130"/>
    </row>
    <row r="900" spans="1:27" ht="15.75" customHeight="1">
      <c r="A900" s="1130"/>
      <c r="B900" s="1130"/>
      <c r="C900" s="1130"/>
      <c r="D900" s="1130"/>
      <c r="E900" s="1130"/>
      <c r="F900" s="1130"/>
      <c r="G900" s="1130"/>
      <c r="H900" s="1130"/>
      <c r="I900" s="1130"/>
      <c r="J900" s="1130"/>
      <c r="K900" s="1130"/>
      <c r="L900" s="1130"/>
      <c r="M900" s="1130"/>
      <c r="N900" s="1130"/>
      <c r="O900" s="1130"/>
      <c r="P900" s="1130"/>
      <c r="Q900" s="1130"/>
      <c r="R900" s="1130"/>
      <c r="S900" s="1130"/>
      <c r="T900" s="1130"/>
      <c r="U900" s="1130"/>
      <c r="V900" s="1130"/>
      <c r="W900" s="1130"/>
      <c r="X900" s="1130"/>
      <c r="Y900" s="1130"/>
      <c r="Z900" s="1130"/>
      <c r="AA900" s="1130"/>
    </row>
    <row r="901" spans="1:27" ht="15.75" customHeight="1">
      <c r="A901" s="1130"/>
      <c r="B901" s="1130"/>
      <c r="C901" s="1130"/>
      <c r="D901" s="1130"/>
      <c r="E901" s="1130"/>
      <c r="F901" s="1130"/>
      <c r="G901" s="1130"/>
      <c r="H901" s="1130"/>
      <c r="I901" s="1130"/>
      <c r="J901" s="1130"/>
      <c r="K901" s="1130"/>
      <c r="L901" s="1130"/>
      <c r="M901" s="1130"/>
      <c r="N901" s="1130"/>
      <c r="O901" s="1130"/>
      <c r="P901" s="1130"/>
      <c r="Q901" s="1130"/>
      <c r="R901" s="1130"/>
      <c r="S901" s="1130"/>
      <c r="T901" s="1130"/>
      <c r="U901" s="1130"/>
      <c r="V901" s="1130"/>
      <c r="W901" s="1130"/>
      <c r="X901" s="1130"/>
      <c r="Y901" s="1130"/>
      <c r="Z901" s="1130"/>
      <c r="AA901" s="1130"/>
    </row>
    <row r="902" spans="1:27" ht="15.75" customHeight="1">
      <c r="A902" s="1130"/>
      <c r="B902" s="1130"/>
      <c r="C902" s="1130"/>
      <c r="D902" s="1130"/>
      <c r="E902" s="1130"/>
      <c r="F902" s="1130"/>
      <c r="G902" s="1130"/>
      <c r="H902" s="1130"/>
      <c r="I902" s="1130"/>
      <c r="J902" s="1130"/>
      <c r="K902" s="1130"/>
      <c r="L902" s="1130"/>
      <c r="M902" s="1130"/>
      <c r="N902" s="1130"/>
      <c r="O902" s="1130"/>
      <c r="P902" s="1130"/>
      <c r="Q902" s="1130"/>
      <c r="R902" s="1130"/>
      <c r="S902" s="1130"/>
      <c r="T902" s="1130"/>
      <c r="U902" s="1130"/>
      <c r="V902" s="1130"/>
      <c r="W902" s="1130"/>
      <c r="X902" s="1130"/>
      <c r="Y902" s="1130"/>
      <c r="Z902" s="1130"/>
      <c r="AA902" s="1130"/>
    </row>
    <row r="903" spans="1:27" ht="15.75" customHeight="1">
      <c r="A903" s="1130"/>
      <c r="B903" s="1130"/>
      <c r="C903" s="1130"/>
      <c r="D903" s="1130"/>
      <c r="E903" s="1130"/>
      <c r="F903" s="1130"/>
      <c r="G903" s="1130"/>
      <c r="H903" s="1130"/>
      <c r="I903" s="1130"/>
      <c r="J903" s="1130"/>
      <c r="K903" s="1130"/>
      <c r="L903" s="1130"/>
      <c r="M903" s="1130"/>
      <c r="N903" s="1130"/>
      <c r="O903" s="1130"/>
      <c r="P903" s="1130"/>
      <c r="Q903" s="1130"/>
      <c r="R903" s="1130"/>
      <c r="S903" s="1130"/>
      <c r="T903" s="1130"/>
      <c r="U903" s="1130"/>
      <c r="V903" s="1130"/>
      <c r="W903" s="1130"/>
      <c r="X903" s="1130"/>
      <c r="Y903" s="1130"/>
      <c r="Z903" s="1130"/>
      <c r="AA903" s="1130"/>
    </row>
    <row r="904" spans="1:27" ht="15.75" customHeight="1">
      <c r="A904" s="1130"/>
      <c r="B904" s="1130"/>
      <c r="C904" s="1130"/>
      <c r="D904" s="1130"/>
      <c r="E904" s="1130"/>
      <c r="F904" s="1130"/>
      <c r="G904" s="1130"/>
      <c r="H904" s="1130"/>
      <c r="I904" s="1130"/>
      <c r="J904" s="1130"/>
      <c r="K904" s="1130"/>
      <c r="L904" s="1130"/>
      <c r="M904" s="1130"/>
      <c r="N904" s="1130"/>
      <c r="O904" s="1130"/>
      <c r="P904" s="1130"/>
      <c r="Q904" s="1130"/>
      <c r="R904" s="1130"/>
      <c r="S904" s="1130"/>
      <c r="T904" s="1130"/>
      <c r="U904" s="1130"/>
      <c r="V904" s="1130"/>
      <c r="W904" s="1130"/>
      <c r="X904" s="1130"/>
      <c r="Y904" s="1130"/>
      <c r="Z904" s="1130"/>
      <c r="AA904" s="1130"/>
    </row>
    <row r="905" spans="1:27" ht="15.75" customHeight="1">
      <c r="A905" s="1130"/>
      <c r="B905" s="1130"/>
      <c r="C905" s="1130"/>
      <c r="D905" s="1130"/>
      <c r="E905" s="1130"/>
      <c r="F905" s="1130"/>
      <c r="G905" s="1130"/>
      <c r="H905" s="1130"/>
      <c r="I905" s="1130"/>
      <c r="J905" s="1130"/>
      <c r="K905" s="1130"/>
      <c r="L905" s="1130"/>
      <c r="M905" s="1130"/>
      <c r="N905" s="1130"/>
      <c r="O905" s="1130"/>
      <c r="P905" s="1130"/>
      <c r="Q905" s="1130"/>
      <c r="R905" s="1130"/>
      <c r="S905" s="1130"/>
      <c r="T905" s="1130"/>
      <c r="U905" s="1130"/>
      <c r="V905" s="1130"/>
      <c r="W905" s="1130"/>
      <c r="X905" s="1130"/>
      <c r="Y905" s="1130"/>
      <c r="Z905" s="1130"/>
      <c r="AA905" s="1130"/>
    </row>
    <row r="906" spans="1:27" ht="15.75" customHeight="1">
      <c r="A906" s="1130"/>
      <c r="B906" s="1130"/>
      <c r="C906" s="1130"/>
      <c r="D906" s="1130"/>
      <c r="E906" s="1130"/>
      <c r="F906" s="1130"/>
      <c r="G906" s="1130"/>
      <c r="H906" s="1130"/>
      <c r="I906" s="1130"/>
      <c r="J906" s="1130"/>
      <c r="K906" s="1130"/>
      <c r="L906" s="1130"/>
      <c r="M906" s="1130"/>
      <c r="N906" s="1130"/>
      <c r="O906" s="1130"/>
      <c r="P906" s="1130"/>
      <c r="Q906" s="1130"/>
      <c r="R906" s="1130"/>
      <c r="S906" s="1130"/>
      <c r="T906" s="1130"/>
      <c r="U906" s="1130"/>
      <c r="V906" s="1130"/>
      <c r="W906" s="1130"/>
      <c r="X906" s="1130"/>
      <c r="Y906" s="1130"/>
      <c r="Z906" s="1130"/>
      <c r="AA906" s="1130"/>
    </row>
    <row r="907" spans="1:27" ht="15.75" customHeight="1">
      <c r="A907" s="1130"/>
      <c r="B907" s="1130"/>
      <c r="C907" s="1130"/>
      <c r="D907" s="1130"/>
      <c r="E907" s="1130"/>
      <c r="F907" s="1130"/>
      <c r="G907" s="1130"/>
      <c r="H907" s="1130"/>
      <c r="I907" s="1130"/>
      <c r="J907" s="1130"/>
      <c r="K907" s="1130"/>
      <c r="L907" s="1130"/>
      <c r="M907" s="1130"/>
      <c r="N907" s="1130"/>
      <c r="O907" s="1130"/>
      <c r="P907" s="1130"/>
      <c r="Q907" s="1130"/>
      <c r="R907" s="1130"/>
      <c r="S907" s="1130"/>
      <c r="T907" s="1130"/>
      <c r="U907" s="1130"/>
      <c r="V907" s="1130"/>
      <c r="W907" s="1130"/>
      <c r="X907" s="1130"/>
      <c r="Y907" s="1130"/>
      <c r="Z907" s="1130"/>
      <c r="AA907" s="1130"/>
    </row>
    <row r="908" spans="1:27" ht="15.75" customHeight="1">
      <c r="A908" s="1130"/>
      <c r="B908" s="1130"/>
      <c r="C908" s="1130"/>
      <c r="D908" s="1130"/>
      <c r="E908" s="1130"/>
      <c r="F908" s="1130"/>
      <c r="G908" s="1130"/>
      <c r="H908" s="1130"/>
      <c r="I908" s="1130"/>
      <c r="J908" s="1130"/>
      <c r="K908" s="1130"/>
      <c r="L908" s="1130"/>
      <c r="M908" s="1130"/>
      <c r="N908" s="1130"/>
      <c r="O908" s="1130"/>
      <c r="P908" s="1130"/>
      <c r="Q908" s="1130"/>
      <c r="R908" s="1130"/>
      <c r="S908" s="1130"/>
      <c r="T908" s="1130"/>
      <c r="U908" s="1130"/>
      <c r="V908" s="1130"/>
      <c r="W908" s="1130"/>
      <c r="X908" s="1130"/>
      <c r="Y908" s="1130"/>
      <c r="Z908" s="1130"/>
      <c r="AA908" s="1130"/>
    </row>
    <row r="909" spans="1:27" ht="15.75" customHeight="1">
      <c r="A909" s="1130"/>
      <c r="B909" s="1130"/>
      <c r="C909" s="1130"/>
      <c r="D909" s="1130"/>
      <c r="E909" s="1130"/>
      <c r="F909" s="1130"/>
      <c r="G909" s="1130"/>
      <c r="H909" s="1130"/>
      <c r="I909" s="1130"/>
      <c r="J909" s="1130"/>
      <c r="K909" s="1130"/>
      <c r="L909" s="1130"/>
      <c r="M909" s="1130"/>
      <c r="N909" s="1130"/>
      <c r="O909" s="1130"/>
      <c r="P909" s="1130"/>
      <c r="Q909" s="1130"/>
      <c r="R909" s="1130"/>
      <c r="S909" s="1130"/>
      <c r="T909" s="1130"/>
      <c r="U909" s="1130"/>
      <c r="V909" s="1130"/>
      <c r="W909" s="1130"/>
      <c r="X909" s="1130"/>
      <c r="Y909" s="1130"/>
      <c r="Z909" s="1130"/>
      <c r="AA909" s="1130"/>
    </row>
    <row r="910" spans="1:27" ht="15.75" customHeight="1">
      <c r="A910" s="1130"/>
      <c r="B910" s="1130"/>
      <c r="C910" s="1130"/>
      <c r="D910" s="1130"/>
      <c r="E910" s="1130"/>
      <c r="F910" s="1130"/>
      <c r="G910" s="1130"/>
      <c r="H910" s="1130"/>
      <c r="I910" s="1130"/>
      <c r="J910" s="1130"/>
      <c r="K910" s="1130"/>
      <c r="L910" s="1130"/>
      <c r="M910" s="1130"/>
      <c r="N910" s="1130"/>
      <c r="O910" s="1130"/>
      <c r="P910" s="1130"/>
      <c r="Q910" s="1130"/>
      <c r="R910" s="1130"/>
      <c r="S910" s="1130"/>
      <c r="T910" s="1130"/>
      <c r="U910" s="1130"/>
      <c r="V910" s="1130"/>
      <c r="W910" s="1130"/>
      <c r="X910" s="1130"/>
      <c r="Y910" s="1130"/>
      <c r="Z910" s="1130"/>
      <c r="AA910" s="1130"/>
    </row>
    <row r="911" spans="1:27" ht="15.75" customHeight="1">
      <c r="A911" s="1130"/>
      <c r="B911" s="1130"/>
      <c r="C911" s="1130"/>
      <c r="D911" s="1130"/>
      <c r="E911" s="1130"/>
      <c r="F911" s="1130"/>
      <c r="G911" s="1130"/>
      <c r="H911" s="1130"/>
      <c r="I911" s="1130"/>
      <c r="J911" s="1130"/>
      <c r="K911" s="1130"/>
      <c r="L911" s="1130"/>
      <c r="M911" s="1130"/>
      <c r="N911" s="1130"/>
      <c r="O911" s="1130"/>
      <c r="P911" s="1130"/>
      <c r="Q911" s="1130"/>
      <c r="R911" s="1130"/>
      <c r="S911" s="1130"/>
      <c r="T911" s="1130"/>
      <c r="U911" s="1130"/>
      <c r="V911" s="1130"/>
      <c r="W911" s="1130"/>
      <c r="X911" s="1130"/>
      <c r="Y911" s="1130"/>
      <c r="Z911" s="1130"/>
      <c r="AA911" s="1130"/>
    </row>
    <row r="912" spans="1:27" ht="15.75" customHeight="1">
      <c r="A912" s="1130"/>
      <c r="B912" s="1130"/>
      <c r="C912" s="1130"/>
      <c r="D912" s="1130"/>
      <c r="E912" s="1130"/>
      <c r="F912" s="1130"/>
      <c r="G912" s="1130"/>
      <c r="H912" s="1130"/>
      <c r="I912" s="1130"/>
      <c r="J912" s="1130"/>
      <c r="K912" s="1130"/>
      <c r="L912" s="1130"/>
      <c r="M912" s="1130"/>
      <c r="N912" s="1130"/>
      <c r="O912" s="1130"/>
      <c r="P912" s="1130"/>
      <c r="Q912" s="1130"/>
      <c r="R912" s="1130"/>
      <c r="S912" s="1130"/>
      <c r="T912" s="1130"/>
      <c r="U912" s="1130"/>
      <c r="V912" s="1130"/>
      <c r="W912" s="1130"/>
      <c r="X912" s="1130"/>
      <c r="Y912" s="1130"/>
      <c r="Z912" s="1130"/>
      <c r="AA912" s="1130"/>
    </row>
    <row r="913" spans="1:27" ht="15.75" customHeight="1">
      <c r="A913" s="1130"/>
      <c r="B913" s="1130"/>
      <c r="C913" s="1130"/>
      <c r="D913" s="1130"/>
      <c r="E913" s="1130"/>
      <c r="F913" s="1130"/>
      <c r="G913" s="1130"/>
      <c r="H913" s="1130"/>
      <c r="I913" s="1130"/>
      <c r="J913" s="1130"/>
      <c r="K913" s="1130"/>
      <c r="L913" s="1130"/>
      <c r="M913" s="1130"/>
      <c r="N913" s="1130"/>
      <c r="O913" s="1130"/>
      <c r="P913" s="1130"/>
      <c r="Q913" s="1130"/>
      <c r="R913" s="1130"/>
      <c r="S913" s="1130"/>
      <c r="T913" s="1130"/>
      <c r="U913" s="1130"/>
      <c r="V913" s="1130"/>
      <c r="W913" s="1130"/>
      <c r="X913" s="1130"/>
      <c r="Y913" s="1130"/>
      <c r="Z913" s="1130"/>
      <c r="AA913" s="1130"/>
    </row>
    <row r="914" spans="1:27" ht="15.75" customHeight="1">
      <c r="A914" s="1130"/>
      <c r="B914" s="1130"/>
      <c r="C914" s="1130"/>
      <c r="D914" s="1130"/>
      <c r="E914" s="1130"/>
      <c r="F914" s="1130"/>
      <c r="G914" s="1130"/>
      <c r="H914" s="1130"/>
      <c r="I914" s="1130"/>
      <c r="J914" s="1130"/>
      <c r="K914" s="1130"/>
      <c r="L914" s="1130"/>
      <c r="M914" s="1130"/>
      <c r="N914" s="1130"/>
      <c r="O914" s="1130"/>
      <c r="P914" s="1130"/>
      <c r="Q914" s="1130"/>
      <c r="R914" s="1130"/>
      <c r="S914" s="1130"/>
      <c r="T914" s="1130"/>
      <c r="U914" s="1130"/>
      <c r="V914" s="1130"/>
      <c r="W914" s="1130"/>
      <c r="X914" s="1130"/>
      <c r="Y914" s="1130"/>
      <c r="Z914" s="1130"/>
      <c r="AA914" s="1130"/>
    </row>
    <row r="915" spans="1:27" ht="15.75" customHeight="1">
      <c r="A915" s="1130"/>
      <c r="B915" s="1130"/>
      <c r="C915" s="1130"/>
      <c r="D915" s="1130"/>
      <c r="E915" s="1130"/>
      <c r="F915" s="1130"/>
      <c r="G915" s="1130"/>
      <c r="H915" s="1130"/>
      <c r="I915" s="1130"/>
      <c r="J915" s="1130"/>
      <c r="K915" s="1130"/>
      <c r="L915" s="1130"/>
      <c r="M915" s="1130"/>
      <c r="N915" s="1130"/>
      <c r="O915" s="1130"/>
      <c r="P915" s="1130"/>
      <c r="Q915" s="1130"/>
      <c r="R915" s="1130"/>
      <c r="S915" s="1130"/>
      <c r="T915" s="1130"/>
      <c r="U915" s="1130"/>
      <c r="V915" s="1130"/>
      <c r="W915" s="1130"/>
      <c r="X915" s="1130"/>
      <c r="Y915" s="1130"/>
      <c r="Z915" s="1130"/>
      <c r="AA915" s="1130"/>
    </row>
    <row r="916" spans="1:27" ht="15.75" customHeight="1">
      <c r="A916" s="1130"/>
      <c r="B916" s="1130"/>
      <c r="C916" s="1130"/>
      <c r="D916" s="1130"/>
      <c r="E916" s="1130"/>
      <c r="F916" s="1130"/>
      <c r="G916" s="1130"/>
      <c r="H916" s="1130"/>
      <c r="I916" s="1130"/>
      <c r="J916" s="1130"/>
      <c r="K916" s="1130"/>
      <c r="L916" s="1130"/>
      <c r="M916" s="1130"/>
      <c r="N916" s="1130"/>
      <c r="O916" s="1130"/>
      <c r="P916" s="1130"/>
      <c r="Q916" s="1130"/>
      <c r="R916" s="1130"/>
      <c r="S916" s="1130"/>
      <c r="T916" s="1130"/>
      <c r="U916" s="1130"/>
      <c r="V916" s="1130"/>
      <c r="W916" s="1130"/>
      <c r="X916" s="1130"/>
      <c r="Y916" s="1130"/>
      <c r="Z916" s="1130"/>
      <c r="AA916" s="1130"/>
    </row>
    <row r="917" spans="1:27" ht="15.75" customHeight="1">
      <c r="A917" s="1130"/>
      <c r="B917" s="1130"/>
      <c r="C917" s="1130"/>
      <c r="D917" s="1130"/>
      <c r="E917" s="1130"/>
      <c r="F917" s="1130"/>
      <c r="G917" s="1130"/>
      <c r="H917" s="1130"/>
      <c r="I917" s="1130"/>
      <c r="J917" s="1130"/>
      <c r="K917" s="1130"/>
      <c r="L917" s="1130"/>
      <c r="M917" s="1130"/>
      <c r="N917" s="1130"/>
      <c r="O917" s="1130"/>
      <c r="P917" s="1130"/>
      <c r="Q917" s="1130"/>
      <c r="R917" s="1130"/>
      <c r="S917" s="1130"/>
      <c r="T917" s="1130"/>
      <c r="U917" s="1130"/>
      <c r="V917" s="1130"/>
      <c r="W917" s="1130"/>
      <c r="X917" s="1130"/>
      <c r="Y917" s="1130"/>
      <c r="Z917" s="1130"/>
      <c r="AA917" s="1130"/>
    </row>
    <row r="918" spans="1:27" ht="15.75" customHeight="1">
      <c r="A918" s="1130"/>
      <c r="B918" s="1130"/>
      <c r="C918" s="1130"/>
      <c r="D918" s="1130"/>
      <c r="E918" s="1130"/>
      <c r="F918" s="1130"/>
      <c r="G918" s="1130"/>
      <c r="H918" s="1130"/>
      <c r="I918" s="1130"/>
      <c r="J918" s="1130"/>
      <c r="K918" s="1130"/>
      <c r="L918" s="1130"/>
      <c r="M918" s="1130"/>
      <c r="N918" s="1130"/>
      <c r="O918" s="1130"/>
      <c r="P918" s="1130"/>
      <c r="Q918" s="1130"/>
      <c r="R918" s="1130"/>
      <c r="S918" s="1130"/>
      <c r="T918" s="1130"/>
      <c r="U918" s="1130"/>
      <c r="V918" s="1130"/>
      <c r="W918" s="1130"/>
      <c r="X918" s="1130"/>
      <c r="Y918" s="1130"/>
      <c r="Z918" s="1130"/>
      <c r="AA918" s="1130"/>
    </row>
    <row r="919" spans="1:27" ht="15.75" customHeight="1">
      <c r="A919" s="1130"/>
      <c r="B919" s="1130"/>
      <c r="C919" s="1130"/>
      <c r="D919" s="1130"/>
      <c r="E919" s="1130"/>
      <c r="F919" s="1130"/>
      <c r="G919" s="1130"/>
      <c r="H919" s="1130"/>
      <c r="I919" s="1130"/>
      <c r="J919" s="1130"/>
      <c r="K919" s="1130"/>
      <c r="L919" s="1130"/>
      <c r="M919" s="1130"/>
      <c r="N919" s="1130"/>
      <c r="O919" s="1130"/>
      <c r="P919" s="1130"/>
      <c r="Q919" s="1130"/>
      <c r="R919" s="1130"/>
      <c r="S919" s="1130"/>
      <c r="T919" s="1130"/>
      <c r="U919" s="1130"/>
      <c r="V919" s="1130"/>
      <c r="W919" s="1130"/>
      <c r="X919" s="1130"/>
      <c r="Y919" s="1130"/>
      <c r="Z919" s="1130"/>
      <c r="AA919" s="1130"/>
    </row>
    <row r="920" spans="1:27" ht="15.75" customHeight="1">
      <c r="A920" s="1130"/>
      <c r="B920" s="1130"/>
      <c r="C920" s="1130"/>
      <c r="D920" s="1130"/>
      <c r="E920" s="1130"/>
      <c r="F920" s="1130"/>
      <c r="G920" s="1130"/>
      <c r="H920" s="1130"/>
      <c r="I920" s="1130"/>
      <c r="J920" s="1130"/>
      <c r="K920" s="1130"/>
      <c r="L920" s="1130"/>
      <c r="M920" s="1130"/>
      <c r="N920" s="1130"/>
      <c r="O920" s="1130"/>
      <c r="P920" s="1130"/>
      <c r="Q920" s="1130"/>
      <c r="R920" s="1130"/>
      <c r="S920" s="1130"/>
      <c r="T920" s="1130"/>
      <c r="U920" s="1130"/>
      <c r="V920" s="1130"/>
      <c r="W920" s="1130"/>
      <c r="X920" s="1130"/>
      <c r="Y920" s="1130"/>
      <c r="Z920" s="1130"/>
      <c r="AA920" s="1130"/>
    </row>
    <row r="921" spans="1:27" ht="15.75" customHeight="1">
      <c r="A921" s="1130"/>
      <c r="B921" s="1130"/>
      <c r="C921" s="1130"/>
      <c r="D921" s="1130"/>
      <c r="E921" s="1130"/>
      <c r="F921" s="1130"/>
      <c r="G921" s="1130"/>
      <c r="H921" s="1130"/>
      <c r="I921" s="1130"/>
      <c r="J921" s="1130"/>
      <c r="K921" s="1130"/>
      <c r="L921" s="1130"/>
      <c r="M921" s="1130"/>
      <c r="N921" s="1130"/>
      <c r="O921" s="1130"/>
      <c r="P921" s="1130"/>
      <c r="Q921" s="1130"/>
      <c r="R921" s="1130"/>
      <c r="S921" s="1130"/>
      <c r="T921" s="1130"/>
      <c r="U921" s="1130"/>
      <c r="V921" s="1130"/>
      <c r="W921" s="1130"/>
      <c r="X921" s="1130"/>
      <c r="Y921" s="1130"/>
      <c r="Z921" s="1130"/>
      <c r="AA921" s="1130"/>
    </row>
    <row r="922" spans="1:27" ht="15.75" customHeight="1">
      <c r="A922" s="1130"/>
      <c r="B922" s="1130"/>
      <c r="C922" s="1130"/>
      <c r="D922" s="1130"/>
      <c r="E922" s="1130"/>
      <c r="F922" s="1130"/>
      <c r="G922" s="1130"/>
      <c r="H922" s="1130"/>
      <c r="I922" s="1130"/>
      <c r="J922" s="1130"/>
      <c r="K922" s="1130"/>
      <c r="L922" s="1130"/>
      <c r="M922" s="1130"/>
      <c r="N922" s="1130"/>
      <c r="O922" s="1130"/>
      <c r="P922" s="1130"/>
      <c r="Q922" s="1130"/>
      <c r="R922" s="1130"/>
      <c r="S922" s="1130"/>
      <c r="T922" s="1130"/>
      <c r="U922" s="1130"/>
      <c r="V922" s="1130"/>
      <c r="W922" s="1130"/>
      <c r="X922" s="1130"/>
      <c r="Y922" s="1130"/>
      <c r="Z922" s="1130"/>
      <c r="AA922" s="1130"/>
    </row>
    <row r="923" spans="1:27" ht="15.75" customHeight="1">
      <c r="A923" s="1130"/>
      <c r="B923" s="1130"/>
      <c r="C923" s="1130"/>
      <c r="D923" s="1130"/>
      <c r="E923" s="1130"/>
      <c r="F923" s="1130"/>
      <c r="G923" s="1130"/>
      <c r="H923" s="1130"/>
      <c r="I923" s="1130"/>
      <c r="J923" s="1130"/>
      <c r="K923" s="1130"/>
      <c r="L923" s="1130"/>
      <c r="M923" s="1130"/>
      <c r="N923" s="1130"/>
      <c r="O923" s="1130"/>
      <c r="P923" s="1130"/>
      <c r="Q923" s="1130"/>
      <c r="R923" s="1130"/>
      <c r="S923" s="1130"/>
      <c r="T923" s="1130"/>
      <c r="U923" s="1130"/>
      <c r="V923" s="1130"/>
      <c r="W923" s="1130"/>
      <c r="X923" s="1130"/>
      <c r="Y923" s="1130"/>
      <c r="Z923" s="1130"/>
      <c r="AA923" s="1130"/>
    </row>
    <row r="924" spans="1:27" ht="15.75" customHeight="1">
      <c r="A924" s="1130"/>
      <c r="B924" s="1130"/>
      <c r="C924" s="1130"/>
      <c r="D924" s="1130"/>
      <c r="E924" s="1130"/>
      <c r="F924" s="1130"/>
      <c r="G924" s="1130"/>
      <c r="H924" s="1130"/>
      <c r="I924" s="1130"/>
      <c r="J924" s="1130"/>
      <c r="K924" s="1130"/>
      <c r="L924" s="1130"/>
      <c r="M924" s="1130"/>
      <c r="N924" s="1130"/>
      <c r="O924" s="1130"/>
      <c r="P924" s="1130"/>
      <c r="Q924" s="1130"/>
      <c r="R924" s="1130"/>
      <c r="S924" s="1130"/>
      <c r="T924" s="1130"/>
      <c r="U924" s="1130"/>
      <c r="V924" s="1130"/>
      <c r="W924" s="1130"/>
      <c r="X924" s="1130"/>
      <c r="Y924" s="1130"/>
      <c r="Z924" s="1130"/>
      <c r="AA924" s="1130"/>
    </row>
    <row r="925" spans="1:27" ht="15.75" customHeight="1">
      <c r="A925" s="1130"/>
      <c r="B925" s="1130"/>
      <c r="C925" s="1130"/>
      <c r="D925" s="1130"/>
      <c r="E925" s="1130"/>
      <c r="F925" s="1130"/>
      <c r="G925" s="1130"/>
      <c r="H925" s="1130"/>
      <c r="I925" s="1130"/>
      <c r="J925" s="1130"/>
      <c r="K925" s="1130"/>
      <c r="L925" s="1130"/>
      <c r="M925" s="1130"/>
      <c r="N925" s="1130"/>
      <c r="O925" s="1130"/>
      <c r="P925" s="1130"/>
      <c r="Q925" s="1130"/>
      <c r="R925" s="1130"/>
      <c r="S925" s="1130"/>
      <c r="T925" s="1130"/>
      <c r="U925" s="1130"/>
      <c r="V925" s="1130"/>
      <c r="W925" s="1130"/>
      <c r="X925" s="1130"/>
      <c r="Y925" s="1130"/>
      <c r="Z925" s="1130"/>
      <c r="AA925" s="1130"/>
    </row>
    <row r="926" spans="1:27" ht="15.75" customHeight="1">
      <c r="A926" s="1130"/>
      <c r="B926" s="1130"/>
      <c r="C926" s="1130"/>
      <c r="D926" s="1130"/>
      <c r="E926" s="1130"/>
      <c r="F926" s="1130"/>
      <c r="G926" s="1130"/>
      <c r="H926" s="1130"/>
      <c r="I926" s="1130"/>
      <c r="J926" s="1130"/>
      <c r="K926" s="1130"/>
      <c r="L926" s="1130"/>
      <c r="M926" s="1130"/>
      <c r="N926" s="1130"/>
      <c r="O926" s="1130"/>
      <c r="P926" s="1130"/>
      <c r="Q926" s="1130"/>
      <c r="R926" s="1130"/>
      <c r="S926" s="1130"/>
      <c r="T926" s="1130"/>
      <c r="U926" s="1130"/>
      <c r="V926" s="1130"/>
      <c r="W926" s="1130"/>
      <c r="X926" s="1130"/>
      <c r="Y926" s="1130"/>
      <c r="Z926" s="1130"/>
      <c r="AA926" s="1130"/>
    </row>
    <row r="927" spans="1:27" ht="15.75" customHeight="1">
      <c r="A927" s="1130"/>
      <c r="B927" s="1130"/>
      <c r="C927" s="1130"/>
      <c r="D927" s="1130"/>
      <c r="E927" s="1130"/>
      <c r="F927" s="1130"/>
      <c r="G927" s="1130"/>
      <c r="H927" s="1130"/>
      <c r="I927" s="1130"/>
      <c r="J927" s="1130"/>
      <c r="K927" s="1130"/>
      <c r="L927" s="1130"/>
      <c r="M927" s="1130"/>
      <c r="N927" s="1130"/>
      <c r="O927" s="1130"/>
      <c r="P927" s="1130"/>
      <c r="Q927" s="1130"/>
      <c r="R927" s="1130"/>
      <c r="S927" s="1130"/>
      <c r="T927" s="1130"/>
      <c r="U927" s="1130"/>
      <c r="V927" s="1130"/>
      <c r="W927" s="1130"/>
      <c r="X927" s="1130"/>
      <c r="Y927" s="1130"/>
      <c r="Z927" s="1130"/>
      <c r="AA927" s="1130"/>
    </row>
    <row r="928" spans="1:27" ht="15.75" customHeight="1">
      <c r="A928" s="1130"/>
      <c r="B928" s="1130"/>
      <c r="C928" s="1130"/>
      <c r="D928" s="1130"/>
      <c r="E928" s="1130"/>
      <c r="F928" s="1130"/>
      <c r="G928" s="1130"/>
      <c r="H928" s="1130"/>
      <c r="I928" s="1130"/>
      <c r="J928" s="1130"/>
      <c r="K928" s="1130"/>
      <c r="L928" s="1130"/>
      <c r="M928" s="1130"/>
      <c r="N928" s="1130"/>
      <c r="O928" s="1130"/>
      <c r="P928" s="1130"/>
      <c r="Q928" s="1130"/>
      <c r="R928" s="1130"/>
      <c r="S928" s="1130"/>
      <c r="T928" s="1130"/>
      <c r="U928" s="1130"/>
      <c r="V928" s="1130"/>
      <c r="W928" s="1130"/>
      <c r="X928" s="1130"/>
      <c r="Y928" s="1130"/>
      <c r="Z928" s="1130"/>
      <c r="AA928" s="1130"/>
    </row>
    <row r="929" spans="1:27" ht="15.75" customHeight="1">
      <c r="A929" s="1130"/>
      <c r="B929" s="1130"/>
      <c r="C929" s="1130"/>
      <c r="D929" s="1130"/>
      <c r="E929" s="1130"/>
      <c r="F929" s="1130"/>
      <c r="G929" s="1130"/>
      <c r="H929" s="1130"/>
      <c r="I929" s="1130"/>
      <c r="J929" s="1130"/>
      <c r="K929" s="1130"/>
      <c r="L929" s="1130"/>
      <c r="M929" s="1130"/>
      <c r="N929" s="1130"/>
      <c r="O929" s="1130"/>
      <c r="P929" s="1130"/>
      <c r="Q929" s="1130"/>
      <c r="R929" s="1130"/>
      <c r="S929" s="1130"/>
      <c r="T929" s="1130"/>
      <c r="U929" s="1130"/>
      <c r="V929" s="1130"/>
      <c r="W929" s="1130"/>
      <c r="X929" s="1130"/>
      <c r="Y929" s="1130"/>
      <c r="Z929" s="1130"/>
      <c r="AA929" s="1130"/>
    </row>
    <row r="930" spans="1:27" ht="15.75" customHeight="1">
      <c r="A930" s="1130"/>
      <c r="B930" s="1130"/>
      <c r="C930" s="1130"/>
      <c r="D930" s="1130"/>
      <c r="E930" s="1130"/>
      <c r="F930" s="1130"/>
      <c r="G930" s="1130"/>
      <c r="H930" s="1130"/>
      <c r="I930" s="1130"/>
      <c r="J930" s="1130"/>
      <c r="K930" s="1130"/>
      <c r="L930" s="1130"/>
      <c r="M930" s="1130"/>
      <c r="N930" s="1130"/>
      <c r="O930" s="1130"/>
      <c r="P930" s="1130"/>
      <c r="Q930" s="1130"/>
      <c r="R930" s="1130"/>
      <c r="S930" s="1130"/>
      <c r="T930" s="1130"/>
      <c r="U930" s="1130"/>
      <c r="V930" s="1130"/>
      <c r="W930" s="1130"/>
      <c r="X930" s="1130"/>
      <c r="Y930" s="1130"/>
      <c r="Z930" s="1130"/>
      <c r="AA930" s="1130"/>
    </row>
    <row r="931" spans="1:27" ht="15.75" customHeight="1">
      <c r="A931" s="1130"/>
      <c r="B931" s="1130"/>
      <c r="C931" s="1130"/>
      <c r="D931" s="1130"/>
      <c r="E931" s="1130"/>
      <c r="F931" s="1130"/>
      <c r="G931" s="1130"/>
      <c r="H931" s="1130"/>
      <c r="I931" s="1130"/>
      <c r="J931" s="1130"/>
      <c r="K931" s="1130"/>
      <c r="L931" s="1130"/>
      <c r="M931" s="1130"/>
      <c r="N931" s="1130"/>
      <c r="O931" s="1130"/>
      <c r="P931" s="1130"/>
      <c r="Q931" s="1130"/>
      <c r="R931" s="1130"/>
      <c r="S931" s="1130"/>
      <c r="T931" s="1130"/>
      <c r="U931" s="1130"/>
      <c r="V931" s="1130"/>
      <c r="W931" s="1130"/>
      <c r="X931" s="1130"/>
      <c r="Y931" s="1130"/>
      <c r="Z931" s="1130"/>
      <c r="AA931" s="1130"/>
    </row>
    <row r="932" spans="1:27" ht="15.75" customHeight="1">
      <c r="A932" s="1130"/>
      <c r="B932" s="1130"/>
      <c r="C932" s="1130"/>
      <c r="D932" s="1130"/>
      <c r="E932" s="1130"/>
      <c r="F932" s="1130"/>
      <c r="G932" s="1130"/>
      <c r="H932" s="1130"/>
      <c r="I932" s="1130"/>
      <c r="J932" s="1130"/>
      <c r="K932" s="1130"/>
      <c r="L932" s="1130"/>
      <c r="M932" s="1130"/>
      <c r="N932" s="1130"/>
      <c r="O932" s="1130"/>
      <c r="P932" s="1130"/>
      <c r="Q932" s="1130"/>
      <c r="R932" s="1130"/>
      <c r="S932" s="1130"/>
      <c r="T932" s="1130"/>
      <c r="U932" s="1130"/>
      <c r="V932" s="1130"/>
      <c r="W932" s="1130"/>
      <c r="X932" s="1130"/>
      <c r="Y932" s="1130"/>
      <c r="Z932" s="1130"/>
      <c r="AA932" s="1130"/>
    </row>
    <row r="933" spans="1:27" ht="15.75" customHeight="1">
      <c r="A933" s="1130"/>
      <c r="B933" s="1130"/>
      <c r="C933" s="1130"/>
      <c r="D933" s="1130"/>
      <c r="E933" s="1130"/>
      <c r="F933" s="1130"/>
      <c r="G933" s="1130"/>
      <c r="H933" s="1130"/>
      <c r="I933" s="1130"/>
      <c r="J933" s="1130"/>
      <c r="K933" s="1130"/>
      <c r="L933" s="1130"/>
      <c r="M933" s="1130"/>
      <c r="N933" s="1130"/>
      <c r="O933" s="1130"/>
      <c r="P933" s="1130"/>
      <c r="Q933" s="1130"/>
      <c r="R933" s="1130"/>
      <c r="S933" s="1130"/>
      <c r="T933" s="1130"/>
      <c r="U933" s="1130"/>
      <c r="V933" s="1130"/>
      <c r="W933" s="1130"/>
      <c r="X933" s="1130"/>
      <c r="Y933" s="1130"/>
      <c r="Z933" s="1130"/>
      <c r="AA933" s="1130"/>
    </row>
    <row r="934" spans="1:27" ht="15.75" customHeight="1">
      <c r="A934" s="1130"/>
      <c r="B934" s="1130"/>
      <c r="C934" s="1130"/>
      <c r="D934" s="1130"/>
      <c r="E934" s="1130"/>
      <c r="F934" s="1130"/>
      <c r="G934" s="1130"/>
      <c r="H934" s="1130"/>
      <c r="I934" s="1130"/>
      <c r="J934" s="1130"/>
      <c r="K934" s="1130"/>
      <c r="L934" s="1130"/>
      <c r="M934" s="1130"/>
      <c r="N934" s="1130"/>
      <c r="O934" s="1130"/>
      <c r="P934" s="1130"/>
      <c r="Q934" s="1130"/>
      <c r="R934" s="1130"/>
      <c r="S934" s="1130"/>
      <c r="T934" s="1130"/>
      <c r="U934" s="1130"/>
      <c r="V934" s="1130"/>
      <c r="W934" s="1130"/>
      <c r="X934" s="1130"/>
      <c r="Y934" s="1130"/>
      <c r="Z934" s="1130"/>
      <c r="AA934" s="1130"/>
    </row>
    <row r="935" spans="1:27" ht="15.75" customHeight="1">
      <c r="A935" s="1130"/>
      <c r="B935" s="1130"/>
      <c r="C935" s="1130"/>
      <c r="D935" s="1130"/>
      <c r="E935" s="1130"/>
      <c r="F935" s="1130"/>
      <c r="G935" s="1130"/>
      <c r="H935" s="1130"/>
      <c r="I935" s="1130"/>
      <c r="J935" s="1130"/>
      <c r="K935" s="1130"/>
      <c r="L935" s="1130"/>
      <c r="M935" s="1130"/>
      <c r="N935" s="1130"/>
      <c r="O935" s="1130"/>
      <c r="P935" s="1130"/>
      <c r="Q935" s="1130"/>
      <c r="R935" s="1130"/>
      <c r="S935" s="1130"/>
      <c r="T935" s="1130"/>
      <c r="U935" s="1130"/>
      <c r="V935" s="1130"/>
      <c r="W935" s="1130"/>
      <c r="X935" s="1130"/>
      <c r="Y935" s="1130"/>
      <c r="Z935" s="1130"/>
      <c r="AA935" s="1130"/>
    </row>
    <row r="936" spans="1:27" ht="15.75" customHeight="1">
      <c r="A936" s="1130"/>
      <c r="B936" s="1130"/>
      <c r="C936" s="1130"/>
      <c r="D936" s="1130"/>
      <c r="E936" s="1130"/>
      <c r="F936" s="1130"/>
      <c r="G936" s="1130"/>
      <c r="H936" s="1130"/>
      <c r="I936" s="1130"/>
      <c r="J936" s="1130"/>
      <c r="K936" s="1130"/>
      <c r="L936" s="1130"/>
      <c r="M936" s="1130"/>
      <c r="N936" s="1130"/>
      <c r="O936" s="1130"/>
      <c r="P936" s="1130"/>
      <c r="Q936" s="1130"/>
      <c r="R936" s="1130"/>
      <c r="S936" s="1130"/>
      <c r="T936" s="1130"/>
      <c r="U936" s="1130"/>
      <c r="V936" s="1130"/>
      <c r="W936" s="1130"/>
      <c r="X936" s="1130"/>
      <c r="Y936" s="1130"/>
      <c r="Z936" s="1130"/>
      <c r="AA936" s="1130"/>
    </row>
    <row r="937" spans="1:27" ht="15.75" customHeight="1">
      <c r="A937" s="1130"/>
      <c r="B937" s="1130"/>
      <c r="C937" s="1130"/>
      <c r="D937" s="1130"/>
      <c r="E937" s="1130"/>
      <c r="F937" s="1130"/>
      <c r="G937" s="1130"/>
      <c r="H937" s="1130"/>
      <c r="I937" s="1130"/>
      <c r="J937" s="1130"/>
      <c r="K937" s="1130"/>
      <c r="L937" s="1130"/>
      <c r="M937" s="1130"/>
      <c r="N937" s="1130"/>
      <c r="O937" s="1130"/>
      <c r="P937" s="1130"/>
      <c r="Q937" s="1130"/>
      <c r="R937" s="1130"/>
      <c r="S937" s="1130"/>
      <c r="T937" s="1130"/>
      <c r="U937" s="1130"/>
      <c r="V937" s="1130"/>
      <c r="W937" s="1130"/>
      <c r="X937" s="1130"/>
      <c r="Y937" s="1130"/>
      <c r="Z937" s="1130"/>
      <c r="AA937" s="1130"/>
    </row>
    <row r="938" spans="1:27" ht="15.75" customHeight="1">
      <c r="A938" s="1130"/>
      <c r="B938" s="1130"/>
      <c r="C938" s="1130"/>
      <c r="D938" s="1130"/>
      <c r="E938" s="1130"/>
      <c r="F938" s="1130"/>
      <c r="G938" s="1130"/>
      <c r="H938" s="1130"/>
      <c r="I938" s="1130"/>
      <c r="J938" s="1130"/>
      <c r="K938" s="1130"/>
      <c r="L938" s="1130"/>
      <c r="M938" s="1130"/>
      <c r="N938" s="1130"/>
      <c r="O938" s="1130"/>
      <c r="P938" s="1130"/>
      <c r="Q938" s="1130"/>
      <c r="R938" s="1130"/>
      <c r="S938" s="1130"/>
      <c r="T938" s="1130"/>
      <c r="U938" s="1130"/>
      <c r="V938" s="1130"/>
      <c r="W938" s="1130"/>
      <c r="X938" s="1130"/>
      <c r="Y938" s="1130"/>
      <c r="Z938" s="1130"/>
      <c r="AA938" s="1130"/>
    </row>
    <row r="939" spans="1:27" ht="15.75" customHeight="1">
      <c r="A939" s="1130"/>
      <c r="B939" s="1130"/>
      <c r="C939" s="1130"/>
      <c r="D939" s="1130"/>
      <c r="E939" s="1130"/>
      <c r="F939" s="1130"/>
      <c r="G939" s="1130"/>
      <c r="H939" s="1130"/>
      <c r="I939" s="1130"/>
      <c r="J939" s="1130"/>
      <c r="K939" s="1130"/>
      <c r="L939" s="1130"/>
      <c r="M939" s="1130"/>
      <c r="N939" s="1130"/>
      <c r="O939" s="1130"/>
      <c r="P939" s="1130"/>
      <c r="Q939" s="1130"/>
      <c r="R939" s="1130"/>
      <c r="S939" s="1130"/>
      <c r="T939" s="1130"/>
      <c r="U939" s="1130"/>
      <c r="V939" s="1130"/>
      <c r="W939" s="1130"/>
      <c r="X939" s="1130"/>
      <c r="Y939" s="1130"/>
      <c r="Z939" s="1130"/>
      <c r="AA939" s="1130"/>
    </row>
    <row r="940" spans="1:27" ht="15.75" customHeight="1">
      <c r="A940" s="1130"/>
      <c r="B940" s="1130"/>
      <c r="C940" s="1130"/>
      <c r="D940" s="1130"/>
      <c r="E940" s="1130"/>
      <c r="F940" s="1130"/>
      <c r="G940" s="1130"/>
      <c r="H940" s="1130"/>
      <c r="I940" s="1130"/>
      <c r="J940" s="1130"/>
      <c r="K940" s="1130"/>
      <c r="L940" s="1130"/>
      <c r="M940" s="1130"/>
      <c r="N940" s="1130"/>
      <c r="O940" s="1130"/>
      <c r="P940" s="1130"/>
      <c r="Q940" s="1130"/>
      <c r="R940" s="1130"/>
      <c r="S940" s="1130"/>
      <c r="T940" s="1130"/>
      <c r="U940" s="1130"/>
      <c r="V940" s="1130"/>
      <c r="W940" s="1130"/>
      <c r="X940" s="1130"/>
      <c r="Y940" s="1130"/>
      <c r="Z940" s="1130"/>
      <c r="AA940" s="1130"/>
    </row>
    <row r="941" spans="1:27" ht="15.75" customHeight="1">
      <c r="A941" s="1130"/>
      <c r="B941" s="1130"/>
      <c r="C941" s="1130"/>
      <c r="D941" s="1130"/>
      <c r="E941" s="1130"/>
      <c r="F941" s="1130"/>
      <c r="G941" s="1130"/>
      <c r="H941" s="1130"/>
      <c r="I941" s="1130"/>
      <c r="J941" s="1130"/>
      <c r="K941" s="1130"/>
      <c r="L941" s="1130"/>
      <c r="M941" s="1130"/>
      <c r="N941" s="1130"/>
      <c r="O941" s="1130"/>
      <c r="P941" s="1130"/>
      <c r="Q941" s="1130"/>
      <c r="R941" s="1130"/>
      <c r="S941" s="1130"/>
      <c r="T941" s="1130"/>
      <c r="U941" s="1130"/>
      <c r="V941" s="1130"/>
      <c r="W941" s="1130"/>
      <c r="X941" s="1130"/>
      <c r="Y941" s="1130"/>
      <c r="Z941" s="1130"/>
      <c r="AA941" s="1130"/>
    </row>
    <row r="942" spans="1:27" ht="15.75" customHeight="1">
      <c r="A942" s="1130"/>
      <c r="B942" s="1130"/>
      <c r="C942" s="1130"/>
      <c r="D942" s="1130"/>
      <c r="E942" s="1130"/>
      <c r="F942" s="1130"/>
      <c r="G942" s="1130"/>
      <c r="H942" s="1130"/>
      <c r="I942" s="1130"/>
      <c r="J942" s="1130"/>
      <c r="K942" s="1130"/>
      <c r="L942" s="1130"/>
      <c r="M942" s="1130"/>
      <c r="N942" s="1130"/>
      <c r="O942" s="1130"/>
      <c r="P942" s="1130"/>
      <c r="Q942" s="1130"/>
      <c r="R942" s="1130"/>
      <c r="S942" s="1130"/>
      <c r="T942" s="1130"/>
      <c r="U942" s="1130"/>
      <c r="V942" s="1130"/>
      <c r="W942" s="1130"/>
      <c r="X942" s="1130"/>
      <c r="Y942" s="1130"/>
      <c r="Z942" s="1130"/>
      <c r="AA942" s="1130"/>
    </row>
    <row r="943" spans="1:27" ht="15.75" customHeight="1">
      <c r="A943" s="1130"/>
      <c r="B943" s="1130"/>
      <c r="C943" s="1130"/>
      <c r="D943" s="1130"/>
      <c r="E943" s="1130"/>
      <c r="F943" s="1130"/>
      <c r="G943" s="1130"/>
      <c r="H943" s="1130"/>
      <c r="I943" s="1130"/>
      <c r="J943" s="1130"/>
      <c r="K943" s="1130"/>
      <c r="L943" s="1130"/>
      <c r="M943" s="1130"/>
      <c r="N943" s="1130"/>
      <c r="O943" s="1130"/>
      <c r="P943" s="1130"/>
      <c r="Q943" s="1130"/>
      <c r="R943" s="1130"/>
      <c r="S943" s="1130"/>
      <c r="T943" s="1130"/>
      <c r="U943" s="1130"/>
      <c r="V943" s="1130"/>
      <c r="W943" s="1130"/>
      <c r="X943" s="1130"/>
      <c r="Y943" s="1130"/>
      <c r="Z943" s="1130"/>
      <c r="AA943" s="1130"/>
    </row>
    <row r="944" spans="1:27" ht="15.75" customHeight="1">
      <c r="A944" s="1130"/>
      <c r="B944" s="1130"/>
      <c r="C944" s="1130"/>
      <c r="D944" s="1130"/>
      <c r="E944" s="1130"/>
      <c r="F944" s="1130"/>
      <c r="G944" s="1130"/>
      <c r="H944" s="1130"/>
      <c r="I944" s="1130"/>
      <c r="J944" s="1130"/>
      <c r="K944" s="1130"/>
      <c r="L944" s="1130"/>
      <c r="M944" s="1130"/>
      <c r="N944" s="1130"/>
      <c r="O944" s="1130"/>
      <c r="P944" s="1130"/>
      <c r="Q944" s="1130"/>
      <c r="R944" s="1130"/>
      <c r="S944" s="1130"/>
      <c r="T944" s="1130"/>
      <c r="U944" s="1130"/>
      <c r="V944" s="1130"/>
      <c r="W944" s="1130"/>
      <c r="X944" s="1130"/>
      <c r="Y944" s="1130"/>
      <c r="Z944" s="1130"/>
      <c r="AA944" s="1130"/>
    </row>
    <row r="945" spans="1:27" ht="15.75" customHeight="1">
      <c r="A945" s="1130"/>
      <c r="B945" s="1130"/>
      <c r="C945" s="1130"/>
      <c r="D945" s="1130"/>
      <c r="E945" s="1130"/>
      <c r="F945" s="1130"/>
      <c r="G945" s="1130"/>
      <c r="H945" s="1130"/>
      <c r="I945" s="1130"/>
      <c r="J945" s="1130"/>
      <c r="K945" s="1130"/>
      <c r="L945" s="1130"/>
      <c r="M945" s="1130"/>
      <c r="N945" s="1130"/>
      <c r="O945" s="1130"/>
      <c r="P945" s="1130"/>
      <c r="Q945" s="1130"/>
      <c r="R945" s="1130"/>
      <c r="S945" s="1130"/>
      <c r="T945" s="1130"/>
      <c r="U945" s="1130"/>
      <c r="V945" s="1130"/>
      <c r="W945" s="1130"/>
      <c r="X945" s="1130"/>
      <c r="Y945" s="1130"/>
      <c r="Z945" s="1130"/>
      <c r="AA945" s="1130"/>
    </row>
    <row r="946" spans="1:27" ht="15.75" customHeight="1">
      <c r="A946" s="1130"/>
      <c r="B946" s="1130"/>
      <c r="C946" s="1130"/>
      <c r="D946" s="1130"/>
      <c r="E946" s="1130"/>
      <c r="F946" s="1130"/>
      <c r="G946" s="1130"/>
      <c r="H946" s="1130"/>
      <c r="I946" s="1130"/>
      <c r="J946" s="1130"/>
      <c r="K946" s="1130"/>
      <c r="L946" s="1130"/>
      <c r="M946" s="1130"/>
      <c r="N946" s="1130"/>
      <c r="O946" s="1130"/>
      <c r="P946" s="1130"/>
      <c r="Q946" s="1130"/>
      <c r="R946" s="1130"/>
      <c r="S946" s="1130"/>
      <c r="T946" s="1130"/>
      <c r="U946" s="1130"/>
      <c r="V946" s="1130"/>
      <c r="W946" s="1130"/>
      <c r="X946" s="1130"/>
      <c r="Y946" s="1130"/>
      <c r="Z946" s="1130"/>
      <c r="AA946" s="1130"/>
    </row>
    <row r="947" spans="1:27" ht="15.75" customHeight="1">
      <c r="A947" s="1130"/>
      <c r="B947" s="1130"/>
      <c r="C947" s="1130"/>
      <c r="D947" s="1130"/>
      <c r="E947" s="1130"/>
      <c r="F947" s="1130"/>
      <c r="G947" s="1130"/>
      <c r="H947" s="1130"/>
      <c r="I947" s="1130"/>
      <c r="J947" s="1130"/>
      <c r="K947" s="1130"/>
      <c r="L947" s="1130"/>
      <c r="M947" s="1130"/>
      <c r="N947" s="1130"/>
      <c r="O947" s="1130"/>
      <c r="P947" s="1130"/>
      <c r="Q947" s="1130"/>
      <c r="R947" s="1130"/>
      <c r="S947" s="1130"/>
      <c r="T947" s="1130"/>
      <c r="U947" s="1130"/>
      <c r="V947" s="1130"/>
      <c r="W947" s="1130"/>
      <c r="X947" s="1130"/>
      <c r="Y947" s="1130"/>
      <c r="Z947" s="1130"/>
      <c r="AA947" s="1130"/>
    </row>
    <row r="948" spans="1:27" ht="15.75" customHeight="1">
      <c r="A948" s="1130"/>
      <c r="B948" s="1130"/>
      <c r="C948" s="1130"/>
      <c r="D948" s="1130"/>
      <c r="E948" s="1130"/>
      <c r="F948" s="1130"/>
      <c r="G948" s="1130"/>
      <c r="H948" s="1130"/>
      <c r="I948" s="1130"/>
      <c r="J948" s="1130"/>
      <c r="K948" s="1130"/>
      <c r="L948" s="1130"/>
      <c r="M948" s="1130"/>
      <c r="N948" s="1130"/>
      <c r="O948" s="1130"/>
      <c r="P948" s="1130"/>
      <c r="Q948" s="1130"/>
      <c r="R948" s="1130"/>
      <c r="S948" s="1130"/>
      <c r="T948" s="1130"/>
      <c r="U948" s="1130"/>
      <c r="V948" s="1130"/>
      <c r="W948" s="1130"/>
      <c r="X948" s="1130"/>
      <c r="Y948" s="1130"/>
      <c r="Z948" s="1130"/>
      <c r="AA948" s="1130"/>
    </row>
    <row r="949" spans="1:27" ht="15.75" customHeight="1">
      <c r="A949" s="1130"/>
      <c r="B949" s="1130"/>
      <c r="C949" s="1130"/>
      <c r="D949" s="1130"/>
      <c r="E949" s="1130"/>
      <c r="F949" s="1130"/>
      <c r="G949" s="1130"/>
      <c r="H949" s="1130"/>
      <c r="I949" s="1130"/>
      <c r="J949" s="1130"/>
      <c r="K949" s="1130"/>
      <c r="L949" s="1130"/>
      <c r="M949" s="1130"/>
      <c r="N949" s="1130"/>
      <c r="O949" s="1130"/>
      <c r="P949" s="1130"/>
      <c r="Q949" s="1130"/>
      <c r="R949" s="1130"/>
      <c r="S949" s="1130"/>
      <c r="T949" s="1130"/>
      <c r="U949" s="1130"/>
      <c r="V949" s="1130"/>
      <c r="W949" s="1130"/>
      <c r="X949" s="1130"/>
      <c r="Y949" s="1130"/>
      <c r="Z949" s="1130"/>
      <c r="AA949" s="1130"/>
    </row>
    <row r="950" spans="1:27" ht="15.75" customHeight="1">
      <c r="A950" s="1130"/>
      <c r="B950" s="1130"/>
      <c r="C950" s="1130"/>
      <c r="D950" s="1130"/>
      <c r="E950" s="1130"/>
      <c r="F950" s="1130"/>
      <c r="G950" s="1130"/>
      <c r="H950" s="1130"/>
      <c r="I950" s="1130"/>
      <c r="J950" s="1130"/>
      <c r="K950" s="1130"/>
      <c r="L950" s="1130"/>
      <c r="M950" s="1130"/>
      <c r="N950" s="1130"/>
      <c r="O950" s="1130"/>
      <c r="P950" s="1130"/>
      <c r="Q950" s="1130"/>
      <c r="R950" s="1130"/>
      <c r="S950" s="1130"/>
      <c r="T950" s="1130"/>
      <c r="U950" s="1130"/>
      <c r="V950" s="1130"/>
      <c r="W950" s="1130"/>
      <c r="X950" s="1130"/>
      <c r="Y950" s="1130"/>
      <c r="Z950" s="1130"/>
      <c r="AA950" s="1130"/>
    </row>
    <row r="951" spans="1:27" ht="15.75" customHeight="1">
      <c r="A951" s="1130"/>
      <c r="B951" s="1130"/>
      <c r="C951" s="1130"/>
      <c r="D951" s="1130"/>
      <c r="E951" s="1130"/>
      <c r="F951" s="1130"/>
      <c r="G951" s="1130"/>
      <c r="H951" s="1130"/>
      <c r="I951" s="1130"/>
      <c r="J951" s="1130"/>
      <c r="K951" s="1130"/>
      <c r="L951" s="1130"/>
      <c r="M951" s="1130"/>
      <c r="N951" s="1130"/>
      <c r="O951" s="1130"/>
      <c r="P951" s="1130"/>
      <c r="Q951" s="1130"/>
      <c r="R951" s="1130"/>
      <c r="S951" s="1130"/>
      <c r="T951" s="1130"/>
      <c r="U951" s="1130"/>
      <c r="V951" s="1130"/>
      <c r="W951" s="1130"/>
      <c r="X951" s="1130"/>
      <c r="Y951" s="1130"/>
      <c r="Z951" s="1130"/>
      <c r="AA951" s="1130"/>
    </row>
    <row r="952" spans="1:27" ht="15.75" customHeight="1">
      <c r="A952" s="1130"/>
      <c r="B952" s="1130"/>
      <c r="C952" s="1130"/>
      <c r="D952" s="1130"/>
      <c r="E952" s="1130"/>
      <c r="F952" s="1130"/>
      <c r="G952" s="1130"/>
      <c r="H952" s="1130"/>
      <c r="I952" s="1130"/>
      <c r="J952" s="1130"/>
      <c r="K952" s="1130"/>
      <c r="L952" s="1130"/>
      <c r="M952" s="1130"/>
      <c r="N952" s="1130"/>
      <c r="O952" s="1130"/>
      <c r="P952" s="1130"/>
      <c r="Q952" s="1130"/>
      <c r="R952" s="1130"/>
      <c r="S952" s="1130"/>
      <c r="T952" s="1130"/>
      <c r="U952" s="1130"/>
      <c r="V952" s="1130"/>
      <c r="W952" s="1130"/>
      <c r="X952" s="1130"/>
      <c r="Y952" s="1130"/>
      <c r="Z952" s="1130"/>
      <c r="AA952" s="1130"/>
    </row>
    <row r="953" spans="1:27" ht="15.75" customHeight="1">
      <c r="A953" s="1130"/>
      <c r="B953" s="1130"/>
      <c r="C953" s="1130"/>
      <c r="D953" s="1130"/>
      <c r="E953" s="1130"/>
      <c r="F953" s="1130"/>
      <c r="G953" s="1130"/>
      <c r="H953" s="1130"/>
      <c r="I953" s="1130"/>
      <c r="J953" s="1130"/>
      <c r="K953" s="1130"/>
      <c r="L953" s="1130"/>
      <c r="M953" s="1130"/>
      <c r="N953" s="1130"/>
      <c r="O953" s="1130"/>
      <c r="P953" s="1130"/>
      <c r="Q953" s="1130"/>
      <c r="R953" s="1130"/>
      <c r="S953" s="1130"/>
      <c r="T953" s="1130"/>
      <c r="U953" s="1130"/>
      <c r="V953" s="1130"/>
      <c r="W953" s="1130"/>
      <c r="X953" s="1130"/>
      <c r="Y953" s="1130"/>
      <c r="Z953" s="1130"/>
      <c r="AA953" s="1130"/>
    </row>
    <row r="954" spans="1:27" ht="15.75" customHeight="1">
      <c r="A954" s="1130"/>
      <c r="B954" s="1130"/>
      <c r="C954" s="1130"/>
      <c r="D954" s="1130"/>
      <c r="E954" s="1130"/>
      <c r="F954" s="1130"/>
      <c r="G954" s="1130"/>
      <c r="H954" s="1130"/>
      <c r="I954" s="1130"/>
      <c r="J954" s="1130"/>
      <c r="K954" s="1130"/>
      <c r="L954" s="1130"/>
      <c r="M954" s="1130"/>
      <c r="N954" s="1130"/>
      <c r="O954" s="1130"/>
      <c r="P954" s="1130"/>
      <c r="Q954" s="1130"/>
      <c r="R954" s="1130"/>
      <c r="S954" s="1130"/>
      <c r="T954" s="1130"/>
      <c r="U954" s="1130"/>
      <c r="V954" s="1130"/>
      <c r="W954" s="1130"/>
      <c r="X954" s="1130"/>
      <c r="Y954" s="1130"/>
      <c r="Z954" s="1130"/>
      <c r="AA954" s="1130"/>
    </row>
    <row r="955" spans="1:27" ht="15.75" customHeight="1">
      <c r="A955" s="1130"/>
      <c r="B955" s="1130"/>
      <c r="C955" s="1130"/>
      <c r="D955" s="1130"/>
      <c r="E955" s="1130"/>
      <c r="F955" s="1130"/>
      <c r="G955" s="1130"/>
      <c r="H955" s="1130"/>
      <c r="I955" s="1130"/>
      <c r="J955" s="1130"/>
      <c r="K955" s="1130"/>
      <c r="L955" s="1130"/>
      <c r="M955" s="1130"/>
      <c r="N955" s="1130"/>
      <c r="O955" s="1130"/>
      <c r="P955" s="1130"/>
      <c r="Q955" s="1130"/>
      <c r="R955" s="1130"/>
      <c r="S955" s="1130"/>
      <c r="T955" s="1130"/>
      <c r="U955" s="1130"/>
      <c r="V955" s="1130"/>
      <c r="W955" s="1130"/>
      <c r="X955" s="1130"/>
      <c r="Y955" s="1130"/>
      <c r="Z955" s="1130"/>
      <c r="AA955" s="1130"/>
    </row>
    <row r="956" spans="1:27" ht="15.75" customHeight="1">
      <c r="A956" s="1130"/>
      <c r="B956" s="1130"/>
      <c r="C956" s="1130"/>
      <c r="D956" s="1130"/>
      <c r="E956" s="1130"/>
      <c r="F956" s="1130"/>
      <c r="G956" s="1130"/>
      <c r="H956" s="1130"/>
      <c r="I956" s="1130"/>
      <c r="J956" s="1130"/>
      <c r="K956" s="1130"/>
      <c r="L956" s="1130"/>
      <c r="M956" s="1130"/>
      <c r="N956" s="1130"/>
      <c r="O956" s="1130"/>
      <c r="P956" s="1130"/>
      <c r="Q956" s="1130"/>
      <c r="R956" s="1130"/>
      <c r="S956" s="1130"/>
      <c r="T956" s="1130"/>
      <c r="U956" s="1130"/>
      <c r="V956" s="1130"/>
      <c r="W956" s="1130"/>
      <c r="X956" s="1130"/>
      <c r="Y956" s="1130"/>
      <c r="Z956" s="1130"/>
      <c r="AA956" s="1130"/>
    </row>
    <row r="957" spans="1:27" ht="15.75" customHeight="1">
      <c r="A957" s="1130"/>
      <c r="B957" s="1130"/>
      <c r="C957" s="1130"/>
      <c r="D957" s="1130"/>
      <c r="E957" s="1130"/>
      <c r="F957" s="1130"/>
      <c r="G957" s="1130"/>
      <c r="H957" s="1130"/>
      <c r="I957" s="1130"/>
      <c r="J957" s="1130"/>
      <c r="K957" s="1130"/>
      <c r="L957" s="1130"/>
      <c r="M957" s="1130"/>
      <c r="N957" s="1130"/>
      <c r="O957" s="1130"/>
      <c r="P957" s="1130"/>
      <c r="Q957" s="1130"/>
      <c r="R957" s="1130"/>
      <c r="S957" s="1130"/>
      <c r="T957" s="1130"/>
      <c r="U957" s="1130"/>
      <c r="V957" s="1130"/>
      <c r="W957" s="1130"/>
      <c r="X957" s="1130"/>
      <c r="Y957" s="1130"/>
      <c r="Z957" s="1130"/>
      <c r="AA957" s="1130"/>
    </row>
    <row r="958" spans="1:27" ht="15.75" customHeight="1">
      <c r="A958" s="1130"/>
      <c r="B958" s="1130"/>
      <c r="C958" s="1130"/>
      <c r="D958" s="1130"/>
      <c r="E958" s="1130"/>
      <c r="F958" s="1130"/>
      <c r="G958" s="1130"/>
      <c r="H958" s="1130"/>
      <c r="I958" s="1130"/>
      <c r="J958" s="1130"/>
      <c r="K958" s="1130"/>
      <c r="L958" s="1130"/>
      <c r="M958" s="1130"/>
      <c r="N958" s="1130"/>
      <c r="O958" s="1130"/>
      <c r="P958" s="1130"/>
      <c r="Q958" s="1130"/>
      <c r="R958" s="1130"/>
      <c r="S958" s="1130"/>
      <c r="T958" s="1130"/>
      <c r="U958" s="1130"/>
      <c r="V958" s="1130"/>
      <c r="W958" s="1130"/>
      <c r="X958" s="1130"/>
      <c r="Y958" s="1130"/>
      <c r="Z958" s="1130"/>
      <c r="AA958" s="1130"/>
    </row>
    <row r="959" spans="1:27" ht="15.75" customHeight="1">
      <c r="A959" s="1130"/>
      <c r="B959" s="1130"/>
      <c r="C959" s="1130"/>
      <c r="D959" s="1130"/>
      <c r="E959" s="1130"/>
      <c r="F959" s="1130"/>
      <c r="G959" s="1130"/>
      <c r="H959" s="1130"/>
      <c r="I959" s="1130"/>
      <c r="J959" s="1130"/>
      <c r="K959" s="1130"/>
      <c r="L959" s="1130"/>
      <c r="M959" s="1130"/>
      <c r="N959" s="1130"/>
      <c r="O959" s="1130"/>
      <c r="P959" s="1130"/>
      <c r="Q959" s="1130"/>
      <c r="R959" s="1130"/>
      <c r="S959" s="1130"/>
      <c r="T959" s="1130"/>
      <c r="U959" s="1130"/>
      <c r="V959" s="1130"/>
      <c r="W959" s="1130"/>
      <c r="X959" s="1130"/>
      <c r="Y959" s="1130"/>
      <c r="Z959" s="1130"/>
      <c r="AA959" s="1130"/>
    </row>
    <row r="960" spans="1:27" ht="15.75" customHeight="1">
      <c r="A960" s="1130"/>
      <c r="B960" s="1130"/>
      <c r="C960" s="1130"/>
      <c r="D960" s="1130"/>
      <c r="E960" s="1130"/>
      <c r="F960" s="1130"/>
      <c r="G960" s="1130"/>
      <c r="H960" s="1130"/>
      <c r="I960" s="1130"/>
      <c r="J960" s="1130"/>
      <c r="K960" s="1130"/>
      <c r="L960" s="1130"/>
      <c r="M960" s="1130"/>
      <c r="N960" s="1130"/>
      <c r="O960" s="1130"/>
      <c r="P960" s="1130"/>
      <c r="Q960" s="1130"/>
      <c r="R960" s="1130"/>
      <c r="S960" s="1130"/>
      <c r="T960" s="1130"/>
      <c r="U960" s="1130"/>
      <c r="V960" s="1130"/>
      <c r="W960" s="1130"/>
      <c r="X960" s="1130"/>
      <c r="Y960" s="1130"/>
      <c r="Z960" s="1130"/>
      <c r="AA960" s="1130"/>
    </row>
    <row r="961" spans="1:27" ht="15.75" customHeight="1">
      <c r="A961" s="1130"/>
      <c r="B961" s="1130"/>
      <c r="C961" s="1130"/>
      <c r="D961" s="1130"/>
      <c r="E961" s="1130"/>
      <c r="F961" s="1130"/>
      <c r="G961" s="1130"/>
      <c r="H961" s="1130"/>
      <c r="I961" s="1130"/>
      <c r="J961" s="1130"/>
      <c r="K961" s="1130"/>
      <c r="L961" s="1130"/>
      <c r="M961" s="1130"/>
      <c r="N961" s="1130"/>
      <c r="O961" s="1130"/>
      <c r="P961" s="1130"/>
      <c r="Q961" s="1130"/>
      <c r="R961" s="1130"/>
      <c r="S961" s="1130"/>
      <c r="T961" s="1130"/>
      <c r="U961" s="1130"/>
      <c r="V961" s="1130"/>
      <c r="W961" s="1130"/>
      <c r="X961" s="1130"/>
      <c r="Y961" s="1130"/>
      <c r="Z961" s="1130"/>
      <c r="AA961" s="1130"/>
    </row>
    <row r="962" spans="1:27" ht="15.75" customHeight="1">
      <c r="A962" s="1130"/>
      <c r="B962" s="1130"/>
      <c r="C962" s="1130"/>
      <c r="D962" s="1130"/>
      <c r="E962" s="1130"/>
      <c r="F962" s="1130"/>
      <c r="G962" s="1130"/>
      <c r="H962" s="1130"/>
      <c r="I962" s="1130"/>
      <c r="J962" s="1130"/>
      <c r="K962" s="1130"/>
      <c r="L962" s="1130"/>
      <c r="M962" s="1130"/>
      <c r="N962" s="1130"/>
      <c r="O962" s="1130"/>
      <c r="P962" s="1130"/>
      <c r="Q962" s="1130"/>
      <c r="R962" s="1130"/>
      <c r="S962" s="1130"/>
      <c r="T962" s="1130"/>
      <c r="U962" s="1130"/>
      <c r="V962" s="1130"/>
      <c r="W962" s="1130"/>
      <c r="X962" s="1130"/>
      <c r="Y962" s="1130"/>
      <c r="Z962" s="1130"/>
      <c r="AA962" s="1130"/>
    </row>
    <row r="963" spans="1:27" ht="15.75" customHeight="1">
      <c r="A963" s="1130"/>
      <c r="B963" s="1130"/>
      <c r="C963" s="1130"/>
      <c r="D963" s="1130"/>
      <c r="E963" s="1130"/>
      <c r="F963" s="1130"/>
      <c r="G963" s="1130"/>
      <c r="H963" s="1130"/>
      <c r="I963" s="1130"/>
      <c r="J963" s="1130"/>
      <c r="K963" s="1130"/>
      <c r="L963" s="1130"/>
      <c r="M963" s="1130"/>
      <c r="N963" s="1130"/>
      <c r="O963" s="1130"/>
      <c r="P963" s="1130"/>
      <c r="Q963" s="1130"/>
      <c r="R963" s="1130"/>
      <c r="S963" s="1130"/>
      <c r="T963" s="1130"/>
      <c r="U963" s="1130"/>
      <c r="V963" s="1130"/>
      <c r="W963" s="1130"/>
      <c r="X963" s="1130"/>
      <c r="Y963" s="1130"/>
      <c r="Z963" s="1130"/>
      <c r="AA963" s="1130"/>
    </row>
    <row r="964" spans="1:27" ht="15.75" customHeight="1">
      <c r="A964" s="1130"/>
      <c r="B964" s="1130"/>
      <c r="C964" s="1130"/>
      <c r="D964" s="1130"/>
      <c r="E964" s="1130"/>
      <c r="F964" s="1130"/>
      <c r="G964" s="1130"/>
      <c r="H964" s="1130"/>
      <c r="I964" s="1130"/>
      <c r="J964" s="1130"/>
      <c r="K964" s="1130"/>
      <c r="L964" s="1130"/>
      <c r="M964" s="1130"/>
      <c r="N964" s="1130"/>
      <c r="O964" s="1130"/>
      <c r="P964" s="1130"/>
      <c r="Q964" s="1130"/>
      <c r="R964" s="1130"/>
      <c r="S964" s="1130"/>
      <c r="T964" s="1130"/>
      <c r="U964" s="1130"/>
      <c r="V964" s="1130"/>
      <c r="W964" s="1130"/>
      <c r="X964" s="1130"/>
      <c r="Y964" s="1130"/>
      <c r="Z964" s="1130"/>
      <c r="AA964" s="1130"/>
    </row>
    <row r="965" spans="1:27" ht="15.75" customHeight="1">
      <c r="A965" s="1130"/>
      <c r="B965" s="1130"/>
      <c r="C965" s="1130"/>
      <c r="D965" s="1130"/>
      <c r="E965" s="1130"/>
      <c r="F965" s="1130"/>
      <c r="G965" s="1130"/>
      <c r="H965" s="1130"/>
      <c r="I965" s="1130"/>
      <c r="J965" s="1130"/>
      <c r="K965" s="1130"/>
      <c r="L965" s="1130"/>
      <c r="M965" s="1130"/>
      <c r="N965" s="1130"/>
      <c r="O965" s="1130"/>
      <c r="P965" s="1130"/>
      <c r="Q965" s="1130"/>
      <c r="R965" s="1130"/>
      <c r="S965" s="1130"/>
      <c r="T965" s="1130"/>
      <c r="U965" s="1130"/>
      <c r="V965" s="1130"/>
      <c r="W965" s="1130"/>
      <c r="X965" s="1130"/>
      <c r="Y965" s="1130"/>
      <c r="Z965" s="1130"/>
      <c r="AA965" s="1130"/>
    </row>
    <row r="966" spans="1:27" ht="15.75" customHeight="1">
      <c r="A966" s="1130"/>
      <c r="B966" s="1130"/>
      <c r="C966" s="1130"/>
      <c r="D966" s="1130"/>
      <c r="E966" s="1130"/>
      <c r="F966" s="1130"/>
      <c r="G966" s="1130"/>
      <c r="H966" s="1130"/>
      <c r="I966" s="1130"/>
      <c r="J966" s="1130"/>
      <c r="K966" s="1130"/>
      <c r="L966" s="1130"/>
      <c r="M966" s="1130"/>
      <c r="N966" s="1130"/>
      <c r="O966" s="1130"/>
      <c r="P966" s="1130"/>
      <c r="Q966" s="1130"/>
      <c r="R966" s="1130"/>
      <c r="S966" s="1130"/>
      <c r="T966" s="1130"/>
      <c r="U966" s="1130"/>
      <c r="V966" s="1130"/>
      <c r="W966" s="1130"/>
      <c r="X966" s="1130"/>
      <c r="Y966" s="1130"/>
      <c r="Z966" s="1130"/>
      <c r="AA966" s="1130"/>
    </row>
    <row r="967" spans="1:27" ht="15.75" customHeight="1">
      <c r="A967" s="1130"/>
      <c r="B967" s="1130"/>
      <c r="C967" s="1130"/>
      <c r="D967" s="1130"/>
      <c r="E967" s="1130"/>
      <c r="F967" s="1130"/>
      <c r="G967" s="1130"/>
      <c r="H967" s="1130"/>
      <c r="I967" s="1130"/>
      <c r="J967" s="1130"/>
      <c r="K967" s="1130"/>
      <c r="L967" s="1130"/>
      <c r="M967" s="1130"/>
      <c r="N967" s="1130"/>
      <c r="O967" s="1130"/>
      <c r="P967" s="1130"/>
      <c r="Q967" s="1130"/>
      <c r="R967" s="1130"/>
      <c r="S967" s="1130"/>
      <c r="T967" s="1130"/>
      <c r="U967" s="1130"/>
      <c r="V967" s="1130"/>
      <c r="W967" s="1130"/>
      <c r="X967" s="1130"/>
      <c r="Y967" s="1130"/>
      <c r="Z967" s="1130"/>
      <c r="AA967" s="1130"/>
    </row>
    <row r="968" spans="1:27" ht="15.75" customHeight="1">
      <c r="A968" s="1130"/>
      <c r="B968" s="1130"/>
      <c r="C968" s="1130"/>
      <c r="D968" s="1130"/>
      <c r="E968" s="1130"/>
      <c r="F968" s="1130"/>
      <c r="G968" s="1130"/>
      <c r="H968" s="1130"/>
      <c r="I968" s="1130"/>
      <c r="J968" s="1130"/>
      <c r="K968" s="1130"/>
      <c r="L968" s="1130"/>
      <c r="M968" s="1130"/>
      <c r="N968" s="1130"/>
      <c r="O968" s="1130"/>
      <c r="P968" s="1130"/>
      <c r="Q968" s="1130"/>
      <c r="R968" s="1130"/>
      <c r="S968" s="1130"/>
      <c r="T968" s="1130"/>
      <c r="U968" s="1130"/>
      <c r="V968" s="1130"/>
      <c r="W968" s="1130"/>
      <c r="X968" s="1130"/>
      <c r="Y968" s="1130"/>
      <c r="Z968" s="1130"/>
      <c r="AA968" s="1130"/>
    </row>
    <row r="969" spans="1:27" ht="15.75" customHeight="1">
      <c r="A969" s="1130"/>
      <c r="B969" s="1130"/>
      <c r="C969" s="1130"/>
      <c r="D969" s="1130"/>
      <c r="E969" s="1130"/>
      <c r="F969" s="1130"/>
      <c r="G969" s="1130"/>
      <c r="H969" s="1130"/>
      <c r="I969" s="1130"/>
      <c r="J969" s="1130"/>
      <c r="K969" s="1130"/>
      <c r="L969" s="1130"/>
      <c r="M969" s="1130"/>
      <c r="N969" s="1130"/>
      <c r="O969" s="1130"/>
      <c r="P969" s="1130"/>
      <c r="Q969" s="1130"/>
      <c r="R969" s="1130"/>
      <c r="S969" s="1130"/>
      <c r="T969" s="1130"/>
      <c r="U969" s="1130"/>
      <c r="V969" s="1130"/>
      <c r="W969" s="1130"/>
      <c r="X969" s="1130"/>
      <c r="Y969" s="1130"/>
      <c r="Z969" s="1130"/>
      <c r="AA969" s="1130"/>
    </row>
    <row r="970" spans="1:27" ht="15.75" customHeight="1">
      <c r="A970" s="1130"/>
      <c r="B970" s="1130"/>
      <c r="C970" s="1130"/>
      <c r="D970" s="1130"/>
      <c r="E970" s="1130"/>
      <c r="F970" s="1130"/>
      <c r="G970" s="1130"/>
      <c r="H970" s="1130"/>
      <c r="I970" s="1130"/>
      <c r="J970" s="1130"/>
      <c r="K970" s="1130"/>
      <c r="L970" s="1130"/>
      <c r="M970" s="1130"/>
      <c r="N970" s="1130"/>
      <c r="O970" s="1130"/>
      <c r="P970" s="1130"/>
      <c r="Q970" s="1130"/>
      <c r="R970" s="1130"/>
      <c r="S970" s="1130"/>
      <c r="T970" s="1130"/>
      <c r="U970" s="1130"/>
      <c r="V970" s="1130"/>
      <c r="W970" s="1130"/>
      <c r="X970" s="1130"/>
      <c r="Y970" s="1130"/>
      <c r="Z970" s="1130"/>
      <c r="AA970" s="1130"/>
    </row>
    <row r="971" spans="1:27" ht="15.75" customHeight="1">
      <c r="A971" s="1130"/>
      <c r="B971" s="1130"/>
      <c r="C971" s="1130"/>
      <c r="D971" s="1130"/>
      <c r="E971" s="1130"/>
      <c r="F971" s="1130"/>
      <c r="G971" s="1130"/>
      <c r="H971" s="1130"/>
      <c r="I971" s="1130"/>
      <c r="J971" s="1130"/>
      <c r="K971" s="1130"/>
      <c r="L971" s="1130"/>
      <c r="M971" s="1130"/>
      <c r="N971" s="1130"/>
      <c r="O971" s="1130"/>
      <c r="P971" s="1130"/>
      <c r="Q971" s="1130"/>
      <c r="R971" s="1130"/>
      <c r="S971" s="1130"/>
      <c r="T971" s="1130"/>
      <c r="U971" s="1130"/>
      <c r="V971" s="1130"/>
      <c r="W971" s="1130"/>
      <c r="X971" s="1130"/>
      <c r="Y971" s="1130"/>
      <c r="Z971" s="1130"/>
      <c r="AA971" s="1130"/>
    </row>
    <row r="972" spans="1:27" ht="15.75" customHeight="1">
      <c r="A972" s="1130"/>
      <c r="B972" s="1130"/>
      <c r="C972" s="1130"/>
      <c r="D972" s="1130"/>
      <c r="E972" s="1130"/>
      <c r="F972" s="1130"/>
      <c r="G972" s="1130"/>
      <c r="H972" s="1130"/>
      <c r="I972" s="1130"/>
      <c r="J972" s="1130"/>
      <c r="K972" s="1130"/>
      <c r="L972" s="1130"/>
      <c r="M972" s="1130"/>
      <c r="N972" s="1130"/>
      <c r="O972" s="1130"/>
      <c r="P972" s="1130"/>
      <c r="Q972" s="1130"/>
      <c r="R972" s="1130"/>
      <c r="S972" s="1130"/>
      <c r="T972" s="1130"/>
      <c r="U972" s="1130"/>
      <c r="V972" s="1130"/>
      <c r="W972" s="1130"/>
      <c r="X972" s="1130"/>
      <c r="Y972" s="1130"/>
      <c r="Z972" s="1130"/>
      <c r="AA972" s="1130"/>
    </row>
    <row r="973" spans="1:27" ht="15.75" customHeight="1">
      <c r="A973" s="1130"/>
      <c r="B973" s="1130"/>
      <c r="C973" s="1130"/>
      <c r="D973" s="1130"/>
      <c r="E973" s="1130"/>
      <c r="F973" s="1130"/>
      <c r="G973" s="1130"/>
      <c r="H973" s="1130"/>
      <c r="I973" s="1130"/>
      <c r="J973" s="1130"/>
      <c r="K973" s="1130"/>
      <c r="L973" s="1130"/>
      <c r="M973" s="1130"/>
      <c r="N973" s="1130"/>
      <c r="O973" s="1130"/>
      <c r="P973" s="1130"/>
      <c r="Q973" s="1130"/>
      <c r="R973" s="1130"/>
      <c r="S973" s="1130"/>
      <c r="T973" s="1130"/>
      <c r="U973" s="1130"/>
      <c r="V973" s="1130"/>
      <c r="W973" s="1130"/>
      <c r="X973" s="1130"/>
      <c r="Y973" s="1130"/>
      <c r="Z973" s="1130"/>
      <c r="AA973" s="1130"/>
    </row>
    <row r="974" spans="1:27" ht="15.75" customHeight="1">
      <c r="A974" s="1130"/>
      <c r="B974" s="1130"/>
      <c r="C974" s="1130"/>
      <c r="D974" s="1130"/>
      <c r="E974" s="1130"/>
      <c r="F974" s="1130"/>
      <c r="G974" s="1130"/>
      <c r="H974" s="1130"/>
      <c r="I974" s="1130"/>
      <c r="J974" s="1130"/>
      <c r="K974" s="1130"/>
      <c r="L974" s="1130"/>
      <c r="M974" s="1130"/>
      <c r="N974" s="1130"/>
      <c r="O974" s="1130"/>
      <c r="P974" s="1130"/>
      <c r="Q974" s="1130"/>
      <c r="R974" s="1130"/>
      <c r="S974" s="1130"/>
      <c r="T974" s="1130"/>
      <c r="U974" s="1130"/>
      <c r="V974" s="1130"/>
      <c r="W974" s="1130"/>
      <c r="X974" s="1130"/>
      <c r="Y974" s="1130"/>
      <c r="Z974" s="1130"/>
      <c r="AA974" s="1130"/>
    </row>
    <row r="975" spans="1:27" ht="15.75" customHeight="1">
      <c r="A975" s="1130"/>
      <c r="B975" s="1130"/>
      <c r="C975" s="1130"/>
      <c r="D975" s="1130"/>
      <c r="E975" s="1130"/>
      <c r="F975" s="1130"/>
      <c r="G975" s="1130"/>
      <c r="H975" s="1130"/>
      <c r="I975" s="1130"/>
      <c r="J975" s="1130"/>
      <c r="K975" s="1130"/>
      <c r="L975" s="1130"/>
      <c r="M975" s="1130"/>
      <c r="N975" s="1130"/>
      <c r="O975" s="1130"/>
      <c r="P975" s="1130"/>
      <c r="Q975" s="1130"/>
      <c r="R975" s="1130"/>
      <c r="S975" s="1130"/>
      <c r="T975" s="1130"/>
      <c r="U975" s="1130"/>
      <c r="V975" s="1130"/>
      <c r="W975" s="1130"/>
      <c r="X975" s="1130"/>
      <c r="Y975" s="1130"/>
      <c r="Z975" s="1130"/>
      <c r="AA975" s="1130"/>
    </row>
    <row r="976" spans="1:27" ht="15.75" customHeight="1">
      <c r="A976" s="1130"/>
      <c r="B976" s="1130"/>
      <c r="C976" s="1130"/>
      <c r="D976" s="1130"/>
      <c r="E976" s="1130"/>
      <c r="F976" s="1130"/>
      <c r="G976" s="1130"/>
      <c r="H976" s="1130"/>
      <c r="I976" s="1130"/>
      <c r="J976" s="1130"/>
      <c r="K976" s="1130"/>
      <c r="L976" s="1130"/>
      <c r="M976" s="1130"/>
      <c r="N976" s="1130"/>
      <c r="O976" s="1130"/>
      <c r="P976" s="1130"/>
      <c r="Q976" s="1130"/>
      <c r="R976" s="1130"/>
      <c r="S976" s="1130"/>
      <c r="T976" s="1130"/>
      <c r="U976" s="1130"/>
      <c r="V976" s="1130"/>
      <c r="W976" s="1130"/>
      <c r="X976" s="1130"/>
      <c r="Y976" s="1130"/>
      <c r="Z976" s="1130"/>
      <c r="AA976" s="1130"/>
    </row>
    <row r="977" spans="1:27" ht="15.75" customHeight="1">
      <c r="A977" s="1130"/>
      <c r="B977" s="1130"/>
      <c r="C977" s="1130"/>
      <c r="D977" s="1130"/>
      <c r="E977" s="1130"/>
      <c r="F977" s="1130"/>
      <c r="G977" s="1130"/>
      <c r="H977" s="1130"/>
      <c r="I977" s="1130"/>
      <c r="J977" s="1130"/>
      <c r="K977" s="1130"/>
      <c r="L977" s="1130"/>
      <c r="M977" s="1130"/>
      <c r="N977" s="1130"/>
      <c r="O977" s="1130"/>
      <c r="P977" s="1130"/>
      <c r="Q977" s="1130"/>
      <c r="R977" s="1130"/>
      <c r="S977" s="1130"/>
      <c r="T977" s="1130"/>
      <c r="U977" s="1130"/>
      <c r="V977" s="1130"/>
      <c r="W977" s="1130"/>
      <c r="X977" s="1130"/>
      <c r="Y977" s="1130"/>
      <c r="Z977" s="1130"/>
      <c r="AA977" s="1130"/>
    </row>
    <row r="978" spans="1:27" ht="15.75" customHeight="1">
      <c r="A978" s="1130"/>
      <c r="B978" s="1130"/>
      <c r="C978" s="1130"/>
      <c r="D978" s="1130"/>
      <c r="E978" s="1130"/>
      <c r="F978" s="1130"/>
      <c r="G978" s="1130"/>
      <c r="H978" s="1130"/>
      <c r="I978" s="1130"/>
      <c r="J978" s="1130"/>
      <c r="K978" s="1130"/>
      <c r="L978" s="1130"/>
      <c r="M978" s="1130"/>
      <c r="N978" s="1130"/>
      <c r="O978" s="1130"/>
      <c r="P978" s="1130"/>
      <c r="Q978" s="1130"/>
      <c r="R978" s="1130"/>
      <c r="S978" s="1130"/>
      <c r="T978" s="1130"/>
      <c r="U978" s="1130"/>
      <c r="V978" s="1130"/>
      <c r="W978" s="1130"/>
      <c r="X978" s="1130"/>
      <c r="Y978" s="1130"/>
      <c r="Z978" s="1130"/>
      <c r="AA978" s="1130"/>
    </row>
    <row r="979" spans="1:27" ht="15.75" customHeight="1">
      <c r="A979" s="1130"/>
      <c r="B979" s="1130"/>
      <c r="C979" s="1130"/>
      <c r="D979" s="1130"/>
      <c r="E979" s="1130"/>
      <c r="F979" s="1130"/>
      <c r="G979" s="1130"/>
      <c r="H979" s="1130"/>
      <c r="I979" s="1130"/>
      <c r="J979" s="1130"/>
      <c r="K979" s="1130"/>
      <c r="L979" s="1130"/>
      <c r="M979" s="1130"/>
      <c r="N979" s="1130"/>
      <c r="O979" s="1130"/>
      <c r="P979" s="1130"/>
      <c r="Q979" s="1130"/>
      <c r="R979" s="1130"/>
      <c r="S979" s="1130"/>
      <c r="T979" s="1130"/>
      <c r="U979" s="1130"/>
      <c r="V979" s="1130"/>
      <c r="W979" s="1130"/>
      <c r="X979" s="1130"/>
      <c r="Y979" s="1130"/>
      <c r="Z979" s="1130"/>
      <c r="AA979" s="1130"/>
    </row>
    <row r="980" spans="1:27" ht="15.75" customHeight="1">
      <c r="A980" s="1130"/>
      <c r="B980" s="1130"/>
      <c r="C980" s="1130"/>
      <c r="D980" s="1130"/>
      <c r="E980" s="1130"/>
      <c r="F980" s="1130"/>
      <c r="G980" s="1130"/>
      <c r="H980" s="1130"/>
      <c r="I980" s="1130"/>
      <c r="J980" s="1130"/>
      <c r="K980" s="1130"/>
      <c r="L980" s="1130"/>
      <c r="M980" s="1130"/>
      <c r="N980" s="1130"/>
      <c r="O980" s="1130"/>
      <c r="P980" s="1130"/>
      <c r="Q980" s="1130"/>
      <c r="R980" s="1130"/>
      <c r="S980" s="1130"/>
      <c r="T980" s="1130"/>
      <c r="U980" s="1130"/>
      <c r="V980" s="1130"/>
      <c r="W980" s="1130"/>
      <c r="X980" s="1130"/>
      <c r="Y980" s="1130"/>
      <c r="Z980" s="1130"/>
      <c r="AA980" s="1130"/>
    </row>
    <row r="981" spans="1:27" ht="15.75" customHeight="1">
      <c r="A981" s="1130"/>
      <c r="B981" s="1130"/>
      <c r="C981" s="1130"/>
      <c r="D981" s="1130"/>
      <c r="E981" s="1130"/>
      <c r="F981" s="1130"/>
      <c r="G981" s="1130"/>
      <c r="H981" s="1130"/>
      <c r="I981" s="1130"/>
      <c r="J981" s="1130"/>
      <c r="K981" s="1130"/>
      <c r="L981" s="1130"/>
      <c r="M981" s="1130"/>
      <c r="N981" s="1130"/>
      <c r="O981" s="1130"/>
      <c r="P981" s="1130"/>
      <c r="Q981" s="1130"/>
      <c r="R981" s="1130"/>
      <c r="S981" s="1130"/>
      <c r="T981" s="1130"/>
      <c r="U981" s="1130"/>
      <c r="V981" s="1130"/>
      <c r="W981" s="1130"/>
      <c r="X981" s="1130"/>
      <c r="Y981" s="1130"/>
      <c r="Z981" s="1130"/>
      <c r="AA981" s="1130"/>
    </row>
    <row r="982" spans="1:27" ht="15.75" customHeight="1">
      <c r="A982" s="1130"/>
      <c r="B982" s="1130"/>
      <c r="C982" s="1130"/>
      <c r="D982" s="1130"/>
      <c r="E982" s="1130"/>
      <c r="F982" s="1130"/>
      <c r="G982" s="1130"/>
      <c r="H982" s="1130"/>
      <c r="I982" s="1130"/>
      <c r="J982" s="1130"/>
      <c r="K982" s="1130"/>
      <c r="L982" s="1130"/>
      <c r="M982" s="1130"/>
      <c r="N982" s="1130"/>
      <c r="O982" s="1130"/>
      <c r="P982" s="1130"/>
      <c r="Q982" s="1130"/>
      <c r="R982" s="1130"/>
      <c r="S982" s="1130"/>
      <c r="T982" s="1130"/>
      <c r="U982" s="1130"/>
      <c r="V982" s="1130"/>
      <c r="W982" s="1130"/>
      <c r="X982" s="1130"/>
      <c r="Y982" s="1130"/>
      <c r="Z982" s="1130"/>
      <c r="AA982" s="1130"/>
    </row>
    <row r="983" spans="1:27" ht="15.75" customHeight="1">
      <c r="A983" s="1130"/>
      <c r="B983" s="1130"/>
      <c r="C983" s="1130"/>
      <c r="D983" s="1130"/>
      <c r="E983" s="1130"/>
      <c r="F983" s="1130"/>
      <c r="G983" s="1130"/>
      <c r="H983" s="1130"/>
      <c r="I983" s="1130"/>
      <c r="J983" s="1130"/>
      <c r="K983" s="1130"/>
      <c r="L983" s="1130"/>
      <c r="M983" s="1130"/>
      <c r="N983" s="1130"/>
      <c r="O983" s="1130"/>
      <c r="P983" s="1130"/>
      <c r="Q983" s="1130"/>
      <c r="R983" s="1130"/>
      <c r="S983" s="1130"/>
      <c r="T983" s="1130"/>
      <c r="U983" s="1130"/>
      <c r="V983" s="1130"/>
      <c r="W983" s="1130"/>
      <c r="X983" s="1130"/>
      <c r="Y983" s="1130"/>
      <c r="Z983" s="1130"/>
      <c r="AA983" s="1130"/>
    </row>
    <row r="984" spans="1:27" ht="15.75" customHeight="1">
      <c r="A984" s="1130"/>
      <c r="B984" s="1130"/>
      <c r="C984" s="1130"/>
      <c r="D984" s="1130"/>
      <c r="E984" s="1130"/>
      <c r="F984" s="1130"/>
      <c r="G984" s="1130"/>
      <c r="H984" s="1130"/>
      <c r="I984" s="1130"/>
      <c r="J984" s="1130"/>
      <c r="K984" s="1130"/>
      <c r="L984" s="1130"/>
      <c r="M984" s="1130"/>
      <c r="N984" s="1130"/>
      <c r="O984" s="1130"/>
      <c r="P984" s="1130"/>
      <c r="Q984" s="1130"/>
      <c r="R984" s="1130"/>
      <c r="S984" s="1130"/>
      <c r="T984" s="1130"/>
      <c r="U984" s="1130"/>
      <c r="V984" s="1130"/>
      <c r="W984" s="1130"/>
      <c r="X984" s="1130"/>
      <c r="Y984" s="1130"/>
      <c r="Z984" s="1130"/>
      <c r="AA984" s="1130"/>
    </row>
    <row r="985" spans="1:27" ht="15.75" customHeight="1">
      <c r="A985" s="1130"/>
      <c r="B985" s="1130"/>
      <c r="C985" s="1130"/>
      <c r="D985" s="1130"/>
      <c r="E985" s="1130"/>
      <c r="F985" s="1130"/>
      <c r="G985" s="1130"/>
      <c r="H985" s="1130"/>
      <c r="I985" s="1130"/>
      <c r="J985" s="1130"/>
      <c r="K985" s="1130"/>
      <c r="L985" s="1130"/>
      <c r="M985" s="1130"/>
      <c r="N985" s="1130"/>
      <c r="O985" s="1130"/>
      <c r="P985" s="1130"/>
      <c r="Q985" s="1130"/>
      <c r="R985" s="1130"/>
      <c r="S985" s="1130"/>
      <c r="T985" s="1130"/>
      <c r="U985" s="1130"/>
      <c r="V985" s="1130"/>
      <c r="W985" s="1130"/>
      <c r="X985" s="1130"/>
      <c r="Y985" s="1130"/>
      <c r="Z985" s="1130"/>
      <c r="AA985" s="1130"/>
    </row>
    <row r="986" spans="1:27" ht="15.75" customHeight="1">
      <c r="A986" s="1130"/>
      <c r="B986" s="1130"/>
      <c r="C986" s="1130"/>
      <c r="D986" s="1130"/>
      <c r="E986" s="1130"/>
      <c r="F986" s="1130"/>
      <c r="G986" s="1130"/>
      <c r="H986" s="1130"/>
      <c r="I986" s="1130"/>
      <c r="J986" s="1130"/>
      <c r="K986" s="1130"/>
      <c r="L986" s="1130"/>
      <c r="M986" s="1130"/>
      <c r="N986" s="1130"/>
      <c r="O986" s="1130"/>
      <c r="P986" s="1130"/>
      <c r="Q986" s="1130"/>
      <c r="R986" s="1130"/>
      <c r="S986" s="1130"/>
      <c r="T986" s="1130"/>
      <c r="U986" s="1130"/>
      <c r="V986" s="1130"/>
      <c r="W986" s="1130"/>
      <c r="X986" s="1130"/>
      <c r="Y986" s="1130"/>
      <c r="Z986" s="1130"/>
      <c r="AA986" s="1130"/>
    </row>
    <row r="987" spans="1:27" ht="15.75" customHeight="1">
      <c r="A987" s="1130"/>
      <c r="B987" s="1130"/>
      <c r="C987" s="1130"/>
      <c r="D987" s="1130"/>
      <c r="E987" s="1130"/>
      <c r="F987" s="1130"/>
      <c r="G987" s="1130"/>
      <c r="H987" s="1130"/>
      <c r="I987" s="1130"/>
      <c r="J987" s="1130"/>
      <c r="K987" s="1130"/>
      <c r="L987" s="1130"/>
      <c r="M987" s="1130"/>
      <c r="N987" s="1130"/>
      <c r="O987" s="1130"/>
      <c r="P987" s="1130"/>
      <c r="Q987" s="1130"/>
      <c r="R987" s="1130"/>
      <c r="S987" s="1130"/>
      <c r="T987" s="1130"/>
      <c r="U987" s="1130"/>
      <c r="V987" s="1130"/>
      <c r="W987" s="1130"/>
      <c r="X987" s="1130"/>
      <c r="Y987" s="1130"/>
      <c r="Z987" s="1130"/>
      <c r="AA987" s="1130"/>
    </row>
    <row r="988" spans="1:27" ht="15.75" customHeight="1">
      <c r="A988" s="1130"/>
      <c r="B988" s="1130"/>
      <c r="C988" s="1130"/>
      <c r="D988" s="1130"/>
      <c r="E988" s="1130"/>
      <c r="F988" s="1130"/>
      <c r="G988" s="1130"/>
      <c r="H988" s="1130"/>
      <c r="I988" s="1130"/>
      <c r="J988" s="1130"/>
      <c r="K988" s="1130"/>
      <c r="L988" s="1130"/>
      <c r="M988" s="1130"/>
      <c r="N988" s="1130"/>
      <c r="O988" s="1130"/>
      <c r="P988" s="1130"/>
      <c r="Q988" s="1130"/>
      <c r="R988" s="1130"/>
      <c r="S988" s="1130"/>
      <c r="T988" s="1130"/>
      <c r="U988" s="1130"/>
      <c r="V988" s="1130"/>
      <c r="W988" s="1130"/>
      <c r="X988" s="1130"/>
      <c r="Y988" s="1130"/>
      <c r="Z988" s="1130"/>
      <c r="AA988" s="1130"/>
    </row>
    <row r="989" spans="1:27" ht="15.75" customHeight="1">
      <c r="A989" s="1130"/>
      <c r="B989" s="1130"/>
      <c r="C989" s="1130"/>
      <c r="D989" s="1130"/>
      <c r="E989" s="1130"/>
      <c r="F989" s="1130"/>
      <c r="G989" s="1130"/>
      <c r="H989" s="1130"/>
      <c r="I989" s="1130"/>
      <c r="J989" s="1130"/>
      <c r="K989" s="1130"/>
      <c r="L989" s="1130"/>
      <c r="M989" s="1130"/>
      <c r="N989" s="1130"/>
      <c r="O989" s="1130"/>
      <c r="P989" s="1130"/>
      <c r="Q989" s="1130"/>
      <c r="R989" s="1130"/>
      <c r="S989" s="1130"/>
      <c r="T989" s="1130"/>
      <c r="U989" s="1130"/>
      <c r="V989" s="1130"/>
      <c r="W989" s="1130"/>
      <c r="X989" s="1130"/>
      <c r="Y989" s="1130"/>
      <c r="Z989" s="1130"/>
      <c r="AA989" s="1130"/>
    </row>
    <row r="990" spans="1:27" ht="15.75" customHeight="1">
      <c r="A990" s="1130"/>
      <c r="B990" s="1130"/>
      <c r="C990" s="1130"/>
      <c r="D990" s="1130"/>
      <c r="E990" s="1130"/>
      <c r="F990" s="1130"/>
      <c r="G990" s="1130"/>
      <c r="H990" s="1130"/>
      <c r="I990" s="1130"/>
      <c r="J990" s="1130"/>
      <c r="K990" s="1130"/>
      <c r="L990" s="1130"/>
      <c r="M990" s="1130"/>
      <c r="N990" s="1130"/>
      <c r="O990" s="1130"/>
      <c r="P990" s="1130"/>
      <c r="Q990" s="1130"/>
      <c r="R990" s="1130"/>
      <c r="S990" s="1130"/>
      <c r="T990" s="1130"/>
      <c r="U990" s="1130"/>
      <c r="V990" s="1130"/>
      <c r="W990" s="1130"/>
      <c r="X990" s="1130"/>
      <c r="Y990" s="1130"/>
      <c r="Z990" s="1130"/>
      <c r="AA990" s="1130"/>
    </row>
    <row r="991" spans="1:27" ht="15.75" customHeight="1">
      <c r="A991" s="1130"/>
      <c r="B991" s="1130"/>
      <c r="C991" s="1130"/>
      <c r="D991" s="1130"/>
      <c r="E991" s="1130"/>
      <c r="F991" s="1130"/>
      <c r="G991" s="1130"/>
      <c r="H991" s="1130"/>
      <c r="I991" s="1130"/>
      <c r="J991" s="1130"/>
      <c r="K991" s="1130"/>
      <c r="L991" s="1130"/>
      <c r="M991" s="1130"/>
      <c r="N991" s="1130"/>
      <c r="O991" s="1130"/>
      <c r="P991" s="1130"/>
      <c r="Q991" s="1130"/>
      <c r="R991" s="1130"/>
      <c r="S991" s="1130"/>
      <c r="T991" s="1130"/>
      <c r="U991" s="1130"/>
      <c r="V991" s="1130"/>
      <c r="W991" s="1130"/>
      <c r="X991" s="1130"/>
      <c r="Y991" s="1130"/>
      <c r="Z991" s="1130"/>
      <c r="AA991" s="1130"/>
    </row>
    <row r="992" spans="1:27" ht="15.75" customHeight="1">
      <c r="A992" s="1130"/>
      <c r="B992" s="1130"/>
      <c r="C992" s="1130"/>
      <c r="D992" s="1130"/>
      <c r="E992" s="1130"/>
      <c r="F992" s="1130"/>
      <c r="G992" s="1130"/>
      <c r="H992" s="1130"/>
      <c r="I992" s="1130"/>
      <c r="J992" s="1130"/>
      <c r="K992" s="1130"/>
      <c r="L992" s="1130"/>
      <c r="M992" s="1130"/>
      <c r="N992" s="1130"/>
      <c r="O992" s="1130"/>
      <c r="P992" s="1130"/>
      <c r="Q992" s="1130"/>
      <c r="R992" s="1130"/>
      <c r="S992" s="1130"/>
      <c r="T992" s="1130"/>
      <c r="U992" s="1130"/>
      <c r="V992" s="1130"/>
      <c r="W992" s="1130"/>
      <c r="X992" s="1130"/>
      <c r="Y992" s="1130"/>
      <c r="Z992" s="1130"/>
      <c r="AA992" s="1130"/>
    </row>
    <row r="993" spans="1:27" ht="15.75" customHeight="1">
      <c r="A993" s="1130"/>
      <c r="B993" s="1130"/>
      <c r="C993" s="1130"/>
      <c r="D993" s="1130"/>
      <c r="E993" s="1130"/>
      <c r="F993" s="1130"/>
      <c r="G993" s="1130"/>
      <c r="H993" s="1130"/>
      <c r="I993" s="1130"/>
      <c r="J993" s="1130"/>
      <c r="K993" s="1130"/>
      <c r="L993" s="1130"/>
      <c r="M993" s="1130"/>
      <c r="N993" s="1130"/>
      <c r="O993" s="1130"/>
      <c r="P993" s="1130"/>
      <c r="Q993" s="1130"/>
      <c r="R993" s="1130"/>
      <c r="S993" s="1130"/>
      <c r="T993" s="1130"/>
      <c r="U993" s="1130"/>
      <c r="V993" s="1130"/>
      <c r="W993" s="1130"/>
      <c r="X993" s="1130"/>
      <c r="Y993" s="1130"/>
      <c r="Z993" s="1130"/>
      <c r="AA993" s="1130"/>
    </row>
    <row r="994" spans="1:27" ht="15.75" customHeight="1">
      <c r="A994" s="1130"/>
      <c r="B994" s="1130"/>
      <c r="C994" s="1130"/>
      <c r="D994" s="1130"/>
      <c r="E994" s="1130"/>
      <c r="F994" s="1130"/>
      <c r="G994" s="1130"/>
      <c r="H994" s="1130"/>
      <c r="I994" s="1130"/>
      <c r="J994" s="1130"/>
      <c r="K994" s="1130"/>
      <c r="L994" s="1130"/>
      <c r="M994" s="1130"/>
      <c r="N994" s="1130"/>
      <c r="O994" s="1130"/>
      <c r="P994" s="1130"/>
      <c r="Q994" s="1130"/>
      <c r="R994" s="1130"/>
      <c r="S994" s="1130"/>
      <c r="T994" s="1130"/>
      <c r="U994" s="1130"/>
      <c r="V994" s="1130"/>
      <c r="W994" s="1130"/>
      <c r="X994" s="1130"/>
      <c r="Y994" s="1130"/>
      <c r="Z994" s="1130"/>
      <c r="AA994" s="1130"/>
    </row>
  </sheetData>
  <printOptions horizontalCentered="1"/>
  <pageMargins left="0.7" right="0.7" top="0.71" bottom="0.59" header="0.3" footer="0.16"/>
  <pageSetup paperSize="9" scale="85" fitToHeight="3" orientation="landscape" r:id="rId1"/>
  <rowBreaks count="1" manualBreakCount="1">
    <brk id="37" max="10" man="1"/>
  </rowBreaks>
  <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
  <dimension ref="A1:AJ47"/>
  <sheetViews>
    <sheetView workbookViewId="0"/>
  </sheetViews>
  <sheetFormatPr defaultColWidth="9.109375" defaultRowHeight="16.8"/>
  <cols>
    <col min="1" max="1" width="11.6640625" style="4" customWidth="1"/>
    <col min="2" max="2" width="35.44140625" style="4" customWidth="1"/>
    <col min="3" max="4" width="5.88671875" style="19" customWidth="1"/>
    <col min="5" max="7" width="10.33203125" style="20" customWidth="1"/>
    <col min="8" max="8" width="11.88671875" style="20" bestFit="1" customWidth="1"/>
    <col min="9" max="9" width="10.33203125" style="20" customWidth="1"/>
    <col min="10" max="10" width="13" style="20" customWidth="1"/>
    <col min="11" max="11" width="12.6640625" style="4" customWidth="1"/>
    <col min="12" max="12" width="9.109375" style="4" customWidth="1"/>
    <col min="13" max="13" width="7.5546875" style="4" customWidth="1"/>
    <col min="14" max="14" width="14.33203125" style="4" customWidth="1"/>
    <col min="15" max="23" width="9.109375" style="4" customWidth="1"/>
    <col min="24" max="24" width="10" style="4" bestFit="1" customWidth="1"/>
    <col min="25" max="26" width="9.109375" style="4" customWidth="1"/>
    <col min="27" max="27" width="21.88671875" style="4" customWidth="1"/>
    <col min="28" max="29" width="9.109375" style="4" customWidth="1"/>
    <col min="30" max="30" width="20.109375" style="4" customWidth="1"/>
    <col min="31" max="31" width="19.44140625" style="4" customWidth="1"/>
    <col min="32" max="33" width="9.109375" style="4" customWidth="1"/>
    <col min="34" max="34" width="11.33203125" style="4" bestFit="1" customWidth="1"/>
    <col min="35" max="35" width="12.109375" style="4" bestFit="1" customWidth="1"/>
    <col min="36" max="36" width="9.109375" style="4" customWidth="1"/>
    <col min="37" max="38" width="9.109375" style="4"/>
    <col min="39" max="39" width="11.88671875" style="4" customWidth="1"/>
    <col min="40" max="16384" width="9.109375" style="4"/>
  </cols>
  <sheetData>
    <row r="1" spans="1:36">
      <c r="A1" s="226" t="s">
        <v>0</v>
      </c>
      <c r="B1" s="51" t="s">
        <v>748</v>
      </c>
      <c r="C1" s="380"/>
      <c r="D1" s="461"/>
      <c r="E1" s="462"/>
      <c r="F1" s="462"/>
      <c r="AB1" s="464"/>
      <c r="AC1" s="465"/>
      <c r="AD1" s="465"/>
      <c r="AE1" s="465"/>
      <c r="AF1" s="466"/>
      <c r="AG1" s="465"/>
    </row>
    <row r="2" spans="1:36">
      <c r="A2" s="119" t="s">
        <v>1</v>
      </c>
      <c r="B2" s="99" t="s">
        <v>181</v>
      </c>
      <c r="C2" s="382"/>
      <c r="AB2" s="464"/>
      <c r="AC2" s="465"/>
      <c r="AD2" s="465"/>
      <c r="AE2" s="465"/>
      <c r="AF2" s="466"/>
      <c r="AG2" s="465"/>
    </row>
    <row r="3" spans="1:36">
      <c r="A3" s="119" t="s">
        <v>2</v>
      </c>
      <c r="B3" s="54" t="s">
        <v>331</v>
      </c>
      <c r="C3" s="382"/>
      <c r="AB3" s="464"/>
      <c r="AC3" s="465"/>
      <c r="AD3" s="465"/>
      <c r="AE3" s="465"/>
      <c r="AF3" s="466"/>
      <c r="AG3" s="465"/>
    </row>
    <row r="4" spans="1:36">
      <c r="A4" s="119" t="s">
        <v>3</v>
      </c>
      <c r="B4" s="4" t="s">
        <v>830</v>
      </c>
      <c r="C4" s="382"/>
      <c r="AB4" s="464"/>
      <c r="AC4" s="465"/>
      <c r="AD4" s="465"/>
      <c r="AE4" s="465"/>
      <c r="AF4" s="466"/>
      <c r="AG4" s="465"/>
    </row>
    <row r="5" spans="1:36">
      <c r="A5" s="119" t="s">
        <v>4</v>
      </c>
      <c r="B5" s="52"/>
      <c r="C5" s="382"/>
      <c r="AB5" s="464"/>
      <c r="AC5" s="465"/>
      <c r="AD5" s="465"/>
      <c r="AE5" s="465"/>
      <c r="AF5" s="466"/>
      <c r="AG5" s="465"/>
    </row>
    <row r="6" spans="1:36">
      <c r="A6" s="52"/>
      <c r="B6" s="52"/>
      <c r="C6" s="382"/>
      <c r="AB6" s="464"/>
      <c r="AC6" s="465"/>
      <c r="AD6" s="465"/>
      <c r="AE6" s="465"/>
      <c r="AF6" s="466"/>
      <c r="AG6" s="465"/>
    </row>
    <row r="7" spans="1:36">
      <c r="A7" s="53" t="s">
        <v>5</v>
      </c>
      <c r="B7" s="52" t="s">
        <v>831</v>
      </c>
      <c r="C7" s="382"/>
      <c r="AB7" s="464"/>
      <c r="AC7" s="465"/>
      <c r="AD7" s="465"/>
      <c r="AE7" s="465"/>
      <c r="AF7" s="466"/>
      <c r="AG7" s="465"/>
    </row>
    <row r="8" spans="1:36">
      <c r="A8" s="53" t="s">
        <v>6</v>
      </c>
      <c r="B8" s="55" t="s">
        <v>832</v>
      </c>
      <c r="C8" s="384"/>
      <c r="AB8" s="464"/>
      <c r="AC8" s="465"/>
      <c r="AD8" s="465"/>
      <c r="AE8" s="465"/>
      <c r="AF8" s="466"/>
      <c r="AG8" s="465"/>
    </row>
    <row r="9" spans="1:36">
      <c r="AB9" s="464"/>
      <c r="AC9" s="465"/>
      <c r="AD9" s="465"/>
      <c r="AE9" s="465"/>
      <c r="AF9" s="466"/>
      <c r="AG9" s="465"/>
      <c r="AH9" s="465"/>
    </row>
    <row r="10" spans="1:36">
      <c r="A10" s="2" t="s">
        <v>7</v>
      </c>
      <c r="B10" s="2" t="s">
        <v>8</v>
      </c>
      <c r="C10" s="2" t="s">
        <v>9</v>
      </c>
      <c r="D10" s="2" t="s">
        <v>10</v>
      </c>
      <c r="E10" s="3" t="s">
        <v>11</v>
      </c>
      <c r="F10" s="3" t="s">
        <v>12</v>
      </c>
      <c r="G10" s="3" t="s">
        <v>13</v>
      </c>
      <c r="H10" s="3" t="s">
        <v>14</v>
      </c>
      <c r="I10" s="3" t="s">
        <v>15</v>
      </c>
      <c r="J10" s="3" t="s">
        <v>16</v>
      </c>
      <c r="K10" s="2" t="s">
        <v>17</v>
      </c>
      <c r="AB10" s="464"/>
      <c r="AC10" s="465" t="s">
        <v>796</v>
      </c>
      <c r="AD10" s="465">
        <v>6.3150000000000004</v>
      </c>
      <c r="AE10" s="465">
        <v>12</v>
      </c>
      <c r="AF10" s="466">
        <f>AD10*AE10</f>
        <v>75.78</v>
      </c>
      <c r="AG10" s="465" t="s">
        <v>796</v>
      </c>
      <c r="AH10" s="465">
        <v>17.1112</v>
      </c>
      <c r="AI10" s="4">
        <v>10</v>
      </c>
      <c r="AJ10" s="4">
        <f>AH10*AI10</f>
        <v>171.11199999999999</v>
      </c>
    </row>
    <row r="11" spans="1:36">
      <c r="A11" s="5">
        <v>1</v>
      </c>
      <c r="B11" s="6" t="s">
        <v>18</v>
      </c>
      <c r="C11" s="7" t="s">
        <v>19</v>
      </c>
      <c r="D11" s="7"/>
      <c r="E11" s="8"/>
      <c r="F11" s="8"/>
      <c r="G11" s="8"/>
      <c r="H11" s="8"/>
      <c r="I11" s="8"/>
      <c r="J11" s="467"/>
      <c r="K11" s="9"/>
      <c r="AB11" s="464"/>
      <c r="AC11" s="465" t="s">
        <v>797</v>
      </c>
      <c r="AD11" s="465">
        <v>8.5158000000000005</v>
      </c>
      <c r="AE11" s="465">
        <v>10</v>
      </c>
      <c r="AF11" s="466">
        <f t="shared" ref="AF11:AF18" si="0">AD11*AE11</f>
        <v>85.158000000000001</v>
      </c>
      <c r="AG11" s="465" t="s">
        <v>797</v>
      </c>
      <c r="AH11" s="465">
        <v>17.1112</v>
      </c>
      <c r="AI11" s="4">
        <v>10</v>
      </c>
      <c r="AJ11" s="4">
        <f t="shared" ref="AJ11:AJ18" si="1">AH11*AI11</f>
        <v>171.11199999999999</v>
      </c>
    </row>
    <row r="12" spans="1:36">
      <c r="A12" s="10"/>
      <c r="B12" s="11" t="s">
        <v>833</v>
      </c>
      <c r="C12" s="12"/>
      <c r="D12" s="45">
        <v>1</v>
      </c>
      <c r="E12" s="22">
        <v>11.4739</v>
      </c>
      <c r="F12" s="22">
        <v>5.55</v>
      </c>
      <c r="G12" s="13"/>
      <c r="H12" s="13"/>
      <c r="I12" s="13"/>
      <c r="J12" s="13">
        <f>E12*F12</f>
        <v>63.680145000000003</v>
      </c>
      <c r="K12" s="14"/>
      <c r="N12" s="54" t="s">
        <v>798</v>
      </c>
      <c r="AB12" s="464"/>
      <c r="AC12" s="465" t="s">
        <v>799</v>
      </c>
      <c r="AD12" s="465">
        <v>13.3108</v>
      </c>
      <c r="AE12" s="465">
        <v>10</v>
      </c>
      <c r="AF12" s="466">
        <f t="shared" si="0"/>
        <v>133.108</v>
      </c>
      <c r="AG12" s="465" t="s">
        <v>799</v>
      </c>
      <c r="AH12" s="465">
        <v>17.1112</v>
      </c>
      <c r="AI12" s="4">
        <v>10</v>
      </c>
      <c r="AJ12" s="4">
        <f t="shared" si="1"/>
        <v>171.11199999999999</v>
      </c>
    </row>
    <row r="13" spans="1:36">
      <c r="A13" s="10"/>
      <c r="B13" s="14"/>
      <c r="C13" s="12"/>
      <c r="D13" s="12"/>
      <c r="E13" s="13"/>
      <c r="F13" s="13"/>
      <c r="G13" s="13"/>
      <c r="H13" s="13"/>
      <c r="I13" s="15" t="s">
        <v>20</v>
      </c>
      <c r="J13" s="468">
        <f>SUM(J12:J12)</f>
        <v>63.680145000000003</v>
      </c>
      <c r="K13" s="14"/>
      <c r="N13" s="4" t="s">
        <v>800</v>
      </c>
      <c r="AB13" s="464"/>
      <c r="AC13" s="465" t="s">
        <v>801</v>
      </c>
      <c r="AD13" s="465">
        <v>9.1492000000000004</v>
      </c>
      <c r="AE13" s="465">
        <v>10</v>
      </c>
      <c r="AF13" s="466">
        <f t="shared" si="0"/>
        <v>91.492000000000004</v>
      </c>
      <c r="AG13" s="465" t="s">
        <v>801</v>
      </c>
      <c r="AH13" s="465">
        <v>17.1112</v>
      </c>
      <c r="AI13" s="4">
        <v>10</v>
      </c>
      <c r="AJ13" s="4">
        <f t="shared" si="1"/>
        <v>171.11199999999999</v>
      </c>
    </row>
    <row r="14" spans="1:36" ht="67.2">
      <c r="A14" s="7">
        <f>A11+1</f>
        <v>2</v>
      </c>
      <c r="B14" s="443" t="s">
        <v>782</v>
      </c>
      <c r="C14" s="7" t="s">
        <v>21</v>
      </c>
      <c r="D14" s="7"/>
      <c r="E14" s="8"/>
      <c r="F14" s="8"/>
      <c r="G14" s="8"/>
      <c r="H14" s="8"/>
      <c r="I14" s="8"/>
      <c r="J14" s="8"/>
      <c r="K14" s="469"/>
      <c r="AB14" s="464"/>
      <c r="AC14" s="465" t="s">
        <v>802</v>
      </c>
      <c r="AD14" s="465">
        <v>18.004300000000001</v>
      </c>
      <c r="AE14" s="465">
        <v>10</v>
      </c>
      <c r="AF14" s="466">
        <f t="shared" si="0"/>
        <v>180.04300000000001</v>
      </c>
      <c r="AG14" s="465" t="s">
        <v>802</v>
      </c>
      <c r="AH14" s="465">
        <v>17.1112</v>
      </c>
      <c r="AI14" s="4">
        <v>10</v>
      </c>
      <c r="AJ14" s="4">
        <f t="shared" si="1"/>
        <v>171.11199999999999</v>
      </c>
    </row>
    <row r="15" spans="1:36" ht="17.399999999999999" thickBot="1">
      <c r="A15" s="5">
        <f>A14+0.1</f>
        <v>2.1</v>
      </c>
      <c r="B15" s="6" t="s">
        <v>803</v>
      </c>
      <c r="C15" s="7"/>
      <c r="D15" s="7"/>
      <c r="E15" s="8"/>
      <c r="F15" s="8"/>
      <c r="G15" s="8"/>
      <c r="H15" s="8"/>
      <c r="I15" s="8"/>
      <c r="J15" s="8"/>
      <c r="K15" s="469"/>
      <c r="AB15" s="464"/>
      <c r="AC15" s="465"/>
      <c r="AD15" s="465"/>
      <c r="AE15" s="465"/>
      <c r="AF15" s="466"/>
      <c r="AG15" s="465"/>
      <c r="AH15" s="465"/>
    </row>
    <row r="16" spans="1:36">
      <c r="A16" s="10"/>
      <c r="B16" s="11" t="s">
        <v>804</v>
      </c>
      <c r="C16" s="12"/>
      <c r="D16" s="45">
        <v>1</v>
      </c>
      <c r="E16" s="22">
        <v>9.4</v>
      </c>
      <c r="F16" s="13"/>
      <c r="G16" s="13"/>
      <c r="H16" s="13"/>
      <c r="I16" s="22">
        <v>27.329499999999999</v>
      </c>
      <c r="J16" s="13">
        <f>ROUND(D16*E16*I16,2)</f>
        <v>256.89999999999998</v>
      </c>
      <c r="K16" s="16"/>
      <c r="N16" s="470" t="s">
        <v>367</v>
      </c>
      <c r="O16" s="96">
        <v>8</v>
      </c>
      <c r="P16" s="471"/>
      <c r="Q16" s="472"/>
      <c r="R16" s="96"/>
      <c r="S16" s="96"/>
      <c r="T16" s="96"/>
      <c r="U16" s="471"/>
      <c r="AB16" s="464"/>
      <c r="AC16" s="465" t="s">
        <v>805</v>
      </c>
      <c r="AD16" s="465">
        <v>7.4919000000000002</v>
      </c>
      <c r="AE16" s="465">
        <v>10</v>
      </c>
      <c r="AF16" s="466">
        <f t="shared" si="0"/>
        <v>74.918999999999997</v>
      </c>
      <c r="AG16" s="465" t="s">
        <v>805</v>
      </c>
      <c r="AH16" s="465">
        <v>17.1112</v>
      </c>
      <c r="AI16" s="4">
        <v>10</v>
      </c>
      <c r="AJ16" s="4">
        <f t="shared" si="1"/>
        <v>171.11199999999999</v>
      </c>
    </row>
    <row r="17" spans="1:36">
      <c r="A17" s="10"/>
      <c r="B17" s="11"/>
      <c r="C17" s="12"/>
      <c r="D17" s="12"/>
      <c r="E17" s="13"/>
      <c r="F17" s="13"/>
      <c r="G17" s="13"/>
      <c r="H17" s="13"/>
      <c r="I17" s="13"/>
      <c r="J17" s="13"/>
      <c r="K17" s="16"/>
      <c r="N17" s="124" t="s">
        <v>788</v>
      </c>
      <c r="O17" s="14">
        <v>6</v>
      </c>
      <c r="P17" s="473" t="s">
        <v>27</v>
      </c>
      <c r="Q17" s="474"/>
      <c r="R17" s="14"/>
      <c r="S17" s="14"/>
      <c r="T17" s="14"/>
      <c r="U17" s="473"/>
      <c r="AB17" s="464"/>
      <c r="AC17" s="465"/>
      <c r="AD17" s="465"/>
      <c r="AE17" s="465"/>
      <c r="AF17" s="466"/>
      <c r="AG17" s="465"/>
      <c r="AH17" s="465"/>
    </row>
    <row r="18" spans="1:36">
      <c r="A18" s="10"/>
      <c r="B18" s="14"/>
      <c r="C18" s="12"/>
      <c r="D18" s="12"/>
      <c r="E18" s="13"/>
      <c r="F18" s="13"/>
      <c r="G18" s="13"/>
      <c r="H18" s="13"/>
      <c r="I18" s="15" t="s">
        <v>20</v>
      </c>
      <c r="J18" s="468">
        <f>SUM(J16:J17)</f>
        <v>256.89999999999998</v>
      </c>
      <c r="K18" s="17"/>
      <c r="N18" s="124" t="s">
        <v>165</v>
      </c>
      <c r="O18" s="14">
        <v>3</v>
      </c>
      <c r="P18" s="473" t="s">
        <v>27</v>
      </c>
      <c r="Q18" s="474"/>
      <c r="R18" s="14"/>
      <c r="S18" s="14"/>
      <c r="T18" s="14"/>
      <c r="U18" s="473"/>
      <c r="AB18" s="464"/>
      <c r="AC18" s="465" t="s">
        <v>806</v>
      </c>
      <c r="AD18" s="465">
        <v>8.4400999999999993</v>
      </c>
      <c r="AE18" s="465">
        <v>10</v>
      </c>
      <c r="AF18" s="466">
        <f t="shared" si="0"/>
        <v>84.400999999999996</v>
      </c>
      <c r="AG18" s="465" t="s">
        <v>806</v>
      </c>
      <c r="AH18" s="465">
        <v>17.1112</v>
      </c>
      <c r="AI18" s="4">
        <v>10</v>
      </c>
      <c r="AJ18" s="4">
        <f t="shared" si="1"/>
        <v>171.11199999999999</v>
      </c>
    </row>
    <row r="19" spans="1:36">
      <c r="A19" s="5">
        <f>A14+1</f>
        <v>3</v>
      </c>
      <c r="B19" s="6" t="s">
        <v>838</v>
      </c>
      <c r="C19" s="7" t="s">
        <v>307</v>
      </c>
      <c r="D19" s="7"/>
      <c r="E19" s="8"/>
      <c r="F19" s="8"/>
      <c r="G19" s="8"/>
      <c r="H19" s="8"/>
      <c r="I19" s="8"/>
      <c r="J19" s="467"/>
      <c r="K19" s="475"/>
      <c r="N19" s="4" t="s">
        <v>788</v>
      </c>
      <c r="O19" s="4">
        <v>10</v>
      </c>
      <c r="P19" s="4" t="s">
        <v>27</v>
      </c>
      <c r="X19" s="4">
        <f>170.93-60</f>
        <v>110.93</v>
      </c>
      <c r="Y19" s="4">
        <v>60</v>
      </c>
      <c r="Z19" s="4">
        <f>SUM(X19:Y19)</f>
        <v>170.93</v>
      </c>
      <c r="AB19" s="464"/>
      <c r="AC19" s="465" t="s">
        <v>810</v>
      </c>
      <c r="AD19" s="465"/>
      <c r="AE19" s="465"/>
      <c r="AF19" s="466"/>
      <c r="AG19" s="465" t="s">
        <v>810</v>
      </c>
      <c r="AH19" s="465"/>
    </row>
    <row r="20" spans="1:36">
      <c r="A20" s="10"/>
      <c r="B20" s="341" t="s">
        <v>808</v>
      </c>
      <c r="C20" s="12"/>
      <c r="D20" s="14"/>
      <c r="E20" s="10"/>
      <c r="F20" s="14"/>
      <c r="G20" s="14"/>
      <c r="H20" s="14"/>
      <c r="I20" s="14"/>
      <c r="J20" s="14"/>
      <c r="K20" s="14"/>
      <c r="N20" s="4" t="s">
        <v>165</v>
      </c>
      <c r="O20" s="4">
        <v>13</v>
      </c>
      <c r="P20" s="4" t="s">
        <v>27</v>
      </c>
      <c r="X20" s="4">
        <v>0.2</v>
      </c>
      <c r="Y20" s="4">
        <v>0.3</v>
      </c>
      <c r="Z20" s="4">
        <f>Z23/Z19</f>
        <v>0.2351020885742702</v>
      </c>
      <c r="AB20" s="464"/>
      <c r="AC20" s="465" t="s">
        <v>811</v>
      </c>
      <c r="AD20" s="465"/>
      <c r="AE20" s="465"/>
      <c r="AF20" s="466"/>
      <c r="AG20" s="465" t="s">
        <v>811</v>
      </c>
      <c r="AH20" s="465"/>
    </row>
    <row r="21" spans="1:36">
      <c r="A21" s="10"/>
      <c r="B21" s="341" t="s">
        <v>814</v>
      </c>
      <c r="C21" s="12"/>
      <c r="D21" s="14"/>
      <c r="E21" s="10"/>
      <c r="F21" s="14"/>
      <c r="G21" s="14"/>
      <c r="H21" s="14"/>
      <c r="I21" s="14"/>
      <c r="J21" s="14"/>
      <c r="K21" s="14"/>
      <c r="AB21" s="464"/>
      <c r="AC21" s="465"/>
      <c r="AD21" s="465"/>
      <c r="AE21" s="465"/>
      <c r="AF21" s="466"/>
      <c r="AG21" s="465"/>
      <c r="AH21" s="465"/>
    </row>
    <row r="22" spans="1:36">
      <c r="A22" s="10"/>
      <c r="B22" s="341" t="s">
        <v>834</v>
      </c>
      <c r="C22" s="12"/>
      <c r="D22" s="14">
        <v>6</v>
      </c>
      <c r="E22" s="10">
        <v>11.4</v>
      </c>
      <c r="F22" s="14"/>
      <c r="G22" s="14"/>
      <c r="H22" s="14"/>
      <c r="I22" s="14"/>
      <c r="J22" s="14">
        <f>ROUND(E22/1.5,0)*D22</f>
        <v>48</v>
      </c>
      <c r="K22" s="14"/>
      <c r="AB22" s="464"/>
      <c r="AC22" s="465"/>
      <c r="AD22" s="465"/>
      <c r="AE22" s="465"/>
      <c r="AF22" s="466"/>
      <c r="AG22" s="465"/>
      <c r="AH22" s="465"/>
    </row>
    <row r="23" spans="1:36">
      <c r="A23" s="10"/>
      <c r="B23" s="341" t="s">
        <v>835</v>
      </c>
      <c r="C23" s="12"/>
      <c r="D23" s="14">
        <v>6</v>
      </c>
      <c r="E23" s="493">
        <v>10.9</v>
      </c>
      <c r="F23" s="13"/>
      <c r="G23" s="13"/>
      <c r="H23" s="13"/>
      <c r="I23" s="14"/>
      <c r="J23" s="14">
        <f>ROUND(E23/1.5,0)*D23</f>
        <v>42</v>
      </c>
      <c r="K23" s="16"/>
      <c r="N23" s="4" t="s">
        <v>490</v>
      </c>
      <c r="O23" s="4">
        <f>O19*O20</f>
        <v>130</v>
      </c>
      <c r="P23" s="473" t="s">
        <v>807</v>
      </c>
      <c r="X23" s="4">
        <f>X20*X19</f>
        <v>22.186000000000003</v>
      </c>
      <c r="Y23" s="4">
        <f>Y20*Y19</f>
        <v>18</v>
      </c>
      <c r="Z23" s="4">
        <f>SUM(X23:Y23)</f>
        <v>40.186000000000007</v>
      </c>
      <c r="AB23" s="464"/>
      <c r="AC23" s="465" t="s">
        <v>812</v>
      </c>
      <c r="AD23" s="465"/>
      <c r="AE23" s="465"/>
      <c r="AF23" s="466"/>
      <c r="AG23" s="465" t="s">
        <v>812</v>
      </c>
      <c r="AH23" s="465"/>
    </row>
    <row r="24" spans="1:36">
      <c r="A24" s="10"/>
      <c r="B24" s="341"/>
      <c r="C24" s="12"/>
      <c r="D24" s="14">
        <v>1</v>
      </c>
      <c r="E24" s="493">
        <v>1.22</v>
      </c>
      <c r="F24" s="13"/>
      <c r="G24" s="13"/>
      <c r="H24" s="13"/>
      <c r="I24" s="14"/>
      <c r="J24" s="14">
        <f>ROUND(E24/1.5,0)*D24</f>
        <v>1</v>
      </c>
      <c r="K24" s="16"/>
      <c r="AB24" s="464"/>
      <c r="AC24" s="465"/>
      <c r="AD24" s="465"/>
      <c r="AE24" s="465"/>
      <c r="AF24" s="465"/>
      <c r="AG24" s="465"/>
      <c r="AH24" s="465"/>
    </row>
    <row r="25" spans="1:36" ht="17.399999999999999" thickBot="1">
      <c r="A25" s="10"/>
      <c r="B25" s="14"/>
      <c r="C25" s="12"/>
      <c r="D25" s="12"/>
      <c r="E25" s="13"/>
      <c r="F25" s="13"/>
      <c r="G25" s="13"/>
      <c r="H25" s="13"/>
      <c r="I25" s="15" t="s">
        <v>20</v>
      </c>
      <c r="J25" s="468">
        <f>SUM(J22:J24)</f>
        <v>91</v>
      </c>
      <c r="K25" s="16"/>
      <c r="X25" s="481"/>
      <c r="Z25" s="482" t="e">
        <f>#REF!+#REF!</f>
        <v>#REF!</v>
      </c>
      <c r="AB25" s="481" t="s">
        <v>813</v>
      </c>
      <c r="AC25" s="4">
        <v>1</v>
      </c>
      <c r="AD25" s="4">
        <v>2.5</v>
      </c>
      <c r="AE25" s="4">
        <v>3.3</v>
      </c>
      <c r="AF25" s="4">
        <v>0.3</v>
      </c>
      <c r="AG25" s="4">
        <f>AD25*AE25+AF25*(AD25*2+AE25*2)</f>
        <v>11.73</v>
      </c>
      <c r="AH25" s="481">
        <f>AF25*AG25*AC25</f>
        <v>3.5190000000000001</v>
      </c>
      <c r="AI25" s="482">
        <f>AC25*AD25*AE25*AF25</f>
        <v>2.4750000000000001</v>
      </c>
    </row>
    <row r="26" spans="1:36" ht="17.399999999999999" thickBot="1">
      <c r="A26" s="5">
        <f>A19+1</f>
        <v>4</v>
      </c>
      <c r="B26" s="6" t="s">
        <v>839</v>
      </c>
      <c r="C26" s="7" t="s">
        <v>19</v>
      </c>
      <c r="D26" s="7"/>
      <c r="E26" s="8"/>
      <c r="F26" s="8"/>
      <c r="G26" s="8"/>
      <c r="H26" s="8"/>
      <c r="I26" s="8"/>
      <c r="J26" s="467"/>
      <c r="K26" s="9"/>
      <c r="N26" s="478" t="s">
        <v>439</v>
      </c>
      <c r="O26" s="479" t="e">
        <f>#REF!*#REF!</f>
        <v>#REF!</v>
      </c>
      <c r="P26" s="480" t="s">
        <v>307</v>
      </c>
    </row>
    <row r="27" spans="1:36">
      <c r="A27" s="10"/>
      <c r="B27" s="483" t="s">
        <v>836</v>
      </c>
      <c r="C27" s="12"/>
      <c r="D27" s="12">
        <v>1</v>
      </c>
      <c r="E27" s="13"/>
      <c r="F27" s="13"/>
      <c r="G27" s="13"/>
      <c r="I27" s="13">
        <v>11.069000000000001</v>
      </c>
      <c r="J27" s="13">
        <f>I27</f>
        <v>11.069000000000001</v>
      </c>
      <c r="K27" s="14"/>
      <c r="N27" s="4" t="s">
        <v>815</v>
      </c>
      <c r="O27" s="4">
        <v>15.86</v>
      </c>
      <c r="P27" s="473" t="s">
        <v>807</v>
      </c>
    </row>
    <row r="28" spans="1:36">
      <c r="A28" s="10"/>
      <c r="B28" s="483"/>
      <c r="C28" s="12"/>
      <c r="D28" s="12"/>
      <c r="E28" s="13"/>
      <c r="F28" s="13"/>
      <c r="G28" s="13"/>
      <c r="H28" s="13"/>
      <c r="I28" s="13" t="s">
        <v>20</v>
      </c>
      <c r="J28" s="359">
        <f>SUM(J27)</f>
        <v>11.069000000000001</v>
      </c>
      <c r="K28" s="14"/>
    </row>
    <row r="29" spans="1:36">
      <c r="A29" s="5"/>
      <c r="B29" s="6"/>
      <c r="C29" s="7"/>
      <c r="D29" s="7"/>
      <c r="E29" s="8"/>
      <c r="F29" s="8"/>
      <c r="G29" s="8"/>
      <c r="H29" s="8"/>
      <c r="I29" s="8"/>
      <c r="J29" s="467"/>
      <c r="K29" s="9"/>
      <c r="M29" s="485"/>
      <c r="N29" s="4" t="s">
        <v>816</v>
      </c>
      <c r="V29" s="485"/>
      <c r="W29" s="485"/>
      <c r="X29" s="486"/>
      <c r="Y29" s="486" t="s">
        <v>817</v>
      </c>
      <c r="Z29" s="487"/>
      <c r="AA29" s="486"/>
      <c r="AB29" s="486"/>
      <c r="AC29" s="486"/>
      <c r="AD29" s="487">
        <f>SUM(Z29:AC29)</f>
        <v>0</v>
      </c>
      <c r="AE29" s="486">
        <v>1.55</v>
      </c>
      <c r="AF29" s="487">
        <f>AE29*AD29</f>
        <v>0</v>
      </c>
    </row>
    <row r="30" spans="1:36">
      <c r="K30" s="20"/>
      <c r="M30" s="485"/>
      <c r="V30" s="485"/>
      <c r="W30" s="485"/>
      <c r="X30" s="486"/>
      <c r="Y30" s="486" t="s">
        <v>818</v>
      </c>
      <c r="Z30" s="487"/>
      <c r="AA30" s="486"/>
      <c r="AB30" s="486"/>
      <c r="AC30" s="486"/>
      <c r="AD30" s="487">
        <f>SUM(Z30:AC30)</f>
        <v>0</v>
      </c>
      <c r="AE30" s="486">
        <v>3.67</v>
      </c>
      <c r="AF30" s="487">
        <f>AE30*AD30</f>
        <v>0</v>
      </c>
    </row>
    <row r="31" spans="1:36">
      <c r="K31" s="20"/>
      <c r="M31" s="485"/>
      <c r="V31" s="485"/>
      <c r="W31" s="485"/>
      <c r="X31" s="486"/>
      <c r="Y31" s="486" t="s">
        <v>819</v>
      </c>
      <c r="Z31" s="487">
        <v>28.6753</v>
      </c>
      <c r="AA31" s="486">
        <v>10.838699999999999</v>
      </c>
      <c r="AB31" s="486"/>
      <c r="AC31" s="486"/>
      <c r="AD31" s="487">
        <f>SUM(Z31:AC31)</f>
        <v>39.513999999999996</v>
      </c>
      <c r="AE31" s="486">
        <v>6.82</v>
      </c>
      <c r="AF31" s="487">
        <f>AE31*AD31</f>
        <v>269.48548</v>
      </c>
    </row>
    <row r="32" spans="1:36">
      <c r="K32" s="20"/>
      <c r="M32" s="485"/>
      <c r="V32" s="485"/>
      <c r="W32" s="485"/>
      <c r="X32" s="486"/>
      <c r="Y32" s="486" t="s">
        <v>820</v>
      </c>
      <c r="Z32" s="487">
        <v>6.7416999999999998</v>
      </c>
      <c r="AA32" s="486">
        <v>13.9343</v>
      </c>
      <c r="AB32" s="486"/>
      <c r="AC32" s="486"/>
      <c r="AD32" s="487">
        <f>SUM(Z32:AC32)</f>
        <v>20.676000000000002</v>
      </c>
      <c r="AE32" s="486">
        <v>10.1</v>
      </c>
      <c r="AF32" s="488">
        <f>AE32*AD32</f>
        <v>208.82760000000002</v>
      </c>
    </row>
    <row r="33" spans="11:36" ht="17.399999999999999" thickBot="1">
      <c r="K33" s="20"/>
      <c r="M33" s="485"/>
      <c r="V33" s="485"/>
      <c r="W33" s="485"/>
      <c r="X33" s="486"/>
      <c r="Y33" s="486"/>
      <c r="Z33" s="486"/>
      <c r="AA33" s="486"/>
      <c r="AB33" s="486"/>
      <c r="AC33" s="2412" t="s">
        <v>821</v>
      </c>
      <c r="AD33" s="2412"/>
      <c r="AE33" s="2412"/>
      <c r="AF33" s="489">
        <f>SUM(AF29:AF32)</f>
        <v>478.31308000000001</v>
      </c>
    </row>
    <row r="34" spans="11:36" ht="17.399999999999999" thickTop="1">
      <c r="K34" s="20"/>
    </row>
    <row r="35" spans="11:36">
      <c r="K35" s="20"/>
    </row>
    <row r="36" spans="11:36">
      <c r="K36" s="20"/>
    </row>
    <row r="37" spans="11:36">
      <c r="K37" s="20"/>
      <c r="AA37" s="4" t="s">
        <v>822</v>
      </c>
      <c r="AB37" s="2413" t="s">
        <v>823</v>
      </c>
      <c r="AC37" s="2413"/>
      <c r="AD37" s="2413"/>
      <c r="AE37" s="2413"/>
      <c r="AF37" s="2413"/>
      <c r="AG37" s="2413"/>
      <c r="AH37" s="2413"/>
      <c r="AJ37" s="4" t="s">
        <v>490</v>
      </c>
    </row>
    <row r="38" spans="11:36">
      <c r="K38" s="20"/>
      <c r="AB38" s="490">
        <v>1</v>
      </c>
      <c r="AC38" s="490">
        <v>2</v>
      </c>
      <c r="AD38" s="490">
        <v>3</v>
      </c>
      <c r="AE38" s="490">
        <v>4</v>
      </c>
      <c r="AF38" s="490">
        <v>5</v>
      </c>
      <c r="AG38" s="490">
        <v>6</v>
      </c>
      <c r="AH38" s="490">
        <v>7</v>
      </c>
    </row>
    <row r="39" spans="11:36">
      <c r="K39" s="20"/>
      <c r="AA39" s="491" t="s">
        <v>824</v>
      </c>
      <c r="AB39" s="492">
        <v>3.5</v>
      </c>
      <c r="AC39" s="492">
        <v>2.96</v>
      </c>
      <c r="AD39" s="492">
        <v>3.11</v>
      </c>
      <c r="AE39" s="492">
        <v>4.21</v>
      </c>
      <c r="AF39" s="492">
        <v>3.75</v>
      </c>
      <c r="AG39" s="492">
        <v>2.66</v>
      </c>
      <c r="AH39" s="492">
        <v>2.52</v>
      </c>
      <c r="AI39" s="388">
        <f>AVERAGE(AB39:AH39)</f>
        <v>3.2442857142857142</v>
      </c>
    </row>
    <row r="40" spans="11:36">
      <c r="AA40" s="14" t="s">
        <v>825</v>
      </c>
      <c r="AB40" s="14">
        <v>1.5879999999999999</v>
      </c>
      <c r="AC40" s="14">
        <v>1.5879999999999999</v>
      </c>
      <c r="AD40" s="14">
        <v>1.5880000000000001</v>
      </c>
      <c r="AE40" s="14">
        <v>1.5880000000000001</v>
      </c>
      <c r="AF40" s="14">
        <v>1.5880000000000001</v>
      </c>
      <c r="AG40" s="14">
        <v>1.5880000000000001</v>
      </c>
      <c r="AH40" s="14">
        <v>1.5880000000000001</v>
      </c>
      <c r="AJ40" s="4">
        <f>5.2</f>
        <v>5.2</v>
      </c>
    </row>
    <row r="41" spans="11:36">
      <c r="AA41" s="14" t="s">
        <v>826</v>
      </c>
      <c r="AB41" s="13">
        <f>0.5^2*PI()*(AB39-0.4)</f>
        <v>2.4347343065320897</v>
      </c>
      <c r="AC41" s="13">
        <f t="shared" ref="AC41:AH41" si="2">0.5^2*PI()*(AC39-0.4)</f>
        <v>2.0106192982974678</v>
      </c>
      <c r="AD41" s="13">
        <f t="shared" si="2"/>
        <v>2.1284290228070848</v>
      </c>
      <c r="AE41" s="13">
        <f t="shared" si="2"/>
        <v>2.9923670025442779</v>
      </c>
      <c r="AF41" s="13">
        <f t="shared" si="2"/>
        <v>2.631083847381452</v>
      </c>
      <c r="AG41" s="13">
        <f t="shared" si="2"/>
        <v>1.7749998492782333</v>
      </c>
      <c r="AH41" s="13">
        <f t="shared" si="2"/>
        <v>1.6650441064025905</v>
      </c>
      <c r="AJ41" s="4">
        <f>AI39*PI()</f>
        <v>10.192224166146314</v>
      </c>
    </row>
    <row r="46" spans="11:36">
      <c r="Z46" s="4" t="s">
        <v>827</v>
      </c>
    </row>
    <row r="47" spans="11:36">
      <c r="Z47" s="4" t="s">
        <v>828</v>
      </c>
      <c r="AA47" s="4">
        <f>12.5*3</f>
        <v>37.5</v>
      </c>
    </row>
  </sheetData>
  <mergeCells count="2">
    <mergeCell ref="AC33:AE33"/>
    <mergeCell ref="AB37:AH37"/>
  </mergeCells>
  <pageMargins left="0.7" right="0.7" top="0.75" bottom="0.75" header="0.3" footer="0.3"/>
  <pageSetup scale="67" orientation="portrait" horizontalDpi="300" verticalDpi="300"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9"/>
  <dimension ref="A2:K43"/>
  <sheetViews>
    <sheetView workbookViewId="0"/>
  </sheetViews>
  <sheetFormatPr defaultColWidth="9.109375" defaultRowHeight="16.8"/>
  <cols>
    <col min="1" max="1" width="11.88671875" style="1" customWidth="1"/>
    <col min="2" max="2" width="27.88671875" style="1" customWidth="1"/>
    <col min="3" max="3" width="9.109375" style="1"/>
    <col min="4" max="4" width="11.109375" style="1" customWidth="1"/>
    <col min="5" max="5" width="11.33203125" style="1" customWidth="1"/>
    <col min="6" max="6" width="12" style="1" customWidth="1"/>
    <col min="7" max="7" width="9.109375" style="1"/>
    <col min="8" max="8" width="9.33203125" style="1" bestFit="1" customWidth="1"/>
    <col min="9" max="9" width="13.6640625" style="1" customWidth="1"/>
    <col min="10" max="10" width="13.44140625" style="1" customWidth="1"/>
    <col min="11" max="11" width="22.109375" style="1" customWidth="1"/>
    <col min="12" max="16384" width="9.109375" style="1"/>
  </cols>
  <sheetData>
    <row r="2" spans="1:11">
      <c r="A2" s="226" t="s">
        <v>0</v>
      </c>
      <c r="B2" s="1" t="e">
        <f>#REF!</f>
        <v>#REF!</v>
      </c>
    </row>
    <row r="3" spans="1:11">
      <c r="A3" s="119" t="s">
        <v>1</v>
      </c>
      <c r="B3" s="1" t="e">
        <f>#REF!</f>
        <v>#REF!</v>
      </c>
    </row>
    <row r="4" spans="1:11">
      <c r="A4" s="119" t="s">
        <v>2</v>
      </c>
      <c r="B4" s="227" t="s">
        <v>331</v>
      </c>
    </row>
    <row r="5" spans="1:11">
      <c r="A5" s="119" t="s">
        <v>3</v>
      </c>
      <c r="B5" s="1" t="s">
        <v>513</v>
      </c>
    </row>
    <row r="6" spans="1:11">
      <c r="A6" s="119" t="s">
        <v>4</v>
      </c>
    </row>
    <row r="7" spans="1:11">
      <c r="A7" s="119"/>
    </row>
    <row r="8" spans="1:11">
      <c r="A8" s="227" t="s">
        <v>511</v>
      </c>
    </row>
    <row r="9" spans="1:11">
      <c r="A9" s="230" t="s">
        <v>332</v>
      </c>
      <c r="B9" s="230" t="s">
        <v>8</v>
      </c>
      <c r="C9" s="230" t="s">
        <v>9</v>
      </c>
      <c r="D9" s="230" t="s">
        <v>333</v>
      </c>
      <c r="E9" s="230" t="s">
        <v>11</v>
      </c>
      <c r="F9" s="230" t="s">
        <v>12</v>
      </c>
      <c r="G9" s="230" t="s">
        <v>13</v>
      </c>
      <c r="H9" s="230" t="s">
        <v>15</v>
      </c>
      <c r="I9" s="230" t="s">
        <v>14</v>
      </c>
      <c r="J9" s="230" t="s">
        <v>16</v>
      </c>
      <c r="K9" s="230" t="s">
        <v>17</v>
      </c>
    </row>
    <row r="10" spans="1:11">
      <c r="A10" s="235">
        <v>1</v>
      </c>
      <c r="B10" s="231" t="s">
        <v>313</v>
      </c>
      <c r="C10" s="232" t="s">
        <v>306</v>
      </c>
      <c r="D10" s="232">
        <v>1</v>
      </c>
      <c r="E10" s="232">
        <f>(12.2+14.2)/2</f>
        <v>13.2</v>
      </c>
      <c r="F10" s="232"/>
      <c r="G10" s="232"/>
      <c r="H10" s="232">
        <v>25.92</v>
      </c>
      <c r="I10" s="232"/>
      <c r="J10" s="242">
        <f>D10*E10*H10</f>
        <v>342.14400000000001</v>
      </c>
      <c r="K10" s="232"/>
    </row>
    <row r="11" spans="1:11">
      <c r="A11" s="235"/>
      <c r="B11" s="231"/>
      <c r="C11" s="232"/>
      <c r="D11" s="232"/>
      <c r="E11" s="232"/>
      <c r="F11" s="232"/>
      <c r="G11" s="232"/>
      <c r="H11" s="232"/>
      <c r="I11" s="232"/>
      <c r="J11" s="232"/>
      <c r="K11" s="232"/>
    </row>
    <row r="12" spans="1:11">
      <c r="A12" s="235">
        <v>2</v>
      </c>
      <c r="B12" s="231" t="s">
        <v>316</v>
      </c>
      <c r="C12" s="232" t="s">
        <v>85</v>
      </c>
      <c r="D12" s="232">
        <v>1</v>
      </c>
      <c r="E12" s="232"/>
      <c r="F12" s="232"/>
      <c r="G12" s="232"/>
      <c r="H12" s="232">
        <v>203.34</v>
      </c>
      <c r="I12" s="232"/>
      <c r="J12" s="233">
        <f>D12*H12</f>
        <v>203.34</v>
      </c>
      <c r="K12" s="232"/>
    </row>
    <row r="13" spans="1:11">
      <c r="A13" s="231"/>
      <c r="B13" s="231"/>
      <c r="C13" s="232"/>
      <c r="D13" s="232"/>
      <c r="E13" s="232"/>
      <c r="F13" s="232"/>
      <c r="G13" s="232"/>
      <c r="H13" s="232"/>
      <c r="I13" s="232"/>
      <c r="J13" s="232"/>
      <c r="K13" s="232"/>
    </row>
    <row r="14" spans="1:11">
      <c r="A14" s="235">
        <v>3</v>
      </c>
      <c r="B14" s="231" t="s">
        <v>317</v>
      </c>
      <c r="C14" s="232" t="s">
        <v>311</v>
      </c>
      <c r="D14" s="232"/>
      <c r="E14" s="232"/>
      <c r="F14" s="232"/>
      <c r="G14" s="232"/>
      <c r="H14" s="232"/>
      <c r="I14" s="232">
        <v>83.8</v>
      </c>
      <c r="J14" s="243">
        <f>(I14/0.3)+1</f>
        <v>280.33333333333331</v>
      </c>
      <c r="K14" s="234" t="s">
        <v>512</v>
      </c>
    </row>
    <row r="18" spans="1:11">
      <c r="A18" s="227" t="s">
        <v>734</v>
      </c>
    </row>
    <row r="19" spans="1:11">
      <c r="A19" s="230" t="s">
        <v>332</v>
      </c>
      <c r="B19" s="230" t="s">
        <v>8</v>
      </c>
      <c r="C19" s="230" t="s">
        <v>9</v>
      </c>
      <c r="D19" s="230" t="s">
        <v>333</v>
      </c>
      <c r="E19" s="230" t="s">
        <v>11</v>
      </c>
      <c r="F19" s="230" t="s">
        <v>12</v>
      </c>
      <c r="G19" s="230" t="s">
        <v>13</v>
      </c>
      <c r="H19" s="230" t="s">
        <v>15</v>
      </c>
      <c r="I19" s="230" t="s">
        <v>14</v>
      </c>
      <c r="J19" s="230" t="s">
        <v>16</v>
      </c>
      <c r="K19" s="230" t="s">
        <v>17</v>
      </c>
    </row>
    <row r="20" spans="1:11">
      <c r="A20" s="239">
        <v>1</v>
      </c>
      <c r="B20" s="239" t="s">
        <v>313</v>
      </c>
      <c r="C20" s="44" t="s">
        <v>306</v>
      </c>
      <c r="D20" s="44">
        <v>1</v>
      </c>
      <c r="E20" s="44">
        <v>25.5</v>
      </c>
      <c r="F20" s="44"/>
      <c r="G20" s="44"/>
      <c r="H20" s="44">
        <v>122.84699999999999</v>
      </c>
      <c r="I20" s="44"/>
      <c r="J20" s="239">
        <f>D20*E20*H20</f>
        <v>3132.5985000000001</v>
      </c>
      <c r="K20" s="44"/>
    </row>
    <row r="21" spans="1:11">
      <c r="A21" s="44"/>
      <c r="B21" s="44"/>
      <c r="C21" s="44"/>
      <c r="D21" s="44"/>
      <c r="E21" s="44"/>
      <c r="F21" s="44"/>
      <c r="G21" s="44"/>
      <c r="H21" s="44"/>
      <c r="I21" s="44"/>
      <c r="J21" s="44"/>
      <c r="K21" s="44"/>
    </row>
    <row r="22" spans="1:11">
      <c r="A22" s="239">
        <v>2</v>
      </c>
      <c r="B22" s="239" t="s">
        <v>316</v>
      </c>
      <c r="C22" s="44" t="s">
        <v>85</v>
      </c>
      <c r="D22" s="44">
        <v>1</v>
      </c>
      <c r="E22" s="44"/>
      <c r="F22" s="44"/>
      <c r="G22" s="44"/>
      <c r="H22" s="44">
        <v>138.59</v>
      </c>
      <c r="I22" s="44"/>
      <c r="J22" s="239">
        <f>D22*H22</f>
        <v>138.59</v>
      </c>
      <c r="K22" s="44"/>
    </row>
    <row r="23" spans="1:11">
      <c r="A23" s="44"/>
      <c r="B23" s="44"/>
      <c r="C23" s="44"/>
      <c r="D23" s="44"/>
      <c r="E23" s="44"/>
      <c r="F23" s="44"/>
      <c r="G23" s="44"/>
      <c r="H23" s="44"/>
      <c r="I23" s="44"/>
      <c r="J23" s="44"/>
      <c r="K23" s="44"/>
    </row>
    <row r="24" spans="1:11">
      <c r="A24" s="239">
        <v>3</v>
      </c>
      <c r="B24" s="239" t="s">
        <v>507</v>
      </c>
      <c r="C24" s="44" t="s">
        <v>311</v>
      </c>
      <c r="D24" s="44"/>
      <c r="E24" s="44"/>
      <c r="F24" s="44"/>
      <c r="G24" s="44"/>
      <c r="H24" s="44"/>
      <c r="I24" s="44">
        <v>65.64</v>
      </c>
      <c r="J24" s="271">
        <f>(I24/0.3)+1</f>
        <v>219.8</v>
      </c>
      <c r="K24" s="234" t="s">
        <v>512</v>
      </c>
    </row>
    <row r="27" spans="1:11">
      <c r="A27" s="227" t="s">
        <v>735</v>
      </c>
    </row>
    <row r="28" spans="1:11">
      <c r="A28" s="230" t="s">
        <v>332</v>
      </c>
      <c r="B28" s="230" t="s">
        <v>8</v>
      </c>
      <c r="C28" s="230" t="s">
        <v>9</v>
      </c>
      <c r="D28" s="230" t="s">
        <v>333</v>
      </c>
      <c r="E28" s="230" t="s">
        <v>11</v>
      </c>
      <c r="F28" s="230" t="s">
        <v>12</v>
      </c>
      <c r="G28" s="230" t="s">
        <v>13</v>
      </c>
      <c r="H28" s="230" t="s">
        <v>15</v>
      </c>
      <c r="I28" s="230" t="s">
        <v>14</v>
      </c>
      <c r="J28" s="230" t="s">
        <v>16</v>
      </c>
      <c r="K28" s="230" t="s">
        <v>17</v>
      </c>
    </row>
    <row r="29" spans="1:11">
      <c r="A29" s="239">
        <v>1</v>
      </c>
      <c r="B29" s="239" t="s">
        <v>313</v>
      </c>
      <c r="C29" s="44" t="s">
        <v>306</v>
      </c>
      <c r="D29" s="44"/>
      <c r="E29" s="44"/>
      <c r="F29" s="44"/>
      <c r="G29" s="44"/>
      <c r="H29" s="44"/>
      <c r="I29" s="44"/>
      <c r="J29" s="269">
        <f>AVERAGE(J30:J30)</f>
        <v>1840.8000000000002</v>
      </c>
      <c r="K29" s="44"/>
    </row>
    <row r="30" spans="1:11">
      <c r="A30" s="44"/>
      <c r="B30" s="44"/>
      <c r="C30" s="44"/>
      <c r="D30" s="44">
        <v>1</v>
      </c>
      <c r="E30" s="44"/>
      <c r="F30" s="44">
        <v>11.8</v>
      </c>
      <c r="G30" s="44"/>
      <c r="H30" s="44">
        <v>156</v>
      </c>
      <c r="I30" s="44"/>
      <c r="J30" s="267">
        <f>D30*F30*H30</f>
        <v>1840.8000000000002</v>
      </c>
      <c r="K30" s="44" t="s">
        <v>665</v>
      </c>
    </row>
    <row r="31" spans="1:11">
      <c r="A31" s="239">
        <v>2</v>
      </c>
      <c r="B31" s="239" t="s">
        <v>316</v>
      </c>
      <c r="C31" s="44" t="s">
        <v>85</v>
      </c>
      <c r="D31" s="44">
        <v>1</v>
      </c>
      <c r="E31" s="44"/>
      <c r="F31" s="44"/>
      <c r="G31" s="44"/>
      <c r="H31" s="44">
        <v>165</v>
      </c>
      <c r="I31" s="44"/>
      <c r="J31" s="239">
        <f>D31*H31</f>
        <v>165</v>
      </c>
      <c r="K31" s="44"/>
    </row>
    <row r="32" spans="1:11">
      <c r="A32" s="44"/>
      <c r="B32" s="44"/>
      <c r="C32" s="44"/>
      <c r="D32" s="44"/>
      <c r="E32" s="44"/>
      <c r="F32" s="44"/>
      <c r="G32" s="44"/>
      <c r="H32" s="44"/>
      <c r="I32" s="44"/>
      <c r="J32" s="44"/>
      <c r="K32" s="44"/>
    </row>
    <row r="33" spans="1:11">
      <c r="A33" s="239">
        <v>3</v>
      </c>
      <c r="B33" s="239" t="s">
        <v>507</v>
      </c>
      <c r="C33" s="44" t="s">
        <v>311</v>
      </c>
      <c r="D33" s="44"/>
      <c r="E33" s="44"/>
      <c r="F33" s="44"/>
      <c r="G33" s="44"/>
      <c r="H33" s="44"/>
      <c r="I33" s="44">
        <v>76.400000000000006</v>
      </c>
      <c r="J33" s="271">
        <f>(I33/0.3)+1</f>
        <v>255.66666666666669</v>
      </c>
      <c r="K33" s="273"/>
    </row>
    <row r="37" spans="1:11">
      <c r="A37" s="227" t="s">
        <v>514</v>
      </c>
    </row>
    <row r="38" spans="1:11">
      <c r="A38" s="230" t="s">
        <v>332</v>
      </c>
      <c r="B38" s="230" t="s">
        <v>8</v>
      </c>
      <c r="C38" s="230" t="s">
        <v>9</v>
      </c>
      <c r="D38" s="2415" t="s">
        <v>515</v>
      </c>
      <c r="E38" s="2415"/>
    </row>
    <row r="39" spans="1:11">
      <c r="A39" s="239">
        <v>1</v>
      </c>
      <c r="B39" s="239" t="s">
        <v>313</v>
      </c>
      <c r="C39" s="44" t="s">
        <v>306</v>
      </c>
      <c r="D39" s="2416">
        <f>+J10+J20+J29</f>
        <v>5315.5425000000005</v>
      </c>
      <c r="E39" s="2417"/>
    </row>
    <row r="40" spans="1:11">
      <c r="A40" s="44"/>
      <c r="B40" s="44"/>
      <c r="C40" s="44"/>
      <c r="D40" s="2418"/>
      <c r="E40" s="2418"/>
    </row>
    <row r="41" spans="1:11">
      <c r="A41" s="239">
        <v>2</v>
      </c>
      <c r="B41" s="239" t="s">
        <v>316</v>
      </c>
      <c r="C41" s="44" t="s">
        <v>85</v>
      </c>
      <c r="D41" s="2417">
        <f>J12+J22+J31</f>
        <v>506.93</v>
      </c>
      <c r="E41" s="2415"/>
    </row>
    <row r="42" spans="1:11">
      <c r="A42" s="44"/>
      <c r="B42" s="44"/>
      <c r="C42" s="44"/>
      <c r="D42" s="2418"/>
      <c r="E42" s="2418"/>
    </row>
    <row r="43" spans="1:11">
      <c r="A43" s="239">
        <v>3</v>
      </c>
      <c r="B43" s="239" t="s">
        <v>507</v>
      </c>
      <c r="C43" s="44" t="s">
        <v>311</v>
      </c>
      <c r="D43" s="2414">
        <f>J14+J24+J33</f>
        <v>755.8</v>
      </c>
      <c r="E43" s="2415"/>
    </row>
  </sheetData>
  <mergeCells count="6">
    <mergeCell ref="D43:E43"/>
    <mergeCell ref="D38:E38"/>
    <mergeCell ref="D39:E39"/>
    <mergeCell ref="D40:E40"/>
    <mergeCell ref="D41:E41"/>
    <mergeCell ref="D42:E4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20"/>
  <dimension ref="A2:K56"/>
  <sheetViews>
    <sheetView workbookViewId="0"/>
  </sheetViews>
  <sheetFormatPr defaultColWidth="9.109375" defaultRowHeight="16.8"/>
  <cols>
    <col min="1" max="1" width="11.88671875" style="1" customWidth="1"/>
    <col min="2" max="2" width="27.88671875" style="1" customWidth="1"/>
    <col min="3" max="3" width="9.109375" style="1"/>
    <col min="4" max="4" width="11.109375" style="1" customWidth="1"/>
    <col min="5" max="5" width="11.33203125" style="1" customWidth="1"/>
    <col min="6" max="6" width="12" style="1" customWidth="1"/>
    <col min="7" max="7" width="9.109375" style="1"/>
    <col min="8" max="8" width="9.33203125" style="1" bestFit="1" customWidth="1"/>
    <col min="9" max="9" width="13.6640625" style="1" customWidth="1"/>
    <col min="10" max="10" width="13.44140625" style="1" customWidth="1"/>
    <col min="11" max="11" width="22.109375" style="1" customWidth="1"/>
    <col min="12" max="16384" width="9.109375" style="1"/>
  </cols>
  <sheetData>
    <row r="2" spans="1:11">
      <c r="A2" s="226" t="s">
        <v>0</v>
      </c>
      <c r="B2" s="1" t="s">
        <v>292</v>
      </c>
    </row>
    <row r="3" spans="1:11">
      <c r="A3" s="119" t="s">
        <v>1</v>
      </c>
      <c r="B3" s="228">
        <v>930076</v>
      </c>
    </row>
    <row r="4" spans="1:11">
      <c r="A4" s="119" t="s">
        <v>2</v>
      </c>
      <c r="B4" s="227" t="s">
        <v>331</v>
      </c>
    </row>
    <row r="5" spans="1:11">
      <c r="A5" s="119" t="s">
        <v>3</v>
      </c>
      <c r="B5" s="1" t="s">
        <v>513</v>
      </c>
    </row>
    <row r="6" spans="1:11">
      <c r="A6" s="119" t="s">
        <v>4</v>
      </c>
    </row>
    <row r="7" spans="1:11">
      <c r="A7" s="119"/>
    </row>
    <row r="8" spans="1:11">
      <c r="A8" s="227" t="s">
        <v>511</v>
      </c>
    </row>
    <row r="9" spans="1:11">
      <c r="A9" s="230" t="s">
        <v>332</v>
      </c>
      <c r="B9" s="230" t="s">
        <v>8</v>
      </c>
      <c r="C9" s="230" t="s">
        <v>9</v>
      </c>
      <c r="D9" s="230" t="s">
        <v>333</v>
      </c>
      <c r="E9" s="230" t="s">
        <v>11</v>
      </c>
      <c r="F9" s="230" t="s">
        <v>12</v>
      </c>
      <c r="G9" s="230" t="s">
        <v>13</v>
      </c>
      <c r="H9" s="230" t="s">
        <v>15</v>
      </c>
      <c r="I9" s="230" t="s">
        <v>14</v>
      </c>
      <c r="J9" s="230" t="s">
        <v>16</v>
      </c>
      <c r="K9" s="230" t="s">
        <v>17</v>
      </c>
    </row>
    <row r="10" spans="1:11">
      <c r="A10" s="235">
        <v>1</v>
      </c>
      <c r="B10" s="231" t="s">
        <v>313</v>
      </c>
      <c r="C10" s="232" t="s">
        <v>306</v>
      </c>
      <c r="D10" s="232">
        <v>1</v>
      </c>
      <c r="E10" s="232">
        <f>(12.2+14.2)/2</f>
        <v>13.2</v>
      </c>
      <c r="F10" s="232"/>
      <c r="G10" s="232"/>
      <c r="H10" s="232">
        <v>25.92</v>
      </c>
      <c r="I10" s="232"/>
      <c r="J10" s="242">
        <f>D10*E10*H10</f>
        <v>342.14400000000001</v>
      </c>
      <c r="K10" s="232"/>
    </row>
    <row r="11" spans="1:11">
      <c r="A11" s="235"/>
      <c r="B11" s="231"/>
      <c r="C11" s="232"/>
      <c r="D11" s="232"/>
      <c r="E11" s="232"/>
      <c r="F11" s="232"/>
      <c r="G11" s="232"/>
      <c r="H11" s="232"/>
      <c r="I11" s="232"/>
      <c r="J11" s="232"/>
      <c r="K11" s="232"/>
    </row>
    <row r="12" spans="1:11">
      <c r="A12" s="235">
        <v>2</v>
      </c>
      <c r="B12" s="231" t="s">
        <v>316</v>
      </c>
      <c r="C12" s="232" t="s">
        <v>85</v>
      </c>
      <c r="D12" s="232">
        <v>1</v>
      </c>
      <c r="E12" s="232"/>
      <c r="F12" s="232"/>
      <c r="G12" s="232"/>
      <c r="H12" s="232">
        <v>203.34</v>
      </c>
      <c r="I12" s="232"/>
      <c r="J12" s="233">
        <f>D12*H12</f>
        <v>203.34</v>
      </c>
      <c r="K12" s="232"/>
    </row>
    <row r="13" spans="1:11">
      <c r="A13" s="231"/>
      <c r="B13" s="231"/>
      <c r="C13" s="232"/>
      <c r="D13" s="232"/>
      <c r="E13" s="232"/>
      <c r="F13" s="232"/>
      <c r="G13" s="232"/>
      <c r="H13" s="232"/>
      <c r="I13" s="232"/>
      <c r="J13" s="232"/>
      <c r="K13" s="232"/>
    </row>
    <row r="14" spans="1:11">
      <c r="A14" s="235">
        <v>3</v>
      </c>
      <c r="B14" s="231" t="s">
        <v>317</v>
      </c>
      <c r="C14" s="232" t="s">
        <v>311</v>
      </c>
      <c r="D14" s="232"/>
      <c r="E14" s="232"/>
      <c r="F14" s="232"/>
      <c r="G14" s="232"/>
      <c r="H14" s="232"/>
      <c r="I14" s="232">
        <v>83.8</v>
      </c>
      <c r="J14" s="243">
        <f>(I14/0.3)+1</f>
        <v>280.33333333333331</v>
      </c>
      <c r="K14" s="234" t="s">
        <v>512</v>
      </c>
    </row>
    <row r="18" spans="1:11">
      <c r="A18" s="227" t="s">
        <v>508</v>
      </c>
    </row>
    <row r="19" spans="1:11">
      <c r="A19" s="230" t="s">
        <v>332</v>
      </c>
      <c r="B19" s="230" t="s">
        <v>8</v>
      </c>
      <c r="C19" s="230" t="s">
        <v>9</v>
      </c>
      <c r="D19" s="230" t="s">
        <v>333</v>
      </c>
      <c r="E19" s="230" t="s">
        <v>11</v>
      </c>
      <c r="F19" s="230" t="s">
        <v>12</v>
      </c>
      <c r="G19" s="230" t="s">
        <v>13</v>
      </c>
      <c r="H19" s="230" t="s">
        <v>15</v>
      </c>
      <c r="I19" s="230" t="s">
        <v>14</v>
      </c>
      <c r="J19" s="230" t="s">
        <v>16</v>
      </c>
      <c r="K19" s="230" t="s">
        <v>17</v>
      </c>
    </row>
    <row r="20" spans="1:11">
      <c r="A20" s="239">
        <v>1</v>
      </c>
      <c r="B20" s="239" t="s">
        <v>313</v>
      </c>
      <c r="C20" s="44" t="s">
        <v>306</v>
      </c>
      <c r="D20" s="44">
        <v>1</v>
      </c>
      <c r="E20" s="44">
        <v>25.5</v>
      </c>
      <c r="F20" s="44"/>
      <c r="G20" s="44"/>
      <c r="H20" s="44">
        <v>122.84699999999999</v>
      </c>
      <c r="I20" s="44"/>
      <c r="J20" s="239">
        <f>D20*E20*H20</f>
        <v>3132.5985000000001</v>
      </c>
      <c r="K20" s="44"/>
    </row>
    <row r="21" spans="1:11">
      <c r="A21" s="44"/>
      <c r="B21" s="44"/>
      <c r="C21" s="44"/>
      <c r="D21" s="44"/>
      <c r="E21" s="44"/>
      <c r="F21" s="44"/>
      <c r="G21" s="44"/>
      <c r="H21" s="44"/>
      <c r="I21" s="44"/>
      <c r="J21" s="44"/>
      <c r="K21" s="44"/>
    </row>
    <row r="22" spans="1:11">
      <c r="A22" s="239">
        <v>2</v>
      </c>
      <c r="B22" s="239" t="s">
        <v>316</v>
      </c>
      <c r="C22" s="44" t="s">
        <v>85</v>
      </c>
      <c r="D22" s="44">
        <v>1</v>
      </c>
      <c r="E22" s="44"/>
      <c r="F22" s="44"/>
      <c r="G22" s="44"/>
      <c r="H22" s="44">
        <v>138.59</v>
      </c>
      <c r="I22" s="44"/>
      <c r="J22" s="239">
        <f>D22*H22</f>
        <v>138.59</v>
      </c>
      <c r="K22" s="44"/>
    </row>
    <row r="23" spans="1:11">
      <c r="A23" s="44"/>
      <c r="B23" s="44"/>
      <c r="C23" s="44"/>
      <c r="D23" s="44"/>
      <c r="E23" s="44"/>
      <c r="F23" s="44"/>
      <c r="G23" s="44"/>
      <c r="H23" s="44"/>
      <c r="I23" s="44"/>
      <c r="J23" s="44"/>
      <c r="K23" s="44"/>
    </row>
    <row r="24" spans="1:11">
      <c r="A24" s="239">
        <v>3</v>
      </c>
      <c r="B24" s="239" t="s">
        <v>507</v>
      </c>
      <c r="C24" s="44" t="s">
        <v>311</v>
      </c>
      <c r="D24" s="44"/>
      <c r="E24" s="44"/>
      <c r="F24" s="44"/>
      <c r="G24" s="44"/>
      <c r="H24" s="44"/>
      <c r="I24" s="44">
        <v>65.64</v>
      </c>
      <c r="J24" s="271">
        <f>(I24/0.3)+1</f>
        <v>219.8</v>
      </c>
      <c r="K24" s="234" t="s">
        <v>512</v>
      </c>
    </row>
    <row r="27" spans="1:11">
      <c r="A27" s="227" t="s">
        <v>509</v>
      </c>
    </row>
    <row r="28" spans="1:11">
      <c r="A28" s="230" t="s">
        <v>332</v>
      </c>
      <c r="B28" s="230" t="s">
        <v>8</v>
      </c>
      <c r="C28" s="230" t="s">
        <v>9</v>
      </c>
      <c r="D28" s="230" t="s">
        <v>333</v>
      </c>
      <c r="E28" s="230" t="s">
        <v>11</v>
      </c>
      <c r="F28" s="230" t="s">
        <v>12</v>
      </c>
      <c r="G28" s="230" t="s">
        <v>13</v>
      </c>
      <c r="H28" s="230" t="s">
        <v>15</v>
      </c>
      <c r="I28" s="230" t="s">
        <v>14</v>
      </c>
      <c r="J28" s="230" t="s">
        <v>16</v>
      </c>
      <c r="K28" s="230" t="s">
        <v>17</v>
      </c>
    </row>
    <row r="29" spans="1:11">
      <c r="A29" s="239">
        <v>1</v>
      </c>
      <c r="B29" s="239" t="s">
        <v>313</v>
      </c>
      <c r="C29" s="44" t="s">
        <v>306</v>
      </c>
      <c r="D29" s="44"/>
      <c r="E29" s="44"/>
      <c r="F29" s="44"/>
      <c r="G29" s="44"/>
      <c r="H29" s="44"/>
      <c r="I29" s="44"/>
      <c r="J29" s="269"/>
      <c r="K29" s="44"/>
    </row>
    <row r="30" spans="1:11">
      <c r="A30" s="44"/>
      <c r="B30" s="44"/>
      <c r="C30" s="44"/>
      <c r="D30" s="44"/>
      <c r="E30" s="44"/>
      <c r="F30" s="44"/>
      <c r="G30" s="44"/>
      <c r="H30" s="44"/>
      <c r="I30" s="44"/>
      <c r="J30" s="44"/>
      <c r="K30" s="44"/>
    </row>
    <row r="31" spans="1:11">
      <c r="A31" s="239">
        <v>2</v>
      </c>
      <c r="B31" s="239" t="s">
        <v>316</v>
      </c>
      <c r="C31" s="44" t="s">
        <v>85</v>
      </c>
      <c r="D31" s="44"/>
      <c r="E31" s="44"/>
      <c r="F31" s="44"/>
      <c r="G31" s="44"/>
      <c r="H31" s="44"/>
      <c r="I31" s="44"/>
      <c r="J31" s="239"/>
      <c r="K31" s="44"/>
    </row>
    <row r="32" spans="1:11">
      <c r="A32" s="44"/>
      <c r="B32" s="44"/>
      <c r="C32" s="44"/>
      <c r="D32" s="44"/>
      <c r="E32" s="44"/>
      <c r="F32" s="44"/>
      <c r="G32" s="44"/>
      <c r="H32" s="44"/>
      <c r="I32" s="44"/>
      <c r="J32" s="44"/>
      <c r="K32" s="44"/>
    </row>
    <row r="33" spans="1:11">
      <c r="A33" s="239">
        <v>3</v>
      </c>
      <c r="B33" s="239" t="s">
        <v>507</v>
      </c>
      <c r="C33" s="44" t="s">
        <v>311</v>
      </c>
      <c r="D33" s="44"/>
      <c r="E33" s="44"/>
      <c r="F33" s="44"/>
      <c r="G33" s="44"/>
      <c r="H33" s="44"/>
      <c r="I33" s="44"/>
      <c r="J33" s="271"/>
      <c r="K33" s="273"/>
    </row>
    <row r="36" spans="1:11">
      <c r="A36" s="227" t="s">
        <v>516</v>
      </c>
    </row>
    <row r="37" spans="1:11">
      <c r="A37" s="230" t="s">
        <v>332</v>
      </c>
      <c r="B37" s="230" t="s">
        <v>8</v>
      </c>
      <c r="C37" s="230" t="s">
        <v>9</v>
      </c>
      <c r="D37" s="230" t="s">
        <v>333</v>
      </c>
      <c r="E37" s="230" t="s">
        <v>11</v>
      </c>
      <c r="F37" s="230" t="s">
        <v>12</v>
      </c>
      <c r="G37" s="230" t="s">
        <v>13</v>
      </c>
      <c r="H37" s="230" t="s">
        <v>15</v>
      </c>
      <c r="I37" s="230" t="s">
        <v>14</v>
      </c>
      <c r="J37" s="230" t="s">
        <v>16</v>
      </c>
      <c r="K37" s="230" t="s">
        <v>17</v>
      </c>
    </row>
    <row r="38" spans="1:11">
      <c r="A38" s="239">
        <v>1</v>
      </c>
      <c r="B38" s="239" t="s">
        <v>313</v>
      </c>
      <c r="C38" s="44" t="s">
        <v>306</v>
      </c>
      <c r="D38" s="44">
        <v>1</v>
      </c>
      <c r="E38" s="44">
        <v>0</v>
      </c>
      <c r="F38" s="44"/>
      <c r="G38" s="44"/>
      <c r="H38" s="44">
        <v>1.8198000000000001</v>
      </c>
      <c r="I38" s="44"/>
      <c r="J38" s="269">
        <f>D38*E38*H38</f>
        <v>0</v>
      </c>
      <c r="K38" s="44"/>
    </row>
    <row r="39" spans="1:11">
      <c r="A39" s="44"/>
      <c r="B39" s="44"/>
      <c r="C39" s="44"/>
      <c r="D39" s="44"/>
      <c r="E39" s="44"/>
      <c r="F39" s="44"/>
      <c r="G39" s="44"/>
      <c r="H39" s="44"/>
      <c r="I39" s="44"/>
      <c r="J39" s="44"/>
      <c r="K39" s="44"/>
    </row>
    <row r="40" spans="1:11">
      <c r="A40" s="239">
        <v>2</v>
      </c>
      <c r="B40" s="239" t="s">
        <v>316</v>
      </c>
      <c r="C40" s="44" t="s">
        <v>85</v>
      </c>
      <c r="D40" s="44">
        <v>1</v>
      </c>
      <c r="E40" s="44">
        <v>0</v>
      </c>
      <c r="F40" s="44"/>
      <c r="G40" s="44"/>
      <c r="H40" s="44"/>
      <c r="I40" s="44">
        <v>11.8809</v>
      </c>
      <c r="J40" s="239">
        <f>D40*E40*I40</f>
        <v>0</v>
      </c>
      <c r="K40" s="44"/>
    </row>
    <row r="41" spans="1:11">
      <c r="A41" s="44"/>
      <c r="B41" s="44"/>
      <c r="C41" s="44"/>
      <c r="D41" s="44"/>
      <c r="E41" s="44"/>
      <c r="F41" s="44"/>
      <c r="G41" s="44"/>
      <c r="H41" s="44"/>
      <c r="I41" s="44"/>
      <c r="J41" s="44"/>
      <c r="K41" s="44"/>
    </row>
    <row r="42" spans="1:11">
      <c r="A42" s="239">
        <v>3</v>
      </c>
      <c r="B42" s="239" t="s">
        <v>507</v>
      </c>
      <c r="C42" s="44" t="s">
        <v>311</v>
      </c>
      <c r="D42" s="44"/>
      <c r="E42" s="44"/>
      <c r="F42" s="44"/>
      <c r="G42" s="44"/>
      <c r="H42" s="44"/>
      <c r="I42" s="44">
        <v>11.8809</v>
      </c>
      <c r="J42" s="271">
        <v>0</v>
      </c>
      <c r="K42" s="273" t="s">
        <v>510</v>
      </c>
    </row>
    <row r="50" spans="1:5">
      <c r="A50" s="227" t="s">
        <v>514</v>
      </c>
    </row>
    <row r="51" spans="1:5">
      <c r="A51" s="230" t="s">
        <v>332</v>
      </c>
      <c r="B51" s="230" t="s">
        <v>8</v>
      </c>
      <c r="C51" s="230" t="s">
        <v>9</v>
      </c>
      <c r="D51" s="2415" t="s">
        <v>515</v>
      </c>
      <c r="E51" s="2415"/>
    </row>
    <row r="52" spans="1:5">
      <c r="A52" s="239">
        <v>1</v>
      </c>
      <c r="B52" s="239" t="s">
        <v>313</v>
      </c>
      <c r="C52" s="44" t="s">
        <v>306</v>
      </c>
      <c r="D52" s="2417">
        <f>J10+J20+J29+J38</f>
        <v>3474.7425000000003</v>
      </c>
      <c r="E52" s="2417"/>
    </row>
    <row r="53" spans="1:5">
      <c r="A53" s="44"/>
      <c r="B53" s="44"/>
      <c r="C53" s="44"/>
      <c r="D53" s="2418"/>
      <c r="E53" s="2418"/>
    </row>
    <row r="54" spans="1:5">
      <c r="A54" s="239">
        <v>2</v>
      </c>
      <c r="B54" s="239" t="s">
        <v>316</v>
      </c>
      <c r="C54" s="44" t="s">
        <v>85</v>
      </c>
      <c r="D54" s="2417">
        <f>J12+J22+J31+J40</f>
        <v>341.93</v>
      </c>
      <c r="E54" s="2415"/>
    </row>
    <row r="55" spans="1:5">
      <c r="A55" s="44"/>
      <c r="B55" s="44"/>
      <c r="C55" s="44"/>
      <c r="D55" s="2418"/>
      <c r="E55" s="2418"/>
    </row>
    <row r="56" spans="1:5">
      <c r="A56" s="239">
        <v>3</v>
      </c>
      <c r="B56" s="239" t="s">
        <v>507</v>
      </c>
      <c r="C56" s="44" t="s">
        <v>311</v>
      </c>
      <c r="D56" s="2414">
        <f>J14+J24+J33+J42</f>
        <v>500.13333333333333</v>
      </c>
      <c r="E56" s="2415"/>
    </row>
  </sheetData>
  <mergeCells count="6">
    <mergeCell ref="D56:E56"/>
    <mergeCell ref="D51:E51"/>
    <mergeCell ref="D52:E52"/>
    <mergeCell ref="D53:E53"/>
    <mergeCell ref="D54:E54"/>
    <mergeCell ref="D55:E55"/>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22"/>
  <dimension ref="A2:R107"/>
  <sheetViews>
    <sheetView workbookViewId="0"/>
  </sheetViews>
  <sheetFormatPr defaultColWidth="9.109375" defaultRowHeight="16.8"/>
  <cols>
    <col min="1" max="1" width="12.109375" style="1" customWidth="1"/>
    <col min="2" max="2" width="33.44140625" style="1" customWidth="1"/>
    <col min="3" max="3" width="10.33203125" style="1" customWidth="1"/>
    <col min="4" max="4" width="22.5546875" style="1" customWidth="1"/>
    <col min="5" max="6" width="11.109375" style="1" customWidth="1"/>
    <col min="7" max="7" width="9.44140625" style="1" customWidth="1"/>
    <col min="8" max="8" width="11" style="1" customWidth="1"/>
    <col min="9" max="9" width="12.33203125" style="1" customWidth="1"/>
    <col min="10" max="10" width="13" style="1" customWidth="1"/>
    <col min="11" max="12" width="15" style="1" customWidth="1"/>
    <col min="13" max="13" width="14" style="1" customWidth="1"/>
    <col min="14" max="15" width="13.6640625" style="1" customWidth="1"/>
    <col min="16" max="16" width="20.6640625" style="1" customWidth="1"/>
    <col min="17" max="17" width="18" style="1" customWidth="1"/>
    <col min="18" max="18" width="23.5546875" style="1" customWidth="1"/>
    <col min="19" max="16384" width="9.109375" style="1"/>
  </cols>
  <sheetData>
    <row r="2" spans="1:13">
      <c r="A2" s="226" t="s">
        <v>0</v>
      </c>
      <c r="B2" s="1" t="e">
        <f>#REF!</f>
        <v>#REF!</v>
      </c>
    </row>
    <row r="3" spans="1:13">
      <c r="A3" s="119" t="s">
        <v>1</v>
      </c>
      <c r="B3" s="1" t="e">
        <f>#REF!</f>
        <v>#REF!</v>
      </c>
    </row>
    <row r="4" spans="1:13">
      <c r="A4" s="119" t="s">
        <v>2</v>
      </c>
      <c r="B4" s="227" t="s">
        <v>331</v>
      </c>
    </row>
    <row r="5" spans="1:13">
      <c r="A5" s="119" t="s">
        <v>3</v>
      </c>
      <c r="B5" s="1" t="s">
        <v>340</v>
      </c>
    </row>
    <row r="6" spans="1:13">
      <c r="A6" s="119" t="s">
        <v>4</v>
      </c>
    </row>
    <row r="8" spans="1:13">
      <c r="A8" s="230" t="s">
        <v>332</v>
      </c>
      <c r="B8" s="230" t="s">
        <v>8</v>
      </c>
      <c r="C8" s="230" t="s">
        <v>9</v>
      </c>
      <c r="D8" s="230" t="s">
        <v>358</v>
      </c>
      <c r="E8" s="230" t="s">
        <v>11</v>
      </c>
      <c r="F8" s="230" t="s">
        <v>12</v>
      </c>
      <c r="G8" s="230"/>
      <c r="H8" s="230" t="s">
        <v>13</v>
      </c>
      <c r="I8" s="230" t="s">
        <v>15</v>
      </c>
      <c r="J8" s="230" t="s">
        <v>357</v>
      </c>
      <c r="K8" s="230" t="s">
        <v>16</v>
      </c>
      <c r="L8" s="230"/>
      <c r="M8" s="230" t="s">
        <v>17</v>
      </c>
    </row>
    <row r="9" spans="1:13">
      <c r="A9" s="263">
        <v>1</v>
      </c>
      <c r="B9" s="264" t="s">
        <v>310</v>
      </c>
      <c r="C9" s="232" t="s">
        <v>306</v>
      </c>
      <c r="D9" s="245"/>
      <c r="E9" s="245"/>
      <c r="F9" s="245"/>
      <c r="G9" s="245"/>
      <c r="H9" s="245"/>
      <c r="I9" s="245"/>
      <c r="J9" s="245"/>
      <c r="K9" s="245"/>
      <c r="L9" s="303"/>
      <c r="M9" s="246"/>
    </row>
    <row r="10" spans="1:13">
      <c r="A10" s="247"/>
      <c r="B10" s="244" t="s">
        <v>341</v>
      </c>
      <c r="C10" s="248"/>
      <c r="D10" s="248">
        <v>4</v>
      </c>
      <c r="E10" s="248">
        <v>111</v>
      </c>
      <c r="F10" s="248">
        <v>4.2</v>
      </c>
      <c r="G10" s="248"/>
      <c r="H10" s="248"/>
      <c r="I10" s="249">
        <v>15.88</v>
      </c>
      <c r="J10" s="249">
        <f t="shared" ref="J10:J15" si="0">E10*I10</f>
        <v>1762.68</v>
      </c>
      <c r="K10" s="248">
        <f t="shared" ref="K10:K15" si="1">ROUNDUP(J10,0)</f>
        <v>1763</v>
      </c>
      <c r="L10" s="304"/>
      <c r="M10" s="250"/>
    </row>
    <row r="11" spans="1:13">
      <c r="A11" s="251"/>
      <c r="B11" s="260" t="s">
        <v>342</v>
      </c>
      <c r="C11" s="232"/>
      <c r="D11" s="232">
        <v>4.0999999999999996</v>
      </c>
      <c r="E11" s="232">
        <v>290</v>
      </c>
      <c r="F11" s="248">
        <v>4.25</v>
      </c>
      <c r="G11" s="248"/>
      <c r="H11" s="248"/>
      <c r="I11" s="232">
        <v>16.440000000000001</v>
      </c>
      <c r="J11" s="249">
        <f t="shared" si="0"/>
        <v>4767.6000000000004</v>
      </c>
      <c r="K11" s="248">
        <f t="shared" si="1"/>
        <v>4768</v>
      </c>
      <c r="L11" s="304"/>
      <c r="M11" s="252"/>
    </row>
    <row r="12" spans="1:13">
      <c r="A12" s="247"/>
      <c r="B12" s="260" t="s">
        <v>343</v>
      </c>
      <c r="C12" s="232"/>
      <c r="D12" s="232">
        <v>4.0999999999999996</v>
      </c>
      <c r="E12" s="232">
        <v>270</v>
      </c>
      <c r="F12" s="232">
        <v>4.25</v>
      </c>
      <c r="G12" s="232"/>
      <c r="H12" s="232"/>
      <c r="I12" s="232">
        <v>16.440000000000001</v>
      </c>
      <c r="J12" s="249">
        <f t="shared" si="0"/>
        <v>4438.8</v>
      </c>
      <c r="K12" s="248">
        <f t="shared" si="1"/>
        <v>4439</v>
      </c>
      <c r="L12" s="304"/>
      <c r="M12" s="252"/>
    </row>
    <row r="13" spans="1:13">
      <c r="A13" s="251"/>
      <c r="B13" s="260" t="s">
        <v>344</v>
      </c>
      <c r="C13" s="232"/>
      <c r="D13" s="248">
        <v>4.2</v>
      </c>
      <c r="E13" s="248">
        <v>510</v>
      </c>
      <c r="F13" s="232">
        <v>4.3</v>
      </c>
      <c r="G13" s="232"/>
      <c r="H13" s="232"/>
      <c r="I13" s="232">
        <v>17</v>
      </c>
      <c r="J13" s="249">
        <f t="shared" si="0"/>
        <v>8670</v>
      </c>
      <c r="K13" s="248">
        <f t="shared" si="1"/>
        <v>8670</v>
      </c>
      <c r="L13" s="304"/>
      <c r="M13" s="252"/>
    </row>
    <row r="14" spans="1:13">
      <c r="A14" s="247"/>
      <c r="B14" s="260" t="s">
        <v>345</v>
      </c>
      <c r="C14" s="232"/>
      <c r="D14" s="232">
        <v>4.2</v>
      </c>
      <c r="E14" s="232">
        <v>620</v>
      </c>
      <c r="F14" s="232">
        <v>4.3</v>
      </c>
      <c r="G14" s="232"/>
      <c r="H14" s="232"/>
      <c r="I14" s="232">
        <v>17</v>
      </c>
      <c r="J14" s="249">
        <f t="shared" si="0"/>
        <v>10540</v>
      </c>
      <c r="K14" s="248">
        <f t="shared" si="1"/>
        <v>10540</v>
      </c>
      <c r="L14" s="304"/>
      <c r="M14" s="252"/>
    </row>
    <row r="15" spans="1:13">
      <c r="A15" s="251"/>
      <c r="B15" s="260" t="s">
        <v>346</v>
      </c>
      <c r="C15" s="232"/>
      <c r="D15" s="232">
        <v>4.9000000000000004</v>
      </c>
      <c r="E15" s="232">
        <v>200</v>
      </c>
      <c r="F15" s="232">
        <v>4.6500000000000004</v>
      </c>
      <c r="G15" s="232"/>
      <c r="H15" s="232"/>
      <c r="I15" s="232">
        <v>20.2</v>
      </c>
      <c r="J15" s="249">
        <f t="shared" si="0"/>
        <v>4040</v>
      </c>
      <c r="K15" s="248">
        <f t="shared" si="1"/>
        <v>4040</v>
      </c>
      <c r="L15" s="304"/>
      <c r="M15" s="252"/>
    </row>
    <row r="16" spans="1:13" ht="17.399999999999999" thickBot="1">
      <c r="A16" s="253"/>
      <c r="B16" s="254"/>
      <c r="C16" s="254"/>
      <c r="D16" s="254"/>
      <c r="E16" s="254"/>
      <c r="F16" s="254"/>
      <c r="G16" s="254"/>
      <c r="H16" s="254"/>
      <c r="I16" s="254"/>
      <c r="J16" s="254" t="s">
        <v>20</v>
      </c>
      <c r="K16" s="266">
        <f>SUM(K10:K15)</f>
        <v>34220</v>
      </c>
      <c r="L16" s="305"/>
      <c r="M16" s="255"/>
    </row>
    <row r="17" spans="1:13">
      <c r="A17" s="263">
        <v>2</v>
      </c>
      <c r="B17" s="265" t="s">
        <v>347</v>
      </c>
      <c r="C17" s="232" t="s">
        <v>85</v>
      </c>
      <c r="D17" s="256"/>
      <c r="E17" s="256"/>
      <c r="F17" s="256"/>
      <c r="G17" s="256"/>
      <c r="H17" s="256"/>
      <c r="I17" s="256"/>
      <c r="J17" s="256"/>
      <c r="K17" s="256"/>
      <c r="L17" s="306"/>
      <c r="M17" s="257"/>
    </row>
    <row r="18" spans="1:13">
      <c r="A18" s="258"/>
      <c r="B18" s="260" t="s">
        <v>348</v>
      </c>
      <c r="C18" s="232"/>
      <c r="D18" s="232"/>
      <c r="E18" s="232">
        <f>E11+E12</f>
        <v>560</v>
      </c>
      <c r="F18" s="232"/>
      <c r="G18" s="232"/>
      <c r="H18" s="232">
        <v>10.84</v>
      </c>
      <c r="I18" s="232">
        <f>H18*E18</f>
        <v>6070.4</v>
      </c>
      <c r="J18" s="232"/>
      <c r="K18" s="231">
        <f>ROUNDUP(I18,0)</f>
        <v>6071</v>
      </c>
      <c r="L18" s="278"/>
      <c r="M18" s="287" t="s">
        <v>452</v>
      </c>
    </row>
    <row r="19" spans="1:13">
      <c r="A19" s="258"/>
      <c r="B19" s="260" t="s">
        <v>349</v>
      </c>
      <c r="C19" s="232"/>
      <c r="D19" s="231"/>
      <c r="E19" s="232">
        <f>E13+E14</f>
        <v>1130</v>
      </c>
      <c r="F19" s="231"/>
      <c r="G19" s="231"/>
      <c r="H19" s="232">
        <v>10.99</v>
      </c>
      <c r="I19" s="232">
        <f>H19*E19</f>
        <v>12418.7</v>
      </c>
      <c r="J19" s="232"/>
      <c r="K19" s="231">
        <f>ROUNDUP(I19,0)</f>
        <v>12419</v>
      </c>
      <c r="L19" s="278"/>
      <c r="M19" s="287" t="s">
        <v>453</v>
      </c>
    </row>
    <row r="20" spans="1:13">
      <c r="A20" s="258"/>
      <c r="B20" s="260" t="s">
        <v>350</v>
      </c>
      <c r="C20" s="232"/>
      <c r="D20" s="232"/>
      <c r="E20" s="232">
        <f>E15</f>
        <v>200</v>
      </c>
      <c r="F20" s="232"/>
      <c r="G20" s="232"/>
      <c r="H20" s="232">
        <v>11.15</v>
      </c>
      <c r="I20" s="232">
        <f>H20*E20</f>
        <v>2230</v>
      </c>
      <c r="J20" s="232"/>
      <c r="K20" s="231">
        <f>ROUNDUP(I20,0)</f>
        <v>2230</v>
      </c>
      <c r="L20" s="278"/>
      <c r="M20" s="287" t="s">
        <v>454</v>
      </c>
    </row>
    <row r="21" spans="1:13" ht="17.399999999999999" thickBot="1">
      <c r="A21" s="259"/>
      <c r="B21" s="254"/>
      <c r="C21" s="254"/>
      <c r="D21" s="254"/>
      <c r="E21" s="254"/>
      <c r="F21" s="254"/>
      <c r="G21" s="254"/>
      <c r="H21" s="254"/>
      <c r="I21" s="254"/>
      <c r="J21" s="254"/>
      <c r="K21" s="254"/>
      <c r="L21" s="307"/>
      <c r="M21" s="255"/>
    </row>
    <row r="22" spans="1:13">
      <c r="A22" s="263">
        <v>3</v>
      </c>
      <c r="B22" s="265" t="s">
        <v>328</v>
      </c>
      <c r="C22" s="252" t="s">
        <v>307</v>
      </c>
      <c r="D22" s="256"/>
      <c r="E22" s="256"/>
      <c r="F22" s="256"/>
      <c r="G22" s="256"/>
      <c r="H22" s="256"/>
      <c r="I22" s="256"/>
      <c r="J22" s="256"/>
      <c r="K22" s="256"/>
      <c r="L22" s="306"/>
      <c r="M22" s="286" t="s">
        <v>446</v>
      </c>
    </row>
    <row r="23" spans="1:13">
      <c r="A23" s="258"/>
      <c r="B23" s="260" t="s">
        <v>475</v>
      </c>
      <c r="C23" s="232"/>
      <c r="D23" s="232"/>
      <c r="E23" s="232"/>
      <c r="F23" s="232"/>
      <c r="G23" s="232"/>
      <c r="H23" s="232"/>
      <c r="I23" s="232"/>
      <c r="J23" s="232"/>
      <c r="K23" s="231">
        <v>11770</v>
      </c>
      <c r="L23" s="278"/>
      <c r="M23" s="287" t="s">
        <v>447</v>
      </c>
    </row>
    <row r="24" spans="1:13">
      <c r="A24" s="262"/>
      <c r="B24" s="283"/>
      <c r="C24" s="284"/>
      <c r="D24" s="284"/>
      <c r="E24" s="284"/>
      <c r="F24" s="284"/>
      <c r="G24" s="284"/>
      <c r="H24" s="284"/>
      <c r="I24" s="284"/>
      <c r="J24" s="284"/>
      <c r="K24" s="285"/>
      <c r="L24" s="308"/>
      <c r="M24" s="287" t="s">
        <v>448</v>
      </c>
    </row>
    <row r="25" spans="1:13">
      <c r="A25" s="262"/>
      <c r="B25" s="283"/>
      <c r="C25" s="284"/>
      <c r="D25" s="284"/>
      <c r="E25" s="284"/>
      <c r="F25" s="284"/>
      <c r="G25" s="284"/>
      <c r="H25" s="284"/>
      <c r="I25" s="284"/>
      <c r="J25" s="284"/>
      <c r="K25" s="285"/>
      <c r="L25" s="308"/>
      <c r="M25" s="287" t="s">
        <v>449</v>
      </c>
    </row>
    <row r="26" spans="1:13">
      <c r="A26" s="262"/>
      <c r="B26" s="283"/>
      <c r="C26" s="284"/>
      <c r="D26" s="284"/>
      <c r="E26" s="284"/>
      <c r="F26" s="284"/>
      <c r="G26" s="284"/>
      <c r="H26" s="284"/>
      <c r="I26" s="284"/>
      <c r="J26" s="284"/>
      <c r="K26" s="285"/>
      <c r="L26" s="308"/>
      <c r="M26" s="287" t="s">
        <v>450</v>
      </c>
    </row>
    <row r="27" spans="1:13" ht="17.399999999999999" thickBot="1">
      <c r="A27" s="259"/>
      <c r="B27" s="254"/>
      <c r="C27" s="254"/>
      <c r="D27" s="254"/>
      <c r="E27" s="254"/>
      <c r="F27" s="254"/>
      <c r="G27" s="254"/>
      <c r="H27" s="254"/>
      <c r="I27" s="254"/>
      <c r="J27" s="254"/>
      <c r="K27" s="254"/>
      <c r="L27" s="307"/>
      <c r="M27" s="255"/>
    </row>
    <row r="28" spans="1:13">
      <c r="A28" s="263">
        <v>4</v>
      </c>
      <c r="B28" s="265" t="s">
        <v>318</v>
      </c>
      <c r="C28" s="252" t="s">
        <v>307</v>
      </c>
      <c r="D28" s="256"/>
      <c r="E28" s="256"/>
      <c r="F28" s="256"/>
      <c r="G28" s="256"/>
      <c r="H28" s="256"/>
      <c r="I28" s="256"/>
      <c r="J28" s="256"/>
      <c r="K28" s="256"/>
      <c r="L28" s="306"/>
      <c r="M28" s="257"/>
    </row>
    <row r="29" spans="1:13">
      <c r="A29" s="258"/>
      <c r="B29" s="232" t="s">
        <v>351</v>
      </c>
      <c r="C29" s="232"/>
      <c r="D29" s="232"/>
      <c r="E29" s="232"/>
      <c r="F29" s="232"/>
      <c r="G29" s="232"/>
      <c r="H29" s="232"/>
      <c r="I29" s="232"/>
      <c r="J29" s="232"/>
      <c r="K29" s="231">
        <v>370</v>
      </c>
      <c r="L29" s="278"/>
      <c r="M29" s="287" t="s">
        <v>451</v>
      </c>
    </row>
    <row r="30" spans="1:13" ht="17.399999999999999" thickBot="1">
      <c r="A30" s="259"/>
      <c r="B30" s="254"/>
      <c r="C30" s="254"/>
      <c r="D30" s="254"/>
      <c r="E30" s="254"/>
      <c r="F30" s="254"/>
      <c r="G30" s="254"/>
      <c r="H30" s="254"/>
      <c r="I30" s="254"/>
      <c r="J30" s="254"/>
      <c r="K30" s="254"/>
      <c r="L30" s="307"/>
      <c r="M30" s="255"/>
    </row>
    <row r="31" spans="1:13">
      <c r="A31" s="263">
        <v>5</v>
      </c>
      <c r="B31" s="265" t="s">
        <v>352</v>
      </c>
      <c r="C31" s="252" t="s">
        <v>306</v>
      </c>
      <c r="D31" s="256"/>
      <c r="E31" s="256"/>
      <c r="F31" s="256"/>
      <c r="G31" s="256"/>
      <c r="H31" s="256"/>
      <c r="I31" s="256"/>
      <c r="J31" s="256"/>
      <c r="K31" s="256"/>
      <c r="L31" s="306"/>
      <c r="M31" s="257"/>
    </row>
    <row r="32" spans="1:13">
      <c r="A32" s="258"/>
      <c r="B32" s="232" t="s">
        <v>353</v>
      </c>
      <c r="C32" s="232"/>
      <c r="D32" s="232"/>
      <c r="E32" s="232">
        <f>E15</f>
        <v>200</v>
      </c>
      <c r="F32" s="232"/>
      <c r="G32" s="232"/>
      <c r="H32" s="232"/>
      <c r="I32" s="232">
        <v>3.48</v>
      </c>
      <c r="J32" s="232">
        <f>I32*E32</f>
        <v>696</v>
      </c>
      <c r="K32" s="231">
        <f>J32</f>
        <v>696</v>
      </c>
      <c r="L32" s="278"/>
      <c r="M32" s="287" t="s">
        <v>451</v>
      </c>
    </row>
    <row r="33" spans="1:14">
      <c r="A33" s="258"/>
      <c r="B33" s="232" t="s">
        <v>354</v>
      </c>
      <c r="C33" s="232"/>
      <c r="D33" s="232">
        <v>4</v>
      </c>
      <c r="E33" s="232">
        <f>E10+E11+E12+E13+E14+E15</f>
        <v>2001</v>
      </c>
      <c r="F33" s="232"/>
      <c r="G33" s="232"/>
      <c r="H33" s="232">
        <v>0.2</v>
      </c>
      <c r="I33" s="232"/>
      <c r="J33" s="232">
        <f>H33*D33*E33</f>
        <v>1600.8000000000002</v>
      </c>
      <c r="K33" s="231">
        <f>J33</f>
        <v>1600.8000000000002</v>
      </c>
      <c r="L33" s="278"/>
      <c r="M33" s="252"/>
    </row>
    <row r="34" spans="1:14" ht="17.399999999999999" thickBot="1">
      <c r="A34" s="259"/>
      <c r="B34" s="254"/>
      <c r="C34" s="254"/>
      <c r="D34" s="254"/>
      <c r="E34" s="254"/>
      <c r="F34" s="254"/>
      <c r="G34" s="254"/>
      <c r="H34" s="254"/>
      <c r="I34" s="254"/>
      <c r="J34" s="254" t="s">
        <v>20</v>
      </c>
      <c r="K34" s="266">
        <f>SUM(K32:K33)</f>
        <v>2296.8000000000002</v>
      </c>
      <c r="L34" s="305"/>
      <c r="M34" s="255"/>
    </row>
    <row r="35" spans="1:14">
      <c r="A35" s="262"/>
      <c r="B35" s="232"/>
      <c r="C35" s="232"/>
      <c r="D35" s="232"/>
      <c r="E35" s="232"/>
      <c r="F35" s="232"/>
      <c r="G35" s="232"/>
      <c r="H35" s="232"/>
      <c r="I35" s="232"/>
      <c r="J35" s="232"/>
      <c r="K35" s="232"/>
      <c r="L35" s="232"/>
      <c r="M35" s="232"/>
    </row>
    <row r="36" spans="1:14" ht="17.399999999999999" thickBot="1">
      <c r="A36" s="263">
        <v>6</v>
      </c>
      <c r="B36" s="266" t="s">
        <v>355</v>
      </c>
      <c r="C36" s="255" t="s">
        <v>308</v>
      </c>
      <c r="D36" s="254"/>
      <c r="E36" s="254"/>
      <c r="F36" s="254"/>
      <c r="G36" s="254"/>
      <c r="H36" s="254"/>
      <c r="I36" s="254"/>
      <c r="J36" s="254"/>
      <c r="K36" s="274">
        <f>0.6%*K34*7.85</f>
        <v>108.17928000000001</v>
      </c>
      <c r="L36" s="309"/>
      <c r="M36" s="261" t="s">
        <v>356</v>
      </c>
    </row>
    <row r="40" spans="1:14" ht="45.75" customHeight="1">
      <c r="A40" s="293" t="s">
        <v>461</v>
      </c>
      <c r="B40" s="293" t="s">
        <v>462</v>
      </c>
      <c r="C40" s="293" t="s">
        <v>455</v>
      </c>
      <c r="D40" s="294" t="s">
        <v>463</v>
      </c>
      <c r="E40" s="293" t="s">
        <v>464</v>
      </c>
      <c r="F40" s="2422" t="s">
        <v>465</v>
      </c>
      <c r="G40" s="2422"/>
      <c r="H40" s="2422"/>
      <c r="I40" s="2422"/>
      <c r="J40" s="295" t="s">
        <v>469</v>
      </c>
      <c r="K40" s="230" t="s">
        <v>470</v>
      </c>
      <c r="L40" s="230"/>
      <c r="M40" s="293" t="s">
        <v>472</v>
      </c>
    </row>
    <row r="41" spans="1:14" ht="67.2">
      <c r="A41" s="44"/>
      <c r="B41" s="44"/>
      <c r="C41" s="44"/>
      <c r="D41" s="44"/>
      <c r="E41" s="44"/>
      <c r="F41" s="239" t="s">
        <v>466</v>
      </c>
      <c r="G41" s="239" t="s">
        <v>300</v>
      </c>
      <c r="H41" s="293" t="s">
        <v>467</v>
      </c>
      <c r="I41" s="293" t="s">
        <v>468</v>
      </c>
      <c r="J41" s="293" t="s">
        <v>471</v>
      </c>
      <c r="K41" s="293" t="s">
        <v>467</v>
      </c>
      <c r="L41" s="293" t="s">
        <v>468</v>
      </c>
      <c r="M41" s="293" t="s">
        <v>473</v>
      </c>
    </row>
    <row r="42" spans="1:14">
      <c r="A42" s="244" t="s">
        <v>456</v>
      </c>
      <c r="B42" s="290">
        <v>2.3039999999999998E-2</v>
      </c>
      <c r="C42" s="44">
        <f t="shared" ref="C42:C47" si="2">B42*$C$48</f>
        <v>50.711039999999997</v>
      </c>
      <c r="D42" s="44">
        <v>0.05</v>
      </c>
      <c r="E42" s="44">
        <v>0.05</v>
      </c>
      <c r="F42" s="44">
        <v>20</v>
      </c>
      <c r="G42" s="44">
        <v>2.2000000000000002</v>
      </c>
      <c r="H42" s="44">
        <v>2</v>
      </c>
      <c r="I42" s="44">
        <v>2</v>
      </c>
      <c r="J42" s="44"/>
      <c r="K42" s="44"/>
      <c r="L42" s="44"/>
      <c r="M42" s="44">
        <v>0.2</v>
      </c>
      <c r="N42" s="336">
        <v>2.2700000000000001E-2</v>
      </c>
    </row>
    <row r="43" spans="1:14">
      <c r="A43" s="260" t="s">
        <v>457</v>
      </c>
      <c r="B43" s="291">
        <v>0.11011499999999999</v>
      </c>
      <c r="C43" s="44">
        <f t="shared" si="2"/>
        <v>242.36311499999999</v>
      </c>
      <c r="D43" s="44">
        <v>0.05</v>
      </c>
      <c r="E43" s="44">
        <v>0.05</v>
      </c>
      <c r="F43" s="44">
        <v>20</v>
      </c>
      <c r="G43" s="44">
        <v>2.2000000000000002</v>
      </c>
      <c r="H43" s="44">
        <v>1.8</v>
      </c>
      <c r="I43" s="44">
        <v>1.8</v>
      </c>
      <c r="J43" s="44"/>
      <c r="K43" s="44"/>
      <c r="L43" s="44"/>
      <c r="M43" s="44">
        <v>0.2</v>
      </c>
      <c r="N43" s="336">
        <v>0.12540000000000001</v>
      </c>
    </row>
    <row r="44" spans="1:14">
      <c r="A44" s="260" t="s">
        <v>458</v>
      </c>
      <c r="B44" s="291">
        <v>0.40755999999999998</v>
      </c>
      <c r="C44" s="44">
        <f t="shared" si="2"/>
        <v>897.03955999999994</v>
      </c>
      <c r="D44" s="44">
        <v>0.05</v>
      </c>
      <c r="E44" s="44">
        <v>0.05</v>
      </c>
      <c r="F44" s="44">
        <v>20</v>
      </c>
      <c r="G44" s="44">
        <v>2.2000000000000002</v>
      </c>
      <c r="H44" s="44">
        <v>1.6</v>
      </c>
      <c r="I44" s="44">
        <v>1.6</v>
      </c>
      <c r="J44" s="44"/>
      <c r="K44" s="44"/>
      <c r="L44" s="44"/>
      <c r="M44" s="44">
        <v>0.2</v>
      </c>
      <c r="N44" s="336">
        <v>0.35439999999999999</v>
      </c>
    </row>
    <row r="45" spans="1:14">
      <c r="A45" s="260" t="s">
        <v>459</v>
      </c>
      <c r="B45" s="291">
        <v>0.31013999999999997</v>
      </c>
      <c r="C45" s="44">
        <f t="shared" si="2"/>
        <v>682.61813999999993</v>
      </c>
      <c r="D45" s="44">
        <v>0.1</v>
      </c>
      <c r="E45" s="44">
        <v>0.1</v>
      </c>
      <c r="F45" s="44">
        <v>20</v>
      </c>
      <c r="G45" s="44">
        <v>2.2000000000000002</v>
      </c>
      <c r="H45" s="44">
        <v>1.4</v>
      </c>
      <c r="I45" s="44">
        <v>1.4</v>
      </c>
      <c r="J45" s="44"/>
      <c r="K45" s="44"/>
      <c r="L45" s="44"/>
      <c r="M45" s="44">
        <v>0.2</v>
      </c>
      <c r="N45" s="336">
        <v>0.3165</v>
      </c>
    </row>
    <row r="46" spans="1:14">
      <c r="A46" s="260" t="s">
        <v>460</v>
      </c>
      <c r="B46" s="291">
        <v>0.11708499999999999</v>
      </c>
      <c r="C46" s="44">
        <f t="shared" si="2"/>
        <v>257.70408499999996</v>
      </c>
      <c r="D46" s="44">
        <v>0.15</v>
      </c>
      <c r="E46" s="44">
        <v>0.15</v>
      </c>
      <c r="F46" s="44">
        <v>20</v>
      </c>
      <c r="G46" s="44">
        <v>2.2000000000000002</v>
      </c>
      <c r="H46" s="44">
        <v>1.2</v>
      </c>
      <c r="I46" s="44">
        <v>1.2</v>
      </c>
      <c r="J46" s="44"/>
      <c r="K46" s="44">
        <v>0.4</v>
      </c>
      <c r="L46" s="44">
        <v>5</v>
      </c>
      <c r="M46" s="44">
        <v>0.2</v>
      </c>
      <c r="N46" s="336">
        <v>0.10423</v>
      </c>
    </row>
    <row r="47" spans="1:14">
      <c r="A47" s="260" t="s">
        <v>353</v>
      </c>
      <c r="B47" s="291">
        <v>3.2060000000000005E-2</v>
      </c>
      <c r="C47" s="44">
        <f t="shared" si="2"/>
        <v>70.564060000000012</v>
      </c>
      <c r="D47" s="44">
        <v>0.15</v>
      </c>
      <c r="E47" s="44">
        <v>0.15</v>
      </c>
      <c r="F47" s="44">
        <v>20</v>
      </c>
      <c r="G47" s="44">
        <v>2.2000000000000002</v>
      </c>
      <c r="H47" s="44">
        <v>1</v>
      </c>
      <c r="I47" s="44">
        <v>1</v>
      </c>
      <c r="J47" s="44">
        <v>1</v>
      </c>
      <c r="K47" s="44">
        <v>0.4</v>
      </c>
      <c r="L47" s="44">
        <v>5</v>
      </c>
      <c r="M47" s="44">
        <v>0.2</v>
      </c>
      <c r="N47" s="336">
        <v>2.87E-2</v>
      </c>
    </row>
    <row r="48" spans="1:14">
      <c r="B48" s="292">
        <f>SUM(B42:B47)</f>
        <v>0.99999999999999989</v>
      </c>
      <c r="C48" s="227">
        <v>2201</v>
      </c>
      <c r="D48" s="1">
        <f>SUM(C42:C47)</f>
        <v>2201</v>
      </c>
      <c r="N48" s="337">
        <f>SUM(N42:N47)</f>
        <v>0.95192999999999994</v>
      </c>
    </row>
    <row r="50" spans="1:17">
      <c r="A50" s="230" t="s">
        <v>332</v>
      </c>
      <c r="B50" s="230" t="s">
        <v>8</v>
      </c>
      <c r="C50" s="230" t="s">
        <v>9</v>
      </c>
      <c r="D50" s="230"/>
      <c r="E50" s="230" t="s">
        <v>11</v>
      </c>
      <c r="F50" s="230" t="s">
        <v>12</v>
      </c>
      <c r="G50" s="230" t="s">
        <v>13</v>
      </c>
      <c r="H50" s="230" t="s">
        <v>15</v>
      </c>
      <c r="I50" s="230" t="s">
        <v>357</v>
      </c>
      <c r="J50" s="230" t="s">
        <v>16</v>
      </c>
      <c r="K50" s="230" t="s">
        <v>17</v>
      </c>
      <c r="L50" s="57"/>
      <c r="O50" s="1" t="s">
        <v>486</v>
      </c>
      <c r="P50" s="297" t="s">
        <v>484</v>
      </c>
      <c r="Q50" s="297" t="s">
        <v>485</v>
      </c>
    </row>
    <row r="51" spans="1:17">
      <c r="A51" s="44">
        <v>1</v>
      </c>
      <c r="B51" s="239" t="s">
        <v>310</v>
      </c>
      <c r="C51" s="44" t="s">
        <v>306</v>
      </c>
      <c r="D51" s="44"/>
      <c r="E51" s="44"/>
      <c r="F51" s="44"/>
      <c r="G51" s="44"/>
      <c r="H51" s="44"/>
      <c r="I51" s="44"/>
      <c r="J51" s="44"/>
      <c r="K51" s="44"/>
    </row>
    <row r="52" spans="1:17">
      <c r="A52" s="44"/>
      <c r="B52" s="244" t="s">
        <v>341</v>
      </c>
      <c r="C52" s="44"/>
      <c r="D52" s="44"/>
      <c r="E52" s="44">
        <f t="shared" ref="E52:E57" si="3">C42</f>
        <v>50.711039999999997</v>
      </c>
      <c r="F52" s="44"/>
      <c r="G52" s="44"/>
      <c r="H52" s="44">
        <v>15.0832</v>
      </c>
      <c r="I52" s="44"/>
      <c r="J52" s="289">
        <f t="shared" ref="J52:J57" si="4">E52*H52</f>
        <v>764.88475852799991</v>
      </c>
      <c r="K52" s="44"/>
    </row>
    <row r="53" spans="1:17">
      <c r="A53" s="44"/>
      <c r="B53" s="260" t="s">
        <v>342</v>
      </c>
      <c r="C53" s="44"/>
      <c r="D53" s="44"/>
      <c r="E53" s="44">
        <f t="shared" si="3"/>
        <v>242.36311499999999</v>
      </c>
      <c r="F53" s="44"/>
      <c r="G53" s="44"/>
      <c r="H53" s="44">
        <v>15.0832</v>
      </c>
      <c r="I53" s="44"/>
      <c r="J53" s="289">
        <f t="shared" si="4"/>
        <v>3655.611336168</v>
      </c>
      <c r="K53" s="44"/>
    </row>
    <row r="54" spans="1:17">
      <c r="A54" s="44"/>
      <c r="B54" s="260" t="s">
        <v>343</v>
      </c>
      <c r="C54" s="44"/>
      <c r="D54" s="44"/>
      <c r="E54" s="44">
        <f t="shared" si="3"/>
        <v>897.03955999999994</v>
      </c>
      <c r="F54" s="44"/>
      <c r="G54" s="44"/>
      <c r="H54" s="44">
        <v>15.0832</v>
      </c>
      <c r="I54" s="44"/>
      <c r="J54" s="289">
        <f t="shared" si="4"/>
        <v>13530.227091391998</v>
      </c>
      <c r="K54" s="44"/>
      <c r="O54" s="1">
        <f>(((PI()*4^2)/8)+((4*(4.2/2))))</f>
        <v>14.683185307179587</v>
      </c>
    </row>
    <row r="55" spans="1:17">
      <c r="A55" s="44"/>
      <c r="B55" s="260" t="s">
        <v>344</v>
      </c>
      <c r="C55" s="44"/>
      <c r="D55" s="44"/>
      <c r="E55" s="44">
        <f t="shared" si="3"/>
        <v>682.61813999999993</v>
      </c>
      <c r="F55" s="44"/>
      <c r="G55" s="44"/>
      <c r="H55" s="44">
        <v>15.0832</v>
      </c>
      <c r="I55" s="44"/>
      <c r="J55" s="289">
        <f t="shared" si="4"/>
        <v>10296.065929248</v>
      </c>
      <c r="K55" s="44"/>
    </row>
    <row r="56" spans="1:17">
      <c r="A56" s="44"/>
      <c r="B56" s="260" t="s">
        <v>345</v>
      </c>
      <c r="C56" s="44"/>
      <c r="D56" s="44"/>
      <c r="E56" s="44">
        <f t="shared" si="3"/>
        <v>257.70408499999996</v>
      </c>
      <c r="F56" s="44"/>
      <c r="G56" s="44"/>
      <c r="H56" s="44">
        <v>15.0832</v>
      </c>
      <c r="I56" s="44"/>
      <c r="J56" s="289">
        <f t="shared" si="4"/>
        <v>3887.0022548719994</v>
      </c>
      <c r="K56" s="44"/>
    </row>
    <row r="57" spans="1:17">
      <c r="A57" s="44"/>
      <c r="B57" s="260" t="s">
        <v>346</v>
      </c>
      <c r="C57" s="44"/>
      <c r="D57" s="44"/>
      <c r="E57" s="44">
        <f t="shared" si="3"/>
        <v>70.564060000000012</v>
      </c>
      <c r="F57" s="44"/>
      <c r="G57" s="44"/>
      <c r="H57" s="44">
        <v>15.0832</v>
      </c>
      <c r="I57" s="44"/>
      <c r="J57" s="289">
        <f t="shared" si="4"/>
        <v>1064.3318297920002</v>
      </c>
      <c r="K57" s="44"/>
    </row>
    <row r="58" spans="1:17">
      <c r="A58" s="44"/>
      <c r="B58" s="44"/>
      <c r="C58" s="44"/>
      <c r="D58" s="44"/>
      <c r="E58" s="239">
        <f>SUM(E52:E57)</f>
        <v>2201</v>
      </c>
      <c r="F58" s="44"/>
      <c r="G58" s="44"/>
      <c r="H58" s="44"/>
      <c r="I58" s="44"/>
      <c r="J58" s="300">
        <f>SUM(J52:J57)</f>
        <v>33198.123199999995</v>
      </c>
      <c r="K58" s="44" t="s">
        <v>306</v>
      </c>
      <c r="P58" s="1">
        <v>6751.25</v>
      </c>
      <c r="Q58" s="1">
        <f>J58*P58</f>
        <v>224128829.25399995</v>
      </c>
    </row>
    <row r="59" spans="1:17">
      <c r="A59" s="44"/>
      <c r="B59" s="44"/>
      <c r="C59" s="44"/>
      <c r="D59" s="44"/>
      <c r="E59" s="44"/>
      <c r="F59" s="44"/>
      <c r="G59" s="44"/>
      <c r="H59" s="44"/>
      <c r="I59" s="44"/>
      <c r="J59" s="44"/>
      <c r="K59" s="44"/>
    </row>
    <row r="60" spans="1:17">
      <c r="A60" s="44"/>
      <c r="B60" s="44"/>
      <c r="C60" s="44"/>
      <c r="D60" s="44"/>
      <c r="E60" s="44"/>
      <c r="F60" s="44"/>
      <c r="G60" s="44"/>
      <c r="H60" s="44"/>
      <c r="I60" s="44"/>
      <c r="J60" s="44"/>
      <c r="K60" s="44"/>
    </row>
    <row r="61" spans="1:17">
      <c r="A61" s="44">
        <v>2</v>
      </c>
      <c r="B61" s="239" t="s">
        <v>347</v>
      </c>
      <c r="C61" s="44"/>
      <c r="D61" s="44"/>
      <c r="E61" s="44"/>
      <c r="F61" s="44"/>
      <c r="G61" s="44"/>
      <c r="H61" s="240" t="s">
        <v>486</v>
      </c>
      <c r="I61" s="44"/>
      <c r="J61" s="44"/>
      <c r="K61" s="44"/>
    </row>
    <row r="62" spans="1:17">
      <c r="A62" s="44"/>
      <c r="B62" s="44" t="s">
        <v>493</v>
      </c>
      <c r="C62" s="44" t="s">
        <v>306</v>
      </c>
      <c r="D62" s="44"/>
      <c r="E62" s="44">
        <f>E52+E53+E54</f>
        <v>1190.113715</v>
      </c>
      <c r="F62" s="44"/>
      <c r="G62" s="44"/>
      <c r="H62" s="44">
        <v>10.5261</v>
      </c>
      <c r="I62" s="44"/>
      <c r="J62" s="267">
        <f>E62*H62</f>
        <v>12527.255975461499</v>
      </c>
      <c r="K62" s="44"/>
      <c r="P62" s="1">
        <v>2986.6750000000002</v>
      </c>
      <c r="Q62" s="1">
        <f>J62*P62</f>
        <v>37414842.240511477</v>
      </c>
    </row>
    <row r="63" spans="1:17">
      <c r="A63" s="44"/>
      <c r="B63" s="44" t="s">
        <v>359</v>
      </c>
      <c r="C63" s="44" t="s">
        <v>306</v>
      </c>
      <c r="D63" s="44"/>
      <c r="E63" s="44">
        <f>E55</f>
        <v>682.61813999999993</v>
      </c>
      <c r="F63" s="44"/>
      <c r="G63" s="44"/>
      <c r="H63" s="44">
        <v>10.369</v>
      </c>
      <c r="I63" s="44"/>
      <c r="J63" s="267">
        <f>E63*H63</f>
        <v>7078.0674936599989</v>
      </c>
      <c r="K63" s="44"/>
      <c r="P63" s="1">
        <v>5973.35</v>
      </c>
      <c r="Q63" s="1">
        <f>J63*P63</f>
        <v>42279774.46325396</v>
      </c>
    </row>
    <row r="64" spans="1:17">
      <c r="A64" s="44"/>
      <c r="B64" s="44" t="s">
        <v>474</v>
      </c>
      <c r="C64" s="44" t="s">
        <v>306</v>
      </c>
      <c r="D64" s="44"/>
      <c r="E64" s="44">
        <f>E56+E57</f>
        <v>328.268145</v>
      </c>
      <c r="F64" s="44"/>
      <c r="G64" s="44"/>
      <c r="H64" s="44">
        <v>10.2119</v>
      </c>
      <c r="I64" s="44"/>
      <c r="J64" s="267">
        <f>E64*H64</f>
        <v>3352.2414699255</v>
      </c>
      <c r="K64" s="44"/>
      <c r="P64" s="1">
        <v>8960.0249999999996</v>
      </c>
      <c r="Q64" s="1">
        <f>J64*P64</f>
        <v>30036167.376569226</v>
      </c>
    </row>
    <row r="65" spans="1:17">
      <c r="A65" s="44"/>
      <c r="B65" s="44"/>
      <c r="C65" s="44"/>
      <c r="D65" s="44"/>
      <c r="E65" s="239">
        <f>SUM(E62:E64)</f>
        <v>2201</v>
      </c>
      <c r="F65" s="44"/>
      <c r="G65" s="44"/>
      <c r="H65" s="44"/>
      <c r="I65" s="44"/>
      <c r="J65" s="269">
        <f>SUM(J62:J64)</f>
        <v>22957.564939046995</v>
      </c>
      <c r="K65" s="44" t="s">
        <v>85</v>
      </c>
    </row>
    <row r="66" spans="1:17">
      <c r="A66" s="44"/>
      <c r="B66" s="44"/>
      <c r="C66" s="44"/>
      <c r="D66" s="44"/>
      <c r="E66" s="44"/>
      <c r="F66" s="44"/>
      <c r="G66" s="44"/>
      <c r="H66" s="44"/>
      <c r="I66" s="44"/>
      <c r="J66" s="44"/>
      <c r="K66" s="44"/>
    </row>
    <row r="67" spans="1:17">
      <c r="A67" s="44">
        <v>3</v>
      </c>
      <c r="B67" s="239" t="s">
        <v>476</v>
      </c>
      <c r="C67" s="44"/>
      <c r="D67" s="44"/>
      <c r="E67" s="44"/>
      <c r="F67" s="44"/>
      <c r="G67" s="44"/>
      <c r="H67" s="44"/>
      <c r="I67" s="44"/>
      <c r="J67" s="44"/>
      <c r="K67" s="44"/>
      <c r="O67" s="1">
        <v>10.5261</v>
      </c>
    </row>
    <row r="68" spans="1:17">
      <c r="A68" s="44"/>
      <c r="B68" s="44" t="s">
        <v>456</v>
      </c>
      <c r="C68" s="44"/>
      <c r="D68" s="44"/>
      <c r="E68" s="44"/>
      <c r="F68" s="44"/>
      <c r="G68" s="44"/>
      <c r="H68" s="44"/>
      <c r="I68" s="44"/>
      <c r="J68" s="44"/>
      <c r="K68" s="44"/>
    </row>
    <row r="69" spans="1:17">
      <c r="A69" s="44"/>
      <c r="B69" s="2419" t="s">
        <v>477</v>
      </c>
      <c r="C69" s="2420"/>
      <c r="D69" s="2421"/>
      <c r="E69" s="44">
        <f>E52</f>
        <v>50.711039999999997</v>
      </c>
      <c r="F69" s="44"/>
      <c r="G69" s="44"/>
      <c r="H69" s="44"/>
      <c r="I69" s="44"/>
      <c r="J69" s="299">
        <f>((E69/2)*(O67/2))+1</f>
        <v>134.447369536</v>
      </c>
      <c r="K69" s="44"/>
      <c r="P69" s="1">
        <v>3816</v>
      </c>
      <c r="Q69" s="1">
        <f>J69*P69</f>
        <v>513051.162149376</v>
      </c>
    </row>
    <row r="70" spans="1:17">
      <c r="A70" s="44"/>
      <c r="B70" s="44"/>
      <c r="C70" s="44"/>
      <c r="D70" s="44"/>
      <c r="E70" s="44"/>
      <c r="F70" s="44"/>
      <c r="G70" s="44"/>
      <c r="H70" s="44"/>
      <c r="I70" s="44"/>
      <c r="J70" s="44"/>
      <c r="K70" s="44"/>
    </row>
    <row r="71" spans="1:17">
      <c r="A71" s="44"/>
      <c r="B71" s="44" t="s">
        <v>457</v>
      </c>
      <c r="C71" s="44"/>
      <c r="D71" s="44"/>
      <c r="E71" s="44"/>
      <c r="F71" s="44"/>
      <c r="G71" s="44"/>
      <c r="H71" s="44"/>
      <c r="I71" s="44"/>
      <c r="J71" s="44"/>
      <c r="K71" s="44"/>
    </row>
    <row r="72" spans="1:17">
      <c r="A72" s="44"/>
      <c r="B72" s="2419" t="s">
        <v>478</v>
      </c>
      <c r="C72" s="2420"/>
      <c r="D72" s="2421"/>
      <c r="E72" s="44">
        <f>E53</f>
        <v>242.36311499999999</v>
      </c>
      <c r="F72" s="44"/>
      <c r="G72" s="44"/>
      <c r="H72" s="44"/>
      <c r="I72" s="44"/>
      <c r="J72" s="299">
        <f>((E72/1.8)*(O72/1.8))+1</f>
        <v>788.38839037083324</v>
      </c>
      <c r="K72" s="44"/>
      <c r="O72" s="1">
        <v>10.5261</v>
      </c>
      <c r="P72" s="1">
        <v>3816</v>
      </c>
      <c r="Q72" s="1">
        <f>J72*P72</f>
        <v>3008490.0976550998</v>
      </c>
    </row>
    <row r="73" spans="1:17">
      <c r="A73" s="44"/>
      <c r="B73" s="44"/>
      <c r="C73" s="44"/>
      <c r="D73" s="44"/>
      <c r="E73" s="44"/>
      <c r="F73" s="44"/>
      <c r="G73" s="44"/>
      <c r="H73" s="44"/>
      <c r="I73" s="44"/>
      <c r="J73" s="44"/>
      <c r="K73" s="44"/>
    </row>
    <row r="74" spans="1:17">
      <c r="A74" s="44"/>
      <c r="B74" s="44" t="s">
        <v>458</v>
      </c>
      <c r="C74" s="44"/>
      <c r="D74" s="44"/>
      <c r="E74" s="44"/>
      <c r="F74" s="44"/>
      <c r="G74" s="44"/>
      <c r="H74" s="44"/>
      <c r="I74" s="44"/>
      <c r="J74" s="44"/>
      <c r="K74" s="44"/>
    </row>
    <row r="75" spans="1:17">
      <c r="A75" s="44"/>
      <c r="B75" s="2419" t="s">
        <v>479</v>
      </c>
      <c r="C75" s="2420"/>
      <c r="D75" s="2421"/>
      <c r="E75" s="44">
        <f>E54</f>
        <v>897.03955999999994</v>
      </c>
      <c r="F75" s="44"/>
      <c r="G75" s="44"/>
      <c r="H75" s="44"/>
      <c r="I75" s="44"/>
      <c r="J75" s="299">
        <f>((E75/1.6)*(O75/1.6))+1</f>
        <v>3689.4094189515617</v>
      </c>
      <c r="K75" s="44"/>
      <c r="O75" s="1">
        <v>10.5261</v>
      </c>
      <c r="P75" s="1">
        <v>3816</v>
      </c>
      <c r="Q75" s="1">
        <f>J75*P75</f>
        <v>14078786.34271916</v>
      </c>
    </row>
    <row r="76" spans="1:17">
      <c r="A76" s="44"/>
      <c r="B76" s="44"/>
      <c r="C76" s="44"/>
      <c r="D76" s="44"/>
      <c r="E76" s="44"/>
      <c r="F76" s="44"/>
      <c r="G76" s="44"/>
      <c r="H76" s="44"/>
      <c r="I76" s="44"/>
      <c r="J76" s="44"/>
      <c r="K76" s="44"/>
    </row>
    <row r="77" spans="1:17">
      <c r="A77" s="44"/>
      <c r="B77" s="44" t="s">
        <v>459</v>
      </c>
      <c r="C77" s="44"/>
      <c r="D77" s="44"/>
      <c r="E77" s="44"/>
      <c r="F77" s="44"/>
      <c r="G77" s="44"/>
      <c r="H77" s="44"/>
      <c r="I77" s="44"/>
      <c r="J77" s="44"/>
      <c r="K77" s="44"/>
    </row>
    <row r="78" spans="1:17">
      <c r="A78" s="44"/>
      <c r="B78" s="2419" t="s">
        <v>480</v>
      </c>
      <c r="C78" s="2420"/>
      <c r="D78" s="2421"/>
      <c r="E78" s="44">
        <f>E55</f>
        <v>682.61813999999993</v>
      </c>
      <c r="F78" s="44"/>
      <c r="G78" s="44"/>
      <c r="H78" s="44"/>
      <c r="I78" s="44"/>
      <c r="J78" s="299">
        <f>((E78/1.4)*(O78/1.4))+1</f>
        <v>3612.258925336735</v>
      </c>
      <c r="K78" s="44"/>
      <c r="O78" s="1">
        <v>10.369</v>
      </c>
      <c r="P78" s="1">
        <v>3816</v>
      </c>
      <c r="Q78" s="1">
        <f>J78*P78</f>
        <v>13784380.059084982</v>
      </c>
    </row>
    <row r="79" spans="1:17">
      <c r="A79" s="44"/>
      <c r="B79" s="44"/>
      <c r="C79" s="44"/>
      <c r="D79" s="44"/>
      <c r="E79" s="44"/>
      <c r="F79" s="44"/>
      <c r="G79" s="44"/>
      <c r="H79" s="44"/>
      <c r="I79" s="44"/>
      <c r="J79" s="44"/>
      <c r="K79" s="44"/>
    </row>
    <row r="80" spans="1:17">
      <c r="A80" s="44"/>
      <c r="B80" s="44" t="s">
        <v>460</v>
      </c>
      <c r="C80" s="44"/>
      <c r="D80" s="44"/>
      <c r="E80" s="44"/>
      <c r="F80" s="44"/>
      <c r="G80" s="44"/>
      <c r="H80" s="44"/>
      <c r="I80" s="44"/>
      <c r="J80" s="44"/>
      <c r="K80" s="44"/>
    </row>
    <row r="81" spans="1:17">
      <c r="A81" s="44"/>
      <c r="B81" s="2419" t="s">
        <v>481</v>
      </c>
      <c r="C81" s="2420"/>
      <c r="D81" s="2421"/>
      <c r="E81" s="44">
        <f>E56</f>
        <v>257.70408499999996</v>
      </c>
      <c r="F81" s="44"/>
      <c r="G81" s="44"/>
      <c r="H81" s="44"/>
      <c r="I81" s="44"/>
      <c r="J81" s="299">
        <f>((E81/1.2)*(O81/1.2))+1</f>
        <v>1828.5335733413194</v>
      </c>
      <c r="K81" s="44"/>
      <c r="O81" s="1">
        <v>10.2119</v>
      </c>
      <c r="P81" s="1">
        <v>3816</v>
      </c>
      <c r="Q81" s="1">
        <f>J81*P81</f>
        <v>6977684.1158704748</v>
      </c>
    </row>
    <row r="82" spans="1:17">
      <c r="A82" s="44"/>
      <c r="B82" s="44"/>
      <c r="C82" s="44"/>
      <c r="D82" s="44"/>
      <c r="E82" s="44"/>
      <c r="F82" s="44"/>
      <c r="G82" s="44"/>
      <c r="H82" s="44"/>
      <c r="I82" s="44"/>
      <c r="J82" s="44"/>
      <c r="K82" s="44"/>
    </row>
    <row r="83" spans="1:17">
      <c r="A83" s="44"/>
      <c r="B83" s="44" t="s">
        <v>353</v>
      </c>
      <c r="C83" s="44"/>
      <c r="D83" s="44"/>
      <c r="E83" s="44"/>
      <c r="F83" s="44"/>
      <c r="G83" s="44"/>
      <c r="H83" s="44"/>
      <c r="I83" s="44"/>
      <c r="J83" s="44"/>
      <c r="K83" s="44"/>
    </row>
    <row r="84" spans="1:17">
      <c r="A84" s="44"/>
      <c r="B84" s="2419" t="s">
        <v>482</v>
      </c>
      <c r="C84" s="2420"/>
      <c r="D84" s="2421"/>
      <c r="E84" s="44">
        <f>E57</f>
        <v>70.564060000000012</v>
      </c>
      <c r="F84" s="44"/>
      <c r="G84" s="44"/>
      <c r="H84" s="44"/>
      <c r="I84" s="44"/>
      <c r="J84" s="299">
        <f>((E84/1)*(O84/1))+1</f>
        <v>721.59312431400008</v>
      </c>
      <c r="K84" s="44"/>
      <c r="O84" s="1">
        <v>10.2119</v>
      </c>
      <c r="P84" s="298">
        <v>3816</v>
      </c>
      <c r="Q84" s="1">
        <f>J84*P84</f>
        <v>2753599.3623822243</v>
      </c>
    </row>
    <row r="85" spans="1:17">
      <c r="A85" s="44"/>
      <c r="B85" s="44"/>
      <c r="C85" s="44"/>
      <c r="D85" s="44"/>
      <c r="E85" s="44"/>
      <c r="F85" s="44"/>
      <c r="G85" s="44"/>
      <c r="H85" s="44"/>
      <c r="I85" s="44"/>
      <c r="J85" s="44"/>
      <c r="K85" s="44"/>
    </row>
    <row r="86" spans="1:17">
      <c r="A86" s="44"/>
      <c r="B86" s="44"/>
      <c r="C86" s="44"/>
      <c r="D86" s="44"/>
      <c r="E86" s="239">
        <f>E69+E72+E75+E78+E81+E84</f>
        <v>2201</v>
      </c>
      <c r="F86" s="44"/>
      <c r="G86" s="44"/>
      <c r="H86" s="44"/>
      <c r="I86" s="44"/>
      <c r="J86" s="271">
        <f>J69+J72+J75+J78+J81+J84</f>
        <v>10774.63080185045</v>
      </c>
      <c r="K86" s="44" t="s">
        <v>367</v>
      </c>
    </row>
    <row r="87" spans="1:17">
      <c r="A87" s="44"/>
      <c r="B87" s="44"/>
      <c r="C87" s="44"/>
      <c r="D87" s="44"/>
      <c r="E87" s="44"/>
      <c r="F87" s="44"/>
      <c r="G87" s="44"/>
      <c r="H87" s="44"/>
      <c r="I87" s="44"/>
      <c r="J87" s="271"/>
      <c r="K87" s="44"/>
    </row>
    <row r="88" spans="1:17">
      <c r="A88" s="44">
        <v>4</v>
      </c>
      <c r="B88" s="239" t="s">
        <v>469</v>
      </c>
      <c r="C88" s="44"/>
      <c r="D88" s="44"/>
      <c r="E88" s="44">
        <f>E57</f>
        <v>70.564060000000012</v>
      </c>
      <c r="F88" s="44"/>
      <c r="G88" s="44"/>
      <c r="H88" s="44"/>
      <c r="I88" s="44"/>
      <c r="J88" s="271">
        <f>((E88/1)+1)</f>
        <v>71.564060000000012</v>
      </c>
      <c r="K88" s="44"/>
      <c r="O88" s="1">
        <v>10.283200000000001</v>
      </c>
      <c r="P88" s="1">
        <v>137921.66932941412</v>
      </c>
      <c r="Q88" s="1">
        <f>J88*P88</f>
        <v>9870234.6191903539</v>
      </c>
    </row>
    <row r="89" spans="1:17">
      <c r="A89" s="44"/>
      <c r="B89" s="44"/>
      <c r="C89" s="44"/>
      <c r="D89" s="44"/>
      <c r="E89" s="44"/>
      <c r="F89" s="44"/>
      <c r="G89" s="44"/>
      <c r="H89" s="44"/>
      <c r="I89" s="44"/>
      <c r="J89" s="44"/>
      <c r="K89" s="44"/>
    </row>
    <row r="90" spans="1:17">
      <c r="A90" s="44">
        <v>5</v>
      </c>
      <c r="B90" s="239" t="s">
        <v>470</v>
      </c>
      <c r="C90" s="44"/>
      <c r="D90" s="44"/>
      <c r="E90" s="44">
        <f>E56+E57</f>
        <v>328.268145</v>
      </c>
      <c r="F90" s="44"/>
      <c r="G90" s="44"/>
      <c r="H90" s="44"/>
      <c r="I90" s="44"/>
      <c r="J90" s="271">
        <f>((E90/5)*(O90/0.4))+1</f>
        <v>1688.8234943320001</v>
      </c>
      <c r="K90" s="44"/>
      <c r="O90" s="1">
        <v>10.283200000000001</v>
      </c>
      <c r="P90" s="1">
        <v>7000</v>
      </c>
      <c r="Q90" s="1">
        <f>J90*P90</f>
        <v>11821764.460324001</v>
      </c>
    </row>
    <row r="91" spans="1:17">
      <c r="A91" s="44"/>
      <c r="B91" s="44"/>
      <c r="C91" s="44"/>
      <c r="D91" s="44"/>
      <c r="E91" s="44"/>
      <c r="F91" s="44"/>
      <c r="G91" s="44"/>
      <c r="H91" s="44"/>
      <c r="I91" s="44"/>
      <c r="J91" s="44"/>
      <c r="K91" s="44"/>
    </row>
    <row r="92" spans="1:17">
      <c r="A92" s="44">
        <v>6</v>
      </c>
      <c r="B92" s="239" t="s">
        <v>483</v>
      </c>
      <c r="C92" s="44"/>
      <c r="D92" s="44"/>
      <c r="E92" s="44">
        <f>E52+E53+E54</f>
        <v>1190.113715</v>
      </c>
      <c r="F92" s="44">
        <f>(4-(2*0.05))</f>
        <v>3.9</v>
      </c>
      <c r="G92" s="44">
        <v>0.2</v>
      </c>
      <c r="H92" s="44"/>
      <c r="I92" s="44"/>
      <c r="J92" s="267">
        <f>E92*F92*G92</f>
        <v>928.28869770000006</v>
      </c>
      <c r="K92" s="44"/>
    </row>
    <row r="93" spans="1:17">
      <c r="A93" s="44"/>
      <c r="B93" s="44"/>
      <c r="C93" s="44"/>
      <c r="D93" s="44"/>
      <c r="E93" s="44">
        <f>E55</f>
        <v>682.61813999999993</v>
      </c>
      <c r="F93" s="44">
        <f>(4-(2*0.1))</f>
        <v>3.8</v>
      </c>
      <c r="G93" s="44">
        <v>0.2</v>
      </c>
      <c r="H93" s="44"/>
      <c r="I93" s="44"/>
      <c r="J93" s="267">
        <f>E93*F93*G93</f>
        <v>518.78978640000003</v>
      </c>
      <c r="K93" s="44"/>
    </row>
    <row r="94" spans="1:17">
      <c r="A94" s="44"/>
      <c r="B94" s="44"/>
      <c r="C94" s="44"/>
      <c r="D94" s="44"/>
      <c r="E94" s="44">
        <f>E56+E57</f>
        <v>328.268145</v>
      </c>
      <c r="F94" s="44">
        <f>(4-(2*0.15))</f>
        <v>3.7</v>
      </c>
      <c r="G94" s="44">
        <v>0.2</v>
      </c>
      <c r="H94" s="44"/>
      <c r="I94" s="44"/>
      <c r="J94" s="267">
        <f>E94*F94*G94</f>
        <v>242.91842730000005</v>
      </c>
      <c r="K94" s="44"/>
    </row>
    <row r="95" spans="1:17">
      <c r="A95" s="44"/>
      <c r="B95" s="44"/>
      <c r="C95" s="44"/>
      <c r="D95" s="44"/>
      <c r="E95" s="239">
        <f>SUM(E92:E94)</f>
        <v>2201</v>
      </c>
      <c r="F95" s="44"/>
      <c r="G95" s="44"/>
      <c r="H95" s="44"/>
      <c r="I95" s="44"/>
      <c r="J95" s="269">
        <f>SUM(J92:J94)</f>
        <v>1689.9969114</v>
      </c>
      <c r="K95" s="44"/>
      <c r="P95" s="1">
        <v>17580.5</v>
      </c>
      <c r="Q95" s="1">
        <f>J95*P95</f>
        <v>29710990.700867701</v>
      </c>
    </row>
    <row r="96" spans="1:17">
      <c r="A96" s="44"/>
      <c r="B96" s="44"/>
      <c r="C96" s="44"/>
      <c r="D96" s="44"/>
      <c r="E96" s="44"/>
      <c r="F96" s="44"/>
      <c r="G96" s="44"/>
      <c r="H96" s="44"/>
      <c r="I96" s="44"/>
      <c r="J96" s="44"/>
      <c r="K96" s="44"/>
    </row>
    <row r="97" spans="1:18">
      <c r="A97" s="44">
        <v>7</v>
      </c>
      <c r="B97" s="239" t="s">
        <v>101</v>
      </c>
      <c r="C97" s="44"/>
      <c r="D97" s="44"/>
      <c r="E97" s="44">
        <f>E92</f>
        <v>1190.113715</v>
      </c>
      <c r="F97" s="44">
        <v>3.9</v>
      </c>
      <c r="G97" s="44">
        <v>0.2</v>
      </c>
      <c r="H97" s="44"/>
      <c r="I97" s="44"/>
      <c r="J97" s="267">
        <f>2*(((E97/20)+1)*(G97*F97))</f>
        <v>94.388869769999999</v>
      </c>
      <c r="K97" s="44"/>
    </row>
    <row r="98" spans="1:18">
      <c r="A98" s="44"/>
      <c r="B98" s="44"/>
      <c r="C98" s="44"/>
      <c r="D98" s="44"/>
      <c r="E98" s="44">
        <f>E93</f>
        <v>682.61813999999993</v>
      </c>
      <c r="F98" s="44">
        <v>3.9</v>
      </c>
      <c r="G98" s="44">
        <v>0.2</v>
      </c>
      <c r="H98" s="44"/>
      <c r="I98" s="44"/>
      <c r="J98" s="267">
        <f>(((E98/20)+1)*(G98*F98))</f>
        <v>27.402107459999996</v>
      </c>
      <c r="K98" s="44"/>
    </row>
    <row r="99" spans="1:18">
      <c r="A99" s="44"/>
      <c r="B99" s="44"/>
      <c r="C99" s="44"/>
      <c r="D99" s="44"/>
      <c r="E99" s="44">
        <f>E94</f>
        <v>328.268145</v>
      </c>
      <c r="F99" s="44">
        <v>3.9</v>
      </c>
      <c r="G99" s="44">
        <v>0.2</v>
      </c>
      <c r="H99" s="44"/>
      <c r="I99" s="44"/>
      <c r="J99" s="267">
        <f>(((E99/20)+1)*(G99*F99))</f>
        <v>13.582457654999999</v>
      </c>
      <c r="K99" s="44"/>
    </row>
    <row r="100" spans="1:18">
      <c r="A100" s="44"/>
      <c r="B100" s="44"/>
      <c r="C100" s="44"/>
      <c r="D100" s="44"/>
      <c r="E100" s="239">
        <f>SUM(E97:E99)</f>
        <v>2201</v>
      </c>
      <c r="F100" s="44"/>
      <c r="G100" s="44"/>
      <c r="H100" s="44"/>
      <c r="I100" s="44"/>
      <c r="J100" s="269">
        <f>SUM(J97:J99)</f>
        <v>135.37343488499999</v>
      </c>
      <c r="K100" s="44"/>
      <c r="P100" s="1">
        <v>799</v>
      </c>
      <c r="Q100" s="1">
        <f>J100*P100</f>
        <v>108163.37447311499</v>
      </c>
    </row>
    <row r="101" spans="1:18">
      <c r="A101" s="44"/>
      <c r="B101" s="44"/>
      <c r="C101" s="44"/>
      <c r="D101" s="44"/>
      <c r="E101" s="44"/>
      <c r="F101" s="44"/>
      <c r="G101" s="44"/>
      <c r="H101" s="44"/>
      <c r="I101" s="44"/>
      <c r="J101" s="44"/>
      <c r="K101" s="44"/>
    </row>
    <row r="102" spans="1:18">
      <c r="A102" s="44">
        <v>8</v>
      </c>
      <c r="B102" s="239" t="s">
        <v>24</v>
      </c>
      <c r="C102" s="44"/>
      <c r="D102" s="44"/>
      <c r="E102" s="44"/>
      <c r="F102" s="44"/>
      <c r="G102" s="44"/>
      <c r="H102" s="273" t="s">
        <v>356</v>
      </c>
      <c r="I102" s="44"/>
      <c r="J102" s="271">
        <f>(0.6%*J95*7850)/1000</f>
        <v>79.598854526940002</v>
      </c>
      <c r="K102" s="44"/>
      <c r="P102" s="1">
        <f>134.76375*1000</f>
        <v>134763.75</v>
      </c>
      <c r="Q102" s="1">
        <f>J102*P102</f>
        <v>10727040.131754911</v>
      </c>
    </row>
    <row r="105" spans="1:18">
      <c r="Q105" s="296">
        <f>Q58+Q62+Q63+Q64+Q69+Q72+Q75+Q78+Q81+Q84+Q88+Q90+Q95+Q100+Q102</f>
        <v>437213797.76080596</v>
      </c>
    </row>
    <row r="107" spans="1:18">
      <c r="Q107" s="302">
        <f>Q105/2000</f>
        <v>218606.89888040299</v>
      </c>
      <c r="R107" s="1" t="s">
        <v>494</v>
      </c>
    </row>
  </sheetData>
  <mergeCells count="7">
    <mergeCell ref="B81:D81"/>
    <mergeCell ref="B84:D84"/>
    <mergeCell ref="F40:I40"/>
    <mergeCell ref="B69:D69"/>
    <mergeCell ref="B72:D72"/>
    <mergeCell ref="B75:D75"/>
    <mergeCell ref="B78:D78"/>
  </mergeCells>
  <pageMargins left="0.7" right="0.7" top="0.75" bottom="0.75" header="0.3" footer="0.3"/>
  <drawing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23"/>
  <dimension ref="B2:O54"/>
  <sheetViews>
    <sheetView workbookViewId="0"/>
  </sheetViews>
  <sheetFormatPr defaultColWidth="9.109375" defaultRowHeight="18"/>
  <cols>
    <col min="1" max="1" width="5" style="217" customWidth="1"/>
    <col min="2" max="2" width="31.88671875" style="217" customWidth="1"/>
    <col min="3" max="3" width="5.109375" style="217" customWidth="1"/>
    <col min="4" max="4" width="9.109375" style="331"/>
    <col min="5" max="5" width="10.88671875" style="217" customWidth="1"/>
    <col min="6" max="6" width="11" style="217" customWidth="1"/>
    <col min="7" max="7" width="10.5546875" style="217" customWidth="1"/>
    <col min="8" max="8" width="11.33203125" style="217" customWidth="1"/>
    <col min="9" max="9" width="12.33203125" style="217" customWidth="1"/>
    <col min="10" max="10" width="12.109375" style="217" customWidth="1"/>
    <col min="11" max="11" width="11.5546875" style="217" customWidth="1"/>
    <col min="12" max="12" width="11.44140625" style="217" hidden="1" customWidth="1"/>
    <col min="13" max="13" width="18.88671875" style="217" hidden="1" customWidth="1"/>
    <col min="14" max="14" width="10.109375" style="217" customWidth="1"/>
    <col min="15" max="16384" width="9.109375" style="217"/>
  </cols>
  <sheetData>
    <row r="2" spans="2:15">
      <c r="B2" s="313" t="s">
        <v>644</v>
      </c>
    </row>
    <row r="3" spans="2:15">
      <c r="B3" s="313" t="s">
        <v>487</v>
      </c>
      <c r="C3" s="313" t="s">
        <v>311</v>
      </c>
      <c r="D3" s="332" t="s">
        <v>172</v>
      </c>
      <c r="E3" s="313" t="s">
        <v>300</v>
      </c>
      <c r="F3" s="313" t="s">
        <v>488</v>
      </c>
      <c r="G3" s="313" t="s">
        <v>489</v>
      </c>
      <c r="H3" s="313" t="s">
        <v>490</v>
      </c>
      <c r="I3" s="313" t="s">
        <v>486</v>
      </c>
      <c r="J3" s="313" t="s">
        <v>491</v>
      </c>
      <c r="K3" s="313" t="s">
        <v>116</v>
      </c>
    </row>
    <row r="4" spans="2:15">
      <c r="B4" s="313" t="s">
        <v>644</v>
      </c>
      <c r="C4" s="313"/>
      <c r="D4" s="332" t="s">
        <v>306</v>
      </c>
      <c r="E4" s="313"/>
      <c r="F4" s="313"/>
      <c r="G4" s="313"/>
      <c r="H4" s="313"/>
      <c r="I4" s="313"/>
      <c r="J4" s="313" t="s">
        <v>439</v>
      </c>
      <c r="K4" s="314">
        <f>SUM(K5:K8)</f>
        <v>15470.263800000001</v>
      </c>
    </row>
    <row r="5" spans="2:15">
      <c r="B5" s="360" t="s">
        <v>742</v>
      </c>
      <c r="C5" s="361"/>
      <c r="D5" s="361">
        <v>1</v>
      </c>
      <c r="E5" s="361">
        <v>40</v>
      </c>
      <c r="F5" s="362"/>
      <c r="G5" s="361"/>
      <c r="H5" s="361">
        <f>AVERAGE(230.23,65.8)</f>
        <v>148.01499999999999</v>
      </c>
      <c r="I5" s="313"/>
      <c r="J5" s="313"/>
      <c r="K5" s="221">
        <f>H5*E5*D5</f>
        <v>5920.5999999999995</v>
      </c>
    </row>
    <row r="6" spans="2:15">
      <c r="B6" s="363" t="s">
        <v>743</v>
      </c>
      <c r="C6" s="364"/>
      <c r="D6" s="364">
        <v>1</v>
      </c>
      <c r="E6" s="365">
        <v>20</v>
      </c>
      <c r="F6" s="366"/>
      <c r="G6" s="364"/>
      <c r="H6" s="365">
        <f>AVERAGE(65.8,149.56)</f>
        <v>107.68</v>
      </c>
      <c r="I6" s="220"/>
      <c r="J6" s="220"/>
      <c r="K6" s="221">
        <f>H6*E6*D6</f>
        <v>2153.6000000000004</v>
      </c>
    </row>
    <row r="7" spans="2:15">
      <c r="B7" s="363" t="s">
        <v>744</v>
      </c>
      <c r="C7" s="363"/>
      <c r="D7" s="364">
        <v>1</v>
      </c>
      <c r="E7" s="363">
        <v>50</v>
      </c>
      <c r="F7" s="366"/>
      <c r="G7" s="363"/>
      <c r="H7" s="365">
        <f>AVERAGE(149.56,89.59)</f>
        <v>119.575</v>
      </c>
      <c r="I7" s="220"/>
      <c r="J7" s="220"/>
      <c r="K7" s="221">
        <f>H7*E7*D7</f>
        <v>5978.75</v>
      </c>
    </row>
    <row r="8" spans="2:15">
      <c r="B8" s="367" t="s">
        <v>745</v>
      </c>
      <c r="C8" s="368"/>
      <c r="D8" s="369">
        <v>1</v>
      </c>
      <c r="E8" s="370">
        <v>15.82</v>
      </c>
      <c r="F8" s="371"/>
      <c r="G8" s="372"/>
      <c r="H8" s="368">
        <v>89.59</v>
      </c>
      <c r="I8" s="220"/>
      <c r="J8" s="220"/>
      <c r="K8" s="221">
        <f>H8*E8*D8</f>
        <v>1417.3138000000001</v>
      </c>
    </row>
    <row r="9" spans="2:15">
      <c r="B9" s="367"/>
      <c r="C9" s="368"/>
      <c r="D9" s="369"/>
      <c r="E9" s="370"/>
      <c r="F9" s="371"/>
      <c r="G9" s="372"/>
      <c r="I9" s="220"/>
      <c r="J9" s="373"/>
      <c r="K9" s="333"/>
    </row>
    <row r="10" spans="2:15">
      <c r="B10" s="313" t="s">
        <v>31</v>
      </c>
      <c r="C10" s="313"/>
      <c r="D10" s="332" t="s">
        <v>306</v>
      </c>
      <c r="E10" s="313"/>
      <c r="F10" s="313"/>
      <c r="G10" s="313"/>
      <c r="H10" s="313"/>
      <c r="I10" s="313"/>
      <c r="J10" s="313" t="s">
        <v>439</v>
      </c>
      <c r="K10" s="314">
        <f>SUM(K11:K14)</f>
        <v>6418.2179999999998</v>
      </c>
      <c r="O10" s="217" t="s">
        <v>125</v>
      </c>
    </row>
    <row r="11" spans="2:15">
      <c r="B11" s="360" t="s">
        <v>742</v>
      </c>
      <c r="C11" s="361"/>
      <c r="D11" s="361">
        <v>1</v>
      </c>
      <c r="E11" s="361">
        <v>40</v>
      </c>
      <c r="F11" s="362"/>
      <c r="G11" s="361"/>
      <c r="H11" s="361">
        <f>AVERAGE(104.31,28.45)</f>
        <v>66.38</v>
      </c>
      <c r="I11" s="313"/>
      <c r="J11" s="313"/>
      <c r="K11" s="220">
        <f>D11*E11*H11</f>
        <v>2655.2</v>
      </c>
    </row>
    <row r="12" spans="2:15">
      <c r="B12" s="363" t="s">
        <v>743</v>
      </c>
      <c r="C12" s="364"/>
      <c r="D12" s="364">
        <v>1</v>
      </c>
      <c r="E12" s="365">
        <v>20</v>
      </c>
      <c r="F12" s="366"/>
      <c r="G12" s="364"/>
      <c r="H12" s="365">
        <f>AVERAGE(28.45,67.43)</f>
        <v>47.940000000000005</v>
      </c>
      <c r="I12" s="313"/>
      <c r="J12" s="313"/>
      <c r="K12" s="220">
        <f>D12*E12*H12</f>
        <v>958.80000000000007</v>
      </c>
    </row>
    <row r="13" spans="2:15">
      <c r="B13" s="363" t="s">
        <v>744</v>
      </c>
      <c r="C13" s="363"/>
      <c r="D13" s="364">
        <v>1</v>
      </c>
      <c r="E13" s="363">
        <v>50</v>
      </c>
      <c r="F13" s="366"/>
      <c r="G13" s="363"/>
      <c r="H13" s="365">
        <f>AVERAGE(67.43,27.4)</f>
        <v>47.415000000000006</v>
      </c>
      <c r="I13" s="313"/>
      <c r="J13" s="313"/>
      <c r="K13" s="220">
        <f>D13*E13*H13</f>
        <v>2370.7500000000005</v>
      </c>
    </row>
    <row r="14" spans="2:15">
      <c r="B14" s="367" t="s">
        <v>745</v>
      </c>
      <c r="C14" s="368"/>
      <c r="D14" s="369">
        <v>1</v>
      </c>
      <c r="E14" s="370">
        <v>15.82</v>
      </c>
      <c r="F14" s="371"/>
      <c r="G14" s="372"/>
      <c r="H14" s="368">
        <v>27.4</v>
      </c>
      <c r="I14" s="220"/>
      <c r="J14" s="220"/>
      <c r="K14" s="220">
        <f>D14*E14*H14</f>
        <v>433.46799999999996</v>
      </c>
    </row>
    <row r="15" spans="2:15">
      <c r="B15" s="367"/>
      <c r="C15" s="368"/>
      <c r="D15" s="369"/>
      <c r="E15" s="370"/>
      <c r="F15" s="371"/>
      <c r="G15" s="372"/>
      <c r="H15" s="368"/>
      <c r="I15" s="220"/>
      <c r="J15" s="220"/>
      <c r="K15" s="220"/>
    </row>
    <row r="16" spans="2:15">
      <c r="B16" s="375" t="s">
        <v>746</v>
      </c>
      <c r="C16" s="368"/>
      <c r="D16" s="376" t="s">
        <v>306</v>
      </c>
      <c r="E16" s="370"/>
      <c r="F16" s="371"/>
      <c r="G16" s="372"/>
      <c r="H16" s="368"/>
      <c r="I16" s="220"/>
      <c r="J16" s="313" t="s">
        <v>439</v>
      </c>
      <c r="K16" s="314">
        <f>SUM(K17)</f>
        <v>550.62</v>
      </c>
    </row>
    <row r="17" spans="2:14">
      <c r="B17" s="374" t="s">
        <v>747</v>
      </c>
      <c r="C17" s="368"/>
      <c r="D17" s="369">
        <v>1</v>
      </c>
      <c r="E17" s="370">
        <v>57.96</v>
      </c>
      <c r="F17" s="377"/>
      <c r="G17" s="378"/>
      <c r="H17" s="379">
        <v>9.5</v>
      </c>
      <c r="I17" s="220"/>
      <c r="J17" s="220"/>
      <c r="K17" s="220">
        <f>D17*E17*H17</f>
        <v>550.62</v>
      </c>
    </row>
    <row r="18" spans="2:14">
      <c r="B18" s="220"/>
      <c r="C18" s="220"/>
      <c r="D18" s="88"/>
      <c r="E18" s="220"/>
      <c r="F18" s="220"/>
      <c r="G18" s="220"/>
      <c r="H18" s="220"/>
      <c r="I18" s="220"/>
      <c r="J18" s="220"/>
      <c r="K18" s="220"/>
    </row>
    <row r="19" spans="2:14">
      <c r="B19" s="313" t="s">
        <v>674</v>
      </c>
      <c r="C19" s="220"/>
      <c r="D19" s="88"/>
      <c r="E19" s="220"/>
      <c r="F19" s="220"/>
      <c r="G19" s="220"/>
      <c r="H19" s="220"/>
      <c r="I19" s="220"/>
      <c r="J19" s="220"/>
      <c r="K19" s="313">
        <f>SUM(K20:K24)</f>
        <v>1187.52</v>
      </c>
    </row>
    <row r="20" spans="2:14">
      <c r="B20" s="220" t="s">
        <v>645</v>
      </c>
      <c r="C20" s="220">
        <v>1</v>
      </c>
      <c r="D20" s="88" t="s">
        <v>306</v>
      </c>
      <c r="E20" s="220"/>
      <c r="F20" s="220">
        <v>4.4000000000000004</v>
      </c>
      <c r="G20" s="220"/>
      <c r="H20" s="220">
        <v>31.36</v>
      </c>
      <c r="I20" s="220"/>
      <c r="J20" s="220"/>
      <c r="K20" s="220">
        <v>111.58</v>
      </c>
    </row>
    <row r="21" spans="2:14">
      <c r="B21" s="220" t="s">
        <v>647</v>
      </c>
      <c r="C21" s="220">
        <v>1</v>
      </c>
      <c r="D21" s="88" t="s">
        <v>306</v>
      </c>
      <c r="E21" s="220"/>
      <c r="F21" s="220">
        <v>7.2</v>
      </c>
      <c r="G21" s="220"/>
      <c r="H21" s="220">
        <v>27.39</v>
      </c>
      <c r="I21" s="220"/>
      <c r="J21" s="220"/>
      <c r="K21" s="220">
        <v>166.58</v>
      </c>
    </row>
    <row r="22" spans="2:14">
      <c r="B22" s="220" t="s">
        <v>646</v>
      </c>
      <c r="C22" s="220">
        <v>1</v>
      </c>
      <c r="D22" s="88" t="s">
        <v>306</v>
      </c>
      <c r="E22" s="220"/>
      <c r="F22" s="220">
        <v>6.3</v>
      </c>
      <c r="G22" s="220"/>
      <c r="H22" s="220">
        <v>44.554600000000001</v>
      </c>
      <c r="I22" s="220"/>
      <c r="J22" s="220"/>
      <c r="K22" s="220">
        <v>236.43</v>
      </c>
    </row>
    <row r="23" spans="2:14">
      <c r="B23" s="220" t="s">
        <v>670</v>
      </c>
      <c r="C23" s="220">
        <v>1</v>
      </c>
      <c r="D23" s="88" t="s">
        <v>306</v>
      </c>
      <c r="E23" s="220"/>
      <c r="F23" s="220">
        <v>7.25</v>
      </c>
      <c r="G23" s="220"/>
      <c r="H23" s="220">
        <v>86.093299999999999</v>
      </c>
      <c r="I23" s="220"/>
      <c r="J23" s="220"/>
      <c r="K23" s="220">
        <v>586.70000000000005</v>
      </c>
    </row>
    <row r="24" spans="2:14">
      <c r="B24" s="220" t="s">
        <v>648</v>
      </c>
      <c r="C24" s="220">
        <v>1</v>
      </c>
      <c r="D24" s="88" t="s">
        <v>306</v>
      </c>
      <c r="E24" s="220"/>
      <c r="F24" s="220">
        <v>3.6</v>
      </c>
      <c r="G24" s="220"/>
      <c r="H24" s="220">
        <v>26.818000000000001</v>
      </c>
      <c r="I24" s="220"/>
      <c r="J24" s="220"/>
      <c r="K24" s="220">
        <v>86.23</v>
      </c>
    </row>
    <row r="25" spans="2:14">
      <c r="B25" s="220"/>
      <c r="C25" s="220"/>
      <c r="D25" s="88"/>
      <c r="E25" s="220"/>
      <c r="F25" s="220"/>
      <c r="G25" s="220"/>
      <c r="H25" s="220"/>
      <c r="I25" s="220"/>
      <c r="J25" s="220" t="s">
        <v>439</v>
      </c>
      <c r="K25" s="220">
        <f>SUM(K20:K24)</f>
        <v>1187.52</v>
      </c>
    </row>
    <row r="26" spans="2:14">
      <c r="B26" s="220" t="s">
        <v>671</v>
      </c>
      <c r="C26" s="220"/>
      <c r="D26" s="88"/>
      <c r="E26" s="220"/>
      <c r="F26" s="220"/>
      <c r="G26" s="220"/>
      <c r="H26" s="220"/>
      <c r="I26" s="220"/>
      <c r="J26" s="220"/>
      <c r="K26" s="220">
        <f>K20+K21+K22+K24</f>
        <v>600.82000000000005</v>
      </c>
    </row>
    <row r="27" spans="2:14">
      <c r="B27" s="220" t="s">
        <v>672</v>
      </c>
      <c r="C27" s="220"/>
      <c r="D27" s="88"/>
      <c r="E27" s="220"/>
      <c r="F27" s="220"/>
      <c r="G27" s="220"/>
      <c r="H27" s="220"/>
      <c r="I27" s="220"/>
      <c r="J27" s="220"/>
      <c r="K27" s="220">
        <f>K23</f>
        <v>586.70000000000005</v>
      </c>
    </row>
    <row r="28" spans="2:14">
      <c r="B28" s="220"/>
      <c r="C28" s="220"/>
      <c r="D28" s="88"/>
      <c r="E28" s="220"/>
      <c r="F28" s="220"/>
      <c r="G28" s="220"/>
      <c r="H28" s="220"/>
      <c r="I28" s="220"/>
      <c r="J28" s="220"/>
      <c r="K28" s="220"/>
    </row>
    <row r="29" spans="2:14">
      <c r="B29" s="313" t="s">
        <v>675</v>
      </c>
      <c r="C29" s="313"/>
      <c r="D29" s="332"/>
      <c r="E29" s="313"/>
      <c r="F29" s="313"/>
      <c r="G29" s="313"/>
      <c r="H29" s="313"/>
      <c r="I29" s="313"/>
      <c r="J29" s="313"/>
      <c r="K29" s="313">
        <f>0.6*(K26+K27)</f>
        <v>712.51199999999994</v>
      </c>
      <c r="N29" s="217" t="s">
        <v>779</v>
      </c>
    </row>
    <row r="30" spans="2:14">
      <c r="B30" s="313" t="s">
        <v>673</v>
      </c>
      <c r="C30" s="313"/>
      <c r="D30" s="332"/>
      <c r="E30" s="313"/>
      <c r="F30" s="313"/>
      <c r="G30" s="313"/>
      <c r="H30" s="313"/>
      <c r="I30" s="313"/>
      <c r="J30" s="313"/>
      <c r="K30" s="313">
        <f>0.4*(K26+K27)</f>
        <v>475.00800000000004</v>
      </c>
      <c r="N30" s="217" t="s">
        <v>780</v>
      </c>
    </row>
    <row r="31" spans="2:14">
      <c r="B31" s="313"/>
      <c r="C31" s="313"/>
      <c r="D31" s="332"/>
      <c r="E31" s="313"/>
      <c r="F31" s="313"/>
      <c r="G31" s="313"/>
      <c r="H31" s="313"/>
      <c r="I31" s="313"/>
      <c r="J31" s="313"/>
      <c r="K31" s="313"/>
    </row>
    <row r="32" spans="2:14">
      <c r="B32" s="313" t="s">
        <v>614</v>
      </c>
      <c r="C32" s="220"/>
      <c r="D32" s="88"/>
      <c r="E32" s="220"/>
      <c r="F32" s="220"/>
      <c r="G32" s="220"/>
      <c r="H32" s="220"/>
      <c r="I32" s="220"/>
      <c r="J32" s="220"/>
      <c r="K32" s="220"/>
    </row>
    <row r="33" spans="2:11">
      <c r="B33" s="220" t="s">
        <v>645</v>
      </c>
      <c r="C33" s="220">
        <v>1</v>
      </c>
      <c r="D33" s="88" t="s">
        <v>306</v>
      </c>
      <c r="E33" s="220">
        <v>6.2</v>
      </c>
      <c r="F33" s="220">
        <v>4.4000000000000004</v>
      </c>
      <c r="G33" s="220">
        <v>7.4999999999999997E-2</v>
      </c>
      <c r="H33" s="220"/>
      <c r="I33" s="220"/>
      <c r="J33" s="220"/>
      <c r="K33" s="220">
        <f>C33*E33*F33*G33</f>
        <v>2.0460000000000003</v>
      </c>
    </row>
    <row r="34" spans="2:11">
      <c r="B34" s="220" t="s">
        <v>647</v>
      </c>
      <c r="C34" s="220">
        <v>1</v>
      </c>
      <c r="D34" s="88" t="s">
        <v>306</v>
      </c>
      <c r="E34" s="220">
        <v>6</v>
      </c>
      <c r="F34" s="220">
        <v>7.2</v>
      </c>
      <c r="G34" s="220">
        <f>G33</f>
        <v>7.4999999999999997E-2</v>
      </c>
      <c r="H34" s="220"/>
      <c r="I34" s="220"/>
      <c r="J34" s="220"/>
      <c r="K34" s="220">
        <f>C34*E34*F34*G34</f>
        <v>3.24</v>
      </c>
    </row>
    <row r="35" spans="2:11">
      <c r="B35" s="220" t="s">
        <v>646</v>
      </c>
      <c r="C35" s="220">
        <v>1</v>
      </c>
      <c r="D35" s="88" t="s">
        <v>306</v>
      </c>
      <c r="E35" s="220">
        <v>9.9</v>
      </c>
      <c r="F35" s="220">
        <v>6.3</v>
      </c>
      <c r="G35" s="220">
        <f>G34</f>
        <v>7.4999999999999997E-2</v>
      </c>
      <c r="H35" s="220"/>
      <c r="I35" s="220"/>
      <c r="J35" s="220"/>
      <c r="K35" s="220">
        <f>C35*E35*F35*G35</f>
        <v>4.6777499999999996</v>
      </c>
    </row>
    <row r="36" spans="2:11">
      <c r="B36" s="220" t="s">
        <v>670</v>
      </c>
      <c r="C36" s="220">
        <v>1</v>
      </c>
      <c r="D36" s="88" t="s">
        <v>306</v>
      </c>
      <c r="E36" s="220">
        <v>12</v>
      </c>
      <c r="F36" s="220">
        <v>7.25</v>
      </c>
      <c r="G36" s="220">
        <f>G35</f>
        <v>7.4999999999999997E-2</v>
      </c>
      <c r="H36" s="220"/>
      <c r="I36" s="220"/>
      <c r="J36" s="220"/>
      <c r="K36" s="220">
        <f>C36*E36*F36*G36</f>
        <v>6.5249999999999995</v>
      </c>
    </row>
    <row r="37" spans="2:11">
      <c r="B37" s="220" t="s">
        <v>648</v>
      </c>
      <c r="C37" s="220">
        <v>1</v>
      </c>
      <c r="D37" s="88" t="s">
        <v>306</v>
      </c>
      <c r="E37" s="220">
        <v>6</v>
      </c>
      <c r="F37" s="220">
        <v>3.6</v>
      </c>
      <c r="G37" s="220">
        <f>G36</f>
        <v>7.4999999999999997E-2</v>
      </c>
      <c r="H37" s="220"/>
      <c r="I37" s="220"/>
      <c r="J37" s="220"/>
      <c r="K37" s="220">
        <f>C37*E37*F37*G37</f>
        <v>1.62</v>
      </c>
    </row>
    <row r="38" spans="2:11">
      <c r="B38" s="220"/>
      <c r="C38" s="220"/>
      <c r="D38" s="88"/>
      <c r="E38" s="220"/>
      <c r="F38" s="220"/>
      <c r="G38" s="220"/>
      <c r="H38" s="220"/>
      <c r="I38" s="220"/>
      <c r="J38" s="313" t="s">
        <v>439</v>
      </c>
      <c r="K38" s="313">
        <f>SUM(K33:K37)</f>
        <v>18.108750000000001</v>
      </c>
    </row>
    <row r="39" spans="2:11">
      <c r="B39" s="220"/>
      <c r="C39" s="220"/>
      <c r="D39" s="88"/>
      <c r="E39" s="220"/>
      <c r="F39" s="220"/>
      <c r="G39" s="220"/>
      <c r="H39" s="220"/>
      <c r="I39" s="220"/>
      <c r="J39" s="220"/>
      <c r="K39" s="220"/>
    </row>
    <row r="40" spans="2:11">
      <c r="B40" s="313" t="s">
        <v>649</v>
      </c>
      <c r="C40" s="220"/>
      <c r="D40" s="88" t="s">
        <v>308</v>
      </c>
      <c r="E40" s="220"/>
      <c r="F40" s="220"/>
      <c r="G40" s="220"/>
      <c r="H40" s="220"/>
      <c r="I40" s="220" t="s">
        <v>650</v>
      </c>
      <c r="J40" s="220"/>
      <c r="K40" s="313">
        <f>0.4%*K19*7850/1000</f>
        <v>37.288128</v>
      </c>
    </row>
    <row r="42" spans="2:11">
      <c r="B42" s="315" t="s">
        <v>652</v>
      </c>
    </row>
    <row r="43" spans="2:11">
      <c r="B43" s="220" t="s">
        <v>645</v>
      </c>
      <c r="C43" s="220"/>
      <c r="D43" s="88" t="s">
        <v>85</v>
      </c>
      <c r="E43" s="220"/>
      <c r="F43" s="220"/>
      <c r="G43" s="220"/>
      <c r="H43" s="220"/>
      <c r="I43" s="220"/>
      <c r="J43" s="220"/>
      <c r="K43" s="220"/>
    </row>
    <row r="44" spans="2:11">
      <c r="B44" s="220"/>
      <c r="C44" s="220">
        <v>2</v>
      </c>
      <c r="D44" s="88"/>
      <c r="E44" s="220">
        <v>6.2</v>
      </c>
      <c r="F44" s="220"/>
      <c r="G44" s="220">
        <v>5.0999999999999996</v>
      </c>
      <c r="H44" s="220"/>
      <c r="I44" s="220"/>
      <c r="J44" s="220"/>
      <c r="K44" s="220">
        <f>G44*E44*C44</f>
        <v>63.239999999999995</v>
      </c>
    </row>
    <row r="45" spans="2:11">
      <c r="B45" s="220"/>
      <c r="C45" s="220">
        <v>2</v>
      </c>
      <c r="D45" s="88"/>
      <c r="E45" s="220"/>
      <c r="F45" s="220">
        <v>4.4000000000000004</v>
      </c>
      <c r="G45" s="220">
        <f>G44</f>
        <v>5.0999999999999996</v>
      </c>
      <c r="H45" s="220">
        <f>F45*G45-(PI()*2.25^2/4)</f>
        <v>18.46392179780042</v>
      </c>
      <c r="I45" s="220"/>
      <c r="J45" s="220"/>
      <c r="K45" s="220">
        <f>H45*C45</f>
        <v>36.927843595600841</v>
      </c>
    </row>
    <row r="46" spans="2:11">
      <c r="B46" s="220" t="s">
        <v>647</v>
      </c>
      <c r="C46" s="220">
        <v>2</v>
      </c>
      <c r="D46" s="88"/>
      <c r="E46" s="220">
        <v>6</v>
      </c>
      <c r="F46" s="220"/>
      <c r="G46" s="220">
        <v>6.59</v>
      </c>
      <c r="H46" s="220"/>
      <c r="I46" s="220"/>
      <c r="J46" s="220"/>
      <c r="K46" s="220">
        <f>G46*E46*C46</f>
        <v>79.08</v>
      </c>
    </row>
    <row r="47" spans="2:11">
      <c r="B47" s="220"/>
      <c r="C47" s="220">
        <v>2</v>
      </c>
      <c r="D47" s="88"/>
      <c r="E47" s="220"/>
      <c r="F47" s="220">
        <v>7.2</v>
      </c>
      <c r="G47" s="220">
        <f>G46</f>
        <v>6.59</v>
      </c>
      <c r="H47" s="220">
        <f>F47*G47-(PI()*2.25^2/4)</f>
        <v>43.47192179780042</v>
      </c>
      <c r="I47" s="220"/>
      <c r="J47" s="220"/>
      <c r="K47" s="220">
        <f>H47*C47</f>
        <v>86.943843595600839</v>
      </c>
    </row>
    <row r="48" spans="2:11">
      <c r="B48" s="220" t="s">
        <v>646</v>
      </c>
      <c r="C48" s="220">
        <v>2</v>
      </c>
      <c r="D48" s="88"/>
      <c r="E48" s="220">
        <v>9.9</v>
      </c>
      <c r="F48" s="220"/>
      <c r="G48" s="220">
        <v>3.95</v>
      </c>
      <c r="H48" s="220"/>
      <c r="I48" s="220"/>
      <c r="J48" s="220"/>
      <c r="K48" s="220">
        <f>G48*E48*C48</f>
        <v>78.210000000000008</v>
      </c>
    </row>
    <row r="49" spans="2:11">
      <c r="B49" s="220"/>
      <c r="C49" s="220">
        <v>2</v>
      </c>
      <c r="D49" s="88"/>
      <c r="E49" s="220"/>
      <c r="F49" s="220">
        <v>6.3</v>
      </c>
      <c r="G49" s="220">
        <f>G48</f>
        <v>3.95</v>
      </c>
      <c r="H49" s="220">
        <f>F49*G49-(PI()*2.25^2/4)</f>
        <v>20.908921797800421</v>
      </c>
      <c r="I49" s="220"/>
      <c r="J49" s="220"/>
      <c r="K49" s="220">
        <f>H49*C49</f>
        <v>41.817843595600841</v>
      </c>
    </row>
    <row r="50" spans="2:11">
      <c r="B50" s="220" t="s">
        <v>670</v>
      </c>
      <c r="C50" s="220">
        <v>2</v>
      </c>
      <c r="D50" s="88"/>
      <c r="E50" s="220">
        <v>12</v>
      </c>
      <c r="F50" s="220"/>
      <c r="G50" s="220">
        <v>7.2</v>
      </c>
      <c r="H50" s="220"/>
      <c r="I50" s="220"/>
      <c r="J50" s="220"/>
      <c r="K50" s="220">
        <f>G50*E50*C50</f>
        <v>172.8</v>
      </c>
    </row>
    <row r="51" spans="2:11">
      <c r="B51" s="220"/>
      <c r="C51" s="220">
        <v>2</v>
      </c>
      <c r="D51" s="88"/>
      <c r="E51" s="220"/>
      <c r="F51" s="220">
        <v>7.25</v>
      </c>
      <c r="G51" s="220">
        <f>G50</f>
        <v>7.2</v>
      </c>
      <c r="H51" s="220">
        <f>F51*G51-(PI()*2.25^2/4)</f>
        <v>48.223921797800422</v>
      </c>
      <c r="I51" s="220"/>
      <c r="J51" s="220"/>
      <c r="K51" s="220">
        <f>H51*C51</f>
        <v>96.447843595600844</v>
      </c>
    </row>
    <row r="52" spans="2:11">
      <c r="B52" s="220" t="s">
        <v>648</v>
      </c>
      <c r="C52" s="220">
        <v>2</v>
      </c>
      <c r="D52" s="88"/>
      <c r="E52" s="220">
        <v>6</v>
      </c>
      <c r="F52" s="220"/>
      <c r="G52" s="220">
        <v>4.3</v>
      </c>
      <c r="H52" s="220"/>
      <c r="I52" s="220"/>
      <c r="J52" s="220"/>
      <c r="K52" s="220">
        <f>G52*E52*C52</f>
        <v>51.599999999999994</v>
      </c>
    </row>
    <row r="53" spans="2:11">
      <c r="B53" s="220"/>
      <c r="C53" s="220">
        <v>2</v>
      </c>
      <c r="D53" s="88"/>
      <c r="E53" s="220"/>
      <c r="F53" s="220">
        <v>3.6</v>
      </c>
      <c r="G53" s="220">
        <f>G52</f>
        <v>4.3</v>
      </c>
      <c r="H53" s="220">
        <f>F53*G53-(PI()*2.25^2/4)</f>
        <v>11.50392179780042</v>
      </c>
      <c r="I53" s="220"/>
      <c r="J53" s="220"/>
      <c r="K53" s="220">
        <f>H53*C53</f>
        <v>23.007843595600839</v>
      </c>
    </row>
    <row r="54" spans="2:11">
      <c r="J54" s="313" t="s">
        <v>439</v>
      </c>
      <c r="K54" s="313">
        <f>SUM(K44:K53)</f>
        <v>730.07521797800428</v>
      </c>
    </row>
  </sheetData>
  <pageMargins left="0.7" right="0.7" top="0.75" bottom="0.75" header="0.3" footer="0.3"/>
  <pageSetup orientation="portrait" r:id="rId1"/>
  <drawing r:id="rId2"/>
  <legacyDrawing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6"/>
  <dimension ref="A2:L15"/>
  <sheetViews>
    <sheetView workbookViewId="0"/>
  </sheetViews>
  <sheetFormatPr defaultColWidth="9.109375" defaultRowHeight="16.8"/>
  <cols>
    <col min="1" max="1" width="12.44140625" style="1" customWidth="1"/>
    <col min="2" max="2" width="34.109375" style="1" customWidth="1"/>
    <col min="3" max="4" width="9.109375" style="1"/>
    <col min="5" max="5" width="12.44140625" style="1" customWidth="1"/>
    <col min="6" max="6" width="11.6640625" style="1" customWidth="1"/>
    <col min="7" max="8" width="9.109375" style="1"/>
    <col min="9" max="9" width="15.33203125" style="1" customWidth="1"/>
    <col min="10" max="10" width="13.6640625" style="1" customWidth="1"/>
    <col min="11" max="11" width="12.88671875" style="1" customWidth="1"/>
    <col min="12" max="16384" width="9.109375" style="1"/>
  </cols>
  <sheetData>
    <row r="2" spans="1:12">
      <c r="A2" s="226" t="s">
        <v>0</v>
      </c>
      <c r="B2" s="1" t="s">
        <v>292</v>
      </c>
    </row>
    <row r="3" spans="1:12">
      <c r="A3" s="119" t="s">
        <v>1</v>
      </c>
      <c r="B3" s="228">
        <v>930076</v>
      </c>
    </row>
    <row r="4" spans="1:12">
      <c r="A4" s="119" t="s">
        <v>2</v>
      </c>
      <c r="B4" s="227" t="s">
        <v>331</v>
      </c>
    </row>
    <row r="5" spans="1:12">
      <c r="A5" s="119" t="s">
        <v>3</v>
      </c>
      <c r="B5" s="1" t="s">
        <v>360</v>
      </c>
    </row>
    <row r="6" spans="1:12">
      <c r="A6" s="119" t="s">
        <v>4</v>
      </c>
    </row>
    <row r="8" spans="1:12">
      <c r="A8" s="230" t="s">
        <v>332</v>
      </c>
      <c r="B8" s="230" t="s">
        <v>8</v>
      </c>
      <c r="C8" s="230" t="s">
        <v>9</v>
      </c>
      <c r="D8" s="230" t="s">
        <v>333</v>
      </c>
      <c r="E8" s="230" t="s">
        <v>11</v>
      </c>
      <c r="F8" s="230" t="s">
        <v>12</v>
      </c>
      <c r="G8" s="230" t="s">
        <v>13</v>
      </c>
      <c r="H8" s="230" t="s">
        <v>15</v>
      </c>
      <c r="I8" s="230" t="s">
        <v>14</v>
      </c>
      <c r="J8" s="230" t="s">
        <v>16</v>
      </c>
      <c r="K8" s="230" t="s">
        <v>17</v>
      </c>
    </row>
    <row r="9" spans="1:12">
      <c r="A9" s="240">
        <v>1</v>
      </c>
      <c r="B9" s="239" t="s">
        <v>310</v>
      </c>
      <c r="C9" s="44" t="s">
        <v>306</v>
      </c>
      <c r="D9" s="44">
        <v>1</v>
      </c>
      <c r="E9" s="44">
        <v>166</v>
      </c>
      <c r="F9" s="44"/>
      <c r="G9" s="44"/>
      <c r="H9" s="44">
        <v>5.2</v>
      </c>
      <c r="I9" s="44"/>
      <c r="J9" s="239">
        <f>D9*E9*H9</f>
        <v>863.2</v>
      </c>
      <c r="K9" s="44"/>
    </row>
    <row r="10" spans="1:12">
      <c r="A10" s="240"/>
      <c r="B10" s="44"/>
      <c r="C10" s="44"/>
      <c r="D10" s="44"/>
      <c r="E10" s="44"/>
      <c r="F10" s="44"/>
      <c r="G10" s="44"/>
      <c r="H10" s="44"/>
      <c r="I10" s="44"/>
      <c r="J10" s="44"/>
      <c r="K10" s="44"/>
    </row>
    <row r="11" spans="1:12">
      <c r="A11" s="240">
        <v>2</v>
      </c>
      <c r="B11" s="239" t="s">
        <v>347</v>
      </c>
      <c r="C11" s="44" t="s">
        <v>306</v>
      </c>
      <c r="D11" s="44">
        <v>1</v>
      </c>
      <c r="E11" s="44">
        <v>166</v>
      </c>
      <c r="F11" s="44"/>
      <c r="G11" s="44"/>
      <c r="H11" s="44">
        <v>0.59840000000000004</v>
      </c>
      <c r="I11" s="44"/>
      <c r="J11" s="239">
        <f>D11*E11*H11</f>
        <v>99.334400000000002</v>
      </c>
      <c r="K11" s="44"/>
    </row>
    <row r="12" spans="1:12">
      <c r="A12" s="240"/>
      <c r="B12" s="44" t="s">
        <v>359</v>
      </c>
      <c r="C12" s="44"/>
      <c r="D12" s="44"/>
      <c r="E12" s="44"/>
      <c r="F12" s="44"/>
      <c r="G12" s="44"/>
      <c r="H12" s="44"/>
      <c r="I12" s="44"/>
      <c r="J12" s="44"/>
      <c r="K12" s="44"/>
    </row>
    <row r="13" spans="1:12">
      <c r="A13" s="240"/>
      <c r="B13" s="44"/>
      <c r="C13" s="44"/>
      <c r="D13" s="44"/>
      <c r="E13" s="44"/>
      <c r="F13" s="44"/>
      <c r="G13" s="44"/>
      <c r="H13" s="44"/>
      <c r="I13" s="44"/>
      <c r="J13" s="44"/>
      <c r="K13" s="44"/>
    </row>
    <row r="14" spans="1:12">
      <c r="A14" s="240">
        <v>3</v>
      </c>
      <c r="B14" s="239" t="s">
        <v>328</v>
      </c>
      <c r="C14" s="44" t="s">
        <v>311</v>
      </c>
      <c r="D14" s="44"/>
      <c r="E14" s="44"/>
      <c r="F14" s="44"/>
      <c r="G14" s="44"/>
      <c r="H14" s="44"/>
      <c r="I14" s="44"/>
      <c r="J14" s="44"/>
      <c r="K14" s="44"/>
    </row>
    <row r="15" spans="1:12">
      <c r="A15" s="240"/>
      <c r="B15" s="44" t="s">
        <v>637</v>
      </c>
      <c r="C15" s="44"/>
      <c r="D15" s="44"/>
      <c r="E15" s="44">
        <v>166</v>
      </c>
      <c r="F15" s="44"/>
      <c r="G15" s="44"/>
      <c r="H15" s="44"/>
      <c r="I15" s="44">
        <v>6.46</v>
      </c>
      <c r="J15" s="271">
        <f>((I15/1.4)+1)*((E15/1.4)+1)</f>
        <v>671.30816326530623</v>
      </c>
      <c r="K15" s="44"/>
      <c r="L15" s="1">
        <v>640</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28"/>
  <dimension ref="A2:K39"/>
  <sheetViews>
    <sheetView workbookViewId="0"/>
  </sheetViews>
  <sheetFormatPr defaultColWidth="9.109375" defaultRowHeight="16.8"/>
  <cols>
    <col min="1" max="1" width="11.88671875" style="1" customWidth="1"/>
    <col min="2" max="2" width="22.6640625" style="1" customWidth="1"/>
    <col min="3" max="3" width="7.88671875" style="1" customWidth="1"/>
    <col min="4" max="4" width="9.88671875" style="1" customWidth="1"/>
    <col min="5" max="5" width="10" style="1" customWidth="1"/>
    <col min="6" max="6" width="10.6640625" style="1" customWidth="1"/>
    <col min="7" max="7" width="8.5546875" style="1" customWidth="1"/>
    <col min="8" max="8" width="7.6640625" style="1" customWidth="1"/>
    <col min="9" max="9" width="11.33203125" style="1" customWidth="1"/>
    <col min="10" max="10" width="13.33203125" style="1" customWidth="1"/>
    <col min="11" max="11" width="35.109375" style="1" customWidth="1"/>
    <col min="12" max="16384" width="9.109375" style="1"/>
  </cols>
  <sheetData>
    <row r="2" spans="1:9">
      <c r="A2" s="226" t="s">
        <v>0</v>
      </c>
      <c r="B2" s="1" t="s">
        <v>292</v>
      </c>
    </row>
    <row r="3" spans="1:9">
      <c r="A3" s="119" t="s">
        <v>1</v>
      </c>
      <c r="B3" s="228">
        <v>930076</v>
      </c>
    </row>
    <row r="4" spans="1:9">
      <c r="A4" s="119" t="s">
        <v>2</v>
      </c>
      <c r="B4" s="227" t="s">
        <v>331</v>
      </c>
    </row>
    <row r="5" spans="1:9">
      <c r="A5" s="119" t="s">
        <v>3</v>
      </c>
      <c r="B5" s="1" t="s">
        <v>361</v>
      </c>
    </row>
    <row r="6" spans="1:9">
      <c r="A6" s="119" t="s">
        <v>4</v>
      </c>
    </row>
    <row r="7" spans="1:9">
      <c r="A7" s="119"/>
    </row>
    <row r="8" spans="1:9">
      <c r="A8" s="119"/>
      <c r="B8" s="1" t="s">
        <v>500</v>
      </c>
    </row>
    <row r="9" spans="1:9">
      <c r="A9" s="119"/>
      <c r="B9" s="1" t="s">
        <v>501</v>
      </c>
      <c r="C9" s="1">
        <v>45</v>
      </c>
      <c r="D9" s="1" t="s">
        <v>502</v>
      </c>
    </row>
    <row r="10" spans="1:9">
      <c r="A10" s="119"/>
    </row>
    <row r="11" spans="1:9" ht="60" customHeight="1">
      <c r="A11" s="293" t="s">
        <v>461</v>
      </c>
      <c r="B11" s="293" t="s">
        <v>462</v>
      </c>
      <c r="C11" s="293" t="s">
        <v>455</v>
      </c>
      <c r="D11" s="294" t="s">
        <v>503</v>
      </c>
      <c r="E11" s="293" t="s">
        <v>504</v>
      </c>
      <c r="F11" s="2422" t="s">
        <v>465</v>
      </c>
      <c r="G11" s="2422"/>
      <c r="H11" s="2422"/>
      <c r="I11" s="2422"/>
    </row>
    <row r="12" spans="1:9" ht="67.2">
      <c r="A12" s="44"/>
      <c r="B12" s="44"/>
      <c r="C12" s="44"/>
      <c r="D12" s="44"/>
      <c r="E12" s="44"/>
      <c r="F12" s="239" t="s">
        <v>466</v>
      </c>
      <c r="G12" s="239" t="s">
        <v>300</v>
      </c>
      <c r="H12" s="293" t="s">
        <v>467</v>
      </c>
      <c r="I12" s="293" t="s">
        <v>468</v>
      </c>
    </row>
    <row r="13" spans="1:9">
      <c r="A13" s="244" t="s">
        <v>456</v>
      </c>
      <c r="B13" s="290">
        <v>0.5</v>
      </c>
      <c r="C13" s="44">
        <f>50%*C9</f>
        <v>22.5</v>
      </c>
      <c r="D13" s="44">
        <v>0.15</v>
      </c>
      <c r="E13" s="44">
        <v>0.2</v>
      </c>
      <c r="F13" s="44">
        <v>20</v>
      </c>
      <c r="G13" s="44">
        <v>1.2</v>
      </c>
      <c r="H13" s="44">
        <v>1.4</v>
      </c>
      <c r="I13" s="44">
        <v>1.4</v>
      </c>
    </row>
    <row r="14" spans="1:9">
      <c r="A14" s="260" t="s">
        <v>457</v>
      </c>
      <c r="B14" s="291">
        <v>0.5</v>
      </c>
      <c r="C14" s="44">
        <f>50%*C9</f>
        <v>22.5</v>
      </c>
      <c r="D14" s="44">
        <v>0.15</v>
      </c>
      <c r="E14" s="44">
        <v>0.2</v>
      </c>
      <c r="F14" s="44">
        <v>20</v>
      </c>
      <c r="G14" s="44">
        <v>1.2</v>
      </c>
      <c r="H14" s="44">
        <v>1.4</v>
      </c>
      <c r="I14" s="44">
        <v>1.4</v>
      </c>
    </row>
    <row r="15" spans="1:9">
      <c r="A15" s="311"/>
      <c r="B15" s="312"/>
    </row>
    <row r="17" spans="1:11">
      <c r="A17" s="230" t="s">
        <v>332</v>
      </c>
      <c r="B17" s="230" t="s">
        <v>8</v>
      </c>
      <c r="C17" s="230" t="s">
        <v>9</v>
      </c>
      <c r="D17" s="230" t="s">
        <v>333</v>
      </c>
      <c r="E17" s="230" t="s">
        <v>11</v>
      </c>
      <c r="F17" s="230" t="s">
        <v>12</v>
      </c>
      <c r="G17" s="230" t="s">
        <v>13</v>
      </c>
      <c r="H17" s="230" t="s">
        <v>15</v>
      </c>
      <c r="I17" s="230" t="s">
        <v>14</v>
      </c>
      <c r="J17" s="230" t="s">
        <v>16</v>
      </c>
      <c r="K17" s="230" t="s">
        <v>17</v>
      </c>
    </row>
    <row r="18" spans="1:11" ht="18">
      <c r="A18" s="240">
        <v>1</v>
      </c>
      <c r="B18" s="239" t="s">
        <v>310</v>
      </c>
      <c r="C18" s="44" t="s">
        <v>306</v>
      </c>
      <c r="D18" s="44">
        <v>1</v>
      </c>
      <c r="E18" s="44">
        <v>45</v>
      </c>
      <c r="F18" s="44"/>
      <c r="G18" s="44"/>
      <c r="H18" s="44">
        <v>7.5476999999999999</v>
      </c>
      <c r="I18" s="44"/>
      <c r="J18" s="269">
        <f>D18*E18*H18</f>
        <v>339.6465</v>
      </c>
      <c r="K18" s="229"/>
    </row>
    <row r="19" spans="1:11" ht="18">
      <c r="A19" s="240"/>
      <c r="B19" s="44"/>
      <c r="C19" s="44"/>
      <c r="D19" s="44"/>
      <c r="E19" s="44"/>
      <c r="F19" s="44"/>
      <c r="G19" s="44"/>
      <c r="H19" s="44"/>
      <c r="I19" s="44"/>
      <c r="J19" s="44"/>
      <c r="K19" s="229"/>
    </row>
    <row r="20" spans="1:11" ht="18">
      <c r="A20" s="240">
        <v>2</v>
      </c>
      <c r="B20" s="239" t="s">
        <v>347</v>
      </c>
      <c r="C20" s="44" t="s">
        <v>85</v>
      </c>
      <c r="D20" s="44"/>
      <c r="E20" s="44"/>
      <c r="F20" s="44"/>
      <c r="G20" s="44"/>
      <c r="H20" s="44"/>
      <c r="I20" s="44"/>
      <c r="J20" s="44"/>
      <c r="K20" s="229"/>
    </row>
    <row r="21" spans="1:11" ht="34.200000000000003">
      <c r="A21" s="240"/>
      <c r="B21" s="268" t="s">
        <v>359</v>
      </c>
      <c r="C21" s="44"/>
      <c r="D21" s="44">
        <v>1</v>
      </c>
      <c r="E21" s="44">
        <f>E18</f>
        <v>45</v>
      </c>
      <c r="F21" s="44"/>
      <c r="G21" s="44"/>
      <c r="H21" s="44"/>
      <c r="I21" s="44">
        <v>8.64</v>
      </c>
      <c r="J21" s="269">
        <f>D21*E21*I21</f>
        <v>388.8</v>
      </c>
      <c r="K21" s="229"/>
    </row>
    <row r="22" spans="1:11" ht="18">
      <c r="A22" s="240"/>
      <c r="B22" s="44"/>
      <c r="C22" s="44"/>
      <c r="D22" s="44"/>
      <c r="E22" s="44"/>
      <c r="F22" s="44"/>
      <c r="G22" s="44"/>
      <c r="H22" s="44"/>
      <c r="I22" s="44"/>
      <c r="J22" s="44"/>
      <c r="K22" s="229"/>
    </row>
    <row r="23" spans="1:11" ht="18">
      <c r="A23" s="240">
        <v>3</v>
      </c>
      <c r="B23" s="239" t="s">
        <v>329</v>
      </c>
      <c r="C23" s="44" t="s">
        <v>306</v>
      </c>
      <c r="D23" s="44"/>
      <c r="E23" s="44"/>
      <c r="F23" s="44"/>
      <c r="G23" s="44"/>
      <c r="H23" s="44"/>
      <c r="I23" s="44"/>
      <c r="J23" s="44"/>
      <c r="K23" s="229"/>
    </row>
    <row r="24" spans="1:11" ht="34.200000000000003">
      <c r="A24" s="240"/>
      <c r="B24" s="268" t="s">
        <v>505</v>
      </c>
      <c r="C24" s="44"/>
      <c r="D24" s="44">
        <v>1</v>
      </c>
      <c r="E24" s="44">
        <f>E21</f>
        <v>45</v>
      </c>
      <c r="F24" s="44"/>
      <c r="G24" s="44"/>
      <c r="H24" s="44">
        <v>1.5394000000000001</v>
      </c>
      <c r="I24" s="44"/>
      <c r="J24" s="269">
        <f>D24*E24*H24</f>
        <v>69.27300000000001</v>
      </c>
      <c r="K24" s="229"/>
    </row>
    <row r="25" spans="1:11" ht="18">
      <c r="A25" s="240"/>
      <c r="B25" s="44"/>
      <c r="C25" s="44"/>
      <c r="D25" s="44"/>
      <c r="E25" s="44"/>
      <c r="F25" s="44"/>
      <c r="G25" s="44"/>
      <c r="H25" s="44"/>
      <c r="I25" s="44"/>
      <c r="J25" s="44"/>
      <c r="K25" s="229"/>
    </row>
    <row r="26" spans="1:11" ht="18">
      <c r="A26" s="240">
        <v>4</v>
      </c>
      <c r="B26" s="239" t="s">
        <v>366</v>
      </c>
      <c r="C26" s="44" t="s">
        <v>311</v>
      </c>
      <c r="D26" s="44"/>
      <c r="E26" s="44"/>
      <c r="F26" s="44"/>
      <c r="G26" s="44"/>
      <c r="H26" s="44"/>
      <c r="I26" s="44"/>
      <c r="J26" s="44"/>
      <c r="K26" s="229"/>
    </row>
    <row r="27" spans="1:11" ht="50.4">
      <c r="A27" s="240"/>
      <c r="B27" s="268" t="s">
        <v>506</v>
      </c>
      <c r="C27" s="44"/>
      <c r="D27" s="44"/>
      <c r="E27" s="44">
        <f>E24</f>
        <v>45</v>
      </c>
      <c r="F27" s="44"/>
      <c r="G27" s="44"/>
      <c r="H27" s="44"/>
      <c r="I27" s="44"/>
      <c r="J27" s="271">
        <f>K29*K32</f>
        <v>205.56505102040822</v>
      </c>
      <c r="K27" s="234" t="s">
        <v>638</v>
      </c>
    </row>
    <row r="28" spans="1:11">
      <c r="A28" s="240"/>
      <c r="B28" s="44"/>
      <c r="C28" s="44"/>
      <c r="D28" s="44"/>
      <c r="E28" s="44"/>
      <c r="F28" s="44"/>
      <c r="G28" s="44"/>
      <c r="H28" s="44"/>
      <c r="I28" s="44"/>
      <c r="J28" s="44"/>
      <c r="K28" s="234" t="s">
        <v>363</v>
      </c>
    </row>
    <row r="29" spans="1:11">
      <c r="A29" s="240"/>
      <c r="B29" s="44"/>
      <c r="C29" s="44"/>
      <c r="D29" s="44"/>
      <c r="E29" s="44"/>
      <c r="F29" s="44"/>
      <c r="G29" s="44"/>
      <c r="H29" s="44"/>
      <c r="I29" s="44"/>
      <c r="J29" s="44"/>
      <c r="K29" s="282">
        <f>8.9535/1.4</f>
        <v>6.3953571428571436</v>
      </c>
    </row>
    <row r="30" spans="1:11">
      <c r="A30" s="240"/>
      <c r="B30" s="44"/>
      <c r="C30" s="44"/>
      <c r="D30" s="44"/>
      <c r="E30" s="44"/>
      <c r="F30" s="44"/>
      <c r="G30" s="44"/>
      <c r="H30" s="44"/>
      <c r="I30" s="44"/>
      <c r="J30" s="44"/>
      <c r="K30" s="234" t="s">
        <v>364</v>
      </c>
    </row>
    <row r="31" spans="1:11">
      <c r="A31" s="240"/>
      <c r="B31" s="44"/>
      <c r="C31" s="44"/>
      <c r="D31" s="44"/>
      <c r="E31" s="44"/>
      <c r="F31" s="44"/>
      <c r="G31" s="44"/>
      <c r="H31" s="44"/>
      <c r="I31" s="44"/>
      <c r="J31" s="44"/>
      <c r="K31" s="234" t="s">
        <v>365</v>
      </c>
    </row>
    <row r="32" spans="1:11">
      <c r="A32" s="240"/>
      <c r="B32" s="44"/>
      <c r="C32" s="44"/>
      <c r="D32" s="44"/>
      <c r="E32" s="44"/>
      <c r="F32" s="44"/>
      <c r="G32" s="44"/>
      <c r="H32" s="44"/>
      <c r="I32" s="44"/>
      <c r="J32" s="44"/>
      <c r="K32" s="282">
        <f>E27/1.4</f>
        <v>32.142857142857146</v>
      </c>
    </row>
    <row r="33" spans="1:11">
      <c r="A33" s="240"/>
      <c r="B33" s="44"/>
      <c r="C33" s="44"/>
      <c r="D33" s="44"/>
      <c r="E33" s="44"/>
      <c r="F33" s="44"/>
      <c r="G33" s="44"/>
      <c r="H33" s="44"/>
      <c r="I33" s="44"/>
      <c r="J33" s="44"/>
      <c r="K33" s="234" t="s">
        <v>639</v>
      </c>
    </row>
    <row r="34" spans="1:11">
      <c r="A34" s="240"/>
      <c r="B34" s="44"/>
      <c r="C34" s="44"/>
      <c r="D34" s="44"/>
      <c r="E34" s="44"/>
      <c r="F34" s="44"/>
      <c r="G34" s="44"/>
      <c r="H34" s="44"/>
      <c r="I34" s="44"/>
      <c r="J34" s="44"/>
      <c r="K34" s="234"/>
    </row>
    <row r="35" spans="1:11">
      <c r="A35" s="240">
        <v>5</v>
      </c>
      <c r="B35" s="239" t="s">
        <v>101</v>
      </c>
      <c r="C35" s="44" t="s">
        <v>85</v>
      </c>
      <c r="D35" s="44">
        <v>1</v>
      </c>
      <c r="E35" s="44">
        <f>E27</f>
        <v>45</v>
      </c>
      <c r="F35" s="44"/>
      <c r="G35" s="44"/>
      <c r="H35" s="44"/>
      <c r="I35" s="44">
        <v>7.0686</v>
      </c>
      <c r="J35" s="270">
        <f>D35*E35*I35</f>
        <v>318.08699999999999</v>
      </c>
      <c r="K35" s="234"/>
    </row>
    <row r="36" spans="1:11">
      <c r="A36" s="240"/>
      <c r="B36" s="239"/>
      <c r="C36" s="44"/>
      <c r="D36" s="44"/>
      <c r="E36" s="44"/>
      <c r="F36" s="44"/>
      <c r="G36" s="44"/>
      <c r="H36" s="44"/>
      <c r="I36" s="44"/>
      <c r="J36" s="270"/>
      <c r="K36" s="234"/>
    </row>
    <row r="37" spans="1:11">
      <c r="A37" s="240"/>
      <c r="B37" s="239"/>
      <c r="C37" s="44"/>
      <c r="D37" s="44"/>
      <c r="E37" s="44"/>
      <c r="F37" s="44"/>
      <c r="G37" s="44"/>
      <c r="H37" s="44"/>
      <c r="I37" s="44"/>
      <c r="J37" s="270"/>
      <c r="K37" s="234"/>
    </row>
    <row r="38" spans="1:11">
      <c r="A38" s="240"/>
      <c r="B38" s="44"/>
      <c r="C38" s="44"/>
      <c r="D38" s="44"/>
      <c r="E38" s="44"/>
      <c r="F38" s="44"/>
      <c r="G38" s="44"/>
      <c r="H38" s="44"/>
      <c r="I38" s="44"/>
      <c r="J38" s="44"/>
      <c r="K38" s="234"/>
    </row>
    <row r="39" spans="1:11">
      <c r="A39" s="240">
        <v>6</v>
      </c>
      <c r="B39" s="239" t="s">
        <v>24</v>
      </c>
      <c r="C39" s="44" t="s">
        <v>25</v>
      </c>
      <c r="D39" s="44"/>
      <c r="E39" s="44"/>
      <c r="F39" s="44"/>
      <c r="G39" s="44"/>
      <c r="H39" s="44"/>
      <c r="I39" s="44"/>
      <c r="J39" s="269">
        <f>(1.2%*J24*7850)/1000</f>
        <v>6.5255166000000004</v>
      </c>
      <c r="K39" s="234" t="s">
        <v>337</v>
      </c>
    </row>
  </sheetData>
  <mergeCells count="1">
    <mergeCell ref="F11:I11"/>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9"/>
  <dimension ref="A2:L49"/>
  <sheetViews>
    <sheetView workbookViewId="0"/>
  </sheetViews>
  <sheetFormatPr defaultColWidth="9.109375" defaultRowHeight="16.8"/>
  <cols>
    <col min="1" max="1" width="12.44140625" style="1" customWidth="1"/>
    <col min="2" max="2" width="29.44140625" style="1" customWidth="1"/>
    <col min="3" max="4" width="9.109375" style="1"/>
    <col min="5" max="5" width="11.88671875" style="1" customWidth="1"/>
    <col min="6" max="6" width="13.33203125" style="1" customWidth="1"/>
    <col min="7" max="7" width="11.33203125" style="1" customWidth="1"/>
    <col min="8" max="8" width="9.109375" style="1"/>
    <col min="9" max="9" width="13.5546875" style="1" customWidth="1"/>
    <col min="10" max="10" width="13.44140625" style="1" customWidth="1"/>
    <col min="11" max="11" width="29.109375" style="1" customWidth="1"/>
    <col min="12" max="16384" width="9.109375" style="1"/>
  </cols>
  <sheetData>
    <row r="2" spans="1:11">
      <c r="A2" s="226" t="s">
        <v>0</v>
      </c>
      <c r="B2" s="1" t="s">
        <v>292</v>
      </c>
    </row>
    <row r="3" spans="1:11">
      <c r="A3" s="119" t="s">
        <v>1</v>
      </c>
      <c r="B3" s="228">
        <v>930076</v>
      </c>
    </row>
    <row r="4" spans="1:11">
      <c r="A4" s="119" t="s">
        <v>2</v>
      </c>
      <c r="B4" s="227" t="s">
        <v>331</v>
      </c>
    </row>
    <row r="5" spans="1:11">
      <c r="A5" s="119" t="s">
        <v>3</v>
      </c>
      <c r="B5" s="1" t="s">
        <v>362</v>
      </c>
    </row>
    <row r="6" spans="1:11">
      <c r="A6" s="119" t="s">
        <v>4</v>
      </c>
    </row>
    <row r="7" spans="1:11">
      <c r="A7" s="119"/>
    </row>
    <row r="8" spans="1:11">
      <c r="A8" s="119"/>
    </row>
    <row r="9" spans="1:11">
      <c r="A9" s="119"/>
      <c r="B9" s="1" t="s">
        <v>496</v>
      </c>
    </row>
    <row r="10" spans="1:11">
      <c r="A10" s="119"/>
      <c r="B10" s="1" t="s">
        <v>635</v>
      </c>
    </row>
    <row r="11" spans="1:11">
      <c r="A11" s="119"/>
    </row>
    <row r="12" spans="1:11" ht="60" customHeight="1">
      <c r="A12" s="293" t="s">
        <v>461</v>
      </c>
      <c r="B12" s="293" t="s">
        <v>462</v>
      </c>
      <c r="C12" s="293" t="s">
        <v>455</v>
      </c>
      <c r="D12" s="294" t="s">
        <v>463</v>
      </c>
      <c r="E12" s="293" t="s">
        <v>464</v>
      </c>
      <c r="F12" s="2422" t="s">
        <v>465</v>
      </c>
      <c r="G12" s="2422"/>
      <c r="H12" s="2422"/>
      <c r="I12" s="2422"/>
      <c r="J12" s="293" t="s">
        <v>472</v>
      </c>
      <c r="K12" s="293" t="s">
        <v>495</v>
      </c>
    </row>
    <row r="13" spans="1:11" ht="64.5" customHeight="1">
      <c r="A13" s="44"/>
      <c r="B13" s="44"/>
      <c r="C13" s="44"/>
      <c r="D13" s="44"/>
      <c r="E13" s="44"/>
      <c r="F13" s="239" t="s">
        <v>466</v>
      </c>
      <c r="G13" s="239" t="s">
        <v>300</v>
      </c>
      <c r="H13" s="293" t="s">
        <v>467</v>
      </c>
      <c r="I13" s="293" t="s">
        <v>468</v>
      </c>
      <c r="J13" s="293" t="s">
        <v>473</v>
      </c>
      <c r="K13" s="44"/>
    </row>
    <row r="14" spans="1:11">
      <c r="A14" s="244" t="s">
        <v>456</v>
      </c>
      <c r="B14" s="290">
        <v>0.5</v>
      </c>
      <c r="C14" s="44">
        <f>50%*108.5</f>
        <v>54.25</v>
      </c>
      <c r="D14" s="44">
        <v>0.05</v>
      </c>
      <c r="E14" s="44">
        <v>0.05</v>
      </c>
      <c r="F14" s="44">
        <v>20</v>
      </c>
      <c r="G14" s="44">
        <v>2.2000000000000002</v>
      </c>
      <c r="H14" s="44">
        <v>2</v>
      </c>
      <c r="I14" s="44">
        <v>2</v>
      </c>
      <c r="J14" s="44">
        <v>0.2</v>
      </c>
      <c r="K14" s="44" t="s">
        <v>497</v>
      </c>
    </row>
    <row r="15" spans="1:11">
      <c r="A15" s="260" t="s">
        <v>457</v>
      </c>
      <c r="B15" s="291">
        <v>0.5</v>
      </c>
      <c r="C15" s="44">
        <f>50%*108.5</f>
        <v>54.25</v>
      </c>
      <c r="D15" s="44">
        <v>0.05</v>
      </c>
      <c r="E15" s="44">
        <v>0.05</v>
      </c>
      <c r="F15" s="44">
        <v>20</v>
      </c>
      <c r="G15" s="44">
        <v>2.2000000000000002</v>
      </c>
      <c r="H15" s="44">
        <v>1.8</v>
      </c>
      <c r="I15" s="44">
        <v>1.8</v>
      </c>
      <c r="J15" s="44">
        <v>0.2</v>
      </c>
      <c r="K15" s="44" t="s">
        <v>497</v>
      </c>
    </row>
    <row r="16" spans="1:11">
      <c r="A16" s="119"/>
      <c r="C16" s="1">
        <f>SUM(C14:C15)</f>
        <v>108.5</v>
      </c>
    </row>
    <row r="18" spans="1:12">
      <c r="A18" s="230" t="s">
        <v>332</v>
      </c>
      <c r="B18" s="230" t="s">
        <v>8</v>
      </c>
      <c r="C18" s="230" t="s">
        <v>9</v>
      </c>
      <c r="D18" s="230" t="s">
        <v>333</v>
      </c>
      <c r="E18" s="230" t="s">
        <v>11</v>
      </c>
      <c r="F18" s="230" t="s">
        <v>12</v>
      </c>
      <c r="G18" s="230" t="s">
        <v>13</v>
      </c>
      <c r="H18" s="230" t="s">
        <v>15</v>
      </c>
      <c r="I18" s="230" t="s">
        <v>14</v>
      </c>
      <c r="J18" s="230" t="s">
        <v>16</v>
      </c>
      <c r="K18" s="230" t="s">
        <v>17</v>
      </c>
    </row>
    <row r="19" spans="1:12">
      <c r="A19" s="238">
        <v>1</v>
      </c>
      <c r="B19" s="239" t="s">
        <v>312</v>
      </c>
      <c r="C19" s="44" t="s">
        <v>306</v>
      </c>
      <c r="D19" s="44"/>
      <c r="E19" s="44"/>
      <c r="F19" s="44"/>
      <c r="G19" s="44"/>
      <c r="H19" s="44"/>
      <c r="I19" s="44"/>
      <c r="J19" s="233"/>
      <c r="K19" s="234"/>
    </row>
    <row r="20" spans="1:12">
      <c r="A20" s="238"/>
      <c r="B20" s="44" t="s">
        <v>456</v>
      </c>
      <c r="C20" s="44"/>
      <c r="D20" s="44">
        <v>1</v>
      </c>
      <c r="E20" s="44">
        <f>C14</f>
        <v>54.25</v>
      </c>
      <c r="F20" s="44"/>
      <c r="G20" s="44"/>
      <c r="H20" s="44">
        <v>16.587199999999999</v>
      </c>
      <c r="I20" s="44"/>
      <c r="J20" s="241">
        <f>D20*E20*H20</f>
        <v>899.85559999999998</v>
      </c>
      <c r="K20" s="234"/>
    </row>
    <row r="21" spans="1:12">
      <c r="A21" s="238"/>
      <c r="B21" s="44" t="s">
        <v>457</v>
      </c>
      <c r="C21" s="44"/>
      <c r="D21" s="44">
        <v>1</v>
      </c>
      <c r="E21" s="44">
        <f>C15</f>
        <v>54.25</v>
      </c>
      <c r="F21" s="44"/>
      <c r="G21" s="44"/>
      <c r="H21" s="44">
        <v>16.587199999999999</v>
      </c>
      <c r="I21" s="44"/>
      <c r="J21" s="241">
        <f>D21*E21*H21</f>
        <v>899.85559999999998</v>
      </c>
      <c r="K21" s="234"/>
    </row>
    <row r="22" spans="1:12">
      <c r="A22" s="238"/>
      <c r="B22" s="44"/>
      <c r="C22" s="44"/>
      <c r="D22" s="44"/>
      <c r="E22" s="239">
        <f>SUM(E20:E21)</f>
        <v>108.5</v>
      </c>
      <c r="F22" s="44"/>
      <c r="G22" s="44"/>
      <c r="H22" s="44"/>
      <c r="I22" s="44"/>
      <c r="J22" s="269">
        <f>SUM(J20:J21)</f>
        <v>1799.7112</v>
      </c>
      <c r="K22" s="234"/>
    </row>
    <row r="23" spans="1:12">
      <c r="A23" s="238">
        <v>2</v>
      </c>
      <c r="B23" s="239" t="s">
        <v>347</v>
      </c>
      <c r="C23" s="44" t="s">
        <v>85</v>
      </c>
      <c r="D23" s="44"/>
      <c r="E23" s="44"/>
      <c r="F23" s="44"/>
      <c r="G23" s="44"/>
      <c r="H23" s="44"/>
      <c r="I23" s="44"/>
      <c r="J23" s="44"/>
      <c r="K23" s="234"/>
    </row>
    <row r="24" spans="1:12" ht="33.6">
      <c r="A24" s="238"/>
      <c r="B24" s="268" t="s">
        <v>493</v>
      </c>
      <c r="C24" s="44"/>
      <c r="D24" s="44">
        <v>1</v>
      </c>
      <c r="E24" s="44">
        <f>E20</f>
        <v>54.25</v>
      </c>
      <c r="F24" s="44"/>
      <c r="G24" s="44"/>
      <c r="H24" s="44"/>
      <c r="I24" s="44">
        <v>10.5261</v>
      </c>
      <c r="J24" s="241">
        <f>D24*E24*I24</f>
        <v>571.04092500000002</v>
      </c>
      <c r="K24" s="234"/>
    </row>
    <row r="25" spans="1:12" ht="33.6">
      <c r="A25" s="238"/>
      <c r="B25" s="268" t="s">
        <v>493</v>
      </c>
      <c r="C25" s="44"/>
      <c r="D25" s="44">
        <v>1</v>
      </c>
      <c r="E25" s="44">
        <f>E21</f>
        <v>54.25</v>
      </c>
      <c r="F25" s="44"/>
      <c r="G25" s="44"/>
      <c r="H25" s="44"/>
      <c r="I25" s="44">
        <v>10.5261</v>
      </c>
      <c r="J25" s="241">
        <f>D25*E25*I25</f>
        <v>571.04092500000002</v>
      </c>
      <c r="K25" s="234"/>
    </row>
    <row r="26" spans="1:12">
      <c r="A26" s="238"/>
      <c r="B26" s="268"/>
      <c r="C26" s="44"/>
      <c r="D26" s="44"/>
      <c r="E26" s="44">
        <f>SUM(E24:E25)</f>
        <v>108.5</v>
      </c>
      <c r="F26" s="44"/>
      <c r="G26" s="44"/>
      <c r="H26" s="44"/>
      <c r="I26" s="44"/>
      <c r="J26" s="233">
        <f>SUM(J24:J25)</f>
        <v>1142.08185</v>
      </c>
      <c r="K26" s="234"/>
    </row>
    <row r="27" spans="1:12">
      <c r="A27" s="238"/>
      <c r="B27" s="44"/>
      <c r="C27" s="44"/>
      <c r="D27" s="44"/>
      <c r="E27" s="44"/>
      <c r="F27" s="44"/>
      <c r="G27" s="44"/>
      <c r="H27" s="44"/>
      <c r="I27" s="44"/>
      <c r="J27" s="44"/>
      <c r="K27" s="234"/>
    </row>
    <row r="28" spans="1:12">
      <c r="A28" s="238">
        <v>3</v>
      </c>
      <c r="B28" s="239" t="s">
        <v>366</v>
      </c>
      <c r="C28" s="44" t="s">
        <v>367</v>
      </c>
      <c r="D28" s="44"/>
      <c r="E28" s="44"/>
      <c r="F28" s="44"/>
      <c r="G28" s="44"/>
      <c r="H28" s="44"/>
      <c r="I28" s="44"/>
      <c r="J28" s="44"/>
      <c r="K28" s="234"/>
    </row>
    <row r="29" spans="1:12" ht="33.6">
      <c r="A29" s="238"/>
      <c r="B29" s="268" t="s">
        <v>498</v>
      </c>
      <c r="C29" s="44"/>
      <c r="D29" s="44"/>
      <c r="E29" s="44">
        <f>E24</f>
        <v>54.25</v>
      </c>
      <c r="F29" s="44"/>
      <c r="G29" s="44"/>
      <c r="H29" s="44"/>
      <c r="I29" s="44">
        <f>I24</f>
        <v>10.5261</v>
      </c>
      <c r="J29" s="310">
        <f>((I29/2)*(E29/2))+1</f>
        <v>143.76023125</v>
      </c>
      <c r="K29" s="234"/>
      <c r="L29" s="1">
        <v>544</v>
      </c>
    </row>
    <row r="30" spans="1:12" ht="33.6">
      <c r="A30" s="238"/>
      <c r="B30" s="268" t="s">
        <v>499</v>
      </c>
      <c r="C30" s="44"/>
      <c r="D30" s="44"/>
      <c r="E30" s="44">
        <f>E21</f>
        <v>54.25</v>
      </c>
      <c r="F30" s="44"/>
      <c r="G30" s="44"/>
      <c r="H30" s="44"/>
      <c r="I30" s="44">
        <f>I25</f>
        <v>10.5261</v>
      </c>
      <c r="J30" s="310">
        <f>((I30/1.8)*(E30/1.8))+1</f>
        <v>177.24719907407408</v>
      </c>
      <c r="K30" s="234"/>
    </row>
    <row r="31" spans="1:12">
      <c r="A31" s="238"/>
      <c r="B31" s="44"/>
      <c r="C31" s="44"/>
      <c r="D31" s="44"/>
      <c r="E31" s="44"/>
      <c r="F31" s="44"/>
      <c r="G31" s="44"/>
      <c r="H31" s="44"/>
      <c r="I31" s="44"/>
      <c r="J31" s="271">
        <f>SUM(J29:J30)</f>
        <v>321.00743032407411</v>
      </c>
      <c r="K31" s="282"/>
    </row>
    <row r="32" spans="1:12">
      <c r="A32" s="238"/>
      <c r="B32" s="44"/>
      <c r="C32" s="44"/>
      <c r="D32" s="44"/>
      <c r="E32" s="44"/>
      <c r="F32" s="44"/>
      <c r="G32" s="44"/>
      <c r="H32" s="44"/>
      <c r="I32" s="44"/>
      <c r="J32" s="44"/>
      <c r="K32" s="234"/>
    </row>
    <row r="33" spans="1:11">
      <c r="A33" s="238">
        <v>4</v>
      </c>
      <c r="B33" s="239" t="s">
        <v>329</v>
      </c>
      <c r="C33" s="44" t="s">
        <v>306</v>
      </c>
      <c r="D33" s="44"/>
      <c r="E33" s="44"/>
      <c r="F33" s="44"/>
      <c r="G33" s="44"/>
      <c r="H33" s="44"/>
      <c r="I33" s="44"/>
      <c r="J33" s="44"/>
      <c r="K33" s="234"/>
    </row>
    <row r="34" spans="1:11">
      <c r="A34" s="238"/>
      <c r="B34" s="44" t="s">
        <v>368</v>
      </c>
      <c r="C34" s="44"/>
      <c r="D34" s="44">
        <v>1</v>
      </c>
      <c r="E34" s="44">
        <f>E22</f>
        <v>108.5</v>
      </c>
      <c r="F34" s="44">
        <v>3.9</v>
      </c>
      <c r="G34" s="44">
        <v>0.3</v>
      </c>
      <c r="H34" s="44"/>
      <c r="I34" s="44"/>
      <c r="J34" s="241">
        <f>D34*E34*F34*G34</f>
        <v>126.94499999999999</v>
      </c>
      <c r="K34" s="234"/>
    </row>
    <row r="35" spans="1:11" ht="33.6">
      <c r="A35" s="238"/>
      <c r="B35" s="268" t="s">
        <v>369</v>
      </c>
      <c r="C35" s="44"/>
      <c r="D35" s="44">
        <v>1</v>
      </c>
      <c r="E35" s="44">
        <f>E34</f>
        <v>108.5</v>
      </c>
      <c r="F35" s="44"/>
      <c r="G35" s="44"/>
      <c r="H35" s="289">
        <v>2.3622999999999998</v>
      </c>
      <c r="I35" s="44"/>
      <c r="J35" s="272">
        <f>D35*E35*H35</f>
        <v>256.30955</v>
      </c>
      <c r="K35" s="234"/>
    </row>
    <row r="36" spans="1:11">
      <c r="A36" s="238"/>
      <c r="B36" s="268"/>
      <c r="C36" s="44"/>
      <c r="D36" s="44"/>
      <c r="E36" s="44"/>
      <c r="F36" s="44"/>
      <c r="G36" s="44"/>
      <c r="H36" s="44"/>
      <c r="I36" s="44"/>
      <c r="J36" s="233">
        <f>SUM(J34:J35)</f>
        <v>383.25454999999999</v>
      </c>
      <c r="K36" s="234"/>
    </row>
    <row r="37" spans="1:11">
      <c r="A37" s="238"/>
      <c r="B37" s="44"/>
      <c r="C37" s="44"/>
      <c r="D37" s="44"/>
      <c r="E37" s="44"/>
      <c r="F37" s="44"/>
      <c r="G37" s="44"/>
      <c r="H37" s="44"/>
      <c r="I37" s="44"/>
      <c r="J37" s="44"/>
      <c r="K37" s="234"/>
    </row>
    <row r="38" spans="1:11">
      <c r="A38" s="238">
        <v>5</v>
      </c>
      <c r="B38" s="239" t="s">
        <v>101</v>
      </c>
      <c r="C38" s="44" t="s">
        <v>85</v>
      </c>
      <c r="D38" s="44"/>
      <c r="E38" s="44"/>
      <c r="F38" s="44"/>
      <c r="G38" s="44"/>
      <c r="H38" s="44"/>
      <c r="I38" s="44"/>
      <c r="J38" s="44"/>
      <c r="K38" s="234"/>
    </row>
    <row r="39" spans="1:11">
      <c r="A39" s="238"/>
      <c r="B39" s="268" t="s">
        <v>370</v>
      </c>
      <c r="C39" s="44"/>
      <c r="D39" s="44">
        <v>1</v>
      </c>
      <c r="E39" s="44">
        <f>E35</f>
        <v>108.5</v>
      </c>
      <c r="F39" s="44">
        <v>3.9</v>
      </c>
      <c r="G39" s="44">
        <v>0.3</v>
      </c>
      <c r="H39" s="44"/>
      <c r="I39" s="44"/>
      <c r="J39" s="267">
        <f>(((E39/20)+1)*(F39*G39))</f>
        <v>7.5172499999999998</v>
      </c>
      <c r="K39" s="234" t="s">
        <v>371</v>
      </c>
    </row>
    <row r="40" spans="1:11">
      <c r="A40" s="238"/>
      <c r="B40" s="44" t="s">
        <v>372</v>
      </c>
      <c r="C40" s="44"/>
      <c r="D40" s="44"/>
      <c r="E40" s="44"/>
      <c r="F40" s="44"/>
      <c r="G40" s="44"/>
      <c r="H40" s="44"/>
      <c r="I40" s="44"/>
      <c r="J40" s="44"/>
      <c r="K40" s="234"/>
    </row>
    <row r="41" spans="1:11">
      <c r="A41" s="238"/>
      <c r="B41" s="44"/>
      <c r="C41" s="44"/>
      <c r="D41" s="44">
        <v>2</v>
      </c>
      <c r="E41" s="44"/>
      <c r="F41" s="44"/>
      <c r="G41" s="44"/>
      <c r="H41" s="44">
        <v>2.3622999999999998</v>
      </c>
      <c r="I41" s="44"/>
      <c r="J41" s="267">
        <f>D41*H41*6</f>
        <v>28.3476</v>
      </c>
      <c r="K41" s="234"/>
    </row>
    <row r="42" spans="1:11">
      <c r="A42" s="238"/>
      <c r="B42" s="44"/>
      <c r="C42" s="44"/>
      <c r="D42" s="44">
        <v>1</v>
      </c>
      <c r="E42" s="44">
        <f>E39</f>
        <v>108.5</v>
      </c>
      <c r="F42" s="44"/>
      <c r="G42" s="44">
        <v>1</v>
      </c>
      <c r="H42" s="44"/>
      <c r="I42" s="44"/>
      <c r="J42" s="267">
        <f>D42*E42*G42</f>
        <v>108.5</v>
      </c>
      <c r="K42" s="234"/>
    </row>
    <row r="43" spans="1:11">
      <c r="A43" s="238"/>
      <c r="B43" s="44"/>
      <c r="C43" s="44"/>
      <c r="D43" s="44"/>
      <c r="E43" s="44"/>
      <c r="F43" s="44"/>
      <c r="G43" s="44"/>
      <c r="H43" s="44"/>
      <c r="I43" s="44"/>
      <c r="J43" s="44"/>
      <c r="K43" s="234"/>
    </row>
    <row r="44" spans="1:11">
      <c r="A44" s="238"/>
      <c r="B44" s="44"/>
      <c r="C44" s="44"/>
      <c r="D44" s="44"/>
      <c r="E44" s="44"/>
      <c r="F44" s="44"/>
      <c r="G44" s="44"/>
      <c r="H44" s="44"/>
      <c r="I44" s="44"/>
      <c r="J44" s="233">
        <f>J39+J41+J42</f>
        <v>144.36484999999999</v>
      </c>
      <c r="K44" s="234"/>
    </row>
    <row r="45" spans="1:11">
      <c r="A45" s="238"/>
      <c r="B45" s="44"/>
      <c r="C45" s="44"/>
      <c r="D45" s="44"/>
      <c r="E45" s="44"/>
      <c r="F45" s="44"/>
      <c r="G45" s="44"/>
      <c r="H45" s="44"/>
      <c r="I45" s="44"/>
      <c r="J45" s="231"/>
      <c r="K45" s="234"/>
    </row>
    <row r="46" spans="1:11">
      <c r="A46" s="238">
        <v>6</v>
      </c>
      <c r="B46" s="239" t="s">
        <v>24</v>
      </c>
      <c r="C46" s="44" t="s">
        <v>25</v>
      </c>
      <c r="D46" s="44"/>
      <c r="E46" s="44"/>
      <c r="F46" s="44"/>
      <c r="G46" s="44"/>
      <c r="H46" s="44"/>
      <c r="I46" s="44"/>
      <c r="J46" s="44"/>
      <c r="K46" s="234"/>
    </row>
    <row r="47" spans="1:11" ht="33.6">
      <c r="A47" s="238"/>
      <c r="B47" s="268" t="s">
        <v>373</v>
      </c>
      <c r="C47" s="44"/>
      <c r="D47" s="44"/>
      <c r="E47" s="44"/>
      <c r="F47" s="44"/>
      <c r="G47" s="44"/>
      <c r="H47" s="44"/>
      <c r="I47" s="44"/>
      <c r="J47" s="241">
        <f>(0.4%*J34*7850)/1000</f>
        <v>3.9860729999999998</v>
      </c>
      <c r="K47" s="234" t="s">
        <v>374</v>
      </c>
    </row>
    <row r="48" spans="1:11">
      <c r="A48" s="238"/>
      <c r="B48" s="268" t="s">
        <v>375</v>
      </c>
      <c r="C48" s="44"/>
      <c r="D48" s="44"/>
      <c r="E48" s="44"/>
      <c r="F48" s="44"/>
      <c r="G48" s="44"/>
      <c r="H48" s="44"/>
      <c r="I48" s="44"/>
      <c r="J48" s="272">
        <f>(0.8%*J35*7850)/1000</f>
        <v>16.096239739999998</v>
      </c>
      <c r="K48" s="234" t="s">
        <v>633</v>
      </c>
    </row>
    <row r="49" spans="1:11">
      <c r="A49" s="238"/>
      <c r="B49" s="268"/>
      <c r="C49" s="44"/>
      <c r="D49" s="44"/>
      <c r="E49" s="44"/>
      <c r="F49" s="44"/>
      <c r="G49" s="44"/>
      <c r="H49" s="44"/>
      <c r="I49" s="44"/>
      <c r="J49" s="242">
        <f>SUM(J47:J48)</f>
        <v>20.082312739999999</v>
      </c>
      <c r="K49" s="234"/>
    </row>
  </sheetData>
  <mergeCells count="1">
    <mergeCell ref="F12:I12"/>
  </mergeCells>
  <pageMargins left="0.7" right="0.7" top="0.75" bottom="0.75" header="0.3" footer="0.3"/>
  <drawing r:id="rId1"/>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5">
    <tabColor rgb="FFFFFF00"/>
    <pageSetUpPr fitToPage="1"/>
  </sheetPr>
  <dimension ref="A1:R37"/>
  <sheetViews>
    <sheetView workbookViewId="0"/>
  </sheetViews>
  <sheetFormatPr defaultColWidth="9.109375" defaultRowHeight="14.4"/>
  <cols>
    <col min="1" max="1" width="12.33203125" style="864" bestFit="1" customWidth="1"/>
    <col min="2" max="2" width="52.5546875" style="864" bestFit="1" customWidth="1"/>
    <col min="3" max="3" width="8.33203125" style="864" bestFit="1" customWidth="1"/>
    <col min="4" max="4" width="9.33203125" style="864" customWidth="1"/>
    <col min="5" max="7" width="9.109375" style="864"/>
    <col min="8" max="8" width="14.33203125" style="864" customWidth="1"/>
    <col min="9" max="9" width="11.6640625" style="864" bestFit="1" customWidth="1"/>
    <col min="10" max="16384" width="9.109375" style="864"/>
  </cols>
  <sheetData>
    <row r="1" spans="1:18" s="520" customFormat="1" ht="19.2">
      <c r="A1" s="522"/>
      <c r="C1" s="523"/>
      <c r="D1" s="537"/>
      <c r="E1" s="1223"/>
      <c r="F1" s="1223"/>
      <c r="G1" s="523"/>
    </row>
    <row r="2" spans="1:18" s="520" customFormat="1" ht="19.2">
      <c r="A2" s="522"/>
      <c r="C2" s="523"/>
      <c r="D2" s="537"/>
      <c r="E2" s="1223"/>
      <c r="F2" s="1223"/>
      <c r="G2" s="523"/>
    </row>
    <row r="3" spans="1:18" s="520" customFormat="1" ht="19.2">
      <c r="A3" s="226" t="s">
        <v>0</v>
      </c>
      <c r="B3" s="1248" t="s">
        <v>2389</v>
      </c>
      <c r="C3" s="523"/>
      <c r="D3" s="537"/>
      <c r="E3" s="1223"/>
      <c r="F3" s="1223"/>
      <c r="G3" s="523"/>
    </row>
    <row r="4" spans="1:18" s="520" customFormat="1" ht="19.2">
      <c r="A4" s="119" t="s">
        <v>1</v>
      </c>
      <c r="B4" s="1248">
        <v>930100</v>
      </c>
      <c r="C4" s="523"/>
      <c r="D4" s="537"/>
      <c r="E4" s="1223"/>
      <c r="F4" s="1223"/>
      <c r="G4" s="523"/>
    </row>
    <row r="5" spans="1:18" s="520" customFormat="1" ht="19.2">
      <c r="A5" s="119" t="s">
        <v>2</v>
      </c>
      <c r="B5" s="1247" t="s">
        <v>331</v>
      </c>
      <c r="C5" s="523"/>
      <c r="D5" s="537"/>
      <c r="E5" s="1223"/>
      <c r="G5" s="1276" t="s">
        <v>1561</v>
      </c>
      <c r="H5" s="523" t="s">
        <v>1562</v>
      </c>
    </row>
    <row r="6" spans="1:18" s="520" customFormat="1" ht="19.2">
      <c r="A6" s="119" t="s">
        <v>3</v>
      </c>
      <c r="B6" s="1247" t="s">
        <v>1588</v>
      </c>
      <c r="C6" s="523"/>
      <c r="D6" s="537"/>
      <c r="E6" s="1223"/>
      <c r="G6" s="1276" t="s">
        <v>171</v>
      </c>
      <c r="H6" s="523" t="s">
        <v>1563</v>
      </c>
    </row>
    <row r="7" spans="1:18" s="520" customFormat="1" ht="19.2">
      <c r="A7" s="119" t="s">
        <v>4</v>
      </c>
      <c r="B7" s="1247"/>
      <c r="C7" s="523"/>
      <c r="D7" s="537"/>
      <c r="E7" s="1223"/>
      <c r="G7" s="1276" t="s">
        <v>106</v>
      </c>
      <c r="H7" s="1277">
        <f ca="1">TODAY()</f>
        <v>44942</v>
      </c>
    </row>
    <row r="8" spans="1:18" ht="16.8">
      <c r="A8" s="119"/>
      <c r="B8" s="55"/>
      <c r="C8" s="382"/>
      <c r="D8" s="19"/>
      <c r="E8" s="1003"/>
      <c r="H8" s="1019"/>
      <c r="I8" s="1019"/>
      <c r="J8" s="1978"/>
      <c r="O8" s="1022"/>
      <c r="P8" s="1022"/>
      <c r="Q8" s="1022"/>
      <c r="R8" s="1022">
        <f>O8-P5</f>
        <v>0</v>
      </c>
    </row>
    <row r="9" spans="1:18" ht="16.8">
      <c r="A9" s="119"/>
      <c r="B9" s="55"/>
      <c r="C9" s="382"/>
      <c r="D9" s="19"/>
      <c r="E9" s="1003"/>
      <c r="H9" s="1019"/>
      <c r="I9" s="1019"/>
      <c r="J9" s="1979"/>
      <c r="O9" s="1022"/>
      <c r="P9" s="1022"/>
      <c r="Q9" s="1022"/>
      <c r="R9" s="1022"/>
    </row>
    <row r="10" spans="1:18" ht="16.8">
      <c r="A10" s="52" t="s">
        <v>1416</v>
      </c>
      <c r="B10" s="52"/>
      <c r="C10" s="382"/>
      <c r="D10" s="19"/>
      <c r="E10" s="1003"/>
      <c r="H10" s="1019"/>
      <c r="I10" s="1019"/>
      <c r="J10" s="1019"/>
      <c r="O10" s="1022"/>
      <c r="P10" s="1022"/>
      <c r="Q10" s="1022"/>
      <c r="R10" s="1022"/>
    </row>
    <row r="11" spans="1:18" ht="33.6">
      <c r="A11" s="1026" t="s">
        <v>1353</v>
      </c>
      <c r="B11" s="1028">
        <v>17.46</v>
      </c>
      <c r="C11" s="1028" t="s">
        <v>27</v>
      </c>
      <c r="D11" s="1018"/>
      <c r="E11" s="1020"/>
      <c r="F11" s="1019"/>
      <c r="G11" s="1019"/>
      <c r="H11" s="1019"/>
      <c r="I11" s="1021"/>
    </row>
    <row r="12" spans="1:18" ht="50.4">
      <c r="A12" s="1026" t="s">
        <v>1390</v>
      </c>
      <c r="B12" s="1028"/>
      <c r="C12" s="1028" t="s">
        <v>27</v>
      </c>
      <c r="D12" s="1018"/>
      <c r="E12" s="1020"/>
      <c r="F12" s="1019"/>
      <c r="G12" s="1019"/>
      <c r="H12" s="1019"/>
      <c r="I12" s="1021"/>
      <c r="M12" s="1022" t="s">
        <v>1349</v>
      </c>
      <c r="N12" s="1022">
        <v>8.5</v>
      </c>
      <c r="O12" s="1022">
        <f>N12/2</f>
        <v>4.25</v>
      </c>
      <c r="P12" s="1022"/>
      <c r="Q12" s="1022"/>
    </row>
    <row r="13" spans="1:18" ht="73.5" customHeight="1">
      <c r="A13" s="14" t="s">
        <v>1354</v>
      </c>
      <c r="B13" s="1075" t="s">
        <v>1392</v>
      </c>
      <c r="C13" s="1118" t="s">
        <v>1393</v>
      </c>
      <c r="D13" s="1035" t="s">
        <v>1394</v>
      </c>
      <c r="E13" s="1035" t="s">
        <v>1357</v>
      </c>
      <c r="F13" s="1036" t="s">
        <v>1358</v>
      </c>
      <c r="G13" s="1036" t="s">
        <v>1359</v>
      </c>
      <c r="H13" s="1036" t="s">
        <v>1360</v>
      </c>
      <c r="I13" s="1042" t="s">
        <v>1361</v>
      </c>
      <c r="M13" s="1022" t="s">
        <v>1351</v>
      </c>
      <c r="N13" s="1022">
        <v>11.25</v>
      </c>
      <c r="O13" s="1022"/>
      <c r="P13" s="1022"/>
      <c r="Q13" s="1022">
        <f>N13-O12</f>
        <v>7</v>
      </c>
    </row>
    <row r="14" spans="1:18" ht="16.8">
      <c r="A14" s="1026"/>
      <c r="B14" s="1119">
        <v>1</v>
      </c>
      <c r="C14" s="1027">
        <v>0.15</v>
      </c>
      <c r="D14" s="1038">
        <v>1</v>
      </c>
      <c r="E14" s="1038">
        <v>0</v>
      </c>
      <c r="F14" s="1039">
        <f>(N$12+C14*2+0.1*2)*((N$13+C14+0.1)-(O$12+C14+0.1))+PI()*((N$12+2*C14+2*0.1)^2/8)</f>
        <v>94.808625617596647</v>
      </c>
      <c r="G14" s="1040">
        <f>PI()*(O12+C14+0.1)+2*Q13</f>
        <v>28.137166941154071</v>
      </c>
      <c r="H14" s="1041">
        <f>2*Q13+PI()*O12</f>
        <v>27.351768777756622</v>
      </c>
      <c r="I14" s="1042">
        <v>0</v>
      </c>
      <c r="M14" s="1022"/>
      <c r="N14" s="1022">
        <v>0.3</v>
      </c>
      <c r="O14" s="1022"/>
      <c r="P14" s="1022"/>
      <c r="Q14" s="1022"/>
    </row>
    <row r="18" spans="1:16" ht="16.8">
      <c r="A18" s="1501"/>
      <c r="B18" s="1502" t="s">
        <v>1369</v>
      </c>
      <c r="C18" s="1502" t="s">
        <v>117</v>
      </c>
      <c r="D18" s="1503"/>
    </row>
    <row r="19" spans="1:16" ht="16.8">
      <c r="A19" s="1042" t="s">
        <v>1370</v>
      </c>
      <c r="B19" s="1026" t="s">
        <v>1371</v>
      </c>
      <c r="C19" s="1026" t="s">
        <v>27</v>
      </c>
      <c r="D19" s="1038">
        <v>17.46</v>
      </c>
    </row>
    <row r="20" spans="1:16" ht="16.8">
      <c r="A20" s="1072">
        <v>1</v>
      </c>
      <c r="B20" s="1026" t="s">
        <v>804</v>
      </c>
      <c r="C20" s="1026" t="s">
        <v>21</v>
      </c>
      <c r="D20" s="1038">
        <f>F14*D19</f>
        <v>1655.3586032832375</v>
      </c>
      <c r="L20" s="1981" t="s">
        <v>3315</v>
      </c>
      <c r="M20" s="1981"/>
      <c r="N20" s="1982"/>
      <c r="O20" s="1982">
        <v>13.35</v>
      </c>
      <c r="P20" s="1983" t="s">
        <v>27</v>
      </c>
    </row>
    <row r="21" spans="1:16" ht="16.8">
      <c r="A21" s="1028">
        <f t="shared" ref="A21:A24" si="0">A20+1</f>
        <v>2</v>
      </c>
      <c r="B21" s="1026" t="s">
        <v>2611</v>
      </c>
      <c r="C21" s="1026" t="s">
        <v>85</v>
      </c>
      <c r="D21" s="1038">
        <f>G14*B11</f>
        <v>491.27493479255008</v>
      </c>
      <c r="L21" s="1984" t="s">
        <v>3316</v>
      </c>
      <c r="M21" s="1981"/>
      <c r="N21" s="1982"/>
      <c r="O21" s="1982">
        <v>14.12</v>
      </c>
      <c r="P21" s="1983" t="s">
        <v>27</v>
      </c>
    </row>
    <row r="22" spans="1:16" s="1121" customFormat="1" ht="16.8">
      <c r="A22" s="1060">
        <f t="shared" si="0"/>
        <v>3</v>
      </c>
      <c r="B22" s="1061" t="s">
        <v>1418</v>
      </c>
      <c r="C22" s="1061" t="s">
        <v>85</v>
      </c>
      <c r="D22" s="1062">
        <f>G14*B11*0.4</f>
        <v>196.50997391702003</v>
      </c>
      <c r="L22" s="1985" t="s">
        <v>3319</v>
      </c>
      <c r="M22" s="1982"/>
      <c r="N22" s="1982"/>
      <c r="O22" s="1986">
        <v>26.24</v>
      </c>
      <c r="P22" s="1983" t="s">
        <v>27</v>
      </c>
    </row>
    <row r="23" spans="1:16" ht="16.8">
      <c r="A23" s="1028">
        <f t="shared" si="0"/>
        <v>4</v>
      </c>
      <c r="B23" s="1026" t="s">
        <v>2613</v>
      </c>
      <c r="C23" s="1026" t="s">
        <v>307</v>
      </c>
      <c r="D23" s="1122">
        <f>CEILING((G14/D14)*D19/D14,1)</f>
        <v>492</v>
      </c>
      <c r="L23" s="1983" t="s">
        <v>3318</v>
      </c>
      <c r="M23" s="1983"/>
      <c r="N23" s="1983"/>
      <c r="O23" s="1987">
        <f>'Valve house Access Tunnel'!H17</f>
        <v>10.397787143782137</v>
      </c>
      <c r="P23" s="1983" t="s">
        <v>27</v>
      </c>
    </row>
    <row r="24" spans="1:16" ht="16.8">
      <c r="A24" s="1028">
        <f t="shared" si="0"/>
        <v>5</v>
      </c>
      <c r="B24" s="1026" t="s">
        <v>1376</v>
      </c>
      <c r="C24" s="1026" t="s">
        <v>307</v>
      </c>
      <c r="D24" s="1038">
        <f>CEILING((PI()*(O12+C14)/0.4)*(B11)/(4),1)</f>
        <v>151</v>
      </c>
      <c r="L24" s="1983" t="s">
        <v>3320</v>
      </c>
      <c r="M24" s="1983"/>
      <c r="N24" s="1983"/>
      <c r="O24" s="1983">
        <v>1</v>
      </c>
      <c r="P24" s="1983" t="s">
        <v>27</v>
      </c>
    </row>
    <row r="25" spans="1:16" ht="16.8">
      <c r="A25" s="1028">
        <v>6</v>
      </c>
      <c r="B25" s="1026" t="s">
        <v>1421</v>
      </c>
      <c r="C25" s="1026" t="s">
        <v>322</v>
      </c>
      <c r="D25" s="1038">
        <f>CEILING((D19/1),1)*H14*15/1000</f>
        <v>7.3849775699942883</v>
      </c>
      <c r="L25" s="1983" t="s">
        <v>3321</v>
      </c>
      <c r="M25" s="1983"/>
      <c r="N25" s="1983"/>
      <c r="O25" s="1983">
        <f>CEILING(O20/O24,1)</f>
        <v>14</v>
      </c>
      <c r="P25" s="1983" t="s">
        <v>307</v>
      </c>
    </row>
    <row r="26" spans="1:16" ht="16.8">
      <c r="A26" s="1028">
        <v>7</v>
      </c>
      <c r="B26" s="1026" t="s">
        <v>1378</v>
      </c>
      <c r="C26" s="1026" t="s">
        <v>85</v>
      </c>
      <c r="D26" s="1038">
        <f>N12*B11</f>
        <v>148.41</v>
      </c>
      <c r="L26" s="1983" t="s">
        <v>3322</v>
      </c>
      <c r="M26" s="1983"/>
      <c r="N26" s="1983"/>
      <c r="O26" s="1983">
        <f>CEILING((O21/O24)-1,1)</f>
        <v>14</v>
      </c>
      <c r="P26" s="1983" t="s">
        <v>307</v>
      </c>
    </row>
    <row r="27" spans="1:16" ht="16.8">
      <c r="A27" s="1028">
        <v>8</v>
      </c>
      <c r="B27" s="1026" t="s">
        <v>1399</v>
      </c>
      <c r="C27" s="1026" t="s">
        <v>325</v>
      </c>
      <c r="D27" s="876">
        <f>D28*0.75%*7.85</f>
        <v>1.8092052000000003</v>
      </c>
      <c r="L27" s="1983" t="s">
        <v>3323</v>
      </c>
      <c r="M27" s="1983"/>
      <c r="N27" s="1983"/>
      <c r="O27" s="1983">
        <f>O25*O22</f>
        <v>367.35999999999996</v>
      </c>
      <c r="P27" s="1983" t="s">
        <v>27</v>
      </c>
    </row>
    <row r="28" spans="1:16" ht="16.8">
      <c r="A28" s="1123">
        <v>9</v>
      </c>
      <c r="B28" s="1124" t="s">
        <v>1419</v>
      </c>
      <c r="C28" s="1124" t="s">
        <v>21</v>
      </c>
      <c r="D28" s="864">
        <f>+(N12+C14*2)*B11*0.2</f>
        <v>30.729600000000005</v>
      </c>
      <c r="L28" s="1983" t="s">
        <v>3324</v>
      </c>
      <c r="M28" s="1983"/>
      <c r="N28" s="1983"/>
      <c r="O28" s="1983">
        <f>O26*O23</f>
        <v>145.56902001294992</v>
      </c>
      <c r="P28" s="1983" t="s">
        <v>27</v>
      </c>
    </row>
    <row r="29" spans="1:16" ht="16.8">
      <c r="A29" s="1018">
        <v>10</v>
      </c>
      <c r="B29" s="1124" t="s">
        <v>3317</v>
      </c>
      <c r="C29" s="1124" t="s">
        <v>322</v>
      </c>
      <c r="D29" s="864">
        <f>CEILING(O32,0.1)</f>
        <v>10.8</v>
      </c>
      <c r="L29" s="1983" t="s">
        <v>3325</v>
      </c>
      <c r="M29" s="1983"/>
      <c r="N29" s="1983"/>
      <c r="O29" s="1983">
        <f>O28+O27</f>
        <v>512.92902001294988</v>
      </c>
      <c r="P29" s="1983" t="s">
        <v>27</v>
      </c>
    </row>
    <row r="30" spans="1:16" ht="16.8">
      <c r="A30" s="1045"/>
      <c r="B30" s="1120" t="s">
        <v>1513</v>
      </c>
      <c r="C30" s="1120" t="s">
        <v>117</v>
      </c>
      <c r="D30" s="1125"/>
      <c r="L30" s="1983" t="s">
        <v>3326</v>
      </c>
      <c r="M30" s="1983"/>
      <c r="N30" s="1983"/>
      <c r="O30" s="1983">
        <v>21</v>
      </c>
      <c r="P30" s="1983" t="s">
        <v>3327</v>
      </c>
    </row>
    <row r="31" spans="1:16" ht="16.8">
      <c r="A31" s="1242" t="s">
        <v>1370</v>
      </c>
      <c r="B31" s="1242" t="s">
        <v>315</v>
      </c>
      <c r="C31" s="1504" t="s">
        <v>21</v>
      </c>
      <c r="D31" s="876">
        <v>300</v>
      </c>
      <c r="L31" s="1983" t="s">
        <v>3328</v>
      </c>
      <c r="M31" s="1983"/>
      <c r="N31" s="1983"/>
      <c r="O31" s="1983">
        <f>O30*O29</f>
        <v>10771.509420271948</v>
      </c>
      <c r="P31" s="1983" t="s">
        <v>3327</v>
      </c>
    </row>
    <row r="32" spans="1:16" ht="16.8">
      <c r="A32" s="876">
        <v>1</v>
      </c>
      <c r="B32" s="1242" t="s">
        <v>1514</v>
      </c>
      <c r="C32" s="1242" t="s">
        <v>21</v>
      </c>
      <c r="D32" s="876">
        <f>2*0.64*12.5</f>
        <v>16</v>
      </c>
      <c r="L32" s="1983"/>
      <c r="M32" s="1983"/>
      <c r="N32" s="1983"/>
      <c r="O32" s="1983">
        <f>O31/1000</f>
        <v>10.771509420271949</v>
      </c>
      <c r="P32" s="1983" t="s">
        <v>3329</v>
      </c>
    </row>
    <row r="33" spans="1:4">
      <c r="A33" s="876">
        <v>2</v>
      </c>
      <c r="B33" s="1242" t="s">
        <v>1152</v>
      </c>
      <c r="C33" s="1242" t="s">
        <v>21</v>
      </c>
      <c r="D33" s="1242">
        <f>8*0.35*6.2</f>
        <v>17.36</v>
      </c>
    </row>
    <row r="34" spans="1:4">
      <c r="A34" s="876">
        <v>3</v>
      </c>
      <c r="B34" s="1242" t="s">
        <v>1515</v>
      </c>
      <c r="C34" s="1242" t="s">
        <v>21</v>
      </c>
      <c r="D34" s="876">
        <f>16.04*8</f>
        <v>128.32</v>
      </c>
    </row>
    <row r="35" spans="1:4">
      <c r="A35" s="876"/>
      <c r="B35" s="876"/>
      <c r="C35" s="1242" t="s">
        <v>439</v>
      </c>
      <c r="D35" s="876">
        <f>SUM(D31:D34)</f>
        <v>461.68</v>
      </c>
    </row>
    <row r="36" spans="1:4">
      <c r="A36" s="876">
        <v>4</v>
      </c>
      <c r="B36" s="1242" t="s">
        <v>24</v>
      </c>
      <c r="C36" s="876"/>
      <c r="D36" s="1243">
        <f>0.75%*D35*7.85</f>
        <v>27.18141</v>
      </c>
    </row>
    <row r="37" spans="1:4">
      <c r="B37" s="1980"/>
    </row>
  </sheetData>
  <printOptions horizontalCentered="1"/>
  <pageMargins left="0.7" right="0.7" top="0.71" bottom="0.59" header="0.3" footer="0.16"/>
  <pageSetup paperSize="9" scale="78" orientation="landscape"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5">
    <tabColor rgb="FFFFFF00"/>
    <pageSetUpPr fitToPage="1"/>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1581</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007"/>
      <c r="K11" s="1008"/>
    </row>
    <row r="12" spans="1:16">
      <c r="A12" s="10"/>
      <c r="B12" s="345" t="s">
        <v>1522</v>
      </c>
      <c r="C12" s="12"/>
      <c r="D12" s="45">
        <v>1</v>
      </c>
      <c r="E12" s="945"/>
      <c r="F12" s="945"/>
      <c r="G12" s="825"/>
      <c r="H12" s="825">
        <v>350</v>
      </c>
      <c r="J12" s="825">
        <f>ROUND(D12*H12,2)</f>
        <v>350</v>
      </c>
      <c r="K12" s="24"/>
    </row>
    <row r="13" spans="1:16">
      <c r="A13" s="10"/>
      <c r="B13" s="14"/>
      <c r="C13" s="12"/>
      <c r="D13" s="12"/>
      <c r="E13" s="825"/>
      <c r="F13" s="825"/>
      <c r="G13" s="825"/>
      <c r="H13" s="825"/>
      <c r="I13" s="1010" t="s">
        <v>20</v>
      </c>
      <c r="J13" s="1010">
        <f>SUM(J12:J12)</f>
        <v>350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1</v>
      </c>
      <c r="E15" s="825"/>
      <c r="F15" s="825">
        <v>12</v>
      </c>
      <c r="G15" s="825"/>
      <c r="H15" s="825">
        <f>AVERAGE(609.2,343.23)</f>
        <v>476.21500000000003</v>
      </c>
      <c r="I15" s="825"/>
      <c r="J15" s="825">
        <f>H15*F15</f>
        <v>5714.58</v>
      </c>
      <c r="K15" s="24"/>
    </row>
    <row r="16" spans="1:16">
      <c r="A16" s="10"/>
      <c r="B16" s="345"/>
      <c r="C16" s="12"/>
      <c r="D16" s="45"/>
      <c r="E16" s="14"/>
      <c r="F16" s="14"/>
      <c r="G16" s="14"/>
      <c r="H16" s="14"/>
      <c r="I16" s="1010" t="s">
        <v>20</v>
      </c>
      <c r="J16" s="1010">
        <f>SUM(J15)</f>
        <v>5714.58</v>
      </c>
      <c r="K16" s="1012"/>
    </row>
    <row r="17" spans="1:15" s="1009" customFormat="1" ht="33.6">
      <c r="A17" s="1005">
        <v>3</v>
      </c>
      <c r="B17" s="1013" t="s">
        <v>2431</v>
      </c>
      <c r="C17" s="776" t="s">
        <v>307</v>
      </c>
      <c r="D17" s="776"/>
      <c r="E17" s="1006"/>
      <c r="F17" s="1006"/>
      <c r="G17" s="1006"/>
      <c r="H17" s="1006"/>
      <c r="I17" s="1006"/>
      <c r="J17" s="1007"/>
      <c r="K17" s="1008"/>
    </row>
    <row r="18" spans="1:15" ht="17.399999999999999">
      <c r="A18" s="10"/>
      <c r="B18" s="14"/>
      <c r="C18" s="12"/>
      <c r="D18" s="12"/>
      <c r="E18" s="825" t="s">
        <v>1342</v>
      </c>
      <c r="F18" s="825"/>
      <c r="G18" s="825"/>
      <c r="H18" s="825"/>
      <c r="I18" s="825"/>
      <c r="J18" s="1014"/>
      <c r="K18" s="477"/>
    </row>
    <row r="19" spans="1:15">
      <c r="A19" s="10"/>
      <c r="B19" s="345" t="s">
        <v>1517</v>
      </c>
      <c r="C19" s="12"/>
      <c r="D19" s="12">
        <v>1</v>
      </c>
      <c r="E19" s="825">
        <f>1.5*1.5</f>
        <v>2.25</v>
      </c>
      <c r="F19" s="825"/>
      <c r="G19" s="825"/>
      <c r="H19" s="825">
        <f>40*10+300*2</f>
        <v>1000</v>
      </c>
      <c r="I19" s="825"/>
      <c r="J19" s="969">
        <f>H19/E19</f>
        <v>444.44444444444446</v>
      </c>
      <c r="K19" s="477"/>
    </row>
    <row r="20" spans="1:15">
      <c r="A20" s="10"/>
      <c r="B20" s="14"/>
      <c r="C20" s="12"/>
      <c r="D20" s="12"/>
      <c r="E20" s="825"/>
      <c r="F20" s="825"/>
      <c r="G20" s="825"/>
      <c r="H20" s="825"/>
      <c r="I20" s="1010" t="s">
        <v>20</v>
      </c>
      <c r="J20" s="1010">
        <f>ROUNDUP(SUM(J19:J19),0)</f>
        <v>445</v>
      </c>
      <c r="K20" s="477"/>
    </row>
    <row r="21" spans="1:15" s="1009" customFormat="1">
      <c r="A21" s="1005">
        <v>4</v>
      </c>
      <c r="B21" s="25" t="s">
        <v>1343</v>
      </c>
      <c r="C21" s="776" t="s">
        <v>21</v>
      </c>
      <c r="D21" s="776"/>
      <c r="E21" s="1006"/>
      <c r="F21" s="1006"/>
      <c r="G21" s="1006"/>
      <c r="H21" s="1006"/>
      <c r="I21" s="1006"/>
      <c r="J21" s="1007"/>
      <c r="K21" s="1008"/>
    </row>
    <row r="22" spans="1:15">
      <c r="A22" s="10"/>
      <c r="B22" s="14" t="s">
        <v>808</v>
      </c>
      <c r="C22" s="12"/>
      <c r="D22" s="12"/>
      <c r="E22" s="825"/>
      <c r="F22" s="825"/>
      <c r="G22" s="825"/>
      <c r="H22" s="825"/>
      <c r="I22" s="825"/>
      <c r="J22" s="825"/>
      <c r="K22" s="24"/>
    </row>
    <row r="23" spans="1:15">
      <c r="A23" s="10"/>
      <c r="B23" s="345" t="s">
        <v>809</v>
      </c>
      <c r="C23" s="12"/>
      <c r="D23" s="12">
        <f>D19</f>
        <v>1</v>
      </c>
      <c r="E23" s="825"/>
      <c r="F23" s="825"/>
      <c r="G23" s="825"/>
      <c r="H23" s="825">
        <f>H19</f>
        <v>1000</v>
      </c>
      <c r="I23" s="825"/>
      <c r="J23" s="825">
        <f>H23</f>
        <v>1000</v>
      </c>
      <c r="K23" s="477"/>
      <c r="O23" s="4">
        <f>5.83*2</f>
        <v>11.66</v>
      </c>
    </row>
    <row r="24" spans="1:15">
      <c r="A24" s="10"/>
      <c r="B24" s="137"/>
      <c r="C24" s="12"/>
      <c r="D24" s="12"/>
      <c r="E24" s="825"/>
      <c r="F24" s="825"/>
      <c r="G24" s="825"/>
      <c r="H24" s="825"/>
      <c r="I24" s="1010" t="s">
        <v>20</v>
      </c>
      <c r="J24" s="1010">
        <f>SUM(J23:J23)</f>
        <v>1000</v>
      </c>
      <c r="K24" s="24"/>
      <c r="L24" s="4">
        <v>11.1</v>
      </c>
    </row>
    <row r="25" spans="1:15">
      <c r="A25" s="5"/>
      <c r="B25" s="6"/>
      <c r="C25" s="7"/>
      <c r="D25" s="7"/>
      <c r="E25" s="912"/>
      <c r="F25" s="912"/>
      <c r="G25" s="912"/>
      <c r="H25" s="912"/>
      <c r="I25" s="912"/>
      <c r="J25" s="939"/>
      <c r="K25" s="475"/>
    </row>
    <row r="26" spans="1:15" s="1009" customFormat="1">
      <c r="A26" s="1005">
        <v>5</v>
      </c>
      <c r="B26" s="25" t="s">
        <v>1344</v>
      </c>
      <c r="C26" s="776" t="s">
        <v>1345</v>
      </c>
      <c r="D26" s="776"/>
      <c r="E26" s="1006"/>
      <c r="F26" s="1006"/>
      <c r="G26" s="1006"/>
      <c r="H26" s="1006"/>
      <c r="I26" s="1006"/>
      <c r="J26" s="1007"/>
      <c r="K26" s="1008"/>
    </row>
    <row r="27" spans="1:15">
      <c r="A27" s="14"/>
      <c r="B27" s="14"/>
      <c r="C27" s="12"/>
      <c r="D27" s="12">
        <v>1</v>
      </c>
      <c r="E27" s="825"/>
      <c r="F27" s="825"/>
      <c r="G27" s="825"/>
      <c r="H27" s="825">
        <f>H23</f>
        <v>1000</v>
      </c>
      <c r="I27" s="825"/>
      <c r="J27" s="825">
        <f>H27*D27</f>
        <v>1000</v>
      </c>
      <c r="K27" s="1015"/>
    </row>
    <row r="28" spans="1:15">
      <c r="A28" s="14"/>
      <c r="B28" s="14"/>
      <c r="C28" s="12"/>
      <c r="D28" s="12"/>
      <c r="E28" s="825"/>
      <c r="F28" s="825"/>
      <c r="G28" s="825"/>
      <c r="H28" s="825"/>
      <c r="I28" s="1010" t="s">
        <v>20</v>
      </c>
      <c r="J28" s="825">
        <f>J27</f>
        <v>1000</v>
      </c>
      <c r="K28" s="1015"/>
    </row>
    <row r="29" spans="1:15">
      <c r="A29" s="5">
        <v>6</v>
      </c>
      <c r="B29" s="6" t="s">
        <v>1191</v>
      </c>
      <c r="C29" s="7" t="s">
        <v>307</v>
      </c>
      <c r="D29" s="7"/>
      <c r="E29" s="912"/>
      <c r="F29" s="912"/>
      <c r="G29" s="912"/>
      <c r="H29" s="912"/>
      <c r="I29" s="912"/>
      <c r="J29" s="939"/>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1000</v>
      </c>
      <c r="I31" s="825"/>
      <c r="J31" s="825">
        <f>H31/E31</f>
        <v>333.33333333333331</v>
      </c>
      <c r="K31" s="1015"/>
    </row>
    <row r="32" spans="1:15">
      <c r="A32" s="14"/>
      <c r="B32" s="14"/>
      <c r="C32" s="12"/>
      <c r="D32" s="12"/>
      <c r="E32" s="825"/>
      <c r="F32" s="825"/>
      <c r="G32" s="825"/>
      <c r="H32" s="825"/>
      <c r="I32" s="825" t="s">
        <v>20</v>
      </c>
      <c r="J32" s="825">
        <f>CEILING(J31,1)</f>
        <v>334</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95" orientation="landscape"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6">
    <tabColor rgb="FFFFFF00"/>
    <pageSetUpPr fitToPage="1"/>
  </sheetPr>
  <dimension ref="A1:X48"/>
  <sheetViews>
    <sheetView workbookViewId="0"/>
  </sheetViews>
  <sheetFormatPr defaultColWidth="9.109375" defaultRowHeight="16.8"/>
  <cols>
    <col min="1" max="1" width="13.5546875" style="1022" customWidth="1"/>
    <col min="2" max="2" width="55.88671875" style="1023" customWidth="1"/>
    <col min="3" max="3" width="12" style="1023" customWidth="1"/>
    <col min="4" max="4" width="11.5546875" style="1018" customWidth="1"/>
    <col min="5" max="5" width="12" style="1018" customWidth="1"/>
    <col min="6" max="6" width="10" style="1019" customWidth="1"/>
    <col min="7" max="7" width="12.6640625" style="1020" customWidth="1"/>
    <col min="8" max="8" width="13.44140625" style="1019" customWidth="1"/>
    <col min="9" max="9" width="15.44140625" style="1019" customWidth="1"/>
    <col min="10" max="10" width="15.5546875" style="1019" customWidth="1"/>
    <col min="11" max="11" width="13.44140625" style="1021" customWidth="1"/>
    <col min="12" max="12" width="11.6640625" style="1022" customWidth="1"/>
    <col min="13" max="13" width="11.33203125" style="1022" bestFit="1" customWidth="1"/>
    <col min="14" max="16384" width="9.109375" style="1022"/>
  </cols>
  <sheetData>
    <row r="1" spans="1:24" s="520" customFormat="1" ht="19.2">
      <c r="A1" s="522"/>
      <c r="C1" s="1017"/>
      <c r="D1" s="1018"/>
      <c r="E1" s="1018"/>
      <c r="F1" s="1019"/>
      <c r="G1" s="1020"/>
      <c r="H1" s="1019"/>
      <c r="I1" s="1019"/>
      <c r="J1" s="1019"/>
      <c r="K1" s="1021"/>
      <c r="L1" s="1022"/>
      <c r="M1" s="1022"/>
      <c r="N1" s="1022"/>
      <c r="O1" s="1022"/>
      <c r="P1" s="1022"/>
      <c r="Q1" s="1022"/>
      <c r="R1" s="1022"/>
      <c r="S1" s="1022"/>
      <c r="T1" s="1022"/>
      <c r="U1" s="1022"/>
      <c r="V1" s="1022"/>
      <c r="W1" s="1022"/>
      <c r="X1" s="1022"/>
    </row>
    <row r="2" spans="1:24" s="520" customFormat="1" ht="19.2">
      <c r="A2" s="522"/>
      <c r="C2" s="1023"/>
      <c r="D2" s="1018"/>
      <c r="E2" s="1018"/>
      <c r="F2" s="1019"/>
      <c r="G2" s="1020"/>
      <c r="H2" s="1019"/>
      <c r="I2" s="1019"/>
      <c r="J2" s="1019"/>
      <c r="K2" s="1021"/>
      <c r="L2" s="1022"/>
      <c r="M2" s="1022"/>
      <c r="N2" s="1022"/>
      <c r="O2" s="1022"/>
      <c r="P2" s="1022"/>
      <c r="Q2" s="1022"/>
      <c r="R2" s="1022"/>
      <c r="S2" s="1022"/>
      <c r="T2" s="1022"/>
      <c r="U2" s="1022"/>
      <c r="V2" s="1022"/>
      <c r="W2" s="1022"/>
      <c r="X2" s="1022"/>
    </row>
    <row r="3" spans="1:24" s="520" customFormat="1" ht="19.2">
      <c r="A3" s="226" t="s">
        <v>0</v>
      </c>
      <c r="B3" s="1248" t="s">
        <v>2389</v>
      </c>
      <c r="C3" s="1023"/>
      <c r="D3" s="1018"/>
      <c r="E3" s="1018"/>
      <c r="F3" s="1019"/>
      <c r="G3" s="1020"/>
      <c r="H3" s="1019"/>
      <c r="I3" s="1019"/>
      <c r="J3" s="1019"/>
      <c r="K3" s="1021"/>
      <c r="L3" s="1022"/>
      <c r="M3" s="1022"/>
      <c r="N3" s="1022"/>
      <c r="O3" s="1022"/>
      <c r="P3" s="1022"/>
      <c r="Q3" s="1022"/>
      <c r="R3" s="1022"/>
      <c r="S3" s="1022"/>
      <c r="T3" s="1022"/>
      <c r="U3" s="1022"/>
      <c r="V3" s="1022"/>
      <c r="W3" s="1022"/>
      <c r="X3" s="1022"/>
    </row>
    <row r="4" spans="1:24" s="520" customFormat="1" ht="19.2">
      <c r="A4" s="119" t="s">
        <v>1</v>
      </c>
      <c r="B4" s="1248">
        <v>930100</v>
      </c>
      <c r="C4" s="1023"/>
      <c r="D4" s="1024"/>
      <c r="E4" s="1018"/>
      <c r="F4" s="1019"/>
      <c r="G4" s="1020"/>
      <c r="H4" s="1019"/>
      <c r="I4" s="1019"/>
      <c r="J4" s="1019"/>
      <c r="K4" s="1024" t="s">
        <v>1385</v>
      </c>
      <c r="L4" s="1018">
        <v>4.25</v>
      </c>
      <c r="M4" s="1022"/>
      <c r="N4" s="1022"/>
      <c r="O4" s="1022"/>
      <c r="P4" s="1022"/>
      <c r="Q4" s="1022"/>
      <c r="R4" s="1022"/>
      <c r="S4" s="1022"/>
      <c r="T4" s="1022"/>
      <c r="U4" s="1022"/>
      <c r="V4" s="1022"/>
      <c r="W4" s="1022"/>
      <c r="X4" s="1022"/>
    </row>
    <row r="5" spans="1:24" s="520" customFormat="1" ht="19.2">
      <c r="A5" s="119" t="s">
        <v>2</v>
      </c>
      <c r="B5" s="1247" t="s">
        <v>331</v>
      </c>
      <c r="C5" s="1023"/>
      <c r="D5" s="1018"/>
      <c r="E5" s="1018"/>
      <c r="F5" s="1019"/>
      <c r="G5" s="1020"/>
      <c r="H5" s="1019"/>
      <c r="I5" s="1276" t="s">
        <v>1561</v>
      </c>
      <c r="J5" s="523" t="s">
        <v>1562</v>
      </c>
      <c r="K5" s="1019" t="s">
        <v>1386</v>
      </c>
      <c r="L5" s="1019">
        <v>3.8</v>
      </c>
      <c r="M5" s="1019">
        <f>L5/2</f>
        <v>1.9</v>
      </c>
      <c r="N5" s="1021"/>
      <c r="O5" s="1022"/>
      <c r="P5" s="1022"/>
      <c r="Q5" s="1022" t="s">
        <v>1385</v>
      </c>
      <c r="R5" s="1022">
        <v>4.5</v>
      </c>
      <c r="S5" s="1022"/>
      <c r="T5" s="1022"/>
      <c r="U5" s="1022"/>
      <c r="V5" s="1022"/>
      <c r="W5" s="1022"/>
      <c r="X5" s="1022"/>
    </row>
    <row r="6" spans="1:24" s="520" customFormat="1" ht="19.2">
      <c r="A6" s="119" t="s">
        <v>3</v>
      </c>
      <c r="B6" s="1247" t="s">
        <v>1523</v>
      </c>
      <c r="C6" s="1023"/>
      <c r="D6" s="1018"/>
      <c r="E6" s="1018"/>
      <c r="F6" s="1019"/>
      <c r="G6" s="1020"/>
      <c r="H6" s="1019"/>
      <c r="I6" s="1276" t="s">
        <v>171</v>
      </c>
      <c r="J6" s="523" t="s">
        <v>1563</v>
      </c>
      <c r="K6" s="1019"/>
      <c r="L6" s="1019"/>
      <c r="M6" s="1019"/>
      <c r="N6" s="1021"/>
      <c r="O6" s="1022"/>
      <c r="P6" s="1022"/>
      <c r="Q6" s="1022"/>
      <c r="R6" s="1022"/>
      <c r="S6" s="1022"/>
      <c r="T6" s="1022"/>
      <c r="U6" s="1022"/>
      <c r="V6" s="1022"/>
      <c r="W6" s="1022"/>
      <c r="X6" s="1022"/>
    </row>
    <row r="7" spans="1:24" s="520" customFormat="1" ht="19.2">
      <c r="A7" s="119" t="s">
        <v>4</v>
      </c>
      <c r="B7" s="1247"/>
      <c r="C7" s="1023"/>
      <c r="D7" s="1018"/>
      <c r="E7" s="1018"/>
      <c r="F7" s="1019"/>
      <c r="G7" s="1020"/>
      <c r="H7" s="1019"/>
      <c r="I7" s="1276" t="s">
        <v>106</v>
      </c>
      <c r="J7" s="1277">
        <f ca="1">TODAY()</f>
        <v>44942</v>
      </c>
      <c r="K7" s="1019"/>
      <c r="L7" s="1019"/>
      <c r="M7" s="1019"/>
      <c r="N7" s="1021"/>
      <c r="O7" s="1022"/>
      <c r="P7" s="1022"/>
      <c r="Q7" s="1022"/>
      <c r="R7" s="1022"/>
      <c r="S7" s="1022"/>
      <c r="T7" s="1022"/>
      <c r="U7" s="1022"/>
      <c r="V7" s="1022"/>
      <c r="W7" s="1022"/>
      <c r="X7" s="1022"/>
    </row>
    <row r="8" spans="1:24">
      <c r="A8" s="119"/>
      <c r="B8" s="55"/>
      <c r="C8" s="1017"/>
      <c r="F8" s="1020"/>
      <c r="G8" s="1019"/>
      <c r="J8" s="1021"/>
      <c r="K8" s="1019" t="s">
        <v>1351</v>
      </c>
      <c r="L8" s="1019">
        <f>(L4+0.1)-M5</f>
        <v>2.4499999999999997</v>
      </c>
      <c r="M8" s="1019"/>
      <c r="N8" s="1029">
        <f>+L5+2*(L8-M5)+PI()*M5</f>
        <v>10.869026041820607</v>
      </c>
      <c r="Q8" s="1022" t="s">
        <v>1349</v>
      </c>
      <c r="R8" s="1022">
        <v>4</v>
      </c>
      <c r="S8" s="1022">
        <f>R8/2</f>
        <v>2</v>
      </c>
    </row>
    <row r="9" spans="1:24">
      <c r="B9" s="1026"/>
      <c r="C9" s="1027"/>
      <c r="D9" s="1028"/>
      <c r="F9" s="1020"/>
      <c r="G9" s="1019"/>
      <c r="J9" s="1021"/>
      <c r="K9" s="1019"/>
      <c r="L9" s="1019"/>
      <c r="M9" s="1019"/>
      <c r="N9" s="1021"/>
    </row>
    <row r="10" spans="1:24">
      <c r="B10" s="1026"/>
      <c r="C10" s="1027"/>
      <c r="D10" s="1028"/>
      <c r="F10" s="1020"/>
      <c r="G10" s="1019"/>
      <c r="J10" s="1021"/>
      <c r="K10" s="1019"/>
      <c r="L10" s="1019"/>
      <c r="M10" s="1019"/>
      <c r="N10" s="1021"/>
    </row>
    <row r="11" spans="1:24">
      <c r="B11" s="1030" t="s">
        <v>1353</v>
      </c>
      <c r="C11" s="1031">
        <v>73.62</v>
      </c>
      <c r="D11" s="1032" t="s">
        <v>27</v>
      </c>
      <c r="F11" s="1020"/>
      <c r="G11" s="1019"/>
      <c r="J11" s="1021"/>
      <c r="K11" s="1022"/>
    </row>
    <row r="12" spans="1:24" ht="84">
      <c r="B12" s="2377" t="s">
        <v>1354</v>
      </c>
      <c r="C12" s="2378"/>
      <c r="D12" s="1033" t="s">
        <v>1355</v>
      </c>
      <c r="E12" s="1034" t="s">
        <v>1356</v>
      </c>
      <c r="F12" s="1035" t="s">
        <v>1357</v>
      </c>
      <c r="G12" s="1036" t="s">
        <v>1358</v>
      </c>
      <c r="H12" s="1036" t="s">
        <v>1359</v>
      </c>
      <c r="I12" s="1036" t="s">
        <v>1360</v>
      </c>
      <c r="J12" s="1037" t="s">
        <v>1361</v>
      </c>
      <c r="K12" s="1022"/>
    </row>
    <row r="13" spans="1:24">
      <c r="B13" s="2382" t="s">
        <v>1362</v>
      </c>
      <c r="C13" s="2383"/>
      <c r="D13" s="1027">
        <v>0.05</v>
      </c>
      <c r="E13" s="1038">
        <v>1.8</v>
      </c>
      <c r="F13" s="1038">
        <v>0</v>
      </c>
      <c r="G13" s="1039">
        <f>L8*L5+PI()*(L5^2)/8</f>
        <v>14.980574739729576</v>
      </c>
      <c r="H13" s="1040">
        <f>$L$8*2+PI()*($M$5-D13)</f>
        <v>10.711946409141117</v>
      </c>
      <c r="I13" s="1041">
        <v>0</v>
      </c>
      <c r="J13" s="1042">
        <f>$L$5*0.2</f>
        <v>0.76</v>
      </c>
      <c r="K13" s="1022"/>
      <c r="L13" s="1022">
        <v>2.2000000000000002</v>
      </c>
    </row>
    <row r="14" spans="1:24">
      <c r="B14" s="2382" t="s">
        <v>1363</v>
      </c>
      <c r="C14" s="2383"/>
      <c r="D14" s="1027">
        <v>0.05</v>
      </c>
      <c r="E14" s="1038">
        <v>1.5</v>
      </c>
      <c r="F14" s="1038">
        <v>0</v>
      </c>
      <c r="G14" s="1039">
        <f>G$13</f>
        <v>14.980574739729576</v>
      </c>
      <c r="H14" s="1040">
        <f t="shared" ref="H14:H18" si="0">$L$8*2+PI()*($M$5-D14)</f>
        <v>10.711946409141117</v>
      </c>
      <c r="I14" s="1041">
        <v>0</v>
      </c>
      <c r="J14" s="1042">
        <f t="shared" ref="J14:J17" si="1">$L$5*0.2</f>
        <v>0.76</v>
      </c>
      <c r="K14" s="1022"/>
      <c r="L14" s="1022">
        <f>0.2*L13</f>
        <v>0.44000000000000006</v>
      </c>
    </row>
    <row r="15" spans="1:24">
      <c r="B15" s="2382" t="s">
        <v>1364</v>
      </c>
      <c r="C15" s="2383"/>
      <c r="D15" s="1027">
        <v>0.1</v>
      </c>
      <c r="E15" s="1043">
        <v>1.3</v>
      </c>
      <c r="F15" s="1038">
        <v>0</v>
      </c>
      <c r="G15" s="1039">
        <f t="shared" ref="G15:G18" si="2">G$13</f>
        <v>14.980574739729576</v>
      </c>
      <c r="H15" s="1040">
        <f t="shared" si="0"/>
        <v>10.554866776461626</v>
      </c>
      <c r="I15" s="1041">
        <v>0</v>
      </c>
      <c r="J15" s="1042">
        <f t="shared" si="1"/>
        <v>0.76</v>
      </c>
      <c r="K15" s="1022"/>
    </row>
    <row r="16" spans="1:24">
      <c r="B16" s="2382" t="s">
        <v>1365</v>
      </c>
      <c r="C16" s="2383"/>
      <c r="D16" s="1027">
        <v>0.12</v>
      </c>
      <c r="E16" s="1043">
        <v>1.2</v>
      </c>
      <c r="F16" s="1038">
        <v>0</v>
      </c>
      <c r="G16" s="1039">
        <f t="shared" si="2"/>
        <v>14.980574739729576</v>
      </c>
      <c r="H16" s="1040">
        <f t="shared" si="0"/>
        <v>10.492034923389831</v>
      </c>
      <c r="I16" s="1041">
        <v>0</v>
      </c>
      <c r="J16" s="1042">
        <f t="shared" si="1"/>
        <v>0.76</v>
      </c>
      <c r="K16" s="1022"/>
    </row>
    <row r="17" spans="1:13">
      <c r="B17" s="2382" t="s">
        <v>1366</v>
      </c>
      <c r="C17" s="2383"/>
      <c r="D17" s="1027">
        <v>0.15</v>
      </c>
      <c r="E17" s="1038">
        <v>1</v>
      </c>
      <c r="F17" s="1038">
        <v>0</v>
      </c>
      <c r="G17" s="1039">
        <f t="shared" si="2"/>
        <v>14.980574739729576</v>
      </c>
      <c r="H17" s="1040">
        <f t="shared" si="0"/>
        <v>10.397787143782137</v>
      </c>
      <c r="I17" s="1041">
        <v>0</v>
      </c>
      <c r="J17" s="1042">
        <f t="shared" si="1"/>
        <v>0.76</v>
      </c>
      <c r="K17" s="1022"/>
    </row>
    <row r="18" spans="1:13" s="1018" customFormat="1">
      <c r="A18" s="1022"/>
      <c r="B18" s="2382" t="s">
        <v>1368</v>
      </c>
      <c r="C18" s="2383"/>
      <c r="D18" s="1027">
        <v>0.1</v>
      </c>
      <c r="E18" s="1038">
        <v>1</v>
      </c>
      <c r="F18" s="1038">
        <f>0.25*H18</f>
        <v>2.6387166941154065</v>
      </c>
      <c r="G18" s="1039">
        <f t="shared" si="2"/>
        <v>14.980574739729576</v>
      </c>
      <c r="H18" s="1040">
        <f t="shared" si="0"/>
        <v>10.554866776461626</v>
      </c>
      <c r="I18" s="1040">
        <f>H18</f>
        <v>10.554866776461626</v>
      </c>
      <c r="J18" s="1042"/>
      <c r="K18" s="1044"/>
      <c r="L18" s="1020"/>
    </row>
    <row r="19" spans="1:13" s="1018" customFormat="1" ht="15" hidden="1" customHeight="1">
      <c r="A19" s="1022"/>
      <c r="B19" s="1023"/>
      <c r="C19" s="1023"/>
      <c r="F19" s="1019"/>
      <c r="G19" s="1020"/>
      <c r="H19" s="1019"/>
      <c r="I19" s="1019"/>
      <c r="J19" s="1021"/>
      <c r="K19" s="1022">
        <f t="shared" ref="K19" si="3">H19*2+D19*2</f>
        <v>0</v>
      </c>
      <c r="M19" s="1022" t="e">
        <f>(L19/1.5)*(#REF!/1.5)*2</f>
        <v>#REF!</v>
      </c>
    </row>
    <row r="20" spans="1:13" s="1018" customFormat="1">
      <c r="A20" s="1045"/>
      <c r="B20" s="1046" t="s">
        <v>1369</v>
      </c>
      <c r="C20" s="1046" t="s">
        <v>117</v>
      </c>
      <c r="D20" s="1047" t="str">
        <f>B13</f>
        <v>S1</v>
      </c>
      <c r="E20" s="1047" t="str">
        <f>B14</f>
        <v>S2</v>
      </c>
      <c r="F20" s="1047" t="str">
        <f>B15</f>
        <v>S3</v>
      </c>
      <c r="G20" s="1047" t="str">
        <f>B16</f>
        <v>S4</v>
      </c>
      <c r="H20" s="1047" t="str">
        <f>B17</f>
        <v>S5</v>
      </c>
      <c r="I20" s="1047" t="str">
        <f>B18</f>
        <v>S6</v>
      </c>
      <c r="J20" s="1048" t="s">
        <v>439</v>
      </c>
      <c r="K20" s="1022"/>
    </row>
    <row r="21" spans="1:13">
      <c r="A21" s="1042" t="s">
        <v>1370</v>
      </c>
      <c r="B21" s="1026" t="s">
        <v>1371</v>
      </c>
      <c r="C21" s="1026" t="s">
        <v>27</v>
      </c>
      <c r="D21" s="1038">
        <v>0</v>
      </c>
      <c r="E21" s="1038">
        <f>C9</f>
        <v>0</v>
      </c>
      <c r="F21" s="1038">
        <f>0.3*C11</f>
        <v>22.086000000000002</v>
      </c>
      <c r="G21" s="1038">
        <f>0.3*C11</f>
        <v>22.086000000000002</v>
      </c>
      <c r="H21" s="1038">
        <f>0.2*C11</f>
        <v>14.724000000000002</v>
      </c>
      <c r="I21" s="1038">
        <f>0.2*C11</f>
        <v>14.724000000000002</v>
      </c>
      <c r="J21" s="1055">
        <f t="shared" ref="J21:J29" si="4">SUM(D21:I21)</f>
        <v>73.62</v>
      </c>
      <c r="K21" s="1044"/>
    </row>
    <row r="22" spans="1:13" ht="17.399999999999999">
      <c r="A22" s="1028">
        <v>1</v>
      </c>
      <c r="B22" s="1026" t="s">
        <v>1116</v>
      </c>
      <c r="C22" s="1026" t="s">
        <v>339</v>
      </c>
      <c r="D22" s="1038">
        <f>G13*D21</f>
        <v>0</v>
      </c>
      <c r="E22" s="1038">
        <f>G14*E21</f>
        <v>0</v>
      </c>
      <c r="F22" s="1038">
        <f>G15*F21</f>
        <v>330.86097370166743</v>
      </c>
      <c r="G22" s="1038">
        <f>G16*G21</f>
        <v>330.86097370166743</v>
      </c>
      <c r="H22" s="1038">
        <f>G17*H21</f>
        <v>220.57398246777831</v>
      </c>
      <c r="I22" s="1038">
        <f>H17*I21</f>
        <v>153.0970179050482</v>
      </c>
      <c r="J22" s="1055">
        <f t="shared" si="4"/>
        <v>1035.3929477761615</v>
      </c>
      <c r="K22" s="1022"/>
    </row>
    <row r="23" spans="1:13">
      <c r="A23" s="1028">
        <v>2</v>
      </c>
      <c r="B23" s="1026" t="s">
        <v>2563</v>
      </c>
      <c r="C23" s="1026" t="s">
        <v>19</v>
      </c>
      <c r="D23" s="1038">
        <f>H13*D13*D21</f>
        <v>0</v>
      </c>
      <c r="E23" s="1038">
        <f>H14*E21</f>
        <v>0</v>
      </c>
      <c r="F23" s="1038">
        <f>(H15)*F21</f>
        <v>233.11478762493149</v>
      </c>
      <c r="G23" s="1038">
        <v>0</v>
      </c>
      <c r="H23" s="1022">
        <v>0</v>
      </c>
      <c r="I23" s="1038">
        <f>I21*H18</f>
        <v>155.40985841662101</v>
      </c>
      <c r="J23" s="1055">
        <f t="shared" si="4"/>
        <v>388.5246460415525</v>
      </c>
      <c r="K23" s="1022"/>
    </row>
    <row r="24" spans="1:13">
      <c r="A24" s="1028">
        <v>3</v>
      </c>
      <c r="B24" s="1026" t="s">
        <v>2429</v>
      </c>
      <c r="C24" s="1026" t="s">
        <v>19</v>
      </c>
      <c r="D24" s="1038">
        <f>H14*D14*D22</f>
        <v>0</v>
      </c>
      <c r="E24" s="1038">
        <f t="shared" ref="E24:E25" si="5">H15*E22</f>
        <v>0</v>
      </c>
      <c r="F24" s="1038">
        <v>0</v>
      </c>
      <c r="G24" s="1038">
        <f>G21*(H16)</f>
        <v>231.72708331798782</v>
      </c>
      <c r="H24" s="1038">
        <v>0</v>
      </c>
      <c r="I24" s="1038">
        <v>0</v>
      </c>
      <c r="J24" s="1055">
        <f>SUM(D24:I24)</f>
        <v>231.72708331798782</v>
      </c>
      <c r="K24" s="1022"/>
    </row>
    <row r="25" spans="1:13">
      <c r="A25" s="1028">
        <v>4</v>
      </c>
      <c r="B25" s="1026" t="s">
        <v>2430</v>
      </c>
      <c r="C25" s="1026" t="s">
        <v>19</v>
      </c>
      <c r="D25" s="1038">
        <f>H15*D15*D23</f>
        <v>0</v>
      </c>
      <c r="E25" s="1038">
        <f t="shared" si="5"/>
        <v>0</v>
      </c>
      <c r="F25" s="1038">
        <v>0</v>
      </c>
      <c r="G25" s="1038">
        <v>0</v>
      </c>
      <c r="H25" s="1038">
        <f>H21*H17</f>
        <v>153.0970179050482</v>
      </c>
      <c r="I25" s="1038">
        <v>0</v>
      </c>
      <c r="J25" s="1055">
        <f>SUM(D25:I25)</f>
        <v>153.0970179050482</v>
      </c>
      <c r="K25" s="1022"/>
    </row>
    <row r="26" spans="1:13" ht="17.399999999999999">
      <c r="A26" s="1028">
        <v>5</v>
      </c>
      <c r="B26" s="1026" t="s">
        <v>1373</v>
      </c>
      <c r="C26" s="1026" t="s">
        <v>339</v>
      </c>
      <c r="D26" s="1038">
        <f>F13*D21</f>
        <v>0</v>
      </c>
      <c r="E26" s="1038">
        <f>F14*E21</f>
        <v>0</v>
      </c>
      <c r="F26" s="1038">
        <f>F15*F21</f>
        <v>0</v>
      </c>
      <c r="G26" s="1038">
        <f>F16*G21</f>
        <v>0</v>
      </c>
      <c r="H26" s="1038">
        <f>F17*H21</f>
        <v>0</v>
      </c>
      <c r="I26" s="1038">
        <f>F18*I21</f>
        <v>38.852464604155251</v>
      </c>
      <c r="J26" s="1055">
        <f t="shared" si="4"/>
        <v>38.852464604155251</v>
      </c>
      <c r="K26" s="1022"/>
      <c r="M26" s="1044"/>
    </row>
    <row r="27" spans="1:13" ht="17.399999999999999">
      <c r="A27" s="1028">
        <v>6</v>
      </c>
      <c r="B27" s="1026" t="s">
        <v>1374</v>
      </c>
      <c r="C27" s="1026" t="s">
        <v>420</v>
      </c>
      <c r="D27" s="1038">
        <f>I13*D21</f>
        <v>0</v>
      </c>
      <c r="E27" s="1038">
        <f>I14*E21</f>
        <v>0</v>
      </c>
      <c r="F27" s="1038">
        <f>I15*F21</f>
        <v>0</v>
      </c>
      <c r="G27" s="1038">
        <f>I16*G21</f>
        <v>0</v>
      </c>
      <c r="H27" s="1038">
        <f>I17*H21</f>
        <v>0</v>
      </c>
      <c r="I27" s="1038">
        <f>I18*I21</f>
        <v>155.40985841662101</v>
      </c>
      <c r="J27" s="1055">
        <f t="shared" si="4"/>
        <v>155.40985841662101</v>
      </c>
      <c r="K27" s="1022"/>
    </row>
    <row r="28" spans="1:13">
      <c r="A28" s="1028">
        <v>7</v>
      </c>
      <c r="B28" s="1026" t="s">
        <v>1375</v>
      </c>
      <c r="C28" s="1026" t="s">
        <v>25</v>
      </c>
      <c r="D28" s="1038">
        <f t="shared" ref="D28:H28" si="6">D26*0.5%*7.85</f>
        <v>0</v>
      </c>
      <c r="E28" s="1038">
        <f t="shared" si="6"/>
        <v>0</v>
      </c>
      <c r="F28" s="1038">
        <f t="shared" si="6"/>
        <v>0</v>
      </c>
      <c r="G28" s="1038">
        <f t="shared" si="6"/>
        <v>0</v>
      </c>
      <c r="H28" s="1038">
        <f t="shared" si="6"/>
        <v>0</v>
      </c>
      <c r="I28" s="1038">
        <f>I26*0.5%*7.85</f>
        <v>1.5249592357130934</v>
      </c>
      <c r="J28" s="1055">
        <f t="shared" si="4"/>
        <v>1.5249592357130934</v>
      </c>
      <c r="K28" s="1022"/>
      <c r="L28" s="1021"/>
    </row>
    <row r="29" spans="1:13">
      <c r="A29" s="1028">
        <v>8</v>
      </c>
      <c r="B29" s="1026" t="s">
        <v>2616</v>
      </c>
      <c r="C29" s="1026" t="s">
        <v>307</v>
      </c>
      <c r="D29" s="1038">
        <f>CEILING(H13/E13*D21/E13,1)*2</f>
        <v>0</v>
      </c>
      <c r="E29" s="1057">
        <f>CEILING(H14/E14*E21/E14,1)</f>
        <v>0</v>
      </c>
      <c r="F29" s="1057">
        <f>CEILING((H15)/E15*F21/E15,1)*2</f>
        <v>276</v>
      </c>
      <c r="G29" s="1057">
        <f>CEILING((H16)/E16*G21/E16,1)</f>
        <v>161</v>
      </c>
      <c r="H29" s="1057">
        <f>CEILING(H17/E17*H21/E17,1)*2.5</f>
        <v>385</v>
      </c>
      <c r="I29" s="1038">
        <f>CEILING(H18/E18*H21/E17,1)*2.5</f>
        <v>390</v>
      </c>
      <c r="J29" s="1058">
        <f t="shared" si="4"/>
        <v>1212</v>
      </c>
      <c r="K29" s="1022"/>
      <c r="L29" s="1021"/>
    </row>
    <row r="30" spans="1:13">
      <c r="A30" s="1028">
        <v>9</v>
      </c>
      <c r="B30" s="1026" t="s">
        <v>1376</v>
      </c>
      <c r="C30" s="1026" t="s">
        <v>307</v>
      </c>
      <c r="D30" s="1038">
        <v>0</v>
      </c>
      <c r="E30" s="1038">
        <v>0</v>
      </c>
      <c r="F30" s="1038">
        <v>0</v>
      </c>
      <c r="G30" s="1038">
        <v>0</v>
      </c>
      <c r="H30" s="1038">
        <f>CEILING((PI()*M5/0.4)*(H21/(4*COS(RADIANS(15)))),1)</f>
        <v>57</v>
      </c>
      <c r="I30" s="1038">
        <f>CEILING((PI()*M5/0.4)*(I21/(4*COS(RADIANS(15)))),1)</f>
        <v>57</v>
      </c>
      <c r="J30" s="1055">
        <f>SUM(D30:I30)</f>
        <v>114</v>
      </c>
      <c r="K30" s="1022"/>
      <c r="L30" s="1021"/>
    </row>
    <row r="31" spans="1:13" ht="15" customHeight="1">
      <c r="A31" s="1028">
        <v>10</v>
      </c>
      <c r="B31" s="1026" t="s">
        <v>1377</v>
      </c>
      <c r="C31" s="1026" t="s">
        <v>25</v>
      </c>
      <c r="D31" s="1038">
        <v>0</v>
      </c>
      <c r="E31" s="1038">
        <v>0</v>
      </c>
      <c r="F31" s="1038">
        <v>0</v>
      </c>
      <c r="G31" s="1038">
        <v>0</v>
      </c>
      <c r="H31" s="1038">
        <v>0</v>
      </c>
      <c r="I31" s="1038">
        <f>CEILING((I21/1.5),1)*H18*15/1000</f>
        <v>1.5832300164692437</v>
      </c>
      <c r="J31" s="1055">
        <f>SUM(D31:I31)</f>
        <v>1.5832300164692437</v>
      </c>
      <c r="K31" s="1022"/>
      <c r="L31" s="1021"/>
    </row>
    <row r="32" spans="1:13" ht="15" customHeight="1">
      <c r="A32" s="1028">
        <v>12</v>
      </c>
      <c r="B32" s="1026" t="s">
        <v>1379</v>
      </c>
      <c r="C32" s="1026" t="s">
        <v>339</v>
      </c>
      <c r="D32" s="1038">
        <f>D21*J13</f>
        <v>0</v>
      </c>
      <c r="E32" s="1038">
        <f>E21*J14</f>
        <v>0</v>
      </c>
      <c r="F32" s="1038">
        <f>J15*F21</f>
        <v>16.785360000000001</v>
      </c>
      <c r="G32" s="1038">
        <f>G21*J16</f>
        <v>16.785360000000001</v>
      </c>
      <c r="H32" s="1038">
        <f>H21*J17</f>
        <v>11.190240000000001</v>
      </c>
      <c r="I32" s="1038">
        <v>0</v>
      </c>
      <c r="J32" s="1055">
        <f t="shared" ref="J32:J35" si="7">SUM(D32:I32)</f>
        <v>44.760960000000004</v>
      </c>
      <c r="K32" s="1022"/>
    </row>
    <row r="33" spans="1:11" ht="15" customHeight="1">
      <c r="A33" s="1028">
        <v>13</v>
      </c>
      <c r="B33" s="1026" t="s">
        <v>24</v>
      </c>
      <c r="C33" s="1026" t="s">
        <v>25</v>
      </c>
      <c r="D33" s="1038">
        <f>8%*(D32+D28)</f>
        <v>0</v>
      </c>
      <c r="E33" s="1038">
        <v>0</v>
      </c>
      <c r="F33" s="1038">
        <f>0.75%*F32*7.85</f>
        <v>0.98823806999999997</v>
      </c>
      <c r="G33" s="1038">
        <f t="shared" ref="G33:I33" si="8">0.75%*G32*7.85</f>
        <v>0.98823806999999997</v>
      </c>
      <c r="H33" s="1038">
        <f t="shared" si="8"/>
        <v>0.65882538000000002</v>
      </c>
      <c r="I33" s="1038">
        <f t="shared" si="8"/>
        <v>0</v>
      </c>
      <c r="J33" s="1055">
        <f t="shared" si="7"/>
        <v>2.6353015200000001</v>
      </c>
    </row>
    <row r="34" spans="1:11" s="1053" customFormat="1">
      <c r="A34" s="1028">
        <v>14</v>
      </c>
      <c r="B34" s="1061" t="s">
        <v>1378</v>
      </c>
      <c r="C34" s="1061" t="s">
        <v>19</v>
      </c>
      <c r="D34" s="1062">
        <v>0</v>
      </c>
      <c r="E34" s="1062">
        <f>E21*J14/0.1</f>
        <v>0</v>
      </c>
      <c r="F34" s="1062">
        <f>F23*J15/0.2</f>
        <v>885.83619297473967</v>
      </c>
      <c r="G34" s="1062">
        <f>G21*J16/0.1</f>
        <v>167.8536</v>
      </c>
      <c r="H34" s="1062">
        <f>H25*J18/0.2</f>
        <v>0</v>
      </c>
      <c r="I34" s="1062">
        <v>0</v>
      </c>
      <c r="J34" s="1055">
        <f t="shared" si="7"/>
        <v>1053.6897929747397</v>
      </c>
      <c r="K34" s="1063"/>
    </row>
    <row r="35" spans="1:11" ht="17.399999999999999">
      <c r="A35" s="1028">
        <v>15</v>
      </c>
      <c r="B35" s="1026" t="s">
        <v>1380</v>
      </c>
      <c r="C35" s="1026" t="s">
        <v>420</v>
      </c>
      <c r="D35" s="1038">
        <v>0</v>
      </c>
      <c r="E35" s="1038">
        <f>E21*H14</f>
        <v>0</v>
      </c>
      <c r="F35" s="1038">
        <f>F21*H15*0.1</f>
        <v>23.311478762493152</v>
      </c>
      <c r="G35" s="1038">
        <f>G21*H16*0.1</f>
        <v>23.172708331798784</v>
      </c>
      <c r="H35" s="1038">
        <f>H21*G17*0.1</f>
        <v>22.057398246777833</v>
      </c>
      <c r="I35" s="1038">
        <f>I21*H18*0.1</f>
        <v>15.540985841662101</v>
      </c>
      <c r="J35" s="1055">
        <f t="shared" si="7"/>
        <v>84.082571182731883</v>
      </c>
      <c r="K35" s="1022"/>
    </row>
    <row r="36" spans="1:11">
      <c r="E36" s="1018">
        <f>1%*E35*7.85</f>
        <v>0</v>
      </c>
      <c r="F36" s="1018">
        <f t="shared" ref="F36:I36" si="9">1%*F35*7.85</f>
        <v>1.8299510828557126</v>
      </c>
      <c r="G36" s="1018">
        <f t="shared" si="9"/>
        <v>1.8190576040462045</v>
      </c>
      <c r="H36" s="1018">
        <f t="shared" si="9"/>
        <v>1.73150576237206</v>
      </c>
      <c r="I36" s="1018">
        <f t="shared" si="9"/>
        <v>1.2199673885704747</v>
      </c>
    </row>
    <row r="37" spans="1:11">
      <c r="I37" s="1044"/>
      <c r="J37" s="1044"/>
    </row>
    <row r="38" spans="1:11">
      <c r="I38" s="1044"/>
      <c r="J38" s="1044"/>
    </row>
    <row r="39" spans="1:11">
      <c r="I39" s="1044"/>
      <c r="J39" s="1044"/>
    </row>
    <row r="40" spans="1:11">
      <c r="I40" s="1044"/>
      <c r="J40" s="1044"/>
    </row>
    <row r="41" spans="1:11">
      <c r="C41" s="1018"/>
      <c r="E41" s="1019"/>
      <c r="F41" s="1020"/>
      <c r="G41" s="1019"/>
      <c r="I41" s="1064"/>
      <c r="J41" s="1044"/>
    </row>
    <row r="42" spans="1:11">
      <c r="C42" s="1018"/>
      <c r="E42" s="1019"/>
      <c r="F42" s="1020"/>
      <c r="G42" s="1019"/>
      <c r="J42" s="1064"/>
      <c r="K42" s="1022"/>
    </row>
    <row r="43" spans="1:11">
      <c r="C43" s="1018"/>
      <c r="E43" s="1019"/>
      <c r="F43" s="1020"/>
      <c r="G43" s="1019"/>
    </row>
    <row r="44" spans="1:11">
      <c r="C44" s="1066"/>
      <c r="D44" s="1066"/>
      <c r="E44" s="1067"/>
      <c r="F44" s="1068"/>
      <c r="G44" s="1067"/>
    </row>
    <row r="46" spans="1:11">
      <c r="C46" s="1018"/>
      <c r="E46" s="1019"/>
      <c r="F46" s="1020"/>
      <c r="G46" s="1019"/>
    </row>
    <row r="47" spans="1:11">
      <c r="C47" s="1018"/>
      <c r="E47" s="1019"/>
      <c r="F47" s="1020"/>
      <c r="G47" s="1019"/>
    </row>
    <row r="48" spans="1:11">
      <c r="C48" s="1018"/>
      <c r="E48" s="1019"/>
      <c r="F48" s="1020"/>
      <c r="G48" s="1019"/>
    </row>
  </sheetData>
  <mergeCells count="7">
    <mergeCell ref="B18:C18"/>
    <mergeCell ref="B12:C12"/>
    <mergeCell ref="B13:C13"/>
    <mergeCell ref="B14:C14"/>
    <mergeCell ref="B15:C15"/>
    <mergeCell ref="B16:C16"/>
    <mergeCell ref="B17:C17"/>
  </mergeCells>
  <printOptions horizontalCentered="1"/>
  <pageMargins left="0.7" right="0.7" top="0.71" bottom="0.59" header="0.3" footer="0.16"/>
  <pageSetup paperSize="9" scale="77" fitToHeight="10" orientation="landscape"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7">
    <tabColor rgb="FFFFFF00"/>
  </sheetPr>
  <dimension ref="A1:P39"/>
  <sheetViews>
    <sheetView workbookViewId="0"/>
  </sheetViews>
  <sheetFormatPr defaultColWidth="9.109375" defaultRowHeight="16.8"/>
  <cols>
    <col min="1" max="1" width="11.6640625" style="4" customWidth="1"/>
    <col min="2" max="2" width="32.33203125" style="4" customWidth="1"/>
    <col min="3" max="4" width="5.88671875" style="19" customWidth="1"/>
    <col min="5" max="7" width="10.33203125" style="1003" customWidth="1"/>
    <col min="8" max="8" width="11.88671875" style="1003" bestFit="1" customWidth="1"/>
    <col min="9" max="9" width="10.33203125" style="1003" customWidth="1"/>
    <col min="10" max="10" width="13" style="1003" customWidth="1"/>
    <col min="11" max="11" width="18" style="119" bestFit="1" customWidth="1"/>
    <col min="12" max="12" width="9.109375" style="4" customWidth="1"/>
    <col min="13" max="13" width="9.109375" style="463" customWidth="1"/>
    <col min="14" max="14" width="7.5546875" style="4" customWidth="1"/>
    <col min="15" max="15" width="9.109375" style="4" customWidth="1"/>
    <col min="16" max="17" width="9.109375" style="4"/>
    <col min="18" max="18" width="11.88671875" style="4" customWidth="1"/>
    <col min="19" max="16384" width="9.109375" style="4"/>
  </cols>
  <sheetData>
    <row r="1" spans="1:16" s="520" customFormat="1" ht="19.2">
      <c r="A1" s="522"/>
      <c r="C1" s="523"/>
      <c r="D1" s="537"/>
      <c r="E1" s="1223"/>
      <c r="F1" s="1223"/>
      <c r="G1" s="523"/>
    </row>
    <row r="2" spans="1:16" s="520" customFormat="1" ht="19.2">
      <c r="A2" s="522"/>
      <c r="C2" s="523"/>
      <c r="D2" s="537"/>
      <c r="E2" s="1223"/>
      <c r="F2" s="1223"/>
      <c r="G2" s="523"/>
    </row>
    <row r="3" spans="1:16" s="520" customFormat="1" ht="19.2">
      <c r="A3" s="226" t="s">
        <v>0</v>
      </c>
      <c r="B3" s="1248" t="s">
        <v>2389</v>
      </c>
      <c r="C3" s="523"/>
      <c r="D3" s="537"/>
      <c r="E3" s="1223"/>
      <c r="F3" s="1223"/>
      <c r="G3" s="523"/>
    </row>
    <row r="4" spans="1:16" s="520" customFormat="1" ht="19.2">
      <c r="A4" s="119" t="s">
        <v>1</v>
      </c>
      <c r="B4" s="1248">
        <v>930100</v>
      </c>
      <c r="C4" s="523"/>
      <c r="D4" s="537"/>
      <c r="E4" s="1223"/>
      <c r="F4" s="1223"/>
      <c r="G4" s="523"/>
    </row>
    <row r="5" spans="1:16" s="520" customFormat="1" ht="19.2">
      <c r="A5" s="119" t="s">
        <v>2</v>
      </c>
      <c r="B5" s="1247" t="s">
        <v>331</v>
      </c>
      <c r="C5" s="523"/>
      <c r="D5" s="537"/>
      <c r="E5" s="1223"/>
      <c r="J5" s="1276" t="s">
        <v>1561</v>
      </c>
      <c r="K5" s="523" t="s">
        <v>1562</v>
      </c>
    </row>
    <row r="6" spans="1:16" s="520" customFormat="1" ht="19.2">
      <c r="A6" s="119" t="s">
        <v>3</v>
      </c>
      <c r="B6" s="1247" t="s">
        <v>1524</v>
      </c>
      <c r="C6" s="523"/>
      <c r="D6" s="537"/>
      <c r="E6" s="1223"/>
      <c r="J6" s="1276" t="s">
        <v>171</v>
      </c>
      <c r="K6" s="523" t="s">
        <v>1563</v>
      </c>
    </row>
    <row r="7" spans="1:16" s="520" customFormat="1" ht="19.2">
      <c r="A7" s="119" t="s">
        <v>4</v>
      </c>
      <c r="B7" s="1247"/>
      <c r="C7" s="523"/>
      <c r="D7" s="537"/>
      <c r="E7" s="1223"/>
      <c r="J7" s="1276" t="s">
        <v>106</v>
      </c>
      <c r="K7" s="1277">
        <f ca="1">TODAY()</f>
        <v>44942</v>
      </c>
    </row>
    <row r="8" spans="1:16">
      <c r="A8" s="119"/>
      <c r="B8" s="55"/>
      <c r="C8" s="1"/>
      <c r="D8" s="1"/>
      <c r="E8" s="1"/>
      <c r="F8" s="1"/>
    </row>
    <row r="10" spans="1:16">
      <c r="A10" s="2" t="s">
        <v>7</v>
      </c>
      <c r="B10" s="2" t="s">
        <v>8</v>
      </c>
      <c r="C10" s="2" t="s">
        <v>9</v>
      </c>
      <c r="D10" s="2" t="s">
        <v>10</v>
      </c>
      <c r="E10" s="824" t="s">
        <v>11</v>
      </c>
      <c r="F10" s="824" t="s">
        <v>12</v>
      </c>
      <c r="G10" s="824" t="s">
        <v>13</v>
      </c>
      <c r="H10" s="824" t="s">
        <v>15</v>
      </c>
      <c r="I10" s="824" t="s">
        <v>357</v>
      </c>
      <c r="J10" s="824" t="s">
        <v>16</v>
      </c>
      <c r="K10" s="1004" t="s">
        <v>17</v>
      </c>
    </row>
    <row r="11" spans="1:16" s="1009" customFormat="1">
      <c r="A11" s="1005">
        <v>1</v>
      </c>
      <c r="B11" s="25" t="s">
        <v>18</v>
      </c>
      <c r="C11" s="776" t="s">
        <v>19</v>
      </c>
      <c r="D11" s="776"/>
      <c r="E11" s="1006"/>
      <c r="F11" s="1006"/>
      <c r="G11" s="1006"/>
      <c r="H11" s="1006"/>
      <c r="I11" s="1006"/>
      <c r="J11" s="1007"/>
      <c r="K11" s="1008"/>
    </row>
    <row r="12" spans="1:16">
      <c r="A12" s="10"/>
      <c r="B12" s="345" t="s">
        <v>1516</v>
      </c>
      <c r="C12" s="12"/>
      <c r="D12" s="45">
        <v>1</v>
      </c>
      <c r="E12" s="945"/>
      <c r="F12" s="945"/>
      <c r="G12" s="825"/>
      <c r="H12" s="825">
        <v>100</v>
      </c>
      <c r="J12" s="825">
        <f>ROUND(D12*H12,2)</f>
        <v>100</v>
      </c>
      <c r="K12" s="24"/>
    </row>
    <row r="13" spans="1:16">
      <c r="A13" s="10"/>
      <c r="B13" s="14"/>
      <c r="C13" s="12"/>
      <c r="D13" s="12"/>
      <c r="E13" s="825"/>
      <c r="F13" s="825"/>
      <c r="G13" s="825"/>
      <c r="H13" s="825"/>
      <c r="I13" s="1010" t="s">
        <v>20</v>
      </c>
      <c r="J13" s="1010">
        <f>SUM(J12:J12)</f>
        <v>100</v>
      </c>
      <c r="K13" s="24"/>
    </row>
    <row r="14" spans="1:16" ht="67.2">
      <c r="A14" s="7">
        <f>A11+1</f>
        <v>2</v>
      </c>
      <c r="B14" s="443" t="s">
        <v>782</v>
      </c>
      <c r="C14" s="7" t="s">
        <v>21</v>
      </c>
      <c r="D14" s="7"/>
      <c r="E14" s="912"/>
      <c r="F14" s="912"/>
      <c r="G14" s="912"/>
      <c r="H14" s="912"/>
      <c r="I14" s="912"/>
      <c r="J14" s="912"/>
      <c r="K14" s="1011"/>
      <c r="P14" s="4">
        <f>70*21</f>
        <v>1470</v>
      </c>
    </row>
    <row r="15" spans="1:16">
      <c r="A15" s="10">
        <v>2.2000000000000002</v>
      </c>
      <c r="B15" s="14" t="s">
        <v>1340</v>
      </c>
      <c r="C15" s="12"/>
      <c r="D15" s="12">
        <v>1</v>
      </c>
      <c r="E15" s="825"/>
      <c r="F15" s="825">
        <v>24</v>
      </c>
      <c r="G15" s="825"/>
      <c r="H15" s="825">
        <v>97</v>
      </c>
      <c r="I15" s="825"/>
      <c r="J15" s="825">
        <f>H15*F15</f>
        <v>2328</v>
      </c>
      <c r="K15" s="24"/>
    </row>
    <row r="16" spans="1:16">
      <c r="A16" s="10"/>
      <c r="B16" s="345"/>
      <c r="C16" s="12"/>
      <c r="D16" s="45"/>
      <c r="E16" s="14"/>
      <c r="F16" s="14"/>
      <c r="G16" s="14"/>
      <c r="H16" s="14"/>
      <c r="I16" s="1010" t="s">
        <v>20</v>
      </c>
      <c r="J16" s="1010">
        <f>SUM(J15)</f>
        <v>2328</v>
      </c>
      <c r="K16" s="1012"/>
    </row>
    <row r="17" spans="1:15" s="1009" customFormat="1" ht="33.6">
      <c r="A17" s="1005">
        <v>3</v>
      </c>
      <c r="B17" s="1013" t="s">
        <v>2560</v>
      </c>
      <c r="C17" s="776" t="s">
        <v>307</v>
      </c>
      <c r="D17" s="776"/>
      <c r="E17" s="1006"/>
      <c r="F17" s="1006"/>
      <c r="G17" s="1006"/>
      <c r="H17" s="1006"/>
      <c r="I17" s="1006"/>
      <c r="J17" s="1007"/>
      <c r="K17" s="1008"/>
    </row>
    <row r="18" spans="1:15" ht="17.399999999999999">
      <c r="A18" s="10"/>
      <c r="B18" s="14"/>
      <c r="C18" s="12"/>
      <c r="D18" s="12"/>
      <c r="E18" s="825" t="s">
        <v>1342</v>
      </c>
      <c r="F18" s="825"/>
      <c r="G18" s="825"/>
      <c r="H18" s="825"/>
      <c r="I18" s="825"/>
      <c r="J18" s="1014"/>
      <c r="K18" s="477"/>
    </row>
    <row r="19" spans="1:15">
      <c r="A19" s="10"/>
      <c r="B19" s="345" t="s">
        <v>2562</v>
      </c>
      <c r="C19" s="12"/>
      <c r="D19" s="12">
        <v>1</v>
      </c>
      <c r="E19" s="825">
        <f>1.5*1.5</f>
        <v>2.25</v>
      </c>
      <c r="F19" s="825"/>
      <c r="G19" s="825"/>
      <c r="H19" s="825">
        <f>25*12.5</f>
        <v>312.5</v>
      </c>
      <c r="I19" s="825"/>
      <c r="J19" s="969">
        <f>H19/E19</f>
        <v>138.88888888888889</v>
      </c>
      <c r="K19" s="477"/>
    </row>
    <row r="20" spans="1:15">
      <c r="A20" s="10"/>
      <c r="B20" s="14"/>
      <c r="C20" s="12"/>
      <c r="D20" s="12"/>
      <c r="E20" s="825"/>
      <c r="F20" s="825"/>
      <c r="G20" s="825"/>
      <c r="H20" s="825"/>
      <c r="I20" s="1010" t="s">
        <v>20</v>
      </c>
      <c r="J20" s="1010">
        <f>ROUNDUP(SUM(J19:J19),0)</f>
        <v>139</v>
      </c>
      <c r="K20" s="477"/>
    </row>
    <row r="21" spans="1:15" s="1009" customFormat="1">
      <c r="A21" s="1005">
        <v>4</v>
      </c>
      <c r="B21" s="25" t="s">
        <v>1343</v>
      </c>
      <c r="C21" s="776" t="s">
        <v>19</v>
      </c>
      <c r="D21" s="776"/>
      <c r="E21" s="1006"/>
      <c r="F21" s="1006"/>
      <c r="G21" s="1006"/>
      <c r="H21" s="1006"/>
      <c r="I21" s="1006"/>
      <c r="J21" s="1007"/>
      <c r="K21" s="1008"/>
    </row>
    <row r="22" spans="1:15">
      <c r="A22" s="10"/>
      <c r="B22" s="14" t="s">
        <v>808</v>
      </c>
      <c r="C22" s="12"/>
      <c r="D22" s="12"/>
      <c r="E22" s="825"/>
      <c r="F22" s="825"/>
      <c r="G22" s="825"/>
      <c r="H22" s="825"/>
      <c r="I22" s="825"/>
      <c r="J22" s="825"/>
      <c r="K22" s="24"/>
    </row>
    <row r="23" spans="1:15">
      <c r="A23" s="10"/>
      <c r="B23" s="345" t="s">
        <v>2561</v>
      </c>
      <c r="C23" s="12"/>
      <c r="D23" s="12">
        <f>D19</f>
        <v>1</v>
      </c>
      <c r="E23" s="825"/>
      <c r="F23" s="825"/>
      <c r="G23" s="825"/>
      <c r="H23" s="825">
        <f>H19</f>
        <v>312.5</v>
      </c>
      <c r="I23" s="825"/>
      <c r="J23" s="825">
        <f>H23</f>
        <v>312.5</v>
      </c>
      <c r="K23" s="477"/>
      <c r="O23" s="4">
        <f>5.83*2</f>
        <v>11.66</v>
      </c>
    </row>
    <row r="24" spans="1:15">
      <c r="A24" s="10"/>
      <c r="B24" s="137"/>
      <c r="C24" s="12"/>
      <c r="D24" s="12"/>
      <c r="E24" s="825"/>
      <c r="F24" s="825"/>
      <c r="G24" s="825"/>
      <c r="H24" s="825"/>
      <c r="I24" s="1010" t="s">
        <v>20</v>
      </c>
      <c r="J24" s="1010">
        <f>SUM(J23:J23)</f>
        <v>312.5</v>
      </c>
      <c r="K24" s="24"/>
      <c r="L24" s="4">
        <v>11.1</v>
      </c>
    </row>
    <row r="25" spans="1:15">
      <c r="A25" s="5"/>
      <c r="B25" s="6"/>
      <c r="C25" s="7"/>
      <c r="D25" s="7"/>
      <c r="E25" s="912"/>
      <c r="F25" s="912"/>
      <c r="G25" s="912"/>
      <c r="H25" s="912"/>
      <c r="I25" s="912"/>
      <c r="J25" s="939"/>
      <c r="K25" s="475"/>
    </row>
    <row r="26" spans="1:15" s="1009" customFormat="1">
      <c r="A26" s="1005">
        <v>5</v>
      </c>
      <c r="B26" s="25" t="s">
        <v>1344</v>
      </c>
      <c r="C26" s="776" t="s">
        <v>1345</v>
      </c>
      <c r="D26" s="776"/>
      <c r="E26" s="1006"/>
      <c r="F26" s="1006"/>
      <c r="G26" s="1006"/>
      <c r="H26" s="1006"/>
      <c r="I26" s="1006"/>
      <c r="J26" s="1007"/>
      <c r="K26" s="1008"/>
    </row>
    <row r="27" spans="1:15">
      <c r="A27" s="14"/>
      <c r="B27" s="14"/>
      <c r="C27" s="12"/>
      <c r="D27" s="12">
        <v>1</v>
      </c>
      <c r="E27" s="825"/>
      <c r="F27" s="825"/>
      <c r="G27" s="825"/>
      <c r="H27" s="825">
        <f>H23</f>
        <v>312.5</v>
      </c>
      <c r="I27" s="825"/>
      <c r="J27" s="825">
        <f>H27*D27</f>
        <v>312.5</v>
      </c>
      <c r="K27" s="1015"/>
    </row>
    <row r="28" spans="1:15">
      <c r="A28" s="14"/>
      <c r="B28" s="14"/>
      <c r="C28" s="12"/>
      <c r="D28" s="12"/>
      <c r="E28" s="825"/>
      <c r="F28" s="825"/>
      <c r="G28" s="825"/>
      <c r="H28" s="825"/>
      <c r="I28" s="1010" t="s">
        <v>20</v>
      </c>
      <c r="J28" s="825">
        <f>J27</f>
        <v>312.5</v>
      </c>
      <c r="K28" s="1015"/>
    </row>
    <row r="29" spans="1:15">
      <c r="A29" s="5">
        <v>6</v>
      </c>
      <c r="B29" s="6" t="s">
        <v>1191</v>
      </c>
      <c r="C29" s="7" t="s">
        <v>307</v>
      </c>
      <c r="D29" s="7"/>
      <c r="E29" s="912"/>
      <c r="F29" s="912"/>
      <c r="G29" s="912"/>
      <c r="H29" s="912"/>
      <c r="I29" s="912"/>
      <c r="J29" s="939"/>
      <c r="K29" s="475"/>
      <c r="O29" s="4">
        <f>1.5*2</f>
        <v>3</v>
      </c>
    </row>
    <row r="30" spans="1:15">
      <c r="A30" s="14"/>
      <c r="B30" s="14"/>
      <c r="C30" s="12"/>
      <c r="D30" s="12"/>
      <c r="E30" s="825" t="str">
        <f>E18</f>
        <v>no per m2</v>
      </c>
      <c r="F30" s="825"/>
      <c r="G30" s="825"/>
      <c r="H30" s="825"/>
      <c r="I30" s="825"/>
      <c r="J30" s="825"/>
      <c r="K30" s="1015"/>
    </row>
    <row r="31" spans="1:15">
      <c r="A31" s="14"/>
      <c r="B31" s="14"/>
      <c r="C31" s="12"/>
      <c r="D31" s="12">
        <v>1</v>
      </c>
      <c r="E31" s="825">
        <v>3</v>
      </c>
      <c r="F31" s="825"/>
      <c r="G31" s="825"/>
      <c r="H31" s="825">
        <f>H19</f>
        <v>312.5</v>
      </c>
      <c r="I31" s="825"/>
      <c r="J31" s="825">
        <f>H31/E31</f>
        <v>104.16666666666667</v>
      </c>
      <c r="K31" s="1015"/>
    </row>
    <row r="32" spans="1:15">
      <c r="A32" s="14"/>
      <c r="B32" s="14"/>
      <c r="C32" s="12"/>
      <c r="D32" s="12"/>
      <c r="E32" s="825"/>
      <c r="F32" s="825"/>
      <c r="G32" s="825"/>
      <c r="H32" s="825"/>
      <c r="I32" s="825" t="s">
        <v>20</v>
      </c>
      <c r="J32" s="825">
        <f>CEILING(J31,1)</f>
        <v>105</v>
      </c>
      <c r="K32" s="1015"/>
    </row>
    <row r="33" spans="11:15">
      <c r="K33" s="1016"/>
      <c r="M33" s="484"/>
      <c r="N33" s="485"/>
      <c r="O33" s="485"/>
    </row>
    <row r="34" spans="11:15">
      <c r="K34" s="1016"/>
      <c r="M34" s="484"/>
      <c r="N34" s="485"/>
      <c r="O34" s="485"/>
    </row>
    <row r="35" spans="11:15">
      <c r="K35" s="1016"/>
      <c r="M35" s="484"/>
      <c r="N35" s="485"/>
      <c r="O35" s="485"/>
    </row>
    <row r="36" spans="11:15">
      <c r="K36" s="1016"/>
      <c r="M36" s="484"/>
      <c r="N36" s="485"/>
      <c r="O36" s="485"/>
    </row>
    <row r="37" spans="11:15">
      <c r="M37" s="484"/>
      <c r="N37" s="485"/>
      <c r="O37" s="485"/>
    </row>
    <row r="38" spans="11:15">
      <c r="M38" s="484"/>
      <c r="N38" s="485"/>
      <c r="O38" s="485"/>
    </row>
    <row r="39" spans="11:15" ht="15.75" customHeight="1">
      <c r="M39" s="484"/>
      <c r="N39" s="485"/>
      <c r="O39" s="485"/>
    </row>
  </sheetData>
  <printOptions horizontalCentered="1"/>
  <pageMargins left="0.7" right="0.7" top="0.71" bottom="0.59" header="0.3" footer="0.16"/>
  <pageSetup paperSize="9" scale="94" fitToHeight="10" orientation="landscape"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8">
    <tabColor rgb="FFFFFF00"/>
    <pageSetUpPr fitToPage="1"/>
  </sheetPr>
  <dimension ref="A1:AC49"/>
  <sheetViews>
    <sheetView workbookViewId="0"/>
  </sheetViews>
  <sheetFormatPr defaultColWidth="9.109375" defaultRowHeight="16.8"/>
  <cols>
    <col min="1" max="1" width="12.6640625" style="1022" customWidth="1"/>
    <col min="2" max="2" width="55.88671875" style="1023" customWidth="1"/>
    <col min="3" max="3" width="12" style="1023" customWidth="1"/>
    <col min="4" max="4" width="11.5546875" style="1018" customWidth="1"/>
    <col min="5" max="5" width="12" style="1018" customWidth="1"/>
    <col min="6" max="6" width="10" style="1019" customWidth="1"/>
    <col min="7" max="7" width="12.6640625" style="1020" customWidth="1"/>
    <col min="8" max="8" width="13.44140625" style="1019" customWidth="1"/>
    <col min="9" max="9" width="15.44140625" style="1019" customWidth="1"/>
    <col min="10" max="10" width="15.5546875" style="1019" customWidth="1"/>
    <col min="11" max="11" width="13.44140625" style="1021" customWidth="1"/>
    <col min="12" max="12" width="11.6640625" style="1022" customWidth="1"/>
    <col min="13" max="13" width="11.33203125" style="1022" bestFit="1" customWidth="1"/>
    <col min="14" max="16384" width="9.109375" style="1022"/>
  </cols>
  <sheetData>
    <row r="1" spans="1:29" s="520" customFormat="1" ht="19.2">
      <c r="A1" s="119" t="s">
        <v>0</v>
      </c>
      <c r="B1" s="51" t="s">
        <v>1587</v>
      </c>
      <c r="C1" s="1017"/>
      <c r="D1" s="1018"/>
      <c r="E1" s="1018"/>
      <c r="F1" s="1019"/>
      <c r="G1" s="1020"/>
      <c r="H1" s="1019"/>
      <c r="I1" s="1019"/>
      <c r="J1" s="1019"/>
      <c r="K1" s="1021"/>
      <c r="L1" s="1022"/>
      <c r="M1" s="1022"/>
      <c r="N1" s="1022"/>
      <c r="O1" s="1022"/>
      <c r="P1" s="1022"/>
      <c r="Q1" s="1022"/>
      <c r="R1" s="1022"/>
      <c r="S1" s="1022"/>
      <c r="T1" s="1022"/>
      <c r="U1" s="1022"/>
      <c r="V1" s="1022"/>
      <c r="W1" s="1022"/>
      <c r="X1" s="1022"/>
      <c r="Y1" s="1022"/>
      <c r="Z1" s="1022"/>
      <c r="AA1" s="1022"/>
      <c r="AB1" s="1022"/>
      <c r="AC1" s="1022"/>
    </row>
    <row r="2" spans="1:29" s="520" customFormat="1" ht="19.2">
      <c r="A2" s="119" t="s">
        <v>1</v>
      </c>
      <c r="B2" s="228"/>
      <c r="C2" s="1023"/>
      <c r="D2" s="1018"/>
      <c r="E2" s="1018"/>
      <c r="F2" s="1019"/>
      <c r="G2" s="1020"/>
      <c r="H2" s="1019"/>
      <c r="I2" s="1019"/>
      <c r="J2" s="1019"/>
      <c r="K2" s="1021"/>
      <c r="L2" s="1022"/>
      <c r="M2" s="1022"/>
      <c r="N2" s="1022"/>
      <c r="O2" s="1022"/>
      <c r="P2" s="1022"/>
      <c r="Q2" s="1022"/>
      <c r="R2" s="1022"/>
      <c r="S2" s="1022"/>
      <c r="T2" s="1022"/>
      <c r="U2" s="1022"/>
      <c r="V2" s="1022"/>
      <c r="W2" s="1022"/>
      <c r="X2" s="1022"/>
      <c r="Y2" s="1022"/>
      <c r="Z2" s="1022"/>
      <c r="AA2" s="1022"/>
      <c r="AB2" s="1022"/>
      <c r="AC2" s="1022"/>
    </row>
    <row r="3" spans="1:29" s="520" customFormat="1" ht="19.2">
      <c r="A3" s="119" t="s">
        <v>2</v>
      </c>
      <c r="B3" s="227" t="s">
        <v>331</v>
      </c>
      <c r="C3" s="1023"/>
      <c r="D3" s="1018"/>
      <c r="E3" s="1018"/>
      <c r="F3" s="1019"/>
      <c r="G3" s="1020"/>
      <c r="H3" s="1019"/>
      <c r="I3" s="1019"/>
      <c r="J3" s="1019"/>
      <c r="K3" s="1021"/>
      <c r="L3" s="1022"/>
      <c r="M3" s="1022"/>
      <c r="N3" s="1022"/>
      <c r="O3" s="1022"/>
      <c r="P3" s="1022"/>
      <c r="Q3" s="1022"/>
      <c r="R3" s="1022"/>
      <c r="S3" s="1022"/>
      <c r="T3" s="1022"/>
      <c r="U3" s="1022"/>
      <c r="V3" s="1022"/>
      <c r="W3" s="1022"/>
      <c r="X3" s="1022"/>
      <c r="Y3" s="1022"/>
      <c r="Z3" s="1022"/>
      <c r="AA3" s="1022"/>
      <c r="AB3" s="1022"/>
      <c r="AC3" s="1022"/>
    </row>
    <row r="4" spans="1:29" s="520" customFormat="1" ht="19.2">
      <c r="A4" s="119" t="s">
        <v>3</v>
      </c>
      <c r="B4" s="1" t="s">
        <v>1525</v>
      </c>
      <c r="C4" s="1023"/>
      <c r="D4" s="1024"/>
      <c r="E4" s="1018"/>
      <c r="F4" s="1019"/>
      <c r="G4" s="1020"/>
      <c r="H4" s="1019"/>
      <c r="I4" s="1019"/>
      <c r="J4" s="1019"/>
      <c r="K4" s="1024" t="s">
        <v>1385</v>
      </c>
      <c r="L4" s="1018">
        <v>3.5</v>
      </c>
      <c r="M4" s="1022"/>
      <c r="N4" s="1022"/>
      <c r="O4" s="1022"/>
      <c r="P4" s="1022"/>
      <c r="Q4" s="1022"/>
      <c r="R4" s="1022"/>
      <c r="S4" s="1022"/>
      <c r="T4" s="1022"/>
      <c r="U4" s="1022"/>
      <c r="V4" s="1022"/>
      <c r="W4" s="1022"/>
      <c r="X4" s="1022"/>
      <c r="Y4" s="1022"/>
      <c r="Z4" s="1022"/>
      <c r="AA4" s="1022"/>
      <c r="AB4" s="1022"/>
      <c r="AC4" s="1022"/>
    </row>
    <row r="5" spans="1:29" s="520" customFormat="1" ht="19.2">
      <c r="A5" s="119" t="s">
        <v>4</v>
      </c>
      <c r="B5" s="1"/>
      <c r="C5" s="1023"/>
      <c r="D5" s="1018"/>
      <c r="E5" s="1018"/>
      <c r="F5" s="1019"/>
      <c r="G5" s="1020"/>
      <c r="H5" s="1019"/>
      <c r="I5" s="1019"/>
      <c r="J5" s="1019"/>
      <c r="K5" s="1019" t="s">
        <v>1386</v>
      </c>
      <c r="L5" s="1019">
        <v>3.2</v>
      </c>
      <c r="M5" s="1019">
        <f>L5/2</f>
        <v>1.6</v>
      </c>
      <c r="N5" s="1021"/>
      <c r="O5" s="1022"/>
      <c r="P5" s="1022"/>
      <c r="Q5" s="1022" t="s">
        <v>1385</v>
      </c>
      <c r="R5" s="1022">
        <v>4.5</v>
      </c>
      <c r="S5" s="1022"/>
      <c r="T5" s="1022"/>
      <c r="U5" s="1022"/>
      <c r="V5" s="1022"/>
      <c r="W5" s="1022"/>
      <c r="X5" s="1022"/>
      <c r="Y5" s="1022"/>
      <c r="Z5" s="1022"/>
      <c r="AA5" s="1022"/>
      <c r="AB5" s="1022"/>
      <c r="AC5" s="1022"/>
    </row>
    <row r="6" spans="1:29" s="520" customFormat="1" ht="19.2">
      <c r="A6" s="119" t="s">
        <v>5</v>
      </c>
      <c r="B6" s="52"/>
      <c r="C6" s="1023"/>
      <c r="D6" s="1018"/>
      <c r="E6" s="1018"/>
      <c r="F6" s="1019"/>
      <c r="G6" s="1020"/>
      <c r="H6" s="1019"/>
      <c r="I6" s="1019"/>
      <c r="J6" s="1019"/>
      <c r="K6" s="1019"/>
      <c r="L6" s="1019"/>
      <c r="M6" s="1019"/>
      <c r="N6" s="1021"/>
      <c r="O6" s="1022"/>
      <c r="P6" s="1022"/>
      <c r="Q6" s="1022"/>
      <c r="R6" s="1022"/>
      <c r="S6" s="1022"/>
      <c r="T6" s="1022"/>
      <c r="U6" s="1022"/>
      <c r="V6" s="1022"/>
      <c r="W6" s="1022"/>
      <c r="X6" s="1022"/>
      <c r="Y6" s="1022"/>
      <c r="Z6" s="1022"/>
      <c r="AA6" s="1022"/>
      <c r="AB6" s="1022"/>
      <c r="AC6" s="1022"/>
    </row>
    <row r="7" spans="1:29" s="520" customFormat="1" ht="19.2">
      <c r="A7" s="119" t="s">
        <v>171</v>
      </c>
      <c r="B7" s="52"/>
      <c r="C7" s="1023"/>
      <c r="D7" s="1018"/>
      <c r="E7" s="1018"/>
      <c r="F7" s="1019"/>
      <c r="G7" s="1020"/>
      <c r="H7" s="1019"/>
      <c r="I7" s="1019"/>
      <c r="J7" s="1019"/>
      <c r="K7" s="1019"/>
      <c r="L7" s="1019"/>
      <c r="M7" s="1019"/>
      <c r="N7" s="1021"/>
      <c r="O7" s="1022"/>
      <c r="P7" s="1022"/>
      <c r="Q7" s="1022"/>
      <c r="R7" s="1022"/>
      <c r="S7" s="1022"/>
      <c r="T7" s="1022"/>
      <c r="U7" s="1022"/>
      <c r="V7" s="1022"/>
      <c r="W7" s="1022"/>
      <c r="X7" s="1022"/>
      <c r="Y7" s="1022"/>
      <c r="Z7" s="1022"/>
      <c r="AA7" s="1022"/>
      <c r="AB7" s="1022"/>
      <c r="AC7" s="1022"/>
    </row>
    <row r="8" spans="1:29">
      <c r="A8" s="119" t="s">
        <v>6</v>
      </c>
      <c r="B8" s="55">
        <v>44329</v>
      </c>
      <c r="C8" s="1017"/>
      <c r="F8" s="1020"/>
      <c r="G8" s="1019"/>
      <c r="J8" s="1021"/>
      <c r="K8" s="1019" t="s">
        <v>1351</v>
      </c>
      <c r="L8" s="1019">
        <f>(L4+0.1)-M5</f>
        <v>2</v>
      </c>
      <c r="M8" s="1019"/>
      <c r="N8" s="1029">
        <f>+L5+2*(L8-M5)+PI()*M5</f>
        <v>9.026548245743669</v>
      </c>
      <c r="Q8" s="1022" t="s">
        <v>1349</v>
      </c>
      <c r="R8" s="1022">
        <v>4</v>
      </c>
      <c r="S8" s="1022">
        <f>R8/2</f>
        <v>2</v>
      </c>
    </row>
    <row r="9" spans="1:29">
      <c r="B9" s="1026"/>
      <c r="C9" s="1027"/>
      <c r="D9" s="1028"/>
      <c r="F9" s="1020"/>
      <c r="G9" s="1019"/>
      <c r="J9" s="1021"/>
      <c r="K9" s="1019"/>
      <c r="L9" s="1019"/>
      <c r="M9" s="1019"/>
      <c r="N9" s="1021"/>
    </row>
    <row r="10" spans="1:29">
      <c r="B10" s="1026"/>
      <c r="C10" s="1027"/>
      <c r="D10" s="1028"/>
      <c r="F10" s="1020"/>
      <c r="G10" s="1019"/>
      <c r="J10" s="1021"/>
      <c r="K10" s="1019"/>
      <c r="L10" s="1019"/>
      <c r="M10" s="1019"/>
      <c r="N10" s="1021"/>
    </row>
    <row r="11" spans="1:29">
      <c r="B11" s="1030" t="s">
        <v>1353</v>
      </c>
      <c r="C11" s="1031">
        <v>63.6</v>
      </c>
      <c r="D11" s="1032" t="s">
        <v>27</v>
      </c>
      <c r="F11" s="1020"/>
      <c r="G11" s="1019"/>
      <c r="J11" s="1021"/>
      <c r="K11" s="1022"/>
    </row>
    <row r="12" spans="1:29" ht="84">
      <c r="B12" s="2377" t="s">
        <v>1354</v>
      </c>
      <c r="C12" s="2378"/>
      <c r="D12" s="1033" t="s">
        <v>1355</v>
      </c>
      <c r="E12" s="1034" t="s">
        <v>1356</v>
      </c>
      <c r="F12" s="1035" t="s">
        <v>1357</v>
      </c>
      <c r="G12" s="1036" t="s">
        <v>1358</v>
      </c>
      <c r="H12" s="1036" t="s">
        <v>1359</v>
      </c>
      <c r="I12" s="1036" t="s">
        <v>1360</v>
      </c>
      <c r="J12" s="1037" t="s">
        <v>1361</v>
      </c>
      <c r="K12" s="1022"/>
    </row>
    <row r="13" spans="1:29">
      <c r="B13" s="2382" t="s">
        <v>1362</v>
      </c>
      <c r="C13" s="2383"/>
      <c r="D13" s="1027">
        <v>0.05</v>
      </c>
      <c r="E13" s="1038">
        <v>1.8</v>
      </c>
      <c r="F13" s="1038">
        <v>0</v>
      </c>
      <c r="G13" s="1039">
        <f>'HRT  (Alt.)'!G24</f>
        <v>12.160563750809374</v>
      </c>
      <c r="H13" s="1040">
        <f>'HRT  (Alt.)'!H24</f>
        <v>8.8265482457436697</v>
      </c>
      <c r="I13" s="1041">
        <v>0</v>
      </c>
      <c r="J13" s="1042">
        <f>'HRT  (Alt.)'!J24</f>
        <v>0.64000000000000012</v>
      </c>
      <c r="K13" s="1022"/>
      <c r="L13" s="1022">
        <v>2.2000000000000002</v>
      </c>
    </row>
    <row r="14" spans="1:29">
      <c r="B14" s="2382" t="s">
        <v>1363</v>
      </c>
      <c r="C14" s="2383"/>
      <c r="D14" s="1027">
        <v>0.05</v>
      </c>
      <c r="E14" s="1038">
        <v>1.5</v>
      </c>
      <c r="F14" s="1038">
        <v>0</v>
      </c>
      <c r="G14" s="1039">
        <f>'HRT  (Alt.)'!G25</f>
        <v>12.160563750809374</v>
      </c>
      <c r="H14" s="1040">
        <f>'HRT  (Alt.)'!H25</f>
        <v>8.8265482457436697</v>
      </c>
      <c r="I14" s="1041">
        <v>0</v>
      </c>
      <c r="J14" s="1042">
        <f>'HRT  (Alt.)'!J25</f>
        <v>0.64000000000000012</v>
      </c>
      <c r="K14" s="1022"/>
      <c r="L14" s="1022">
        <f>0.2*L13</f>
        <v>0.44000000000000006</v>
      </c>
    </row>
    <row r="15" spans="1:29">
      <c r="B15" s="2382" t="s">
        <v>1364</v>
      </c>
      <c r="C15" s="2383"/>
      <c r="D15" s="1027">
        <v>0.1</v>
      </c>
      <c r="E15" s="1043">
        <v>1.3</v>
      </c>
      <c r="F15" s="1038">
        <v>0</v>
      </c>
      <c r="G15" s="1039">
        <f>'HRT  (Alt.)'!G26</f>
        <v>12.649380098815467</v>
      </c>
      <c r="H15" s="1040">
        <f>'HRT  (Alt.)'!H26</f>
        <v>8.8265482457436697</v>
      </c>
      <c r="I15" s="1041">
        <v>0</v>
      </c>
      <c r="J15" s="1042">
        <f>'HRT  (Alt.)'!J26</f>
        <v>0.64000000000000012</v>
      </c>
      <c r="K15" s="1022"/>
    </row>
    <row r="16" spans="1:29">
      <c r="B16" s="2382" t="s">
        <v>1365</v>
      </c>
      <c r="C16" s="2383"/>
      <c r="D16" s="1027">
        <v>0.12</v>
      </c>
      <c r="E16" s="1043">
        <v>1.2</v>
      </c>
      <c r="F16" s="1038">
        <v>0</v>
      </c>
      <c r="G16" s="1039">
        <f>'HRT  (Alt.)'!G28</f>
        <v>12.847105752875418</v>
      </c>
      <c r="H16" s="1040">
        <f>'HRT  (Alt.)'!H28</f>
        <v>8.8265482457436697</v>
      </c>
      <c r="I16" s="1041">
        <v>0</v>
      </c>
      <c r="J16" s="1042">
        <f>'HRT  (Alt.)'!J28</f>
        <v>0.64000000000000012</v>
      </c>
      <c r="K16" s="1022"/>
    </row>
    <row r="17" spans="1:13">
      <c r="B17" s="2382" t="s">
        <v>1366</v>
      </c>
      <c r="C17" s="2383"/>
      <c r="D17" s="1027">
        <v>0.15</v>
      </c>
      <c r="E17" s="1038">
        <v>1</v>
      </c>
      <c r="F17" s="1038">
        <v>0</v>
      </c>
      <c r="G17" s="1039">
        <f>'HRT  (Alt.)'!G30</f>
        <v>13.146050428455535</v>
      </c>
      <c r="H17" s="1040">
        <f>'HRT  (Alt.)'!H30</f>
        <v>8.8265482457436697</v>
      </c>
      <c r="I17" s="1041">
        <v>0</v>
      </c>
      <c r="J17" s="1042">
        <f>'HRT  (Alt.)'!J30</f>
        <v>0.64000000000000012</v>
      </c>
      <c r="K17" s="1022"/>
    </row>
    <row r="18" spans="1:13" s="1018" customFormat="1">
      <c r="A18" s="1022"/>
      <c r="B18" s="2382" t="s">
        <v>1368</v>
      </c>
      <c r="C18" s="2383"/>
      <c r="D18" s="1027">
        <v>0.2</v>
      </c>
      <c r="E18" s="1038">
        <v>1</v>
      </c>
      <c r="F18" s="1038">
        <f>'HRT  (Alt.)'!F31</f>
        <v>3.0066370614359172</v>
      </c>
      <c r="G18" s="1039">
        <f>'HRT  (Alt.)'!G31</f>
        <v>13.146050428455535</v>
      </c>
      <c r="H18" s="1040">
        <f>'HRT  (Alt.)'!H31</f>
        <v>8.8265482457436697</v>
      </c>
      <c r="I18" s="1040">
        <f>'HRT  (Alt.)'!I31</f>
        <v>7.8840704496667309</v>
      </c>
      <c r="J18" s="1042">
        <f>'HRT  (Alt.)'!J31</f>
        <v>0</v>
      </c>
      <c r="K18" s="1044"/>
      <c r="L18" s="1020"/>
    </row>
    <row r="19" spans="1:13" s="1018" customFormat="1" ht="15" hidden="1" customHeight="1">
      <c r="A19" s="1022"/>
      <c r="B19" s="1023"/>
      <c r="C19" s="1023"/>
      <c r="F19" s="1019"/>
      <c r="G19" s="1020"/>
      <c r="H19" s="1019"/>
      <c r="I19" s="1019"/>
      <c r="J19" s="1021"/>
      <c r="K19" s="1022">
        <f t="shared" ref="K19" si="0">H19*2+D19*2</f>
        <v>0</v>
      </c>
      <c r="M19" s="1022" t="e">
        <f>(L19/1.5)*(#REF!/1.5)*2</f>
        <v>#REF!</v>
      </c>
    </row>
    <row r="20" spans="1:13" s="1018" customFormat="1">
      <c r="A20" s="1045"/>
      <c r="B20" s="1046" t="s">
        <v>1369</v>
      </c>
      <c r="C20" s="1046" t="s">
        <v>117</v>
      </c>
      <c r="D20" s="1047" t="str">
        <f>B13</f>
        <v>S1</v>
      </c>
      <c r="E20" s="1047" t="str">
        <f>B14</f>
        <v>S2</v>
      </c>
      <c r="F20" s="1047" t="str">
        <f>B15</f>
        <v>S3</v>
      </c>
      <c r="G20" s="1047" t="str">
        <f>B16</f>
        <v>S4</v>
      </c>
      <c r="H20" s="1047" t="str">
        <f>B17</f>
        <v>S5</v>
      </c>
      <c r="I20" s="1047" t="str">
        <f>B18</f>
        <v>S6</v>
      </c>
      <c r="J20" s="1048" t="s">
        <v>439</v>
      </c>
      <c r="K20" s="1022"/>
    </row>
    <row r="21" spans="1:13">
      <c r="A21" s="1042" t="s">
        <v>1370</v>
      </c>
      <c r="B21" s="1026" t="s">
        <v>1371</v>
      </c>
      <c r="C21" s="1026" t="s">
        <v>27</v>
      </c>
      <c r="D21" s="1038">
        <v>0</v>
      </c>
      <c r="E21" s="1038">
        <f>C9</f>
        <v>0</v>
      </c>
      <c r="F21" s="1038">
        <f>0.2*C11</f>
        <v>12.72</v>
      </c>
      <c r="G21" s="1038">
        <f>0.2*C11</f>
        <v>12.72</v>
      </c>
      <c r="H21" s="1038">
        <f>0.3*C11</f>
        <v>19.079999999999998</v>
      </c>
      <c r="I21" s="1038">
        <f>0.3*C11</f>
        <v>19.079999999999998</v>
      </c>
      <c r="J21" s="1055">
        <f t="shared" ref="J21:J29" si="1">SUM(D21:I21)</f>
        <v>63.599999999999994</v>
      </c>
      <c r="K21" s="1044"/>
    </row>
    <row r="22" spans="1:13" ht="17.399999999999999">
      <c r="A22" s="1028">
        <v>1</v>
      </c>
      <c r="B22" s="1026" t="s">
        <v>1116</v>
      </c>
      <c r="C22" s="1026" t="s">
        <v>339</v>
      </c>
      <c r="D22" s="1038">
        <v>0</v>
      </c>
      <c r="E22" s="1038">
        <f t="shared" ref="E22:E24" si="2">C10</f>
        <v>0</v>
      </c>
      <c r="F22" s="1038">
        <f>G15*F21</f>
        <v>160.90011485693273</v>
      </c>
      <c r="G22" s="1038">
        <f>G16*G21</f>
        <v>163.41518517657533</v>
      </c>
      <c r="H22" s="1038">
        <f>G17*H21</f>
        <v>250.82664217493158</v>
      </c>
      <c r="I22" s="1038">
        <f>G18*I21</f>
        <v>250.82664217493158</v>
      </c>
      <c r="J22" s="1055">
        <f t="shared" si="1"/>
        <v>825.96858438337108</v>
      </c>
      <c r="K22" s="1022"/>
    </row>
    <row r="23" spans="1:13" ht="17.399999999999999">
      <c r="A23" s="1028">
        <v>2</v>
      </c>
      <c r="B23" s="1026" t="s">
        <v>2434</v>
      </c>
      <c r="C23" s="1026" t="s">
        <v>420</v>
      </c>
      <c r="D23" s="1038">
        <v>0</v>
      </c>
      <c r="E23" s="1038">
        <v>0</v>
      </c>
      <c r="F23" s="1038">
        <f>H15*F21</f>
        <v>112.27369368585948</v>
      </c>
      <c r="G23" s="1022">
        <v>0</v>
      </c>
      <c r="H23" s="1038">
        <v>0</v>
      </c>
      <c r="I23" s="1038">
        <f>I21*H18</f>
        <v>168.4105405287892</v>
      </c>
      <c r="J23" s="1055">
        <f t="shared" si="1"/>
        <v>280.68423421464865</v>
      </c>
      <c r="K23" s="1022"/>
    </row>
    <row r="24" spans="1:13" ht="17.399999999999999">
      <c r="A24" s="1028">
        <v>3</v>
      </c>
      <c r="B24" s="1026" t="s">
        <v>2435</v>
      </c>
      <c r="C24" s="1026" t="s">
        <v>420</v>
      </c>
      <c r="D24" s="1038">
        <v>0</v>
      </c>
      <c r="E24" s="1038">
        <f t="shared" si="2"/>
        <v>0</v>
      </c>
      <c r="F24" s="1038">
        <v>0</v>
      </c>
      <c r="G24" s="1038">
        <f>H16*G21</f>
        <v>112.27369368585948</v>
      </c>
      <c r="H24" s="1022">
        <v>0</v>
      </c>
      <c r="I24" s="1038">
        <v>0</v>
      </c>
      <c r="J24" s="1055">
        <f t="shared" si="1"/>
        <v>112.27369368585948</v>
      </c>
      <c r="K24" s="1022"/>
    </row>
    <row r="25" spans="1:13" ht="17.399999999999999">
      <c r="A25" s="1028">
        <v>4</v>
      </c>
      <c r="B25" s="1026" t="s">
        <v>2436</v>
      </c>
      <c r="C25" s="1026" t="s">
        <v>420</v>
      </c>
      <c r="D25" s="1038">
        <f>H13*D13*D21</f>
        <v>0</v>
      </c>
      <c r="E25" s="1038">
        <f>H14*E21</f>
        <v>0</v>
      </c>
      <c r="F25" s="1038">
        <v>0</v>
      </c>
      <c r="G25" s="1038">
        <v>0</v>
      </c>
      <c r="H25" s="1038">
        <f>H17*H21</f>
        <v>168.4105405287892</v>
      </c>
      <c r="I25" s="1038">
        <v>0</v>
      </c>
      <c r="J25" s="1055">
        <f t="shared" si="1"/>
        <v>168.4105405287892</v>
      </c>
      <c r="K25" s="1022"/>
    </row>
    <row r="26" spans="1:13" ht="17.399999999999999">
      <c r="A26" s="1028">
        <v>5</v>
      </c>
      <c r="B26" s="1026" t="s">
        <v>1373</v>
      </c>
      <c r="C26" s="1026" t="s">
        <v>339</v>
      </c>
      <c r="D26" s="1038">
        <f>F13*D21</f>
        <v>0</v>
      </c>
      <c r="E26" s="1038">
        <f>F14*E21</f>
        <v>0</v>
      </c>
      <c r="F26" s="1038">
        <f>F15*F21</f>
        <v>0</v>
      </c>
      <c r="G26" s="1038">
        <f>F16*G21</f>
        <v>0</v>
      </c>
      <c r="H26" s="1038">
        <f>F17*H21</f>
        <v>0</v>
      </c>
      <c r="I26" s="1038">
        <f>F18*I21</f>
        <v>57.366635132197295</v>
      </c>
      <c r="J26" s="1055">
        <f t="shared" si="1"/>
        <v>57.366635132197295</v>
      </c>
      <c r="K26" s="1022"/>
      <c r="M26" s="1044"/>
    </row>
    <row r="27" spans="1:13" ht="17.399999999999999">
      <c r="A27" s="1028">
        <v>6</v>
      </c>
      <c r="B27" s="1026" t="s">
        <v>1374</v>
      </c>
      <c r="C27" s="1026" t="s">
        <v>420</v>
      </c>
      <c r="D27" s="1038">
        <f>I13*D21</f>
        <v>0</v>
      </c>
      <c r="E27" s="1038">
        <f>I14*E21</f>
        <v>0</v>
      </c>
      <c r="F27" s="1038">
        <f>I15*F21</f>
        <v>0</v>
      </c>
      <c r="G27" s="1038">
        <f>I16*G21</f>
        <v>0</v>
      </c>
      <c r="H27" s="1038">
        <f>I17*H21</f>
        <v>0</v>
      </c>
      <c r="I27" s="1038">
        <f>I18*I21</f>
        <v>150.42806417964121</v>
      </c>
      <c r="J27" s="1055">
        <f t="shared" si="1"/>
        <v>150.42806417964121</v>
      </c>
      <c r="K27" s="1022"/>
    </row>
    <row r="28" spans="1:13">
      <c r="A28" s="1028">
        <v>7</v>
      </c>
      <c r="B28" s="1026" t="s">
        <v>1375</v>
      </c>
      <c r="C28" s="1026" t="s">
        <v>25</v>
      </c>
      <c r="D28" s="1038">
        <f t="shared" ref="D28:H28" si="3">D26*0.5%*7.85</f>
        <v>0</v>
      </c>
      <c r="E28" s="1038">
        <f t="shared" si="3"/>
        <v>0</v>
      </c>
      <c r="F28" s="1038">
        <f t="shared" si="3"/>
        <v>0</v>
      </c>
      <c r="G28" s="1038">
        <f t="shared" si="3"/>
        <v>0</v>
      </c>
      <c r="H28" s="1038">
        <f t="shared" si="3"/>
        <v>0</v>
      </c>
      <c r="I28" s="1038">
        <f>I26*0.75%*7.85</f>
        <v>3.3774606434081154</v>
      </c>
      <c r="J28" s="1055">
        <f t="shared" si="1"/>
        <v>3.3774606434081154</v>
      </c>
      <c r="K28" s="1022"/>
      <c r="L28" s="1021"/>
    </row>
    <row r="29" spans="1:13">
      <c r="A29" s="1028">
        <v>8</v>
      </c>
      <c r="B29" s="1026" t="s">
        <v>2425</v>
      </c>
      <c r="C29" s="1026" t="s">
        <v>307</v>
      </c>
      <c r="D29" s="1038">
        <f>CEILING(H13/E13*D21/E13,1)*2</f>
        <v>0</v>
      </c>
      <c r="E29" s="1057">
        <f>CEILING(H14/E14*E21/E14,1)</f>
        <v>0</v>
      </c>
      <c r="F29" s="1057">
        <f>CEILING((H15)/E15*F21/E15,1)</f>
        <v>67</v>
      </c>
      <c r="G29" s="1057">
        <f>CEILING((H16)/E16*G21/E16,1)</f>
        <v>78</v>
      </c>
      <c r="H29" s="1042">
        <v>0</v>
      </c>
      <c r="I29" s="1042">
        <v>0</v>
      </c>
      <c r="J29" s="1058">
        <f t="shared" si="1"/>
        <v>145</v>
      </c>
      <c r="K29" s="1022"/>
      <c r="L29" s="1021"/>
    </row>
    <row r="30" spans="1:13">
      <c r="A30" s="1028">
        <v>9</v>
      </c>
      <c r="B30" s="1026" t="s">
        <v>2433</v>
      </c>
      <c r="C30" s="1026" t="s">
        <v>307</v>
      </c>
      <c r="D30" s="1038">
        <v>0</v>
      </c>
      <c r="E30" s="1038">
        <v>0</v>
      </c>
      <c r="F30" s="1038">
        <v>0</v>
      </c>
      <c r="G30" s="1038">
        <v>0</v>
      </c>
      <c r="H30" s="1057">
        <f>CEILING(H17/E17*H21/E17,1)</f>
        <v>169</v>
      </c>
      <c r="I30" s="1038">
        <f>CEILING(H18/E18*H21/E18,1)</f>
        <v>169</v>
      </c>
      <c r="J30" s="1058">
        <f>SUM(D30:I30)</f>
        <v>338</v>
      </c>
      <c r="K30" s="1022"/>
      <c r="L30" s="1021"/>
    </row>
    <row r="31" spans="1:13">
      <c r="A31" s="1028">
        <v>10</v>
      </c>
      <c r="B31" s="1026" t="s">
        <v>1376</v>
      </c>
      <c r="C31" s="1026" t="s">
        <v>307</v>
      </c>
      <c r="D31" s="1038">
        <v>0</v>
      </c>
      <c r="E31" s="1038">
        <v>0</v>
      </c>
      <c r="F31" s="1038">
        <v>0</v>
      </c>
      <c r="G31" s="1038">
        <v>0</v>
      </c>
      <c r="H31" s="1038">
        <v>0</v>
      </c>
      <c r="I31" s="1038">
        <f>CEILING(((PI()*M5)/0.4)*(I21/(4*COS(RADIANS(15)))),1)</f>
        <v>63</v>
      </c>
      <c r="J31" s="1055">
        <f>SUM(D31:I31)</f>
        <v>63</v>
      </c>
      <c r="K31" s="1022"/>
      <c r="L31" s="1021"/>
    </row>
    <row r="32" spans="1:13" ht="15" customHeight="1">
      <c r="A32" s="1028">
        <v>11</v>
      </c>
      <c r="B32" s="1026" t="s">
        <v>2605</v>
      </c>
      <c r="C32" s="1026" t="s">
        <v>25</v>
      </c>
      <c r="D32" s="1038">
        <v>0</v>
      </c>
      <c r="E32" s="1038">
        <v>0</v>
      </c>
      <c r="F32" s="1038">
        <v>0</v>
      </c>
      <c r="G32" s="1038">
        <v>0</v>
      </c>
      <c r="H32" s="1038">
        <v>0</v>
      </c>
      <c r="I32" s="1038">
        <f>(CEILING(I21/1.5,1)*H18*15)/1000</f>
        <v>1.7211769079200154</v>
      </c>
      <c r="J32" s="1055">
        <f>SUM(D32:I32)</f>
        <v>1.7211769079200154</v>
      </c>
      <c r="K32" s="1022"/>
      <c r="L32" s="1021"/>
    </row>
    <row r="33" spans="1:11" s="1053" customFormat="1">
      <c r="A33" s="1028">
        <v>12</v>
      </c>
      <c r="B33" s="1061" t="s">
        <v>1378</v>
      </c>
      <c r="C33" s="1061" t="s">
        <v>19</v>
      </c>
      <c r="D33" s="1062">
        <v>0</v>
      </c>
      <c r="E33" s="1062">
        <f>E21*J14/0.1</f>
        <v>0</v>
      </c>
      <c r="F33" s="1062">
        <f>F21*J15/0.2</f>
        <v>40.704000000000008</v>
      </c>
      <c r="G33" s="1062">
        <f>G21*J16/0.2</f>
        <v>40.704000000000008</v>
      </c>
      <c r="H33" s="1062">
        <f>H21*J17/0.2</f>
        <v>61.056000000000004</v>
      </c>
      <c r="I33" s="1062">
        <v>0</v>
      </c>
      <c r="J33" s="1055">
        <f t="shared" ref="J33:J36" si="4">SUM(D33:I33)</f>
        <v>142.46400000000003</v>
      </c>
      <c r="K33" s="1063"/>
    </row>
    <row r="34" spans="1:11" ht="17.399999999999999">
      <c r="A34" s="1028">
        <v>13</v>
      </c>
      <c r="B34" s="1026" t="s">
        <v>1379</v>
      </c>
      <c r="C34" s="1026" t="s">
        <v>339</v>
      </c>
      <c r="D34" s="1038">
        <f>D25*J13</f>
        <v>0</v>
      </c>
      <c r="E34" s="1038">
        <f>E21*J14</f>
        <v>0</v>
      </c>
      <c r="F34" s="1038">
        <f>F21*J15</f>
        <v>8.1408000000000023</v>
      </c>
      <c r="G34" s="1038">
        <f>G21*J16</f>
        <v>8.1408000000000023</v>
      </c>
      <c r="H34" s="1038">
        <f>H21*J17</f>
        <v>12.211200000000002</v>
      </c>
      <c r="I34" s="1038">
        <f t="shared" ref="I34" si="5">I21*M15</f>
        <v>0</v>
      </c>
      <c r="J34" s="1055">
        <f t="shared" si="4"/>
        <v>28.492800000000006</v>
      </c>
      <c r="K34" s="1022"/>
    </row>
    <row r="35" spans="1:11">
      <c r="A35" s="1028">
        <v>14</v>
      </c>
      <c r="B35" s="1026" t="s">
        <v>24</v>
      </c>
      <c r="C35" s="1026" t="s">
        <v>25</v>
      </c>
      <c r="D35" s="1038">
        <f>8%*(D27+D34)</f>
        <v>0</v>
      </c>
      <c r="E35" s="1038">
        <f>1%*E34*7.85</f>
        <v>0</v>
      </c>
      <c r="F35" s="1038">
        <f t="shared" ref="F35:I35" si="6">1%*F34*7.85</f>
        <v>0.6390528000000002</v>
      </c>
      <c r="G35" s="1038">
        <f t="shared" si="6"/>
        <v>0.6390528000000002</v>
      </c>
      <c r="H35" s="1038">
        <f t="shared" si="6"/>
        <v>0.95857920000000008</v>
      </c>
      <c r="I35" s="1038">
        <f t="shared" si="6"/>
        <v>0</v>
      </c>
      <c r="J35" s="1055">
        <f t="shared" si="4"/>
        <v>2.2366848000000004</v>
      </c>
      <c r="K35" s="1022"/>
    </row>
    <row r="36" spans="1:11" ht="17.399999999999999">
      <c r="A36" s="1028">
        <v>15</v>
      </c>
      <c r="B36" s="1026" t="s">
        <v>1554</v>
      </c>
      <c r="C36" s="1026" t="s">
        <v>420</v>
      </c>
      <c r="D36" s="1038">
        <v>0</v>
      </c>
      <c r="E36" s="1038">
        <f>E21*H14</f>
        <v>0</v>
      </c>
      <c r="F36" s="1038">
        <f>F21*H14*0.1</f>
        <v>11.227369368585949</v>
      </c>
      <c r="G36" s="1038">
        <f>G21*H16*0.1</f>
        <v>11.227369368585949</v>
      </c>
      <c r="H36" s="1038">
        <f>H21*H17*0.1</f>
        <v>16.841054052878921</v>
      </c>
      <c r="I36" s="1038">
        <f>I21*H18*0.1</f>
        <v>16.841054052878921</v>
      </c>
      <c r="J36" s="1055">
        <f t="shared" si="4"/>
        <v>56.136846842929742</v>
      </c>
      <c r="K36" s="1022"/>
    </row>
    <row r="37" spans="1:11">
      <c r="E37" s="1018">
        <f>1%*E36*7.85</f>
        <v>0</v>
      </c>
      <c r="F37" s="1018">
        <f t="shared" ref="F37:I37" si="7">1%*F36*7.85</f>
        <v>0.88134849543399696</v>
      </c>
      <c r="G37" s="1018">
        <f t="shared" si="7"/>
        <v>0.88134849543399696</v>
      </c>
      <c r="H37" s="1018">
        <f t="shared" si="7"/>
        <v>1.3220227431509952</v>
      </c>
      <c r="I37" s="1018">
        <f t="shared" si="7"/>
        <v>1.3220227431509952</v>
      </c>
    </row>
    <row r="38" spans="1:11">
      <c r="I38" s="1044"/>
      <c r="J38" s="1044"/>
    </row>
    <row r="39" spans="1:11">
      <c r="I39" s="1044"/>
      <c r="J39" s="1044"/>
    </row>
    <row r="40" spans="1:11">
      <c r="I40" s="1044"/>
      <c r="J40" s="1044"/>
    </row>
    <row r="41" spans="1:11">
      <c r="I41" s="1044"/>
      <c r="J41" s="1044"/>
    </row>
    <row r="42" spans="1:11">
      <c r="C42" s="1018"/>
      <c r="E42" s="1019"/>
      <c r="F42" s="1020"/>
      <c r="G42" s="1019"/>
      <c r="I42" s="1064"/>
      <c r="J42" s="1044"/>
    </row>
    <row r="43" spans="1:11">
      <c r="C43" s="1018"/>
      <c r="E43" s="1019"/>
      <c r="F43" s="1020"/>
      <c r="G43" s="1019"/>
      <c r="J43" s="1064"/>
      <c r="K43" s="1022"/>
    </row>
    <row r="44" spans="1:11">
      <c r="C44" s="1018"/>
      <c r="E44" s="1019"/>
      <c r="F44" s="1020"/>
      <c r="G44" s="1019"/>
    </row>
    <row r="45" spans="1:11">
      <c r="C45" s="1066"/>
      <c r="D45" s="1066"/>
      <c r="E45" s="1067"/>
      <c r="F45" s="1068"/>
      <c r="G45" s="1067"/>
    </row>
    <row r="47" spans="1:11">
      <c r="C47" s="1018"/>
      <c r="E47" s="1019"/>
      <c r="F47" s="1020"/>
      <c r="G47" s="1019"/>
    </row>
    <row r="48" spans="1:11">
      <c r="C48" s="1018"/>
      <c r="E48" s="1019"/>
      <c r="F48" s="1020"/>
      <c r="G48" s="1019"/>
    </row>
    <row r="49" spans="3:7">
      <c r="C49" s="1018"/>
      <c r="E49" s="1019"/>
      <c r="F49" s="1020"/>
      <c r="G49" s="1019"/>
    </row>
  </sheetData>
  <mergeCells count="7">
    <mergeCell ref="B18:C18"/>
    <mergeCell ref="B12:C12"/>
    <mergeCell ref="B13:C13"/>
    <mergeCell ref="B14:C14"/>
    <mergeCell ref="B15:C15"/>
    <mergeCell ref="B16:C16"/>
    <mergeCell ref="B17:C17"/>
  </mergeCells>
  <printOptions horizontalCentered="1"/>
  <pageMargins left="0.7" right="0.7" top="0.71" bottom="0.59" header="0.3" footer="0.16"/>
  <pageSetup paperSize="9" scale="78" fitToHeight="10" orientation="landscape" r:id="rId1"/>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51">
    <tabColor rgb="FF7030A0"/>
  </sheetPr>
  <dimension ref="A1:M58"/>
  <sheetViews>
    <sheetView workbookViewId="0"/>
  </sheetViews>
  <sheetFormatPr defaultColWidth="9.109375" defaultRowHeight="16.8"/>
  <cols>
    <col min="1" max="1" width="11.6640625" style="4" customWidth="1"/>
    <col min="2" max="2" width="31.109375" style="4" customWidth="1"/>
    <col min="3" max="4" width="5.88671875" style="19" customWidth="1"/>
    <col min="5" max="5" width="9.33203125" style="20" customWidth="1"/>
    <col min="6" max="6" width="10.44140625" style="20" customWidth="1"/>
    <col min="7" max="7" width="8.6640625" style="20" customWidth="1"/>
    <col min="8" max="8" width="13.88671875" style="20" customWidth="1"/>
    <col min="9" max="9" width="10.33203125" style="20" customWidth="1"/>
    <col min="10" max="10" width="15.44140625" style="902" bestFit="1" customWidth="1"/>
    <col min="11" max="11" width="18.109375" style="4" customWidth="1"/>
    <col min="12" max="12" width="13.6640625" style="864" bestFit="1" customWidth="1"/>
    <col min="13" max="13" width="20" style="864" bestFit="1" customWidth="1"/>
    <col min="14" max="16384" width="9.109375" style="864"/>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1583</v>
      </c>
      <c r="C6" s="523"/>
      <c r="D6" s="537"/>
      <c r="E6" s="1223"/>
      <c r="J6" s="1276" t="s">
        <v>171</v>
      </c>
      <c r="K6" s="523" t="s">
        <v>1563</v>
      </c>
    </row>
    <row r="7" spans="1:13" s="520" customFormat="1" ht="19.2">
      <c r="A7" s="119" t="s">
        <v>4</v>
      </c>
      <c r="B7" s="1247"/>
      <c r="C7" s="523"/>
      <c r="D7" s="537"/>
      <c r="E7" s="1223"/>
      <c r="J7" s="1276" t="s">
        <v>106</v>
      </c>
      <c r="K7" s="1277">
        <f ca="1">TODAY()</f>
        <v>44942</v>
      </c>
    </row>
    <row r="8" spans="1:13">
      <c r="B8" s="55"/>
      <c r="C8" s="382"/>
      <c r="D8" s="382"/>
      <c r="E8" s="383"/>
      <c r="F8" s="383"/>
      <c r="G8" s="383"/>
      <c r="H8" s="866"/>
      <c r="I8" s="867"/>
      <c r="J8" s="865"/>
      <c r="K8" s="52"/>
    </row>
    <row r="10" spans="1:13">
      <c r="A10" s="868" t="s">
        <v>7</v>
      </c>
      <c r="B10" s="868" t="s">
        <v>8</v>
      </c>
      <c r="C10" s="868" t="s">
        <v>9</v>
      </c>
      <c r="D10" s="868" t="s">
        <v>10</v>
      </c>
      <c r="E10" s="869" t="s">
        <v>11</v>
      </c>
      <c r="F10" s="869" t="s">
        <v>12</v>
      </c>
      <c r="G10" s="869" t="s">
        <v>13</v>
      </c>
      <c r="H10" s="869" t="s">
        <v>14</v>
      </c>
      <c r="I10" s="869" t="s">
        <v>15</v>
      </c>
      <c r="J10" s="870" t="s">
        <v>16</v>
      </c>
      <c r="K10" s="871" t="s">
        <v>17</v>
      </c>
      <c r="L10" s="869" t="s">
        <v>1233</v>
      </c>
      <c r="M10" s="869" t="s">
        <v>1234</v>
      </c>
    </row>
    <row r="11" spans="1:13">
      <c r="A11" s="5">
        <f>1</f>
        <v>1</v>
      </c>
      <c r="B11" s="6" t="s">
        <v>18</v>
      </c>
      <c r="C11" s="7" t="s">
        <v>19</v>
      </c>
      <c r="D11" s="7"/>
      <c r="E11" s="8"/>
      <c r="F11" s="8"/>
      <c r="G11" s="8"/>
      <c r="H11" s="8"/>
      <c r="I11" s="8"/>
      <c r="J11" s="872"/>
      <c r="K11" s="873"/>
      <c r="L11" s="873"/>
      <c r="M11" s="873"/>
    </row>
    <row r="12" spans="1:13">
      <c r="A12" s="874"/>
      <c r="B12" s="874"/>
      <c r="C12" s="874"/>
      <c r="D12" s="874"/>
      <c r="E12" s="874"/>
      <c r="F12" s="874"/>
      <c r="G12" s="874"/>
      <c r="H12" s="874"/>
      <c r="I12" s="874"/>
      <c r="J12" s="874">
        <v>2800</v>
      </c>
      <c r="K12" s="875" t="s">
        <v>750</v>
      </c>
      <c r="L12" s="876"/>
      <c r="M12" s="876"/>
    </row>
    <row r="13" spans="1:13">
      <c r="A13" s="874"/>
      <c r="B13" s="874"/>
      <c r="C13" s="874"/>
      <c r="D13" s="874"/>
      <c r="E13" s="874"/>
      <c r="F13" s="874"/>
      <c r="G13" s="874"/>
      <c r="H13" s="874"/>
      <c r="I13" s="874" t="s">
        <v>20</v>
      </c>
      <c r="J13" s="877">
        <f>SUM(J12:J12)</f>
        <v>2800</v>
      </c>
      <c r="K13" s="875"/>
      <c r="L13" s="876">
        <v>40.5</v>
      </c>
      <c r="M13" s="878">
        <f>L13*J13</f>
        <v>113400</v>
      </c>
    </row>
    <row r="14" spans="1:13">
      <c r="A14" s="874"/>
      <c r="B14" s="874"/>
      <c r="C14" s="874"/>
      <c r="D14" s="874"/>
      <c r="E14" s="874"/>
      <c r="F14" s="874"/>
      <c r="G14" s="874"/>
      <c r="H14" s="874"/>
      <c r="I14" s="874"/>
      <c r="J14" s="874"/>
      <c r="K14" s="875"/>
      <c r="L14" s="876"/>
      <c r="M14" s="876"/>
    </row>
    <row r="15" spans="1:13">
      <c r="A15" s="5">
        <f>A11+1</f>
        <v>2</v>
      </c>
      <c r="B15" s="6" t="s">
        <v>959</v>
      </c>
      <c r="C15" s="7" t="s">
        <v>21</v>
      </c>
      <c r="D15" s="7"/>
      <c r="E15" s="8"/>
      <c r="F15" s="8"/>
      <c r="G15" s="8"/>
      <c r="H15" s="8"/>
      <c r="I15" s="8"/>
      <c r="J15" s="872"/>
      <c r="K15" s="873"/>
      <c r="L15" s="873"/>
      <c r="M15" s="873"/>
    </row>
    <row r="16" spans="1:13">
      <c r="A16" s="14"/>
      <c r="B16" s="879" t="s">
        <v>1242</v>
      </c>
      <c r="C16" s="12"/>
      <c r="D16" s="12">
        <v>1</v>
      </c>
      <c r="E16" s="13"/>
      <c r="F16" s="12">
        <v>49.6</v>
      </c>
      <c r="G16" s="13"/>
      <c r="H16" s="13"/>
      <c r="I16" s="880">
        <f>AVERAGE(393.5,402.6)</f>
        <v>398.05</v>
      </c>
      <c r="J16" s="17">
        <f>I16*F16*D16</f>
        <v>19743.280000000002</v>
      </c>
      <c r="K16" s="881"/>
      <c r="L16" s="876"/>
      <c r="M16" s="876"/>
    </row>
    <row r="17" spans="1:13">
      <c r="A17" s="14"/>
      <c r="B17" s="879"/>
      <c r="C17" s="12"/>
      <c r="D17" s="12"/>
      <c r="E17" s="13"/>
      <c r="F17" s="12"/>
      <c r="G17" s="13"/>
      <c r="H17" s="13"/>
      <c r="I17" s="880" t="s">
        <v>20</v>
      </c>
      <c r="J17" s="882">
        <f>SUM(J16)</f>
        <v>19743.280000000002</v>
      </c>
      <c r="K17" s="881"/>
      <c r="L17" s="876"/>
      <c r="M17" s="876"/>
    </row>
    <row r="18" spans="1:13">
      <c r="A18" s="10"/>
      <c r="B18" s="883"/>
      <c r="C18" s="883"/>
      <c r="D18" s="883"/>
      <c r="E18" s="883"/>
      <c r="F18" s="883"/>
      <c r="G18" s="883"/>
      <c r="H18" s="2423" t="s">
        <v>1503</v>
      </c>
      <c r="I18" s="2423"/>
      <c r="J18" s="877">
        <f>J16*0.6</f>
        <v>11845.968000000001</v>
      </c>
      <c r="K18" s="884"/>
      <c r="L18" s="876">
        <v>1350</v>
      </c>
      <c r="M18" s="878">
        <f>L18*J18</f>
        <v>15992056.800000001</v>
      </c>
    </row>
    <row r="19" spans="1:13">
      <c r="A19" s="10"/>
      <c r="B19" s="883"/>
      <c r="C19" s="883"/>
      <c r="D19" s="883"/>
      <c r="E19" s="883"/>
      <c r="F19" s="883"/>
      <c r="G19" s="883"/>
      <c r="H19" s="2423" t="s">
        <v>1504</v>
      </c>
      <c r="I19" s="2423"/>
      <c r="J19" s="877">
        <f>J16-J18</f>
        <v>7897.3120000000017</v>
      </c>
      <c r="K19" s="884"/>
      <c r="L19" s="876">
        <v>320</v>
      </c>
      <c r="M19" s="878">
        <f>L19*J19</f>
        <v>2527139.8400000008</v>
      </c>
    </row>
    <row r="20" spans="1:13">
      <c r="A20" s="10"/>
      <c r="B20" s="883"/>
      <c r="C20" s="883"/>
      <c r="D20" s="883"/>
      <c r="E20" s="883"/>
      <c r="F20" s="883"/>
      <c r="G20" s="883"/>
      <c r="H20" s="885"/>
      <c r="I20" s="885"/>
      <c r="J20" s="883"/>
      <c r="K20" s="884"/>
      <c r="L20" s="876"/>
      <c r="M20" s="876"/>
    </row>
    <row r="21" spans="1:13">
      <c r="A21" s="5">
        <v>3</v>
      </c>
      <c r="B21" s="615" t="s">
        <v>31</v>
      </c>
      <c r="C21" s="5" t="s">
        <v>21</v>
      </c>
      <c r="D21" s="5"/>
      <c r="E21" s="5"/>
      <c r="F21" s="5"/>
      <c r="G21" s="5"/>
      <c r="H21" s="5"/>
      <c r="I21" s="5"/>
      <c r="J21" s="5"/>
      <c r="K21" s="886"/>
      <c r="L21" s="873"/>
      <c r="M21" s="873"/>
    </row>
    <row r="22" spans="1:13">
      <c r="A22" s="10"/>
      <c r="B22" s="24" t="s">
        <v>1243</v>
      </c>
      <c r="C22" s="10"/>
      <c r="D22" s="10">
        <v>1</v>
      </c>
      <c r="E22" s="10"/>
      <c r="F22" s="10"/>
      <c r="G22" s="10"/>
      <c r="H22" s="10"/>
      <c r="I22" s="10"/>
      <c r="J22" s="887">
        <f>0.2*J16</f>
        <v>3948.6560000000009</v>
      </c>
      <c r="K22" s="837"/>
      <c r="L22" s="876"/>
      <c r="M22" s="876"/>
    </row>
    <row r="23" spans="1:13">
      <c r="A23" s="883"/>
      <c r="B23" s="14"/>
      <c r="C23" s="12"/>
      <c r="D23" s="12"/>
      <c r="E23" s="13"/>
      <c r="F23" s="13"/>
      <c r="G23" s="13"/>
      <c r="H23" s="13"/>
      <c r="I23" s="874" t="s">
        <v>20</v>
      </c>
      <c r="J23" s="877">
        <f>SUM(J22:J22)</f>
        <v>3948.6560000000009</v>
      </c>
      <c r="K23" s="498"/>
      <c r="L23" s="876">
        <v>262.5</v>
      </c>
      <c r="M23" s="878">
        <f>L23*J23</f>
        <v>1036522.2000000002</v>
      </c>
    </row>
    <row r="24" spans="1:13">
      <c r="A24" s="5">
        <v>4</v>
      </c>
      <c r="B24" s="615" t="s">
        <v>1244</v>
      </c>
      <c r="C24" s="5" t="s">
        <v>21</v>
      </c>
      <c r="D24" s="6"/>
      <c r="E24" s="5"/>
      <c r="F24" s="6"/>
      <c r="G24" s="5"/>
      <c r="H24" s="6"/>
      <c r="I24" s="5"/>
      <c r="J24" s="6"/>
      <c r="K24" s="886"/>
      <c r="L24" s="873"/>
      <c r="M24" s="873"/>
    </row>
    <row r="25" spans="1:13">
      <c r="A25" s="14">
        <v>4.0999999999999996</v>
      </c>
      <c r="B25" s="14" t="s">
        <v>1245</v>
      </c>
      <c r="C25" s="14"/>
      <c r="D25" s="14"/>
      <c r="E25" s="14"/>
      <c r="F25" s="14"/>
      <c r="G25" s="14"/>
      <c r="H25" s="14"/>
      <c r="I25" s="874" t="s">
        <v>20</v>
      </c>
      <c r="J25" s="877">
        <v>1053.0899999999999</v>
      </c>
      <c r="K25" s="498"/>
      <c r="L25" s="888">
        <v>17500</v>
      </c>
      <c r="M25" s="878">
        <f>L25*J25</f>
        <v>18429075</v>
      </c>
    </row>
    <row r="26" spans="1:13">
      <c r="A26" s="14">
        <v>4.2</v>
      </c>
      <c r="B26" s="14" t="s">
        <v>1246</v>
      </c>
      <c r="C26" s="14"/>
      <c r="D26" s="14"/>
      <c r="E26" s="14"/>
      <c r="F26" s="14"/>
      <c r="G26" s="14"/>
      <c r="H26" s="14"/>
      <c r="I26" s="874" t="s">
        <v>20</v>
      </c>
      <c r="J26" s="877">
        <v>61</v>
      </c>
      <c r="K26" s="498"/>
      <c r="L26" s="876">
        <v>21593</v>
      </c>
      <c r="M26" s="878">
        <f t="shared" ref="M26:M29" si="0">L26*J26</f>
        <v>1317173</v>
      </c>
    </row>
    <row r="27" spans="1:13">
      <c r="A27" s="14">
        <v>4.3</v>
      </c>
      <c r="B27" s="14" t="s">
        <v>315</v>
      </c>
      <c r="C27" s="14"/>
      <c r="D27" s="14"/>
      <c r="E27" s="14"/>
      <c r="F27" s="14"/>
      <c r="G27" s="14"/>
      <c r="H27" s="14"/>
      <c r="I27" s="874" t="s">
        <v>20</v>
      </c>
      <c r="J27" s="877">
        <f>3925</f>
        <v>3925</v>
      </c>
      <c r="K27" s="498"/>
      <c r="L27" s="876">
        <v>17500</v>
      </c>
      <c r="M27" s="878">
        <f t="shared" si="0"/>
        <v>68687500</v>
      </c>
    </row>
    <row r="28" spans="1:13">
      <c r="A28" s="14">
        <v>4.4000000000000004</v>
      </c>
      <c r="B28" s="14" t="s">
        <v>314</v>
      </c>
      <c r="C28" s="14"/>
      <c r="D28" s="14"/>
      <c r="E28" s="14"/>
      <c r="F28" s="14"/>
      <c r="G28" s="14"/>
      <c r="H28" s="14"/>
      <c r="I28" s="874" t="s">
        <v>20</v>
      </c>
      <c r="J28" s="877">
        <v>92</v>
      </c>
      <c r="K28" s="498"/>
      <c r="L28" s="888">
        <v>13500</v>
      </c>
      <c r="M28" s="878">
        <f t="shared" si="0"/>
        <v>1242000</v>
      </c>
    </row>
    <row r="29" spans="1:13">
      <c r="A29" s="14">
        <v>4.5</v>
      </c>
      <c r="B29" s="14" t="s">
        <v>3264</v>
      </c>
      <c r="C29" s="14"/>
      <c r="D29" s="14"/>
      <c r="E29" s="14"/>
      <c r="F29" s="14"/>
      <c r="G29" s="14"/>
      <c r="H29" s="14"/>
      <c r="I29" s="874" t="s">
        <v>20</v>
      </c>
      <c r="J29" s="877">
        <v>885</v>
      </c>
      <c r="K29" s="498"/>
      <c r="L29" s="876">
        <v>11500</v>
      </c>
      <c r="M29" s="878">
        <f t="shared" si="0"/>
        <v>10177500</v>
      </c>
    </row>
    <row r="30" spans="1:13">
      <c r="A30" s="14"/>
      <c r="B30" s="14"/>
      <c r="C30" s="14"/>
      <c r="D30" s="14"/>
      <c r="E30" s="14"/>
      <c r="F30" s="14"/>
      <c r="G30" s="14"/>
      <c r="H30" s="14"/>
      <c r="I30" s="14"/>
      <c r="J30" s="14"/>
      <c r="K30" s="498"/>
      <c r="L30" s="876"/>
      <c r="M30" s="876"/>
    </row>
    <row r="31" spans="1:13">
      <c r="A31" s="5">
        <v>5</v>
      </c>
      <c r="B31" s="6" t="s">
        <v>1247</v>
      </c>
      <c r="C31" s="7" t="s">
        <v>25</v>
      </c>
      <c r="D31" s="7"/>
      <c r="E31" s="8"/>
      <c r="F31" s="8"/>
      <c r="G31" s="8"/>
      <c r="H31" s="8"/>
      <c r="I31" s="8"/>
      <c r="J31" s="872"/>
      <c r="K31" s="886"/>
      <c r="L31" s="873"/>
      <c r="M31" s="873"/>
    </row>
    <row r="32" spans="1:13" ht="100.8">
      <c r="A32" s="14"/>
      <c r="B32" s="889" t="s">
        <v>1248</v>
      </c>
      <c r="C32" s="12"/>
      <c r="D32" s="12"/>
      <c r="E32" s="13"/>
      <c r="F32" s="13"/>
      <c r="G32" s="13"/>
      <c r="H32" s="13"/>
      <c r="I32" s="14"/>
      <c r="J32" s="890">
        <f>K32%*SUM(J26:J27,J28:J29)*7.85</f>
        <v>389.59550000000002</v>
      </c>
      <c r="K32" s="498">
        <v>1</v>
      </c>
      <c r="L32" s="876"/>
      <c r="M32" s="876"/>
    </row>
    <row r="33" spans="1:13">
      <c r="A33" s="10"/>
      <c r="B33" s="343"/>
      <c r="C33" s="12"/>
      <c r="D33" s="12"/>
      <c r="E33" s="393"/>
      <c r="F33" s="13"/>
      <c r="G33" s="13"/>
      <c r="H33" s="13"/>
      <c r="I33" s="891" t="s">
        <v>20</v>
      </c>
      <c r="J33" s="892">
        <f>J32</f>
        <v>389.59550000000002</v>
      </c>
      <c r="K33" s="498"/>
      <c r="L33" s="876">
        <v>135210</v>
      </c>
      <c r="M33" s="876">
        <f>L33*J33</f>
        <v>52677207.555</v>
      </c>
    </row>
    <row r="34" spans="1:13">
      <c r="A34" s="10"/>
      <c r="B34" s="343"/>
      <c r="C34" s="12"/>
      <c r="D34" s="12"/>
      <c r="E34" s="393"/>
      <c r="F34" s="13"/>
      <c r="G34" s="13"/>
      <c r="H34" s="13"/>
      <c r="I34" s="891"/>
      <c r="J34" s="14"/>
      <c r="K34" s="498"/>
      <c r="L34" s="876"/>
      <c r="M34" s="876"/>
    </row>
    <row r="35" spans="1:13">
      <c r="A35" s="5">
        <v>6</v>
      </c>
      <c r="B35" s="6" t="s">
        <v>101</v>
      </c>
      <c r="C35" s="5" t="s">
        <v>85</v>
      </c>
      <c r="D35" s="6"/>
      <c r="E35" s="5"/>
      <c r="F35" s="6"/>
      <c r="G35" s="5"/>
      <c r="H35" s="6"/>
      <c r="I35" s="5"/>
      <c r="J35" s="5"/>
      <c r="K35" s="886"/>
      <c r="L35" s="873"/>
      <c r="M35" s="873"/>
    </row>
    <row r="36" spans="1:13" ht="84">
      <c r="A36" s="10"/>
      <c r="B36" s="893" t="s">
        <v>1249</v>
      </c>
      <c r="C36" s="10"/>
      <c r="D36" s="14"/>
      <c r="E36" s="10"/>
      <c r="F36" s="14"/>
      <c r="G36" s="10"/>
      <c r="H36" s="14"/>
      <c r="I36" s="10"/>
      <c r="J36" s="10">
        <v>5129</v>
      </c>
      <c r="K36" s="837"/>
      <c r="L36" s="876"/>
      <c r="M36" s="876"/>
    </row>
    <row r="37" spans="1:13">
      <c r="A37" s="14"/>
      <c r="B37" s="14"/>
      <c r="C37" s="12"/>
      <c r="D37" s="12"/>
      <c r="E37" s="13"/>
      <c r="F37" s="13"/>
      <c r="G37" s="13"/>
      <c r="H37" s="13"/>
      <c r="I37" s="874" t="s">
        <v>20</v>
      </c>
      <c r="J37" s="877">
        <v>5129</v>
      </c>
      <c r="K37" s="498"/>
      <c r="L37" s="876">
        <v>1401</v>
      </c>
      <c r="M37" s="878">
        <f>L37*J37</f>
        <v>7185729</v>
      </c>
    </row>
    <row r="38" spans="1:13">
      <c r="A38" s="5">
        <v>7</v>
      </c>
      <c r="B38" s="5" t="s">
        <v>1250</v>
      </c>
      <c r="C38" s="5"/>
      <c r="D38" s="5"/>
      <c r="E38" s="5"/>
      <c r="F38" s="5"/>
      <c r="G38" s="5"/>
      <c r="H38" s="5"/>
      <c r="I38" s="5"/>
      <c r="J38" s="5"/>
      <c r="K38" s="886"/>
      <c r="L38" s="873"/>
      <c r="M38" s="873"/>
    </row>
    <row r="39" spans="1:13">
      <c r="A39" s="14">
        <v>7.1</v>
      </c>
      <c r="B39" s="14" t="s">
        <v>1251</v>
      </c>
      <c r="C39" s="12" t="s">
        <v>25</v>
      </c>
      <c r="D39" s="12"/>
      <c r="E39" s="13"/>
      <c r="F39" s="13"/>
      <c r="G39" s="13"/>
      <c r="H39" s="13"/>
      <c r="I39" s="13"/>
      <c r="J39" s="894">
        <v>33</v>
      </c>
      <c r="K39" s="498"/>
      <c r="L39" s="876">
        <v>248000</v>
      </c>
      <c r="M39" s="895">
        <f>L39*J39</f>
        <v>8184000</v>
      </c>
    </row>
    <row r="40" spans="1:13">
      <c r="A40" s="14">
        <v>7.2</v>
      </c>
      <c r="B40" s="14" t="s">
        <v>1051</v>
      </c>
      <c r="C40" s="12" t="s">
        <v>85</v>
      </c>
      <c r="D40" s="12"/>
      <c r="E40" s="13"/>
      <c r="F40" s="13"/>
      <c r="G40" s="13"/>
      <c r="H40" s="13"/>
      <c r="I40" s="13"/>
      <c r="J40" s="896">
        <v>1263</v>
      </c>
      <c r="K40" s="498"/>
      <c r="L40" s="876">
        <v>1875</v>
      </c>
      <c r="M40" s="895">
        <f t="shared" ref="M40:M48" si="1">L40*J40</f>
        <v>2368125</v>
      </c>
    </row>
    <row r="41" spans="1:13">
      <c r="A41" s="14">
        <v>7.3</v>
      </c>
      <c r="B41" s="14" t="s">
        <v>1252</v>
      </c>
      <c r="C41" s="12" t="s">
        <v>85</v>
      </c>
      <c r="D41" s="12"/>
      <c r="E41" s="13"/>
      <c r="F41" s="13"/>
      <c r="G41" s="13"/>
      <c r="H41" s="13"/>
      <c r="I41" s="13"/>
      <c r="J41" s="896">
        <v>60</v>
      </c>
      <c r="K41" s="498"/>
      <c r="L41" s="888">
        <v>1875</v>
      </c>
      <c r="M41" s="895">
        <f t="shared" si="1"/>
        <v>112500</v>
      </c>
    </row>
    <row r="42" spans="1:13">
      <c r="A42" s="14">
        <v>7.4</v>
      </c>
      <c r="B42" s="14" t="s">
        <v>1253</v>
      </c>
      <c r="C42" s="12" t="s">
        <v>85</v>
      </c>
      <c r="D42" s="12"/>
      <c r="E42" s="13"/>
      <c r="F42" s="13"/>
      <c r="G42" s="13"/>
      <c r="H42" s="13"/>
      <c r="I42" s="13"/>
      <c r="J42" s="896">
        <v>152.27000000000001</v>
      </c>
      <c r="K42" s="498"/>
      <c r="L42" s="888">
        <v>1875</v>
      </c>
      <c r="M42" s="895">
        <f t="shared" si="1"/>
        <v>285506.25</v>
      </c>
    </row>
    <row r="43" spans="1:13" ht="84">
      <c r="A43" s="7">
        <v>8</v>
      </c>
      <c r="B43" s="443" t="s">
        <v>1254</v>
      </c>
      <c r="C43" s="5" t="s">
        <v>85</v>
      </c>
      <c r="D43" s="5"/>
      <c r="E43" s="5"/>
      <c r="F43" s="5"/>
      <c r="G43" s="5"/>
      <c r="H43" s="5"/>
      <c r="I43" s="5" t="s">
        <v>20</v>
      </c>
      <c r="J43" s="877">
        <v>1454</v>
      </c>
      <c r="K43" s="886"/>
      <c r="L43" s="897">
        <v>482</v>
      </c>
      <c r="M43" s="898">
        <f t="shared" si="1"/>
        <v>700828</v>
      </c>
    </row>
    <row r="44" spans="1:13">
      <c r="A44" s="5">
        <v>9</v>
      </c>
      <c r="B44" s="615" t="s">
        <v>1255</v>
      </c>
      <c r="C44" s="5" t="s">
        <v>85</v>
      </c>
      <c r="D44" s="5"/>
      <c r="E44" s="5"/>
      <c r="F44" s="5"/>
      <c r="G44" s="5"/>
      <c r="H44" s="5"/>
      <c r="I44" s="5" t="s">
        <v>20</v>
      </c>
      <c r="J44" s="877">
        <v>549</v>
      </c>
      <c r="K44" s="886"/>
      <c r="L44" s="897">
        <v>482</v>
      </c>
      <c r="M44" s="898">
        <f t="shared" si="1"/>
        <v>264618</v>
      </c>
    </row>
    <row r="45" spans="1:13">
      <c r="A45" s="5">
        <v>10</v>
      </c>
      <c r="B45" s="615" t="s">
        <v>1256</v>
      </c>
      <c r="C45" s="5" t="s">
        <v>306</v>
      </c>
      <c r="D45" s="5"/>
      <c r="E45" s="5"/>
      <c r="F45" s="5"/>
      <c r="G45" s="5"/>
      <c r="H45" s="5"/>
      <c r="I45" s="5" t="s">
        <v>20</v>
      </c>
      <c r="J45" s="877">
        <v>124</v>
      </c>
      <c r="K45" s="886"/>
      <c r="L45" s="897"/>
      <c r="M45" s="898">
        <f t="shared" si="1"/>
        <v>0</v>
      </c>
    </row>
    <row r="46" spans="1:13">
      <c r="A46" s="5">
        <v>11</v>
      </c>
      <c r="B46" s="615" t="s">
        <v>1548</v>
      </c>
      <c r="C46" s="5" t="s">
        <v>85</v>
      </c>
      <c r="D46" s="5"/>
      <c r="E46" s="5"/>
      <c r="F46" s="5"/>
      <c r="G46" s="5"/>
      <c r="H46" s="5"/>
      <c r="I46" s="5" t="s">
        <v>20</v>
      </c>
      <c r="J46" s="877">
        <v>540</v>
      </c>
      <c r="K46" s="886"/>
      <c r="L46" s="897"/>
      <c r="M46" s="898">
        <f t="shared" si="1"/>
        <v>0</v>
      </c>
    </row>
    <row r="47" spans="1:13">
      <c r="A47" s="5">
        <v>12</v>
      </c>
      <c r="B47" s="615" t="s">
        <v>1257</v>
      </c>
      <c r="C47" s="5" t="s">
        <v>85</v>
      </c>
      <c r="D47" s="5"/>
      <c r="E47" s="5"/>
      <c r="F47" s="5"/>
      <c r="G47" s="5"/>
      <c r="H47" s="5"/>
      <c r="I47" s="5" t="s">
        <v>20</v>
      </c>
      <c r="J47" s="877">
        <v>1454</v>
      </c>
      <c r="K47" s="886"/>
      <c r="L47" s="897">
        <v>610.5</v>
      </c>
      <c r="M47" s="898">
        <f t="shared" si="1"/>
        <v>887667</v>
      </c>
    </row>
    <row r="48" spans="1:13">
      <c r="A48" s="5">
        <v>13</v>
      </c>
      <c r="B48" s="615" t="s">
        <v>1258</v>
      </c>
      <c r="C48" s="5" t="s">
        <v>27</v>
      </c>
      <c r="D48" s="5"/>
      <c r="E48" s="5"/>
      <c r="F48" s="5"/>
      <c r="G48" s="5"/>
      <c r="H48" s="5"/>
      <c r="I48" s="5" t="s">
        <v>20</v>
      </c>
      <c r="J48" s="877">
        <v>203.6</v>
      </c>
      <c r="K48" s="886"/>
      <c r="L48" s="897"/>
      <c r="M48" s="898">
        <f t="shared" si="1"/>
        <v>0</v>
      </c>
    </row>
    <row r="49" spans="1:13">
      <c r="A49" s="13"/>
      <c r="B49" s="13"/>
      <c r="C49" s="13"/>
      <c r="D49" s="13"/>
      <c r="E49" s="13"/>
      <c r="F49" s="13"/>
      <c r="G49" s="13"/>
      <c r="H49" s="13"/>
      <c r="I49" s="13"/>
      <c r="J49" s="13"/>
      <c r="K49" s="840"/>
      <c r="L49" s="876"/>
      <c r="M49" s="876"/>
    </row>
    <row r="50" spans="1:13">
      <c r="A50" s="5">
        <v>14</v>
      </c>
      <c r="B50" s="5" t="s">
        <v>1549</v>
      </c>
      <c r="C50" s="5"/>
      <c r="D50" s="5"/>
      <c r="E50" s="5"/>
      <c r="F50" s="5"/>
      <c r="G50" s="5"/>
      <c r="H50" s="5"/>
      <c r="I50" s="5"/>
      <c r="J50" s="5"/>
      <c r="K50" s="886"/>
      <c r="L50" s="897"/>
      <c r="M50" s="897"/>
    </row>
    <row r="51" spans="1:13">
      <c r="A51" s="14">
        <v>14.1</v>
      </c>
      <c r="B51" s="14" t="s">
        <v>1259</v>
      </c>
      <c r="C51" s="12" t="s">
        <v>311</v>
      </c>
      <c r="D51" s="12"/>
      <c r="E51" s="13"/>
      <c r="F51" s="13"/>
      <c r="G51" s="13"/>
      <c r="H51" s="13"/>
      <c r="I51" s="13" t="s">
        <v>20</v>
      </c>
      <c r="J51" s="877">
        <v>545</v>
      </c>
      <c r="K51" s="836"/>
      <c r="L51" s="888">
        <v>4500</v>
      </c>
      <c r="M51" s="878">
        <f>L51*J51</f>
        <v>2452500</v>
      </c>
    </row>
    <row r="52" spans="1:13">
      <c r="A52" s="14">
        <v>14.2</v>
      </c>
      <c r="B52" s="14" t="s">
        <v>1260</v>
      </c>
      <c r="C52" s="12" t="s">
        <v>311</v>
      </c>
      <c r="D52" s="12"/>
      <c r="E52" s="13"/>
      <c r="F52" s="13"/>
      <c r="G52" s="13"/>
      <c r="H52" s="13"/>
      <c r="I52" s="13" t="s">
        <v>20</v>
      </c>
      <c r="J52" s="877">
        <v>100</v>
      </c>
      <c r="K52" s="899"/>
      <c r="L52" s="888">
        <v>8000</v>
      </c>
      <c r="M52" s="878">
        <f>L52*J52</f>
        <v>800000</v>
      </c>
    </row>
    <row r="53" spans="1:13">
      <c r="A53" s="5">
        <v>15</v>
      </c>
      <c r="B53" s="6" t="s">
        <v>1261</v>
      </c>
      <c r="C53" s="7"/>
      <c r="D53" s="7"/>
      <c r="E53" s="8"/>
      <c r="F53" s="8"/>
      <c r="G53" s="8"/>
      <c r="H53" s="8"/>
      <c r="I53" s="8"/>
      <c r="J53" s="900"/>
      <c r="K53" s="901"/>
      <c r="L53" s="897"/>
      <c r="M53" s="897"/>
    </row>
    <row r="54" spans="1:13" ht="33.6">
      <c r="A54" s="14">
        <v>15.1</v>
      </c>
      <c r="B54" s="26" t="s">
        <v>1262</v>
      </c>
      <c r="C54" s="10" t="s">
        <v>85</v>
      </c>
      <c r="D54" s="10"/>
      <c r="E54" s="10"/>
      <c r="F54" s="10"/>
      <c r="G54" s="10"/>
      <c r="H54" s="10"/>
      <c r="I54" s="10" t="s">
        <v>20</v>
      </c>
      <c r="J54" s="877">
        <v>2275</v>
      </c>
      <c r="K54" s="837"/>
      <c r="L54" s="876">
        <v>5500</v>
      </c>
      <c r="M54" s="878">
        <f>L54*J54</f>
        <v>12512500</v>
      </c>
    </row>
    <row r="55" spans="1:13" ht="33.6">
      <c r="A55" s="14">
        <v>15.2</v>
      </c>
      <c r="B55" s="26" t="s">
        <v>1263</v>
      </c>
      <c r="C55" s="10" t="s">
        <v>85</v>
      </c>
      <c r="D55" s="10"/>
      <c r="E55" s="10"/>
      <c r="F55" s="10"/>
      <c r="G55" s="10"/>
      <c r="H55" s="10"/>
      <c r="I55" s="10" t="s">
        <v>20</v>
      </c>
      <c r="J55" s="877">
        <v>2275</v>
      </c>
      <c r="K55" s="837"/>
      <c r="L55" s="876">
        <v>608</v>
      </c>
      <c r="M55" s="878">
        <f>L55*J55</f>
        <v>1383200</v>
      </c>
    </row>
    <row r="56" spans="1:13">
      <c r="A56" s="5">
        <v>16</v>
      </c>
      <c r="B56" s="615" t="s">
        <v>1264</v>
      </c>
      <c r="C56" s="5" t="s">
        <v>25</v>
      </c>
      <c r="D56" s="5"/>
      <c r="E56" s="5"/>
      <c r="F56" s="5"/>
      <c r="G56" s="5"/>
      <c r="H56" s="5"/>
      <c r="I56" s="886"/>
      <c r="J56" s="886"/>
      <c r="K56" s="886"/>
      <c r="L56" s="897"/>
      <c r="M56" s="897"/>
    </row>
    <row r="57" spans="1:13" ht="50.4">
      <c r="A57" s="14"/>
      <c r="B57" s="343" t="s">
        <v>1265</v>
      </c>
      <c r="C57" s="12"/>
      <c r="D57" s="12"/>
      <c r="E57" s="13"/>
      <c r="F57" s="13"/>
      <c r="G57" s="13"/>
      <c r="H57" s="13"/>
      <c r="I57" s="10" t="s">
        <v>20</v>
      </c>
      <c r="J57" s="1224">
        <f>200*50/1000</f>
        <v>10</v>
      </c>
      <c r="K57" s="14"/>
      <c r="L57" s="876">
        <v>62000</v>
      </c>
      <c r="M57" s="878">
        <f>L57*J57</f>
        <v>620000</v>
      </c>
    </row>
    <row r="58" spans="1:13">
      <c r="L58" s="903" t="s">
        <v>20</v>
      </c>
      <c r="M58" s="1516">
        <f>SUM(M12:M57)</f>
        <v>209956747.64500001</v>
      </c>
    </row>
  </sheetData>
  <mergeCells count="2">
    <mergeCell ref="H18:I18"/>
    <mergeCell ref="H19:I19"/>
  </mergeCells>
  <printOptions horizontalCentered="1"/>
  <pageMargins left="0.7" right="0.7" top="0.71" bottom="0.59" header="0.3" footer="0.16"/>
  <pageSetup paperSize="9" scale="94" fitToHeight="10" orientation="landscape" r:id="rId1"/>
  <rowBreaks count="2" manualBreakCount="2">
    <brk id="30" max="10" man="1"/>
    <brk id="43" max="10" man="1"/>
  </rowBreaks>
  <drawing r:id="rId2"/>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52">
    <tabColor rgb="FF7030A0"/>
    <pageSetUpPr fitToPage="1"/>
  </sheetPr>
  <dimension ref="A1:U111"/>
  <sheetViews>
    <sheetView workbookViewId="0"/>
  </sheetViews>
  <sheetFormatPr defaultColWidth="9.109375" defaultRowHeight="16.8"/>
  <cols>
    <col min="1" max="1" width="12.33203125" style="4" customWidth="1"/>
    <col min="2" max="2" width="40.5546875" style="4" customWidth="1"/>
    <col min="3" max="3" width="7.88671875" style="4" customWidth="1"/>
    <col min="4" max="4" width="6.33203125" style="4" customWidth="1"/>
    <col min="5" max="5" width="10.88671875" style="4" customWidth="1"/>
    <col min="6" max="6" width="12.33203125" style="4" customWidth="1"/>
    <col min="7" max="9" width="10.33203125" style="4" customWidth="1"/>
    <col min="10" max="10" width="15.5546875" style="4" bestFit="1" customWidth="1"/>
    <col min="11" max="11" width="20.33203125" style="4" bestFit="1" customWidth="1"/>
    <col min="12" max="12" width="15" style="4" bestFit="1" customWidth="1"/>
    <col min="13" max="13" width="15.33203125" style="4" bestFit="1" customWidth="1"/>
    <col min="14" max="14" width="18.88671875" style="4" customWidth="1"/>
    <col min="15" max="15" width="10.44140625" style="4" bestFit="1" customWidth="1"/>
    <col min="16" max="16" width="11.5546875" style="4" bestFit="1" customWidth="1"/>
    <col min="17" max="17" width="14.33203125" style="4" customWidth="1"/>
    <col min="18" max="16384" width="9.109375" style="4"/>
  </cols>
  <sheetData>
    <row r="1" spans="1:17" s="520" customFormat="1" ht="19.2">
      <c r="A1" s="522"/>
      <c r="C1" s="523"/>
      <c r="D1" s="537"/>
      <c r="E1" s="1223"/>
      <c r="F1" s="1223"/>
      <c r="G1" s="523"/>
    </row>
    <row r="2" spans="1:17" s="520" customFormat="1" ht="19.2">
      <c r="A2" s="522"/>
      <c r="C2" s="523"/>
      <c r="D2" s="537"/>
      <c r="E2" s="1223"/>
      <c r="F2" s="1223"/>
      <c r="G2" s="523"/>
    </row>
    <row r="3" spans="1:17" s="520" customFormat="1" ht="19.2">
      <c r="A3" s="226" t="s">
        <v>0</v>
      </c>
      <c r="B3" s="1248" t="s">
        <v>2389</v>
      </c>
      <c r="C3" s="523"/>
      <c r="D3" s="537"/>
      <c r="E3" s="1223"/>
      <c r="F3" s="1223"/>
      <c r="G3" s="523"/>
    </row>
    <row r="4" spans="1:17" s="520" customFormat="1" ht="19.2">
      <c r="A4" s="119" t="s">
        <v>1</v>
      </c>
      <c r="B4" s="1248">
        <v>930100</v>
      </c>
      <c r="C4" s="523"/>
      <c r="D4" s="537"/>
      <c r="E4" s="1223"/>
      <c r="F4" s="1223"/>
      <c r="G4" s="523"/>
    </row>
    <row r="5" spans="1:17" s="520" customFormat="1" ht="19.2">
      <c r="A5" s="119" t="s">
        <v>2</v>
      </c>
      <c r="B5" s="1247" t="s">
        <v>331</v>
      </c>
      <c r="C5" s="523"/>
      <c r="D5" s="537"/>
      <c r="E5" s="1223"/>
      <c r="J5" s="1276" t="s">
        <v>1561</v>
      </c>
      <c r="K5" s="523" t="s">
        <v>1562</v>
      </c>
    </row>
    <row r="6" spans="1:17" s="520" customFormat="1" ht="19.2">
      <c r="A6" s="119" t="s">
        <v>3</v>
      </c>
      <c r="B6" s="1247" t="s">
        <v>1584</v>
      </c>
      <c r="C6" s="523"/>
      <c r="D6" s="537"/>
      <c r="E6" s="1223"/>
      <c r="J6" s="1276" t="s">
        <v>171</v>
      </c>
      <c r="K6" s="523" t="s">
        <v>1563</v>
      </c>
    </row>
    <row r="7" spans="1:17" s="520" customFormat="1" ht="19.2">
      <c r="A7" s="119" t="s">
        <v>4</v>
      </c>
      <c r="B7" s="1247"/>
      <c r="C7" s="523"/>
      <c r="D7" s="537"/>
      <c r="E7" s="1223"/>
      <c r="J7" s="1276" t="s">
        <v>106</v>
      </c>
      <c r="K7" s="1277">
        <f ca="1">TODAY()</f>
        <v>44942</v>
      </c>
    </row>
    <row r="8" spans="1:17" s="52" customFormat="1">
      <c r="A8" s="53"/>
      <c r="B8" s="55"/>
      <c r="C8" s="382"/>
      <c r="D8" s="382"/>
      <c r="E8" s="383"/>
      <c r="F8" s="383"/>
      <c r="G8" s="383"/>
      <c r="H8" s="383"/>
      <c r="I8" s="383"/>
      <c r="J8" s="866"/>
      <c r="K8" s="867"/>
      <c r="L8" s="865"/>
    </row>
    <row r="9" spans="1:17">
      <c r="C9" s="19"/>
      <c r="D9" s="19"/>
      <c r="E9" s="20"/>
      <c r="F9" s="2425"/>
      <c r="G9" s="2425"/>
      <c r="H9" s="904"/>
      <c r="I9" s="904"/>
      <c r="J9" s="905"/>
    </row>
    <row r="10" spans="1:17" ht="15" customHeight="1">
      <c r="A10" s="868" t="s">
        <v>7</v>
      </c>
      <c r="B10" s="868" t="s">
        <v>8</v>
      </c>
      <c r="C10" s="868" t="s">
        <v>9</v>
      </c>
      <c r="D10" s="868" t="s">
        <v>842</v>
      </c>
      <c r="E10" s="869" t="s">
        <v>11</v>
      </c>
      <c r="F10" s="869" t="s">
        <v>12</v>
      </c>
      <c r="G10" s="869" t="s">
        <v>13</v>
      </c>
      <c r="H10" s="869" t="s">
        <v>486</v>
      </c>
      <c r="I10" s="869" t="s">
        <v>490</v>
      </c>
      <c r="J10" s="906" t="s">
        <v>16</v>
      </c>
      <c r="K10" s="868" t="s">
        <v>17</v>
      </c>
      <c r="L10" s="868" t="s">
        <v>1266</v>
      </c>
      <c r="M10" s="868" t="s">
        <v>1234</v>
      </c>
    </row>
    <row r="11" spans="1:17" ht="15" customHeight="1">
      <c r="A11" s="5">
        <v>1</v>
      </c>
      <c r="B11" s="6" t="s">
        <v>18</v>
      </c>
      <c r="C11" s="5" t="s">
        <v>19</v>
      </c>
      <c r="D11" s="6"/>
      <c r="E11" s="6"/>
      <c r="F11" s="6"/>
      <c r="G11" s="6"/>
      <c r="H11" s="6"/>
      <c r="I11" s="6"/>
      <c r="J11" s="778"/>
      <c r="K11" s="6"/>
      <c r="L11" s="6"/>
      <c r="M11" s="6"/>
    </row>
    <row r="12" spans="1:17" ht="15" customHeight="1">
      <c r="A12" s="14"/>
      <c r="B12" s="14" t="s">
        <v>843</v>
      </c>
      <c r="C12" s="14"/>
      <c r="D12" s="14">
        <v>1</v>
      </c>
      <c r="E12" s="14"/>
      <c r="F12" s="12"/>
      <c r="G12" s="12"/>
      <c r="H12" s="12"/>
      <c r="I12" s="12">
        <v>1500</v>
      </c>
      <c r="J12" s="14">
        <f>I12*D12</f>
        <v>1500</v>
      </c>
      <c r="K12" s="14" t="s">
        <v>1267</v>
      </c>
      <c r="L12" s="14"/>
      <c r="M12" s="14"/>
      <c r="N12" s="54"/>
      <c r="P12" s="907"/>
      <c r="Q12" s="908"/>
    </row>
    <row r="13" spans="1:17" ht="15" customHeight="1">
      <c r="A13" s="494"/>
      <c r="B13" s="494"/>
      <c r="C13" s="494"/>
      <c r="D13" s="494"/>
      <c r="E13" s="494"/>
      <c r="F13" s="494"/>
      <c r="G13" s="14"/>
      <c r="H13" s="909"/>
      <c r="I13" s="910" t="s">
        <v>20</v>
      </c>
      <c r="J13" s="911">
        <f>J12</f>
        <v>1500</v>
      </c>
      <c r="K13" s="494"/>
      <c r="L13" s="14">
        <v>50.5</v>
      </c>
      <c r="M13" s="14">
        <f>L13*J13</f>
        <v>75750</v>
      </c>
      <c r="N13" s="54"/>
      <c r="P13" s="20"/>
      <c r="Q13" s="908"/>
    </row>
    <row r="14" spans="1:17">
      <c r="A14" s="5">
        <v>2.1</v>
      </c>
      <c r="B14" s="6" t="s">
        <v>492</v>
      </c>
      <c r="C14" s="7" t="s">
        <v>21</v>
      </c>
      <c r="D14" s="7"/>
      <c r="E14" s="778"/>
      <c r="F14" s="778"/>
      <c r="G14" s="778"/>
      <c r="H14" s="912"/>
      <c r="I14" s="912"/>
      <c r="J14" s="913"/>
      <c r="K14" s="914"/>
      <c r="L14" s="6"/>
      <c r="M14" s="6"/>
      <c r="N14" s="54"/>
      <c r="P14" s="908"/>
      <c r="Q14" s="908"/>
    </row>
    <row r="15" spans="1:17">
      <c r="A15" s="14"/>
      <c r="B15" s="14" t="s">
        <v>1268</v>
      </c>
      <c r="C15" s="494"/>
      <c r="D15" s="494">
        <v>1</v>
      </c>
      <c r="E15" s="496"/>
      <c r="F15" s="4">
        <v>20</v>
      </c>
      <c r="G15" s="497"/>
      <c r="H15" s="497"/>
      <c r="I15" s="497">
        <v>259</v>
      </c>
      <c r="J15" s="496">
        <f>I15*F15*D15</f>
        <v>5180</v>
      </c>
      <c r="K15" s="494"/>
      <c r="L15" s="14"/>
      <c r="M15" s="14"/>
      <c r="N15" s="54"/>
      <c r="Q15" s="908"/>
    </row>
    <row r="16" spans="1:17">
      <c r="A16" s="14"/>
      <c r="B16" s="14"/>
      <c r="C16" s="494"/>
      <c r="D16" s="494"/>
      <c r="E16" s="496"/>
      <c r="F16" s="497"/>
      <c r="G16" s="909"/>
      <c r="H16" s="909"/>
      <c r="I16" s="910" t="s">
        <v>20</v>
      </c>
      <c r="J16" s="911">
        <f>(J15)*0.9</f>
        <v>4662</v>
      </c>
      <c r="K16" s="494"/>
      <c r="L16" s="14"/>
      <c r="M16" s="14"/>
      <c r="N16" s="476"/>
      <c r="Q16" s="908"/>
    </row>
    <row r="17" spans="1:17">
      <c r="A17" s="14"/>
      <c r="B17" s="14"/>
      <c r="C17" s="494"/>
      <c r="D17" s="494"/>
      <c r="E17" s="496"/>
      <c r="F17" s="497"/>
      <c r="G17" s="909"/>
      <c r="H17" s="915" t="s">
        <v>1269</v>
      </c>
      <c r="I17" s="14"/>
      <c r="J17" s="885">
        <f>0.2*J16</f>
        <v>932.40000000000009</v>
      </c>
      <c r="K17" s="494"/>
      <c r="L17" s="14">
        <v>1350</v>
      </c>
      <c r="M17" s="14">
        <f>L17*J17</f>
        <v>1258740.0000000002</v>
      </c>
      <c r="N17" s="476"/>
      <c r="Q17" s="908"/>
    </row>
    <row r="18" spans="1:17">
      <c r="A18" s="14"/>
      <c r="B18" s="14"/>
      <c r="C18" s="494"/>
      <c r="D18" s="494"/>
      <c r="E18" s="496"/>
      <c r="F18" s="497"/>
      <c r="G18" s="495"/>
      <c r="H18" s="915" t="s">
        <v>1270</v>
      </c>
      <c r="I18" s="14"/>
      <c r="J18" s="885">
        <f>0.8*J16</f>
        <v>3729.6000000000004</v>
      </c>
      <c r="K18" s="494"/>
      <c r="L18" s="14">
        <v>320</v>
      </c>
      <c r="M18" s="14">
        <f>L18*J18</f>
        <v>1193472</v>
      </c>
      <c r="N18" s="916"/>
      <c r="O18" s="916"/>
      <c r="P18" s="916"/>
      <c r="Q18" s="916"/>
    </row>
    <row r="19" spans="1:17">
      <c r="A19" s="5">
        <v>3</v>
      </c>
      <c r="B19" s="6" t="s">
        <v>22</v>
      </c>
      <c r="C19" s="7" t="s">
        <v>844</v>
      </c>
      <c r="D19" s="7"/>
      <c r="E19" s="8"/>
      <c r="F19" s="8"/>
      <c r="G19" s="8"/>
      <c r="H19" s="391"/>
      <c r="I19" s="391"/>
      <c r="J19" s="917"/>
      <c r="K19" s="914"/>
      <c r="L19" s="6"/>
      <c r="M19" s="6"/>
    </row>
    <row r="20" spans="1:17">
      <c r="A20" s="14"/>
      <c r="B20" s="14" t="s">
        <v>1271</v>
      </c>
      <c r="C20" s="14"/>
      <c r="D20" s="14">
        <v>1</v>
      </c>
      <c r="E20" s="13"/>
      <c r="G20" s="10"/>
      <c r="H20" s="10"/>
      <c r="I20" s="10"/>
      <c r="J20" s="393">
        <f>0.3*J16</f>
        <v>1398.6</v>
      </c>
      <c r="K20" s="14"/>
      <c r="L20" s="14"/>
      <c r="M20" s="14"/>
    </row>
    <row r="21" spans="1:17">
      <c r="A21" s="14"/>
      <c r="B21" s="14"/>
      <c r="C21" s="14"/>
      <c r="D21" s="14"/>
      <c r="E21" s="14"/>
      <c r="F21" s="14"/>
      <c r="G21" s="14"/>
      <c r="H21" s="909"/>
      <c r="I21" s="910" t="s">
        <v>20</v>
      </c>
      <c r="J21" s="911">
        <f>J20</f>
        <v>1398.6</v>
      </c>
      <c r="K21" s="14"/>
      <c r="L21" s="14">
        <v>262.5</v>
      </c>
      <c r="M21" s="14">
        <f>L21*J21</f>
        <v>367132.5</v>
      </c>
    </row>
    <row r="22" spans="1:17">
      <c r="A22" s="14"/>
      <c r="B22" s="14"/>
      <c r="C22" s="14"/>
      <c r="D22" s="14"/>
      <c r="E22" s="14"/>
      <c r="F22" s="14"/>
      <c r="G22" s="14"/>
      <c r="H22" s="14"/>
      <c r="I22" s="14"/>
      <c r="J22" s="14"/>
      <c r="K22" s="14"/>
      <c r="L22" s="14"/>
      <c r="M22" s="14"/>
    </row>
    <row r="23" spans="1:17">
      <c r="A23" s="5">
        <f>A19+1</f>
        <v>4</v>
      </c>
      <c r="B23" s="6" t="s">
        <v>1272</v>
      </c>
      <c r="C23" s="7" t="s">
        <v>21</v>
      </c>
      <c r="D23" s="7"/>
      <c r="E23" s="8"/>
      <c r="F23" s="2426"/>
      <c r="G23" s="2426"/>
      <c r="H23" s="391"/>
      <c r="I23" s="391"/>
      <c r="J23" s="917"/>
      <c r="K23" s="914"/>
      <c r="L23" s="6"/>
      <c r="M23" s="6"/>
    </row>
    <row r="24" spans="1:17">
      <c r="A24" s="14"/>
      <c r="B24" s="14" t="s">
        <v>1273</v>
      </c>
      <c r="C24" s="14"/>
      <c r="D24" s="23">
        <v>2</v>
      </c>
      <c r="E24" s="393">
        <v>4.43</v>
      </c>
      <c r="F24" s="14"/>
      <c r="G24" s="14"/>
      <c r="H24" s="10"/>
      <c r="I24" s="14">
        <v>3.3351000000000002</v>
      </c>
      <c r="J24" s="393">
        <f>D24*E24*I24+(0.6*2*12.4)</f>
        <v>44.428985999999995</v>
      </c>
      <c r="K24" s="14"/>
      <c r="L24" s="14"/>
      <c r="M24" s="14"/>
    </row>
    <row r="25" spans="1:17">
      <c r="A25" s="14"/>
      <c r="B25" s="14" t="s">
        <v>1274</v>
      </c>
      <c r="C25" s="14"/>
      <c r="D25" s="23">
        <v>1</v>
      </c>
      <c r="E25" s="393">
        <f>E24</f>
        <v>4.43</v>
      </c>
      <c r="F25" s="14"/>
      <c r="G25" s="14"/>
      <c r="H25" s="10"/>
      <c r="I25" s="14">
        <f>I24</f>
        <v>3.3351000000000002</v>
      </c>
      <c r="J25" s="393">
        <f>J24</f>
        <v>44.428985999999995</v>
      </c>
      <c r="K25" s="14"/>
      <c r="L25" s="14"/>
      <c r="M25" s="14"/>
    </row>
    <row r="26" spans="1:17">
      <c r="A26" s="14"/>
      <c r="B26" s="14" t="s">
        <v>1275</v>
      </c>
      <c r="C26" s="14"/>
      <c r="D26" s="23">
        <v>0</v>
      </c>
      <c r="E26" s="393">
        <v>4.5</v>
      </c>
      <c r="F26" s="14"/>
      <c r="G26" s="393"/>
      <c r="H26" s="825"/>
      <c r="I26" s="393">
        <f>I27</f>
        <v>4.6295999999999999</v>
      </c>
      <c r="J26" s="393">
        <f>D26*E26*I26</f>
        <v>0</v>
      </c>
      <c r="K26" s="14"/>
      <c r="L26" s="14"/>
      <c r="M26" s="14"/>
    </row>
    <row r="27" spans="1:17">
      <c r="A27" s="14"/>
      <c r="B27" s="14" t="s">
        <v>1276</v>
      </c>
      <c r="C27" s="14"/>
      <c r="D27" s="23">
        <v>2</v>
      </c>
      <c r="E27" s="393">
        <v>8.3000000000000007</v>
      </c>
      <c r="F27" s="14"/>
      <c r="G27" s="393"/>
      <c r="H27" s="825"/>
      <c r="I27" s="393">
        <v>4.6295999999999999</v>
      </c>
      <c r="J27" s="393">
        <f>D27*E27*I27</f>
        <v>76.85136</v>
      </c>
      <c r="K27" s="14"/>
      <c r="L27" s="14"/>
      <c r="M27" s="14"/>
    </row>
    <row r="28" spans="1:17">
      <c r="A28" s="14"/>
      <c r="B28" s="2427" t="s">
        <v>1277</v>
      </c>
      <c r="C28" s="2413"/>
      <c r="D28" s="2428">
        <v>12</v>
      </c>
      <c r="E28" s="393">
        <v>0.4</v>
      </c>
      <c r="F28" s="14"/>
      <c r="G28" s="393"/>
      <c r="H28" s="825"/>
      <c r="I28" s="393">
        <f xml:space="preserve"> 1.35*1.35</f>
        <v>1.8225000000000002</v>
      </c>
      <c r="J28" s="2424">
        <f>D28*((E28*I28)+(E29*I29))</f>
        <v>16.308000000000003</v>
      </c>
      <c r="K28" s="14" t="s">
        <v>1278</v>
      </c>
      <c r="L28" s="14"/>
      <c r="M28" s="14"/>
    </row>
    <row r="29" spans="1:17">
      <c r="A29" s="14"/>
      <c r="B29" s="2427"/>
      <c r="C29" s="2413"/>
      <c r="D29" s="2428"/>
      <c r="E29" s="393">
        <v>1.1200000000000001</v>
      </c>
      <c r="F29" s="14"/>
      <c r="G29" s="393"/>
      <c r="H29" s="825"/>
      <c r="I29" s="393">
        <f>0.75^2</f>
        <v>0.5625</v>
      </c>
      <c r="J29" s="2424"/>
      <c r="K29" s="14" t="s">
        <v>1279</v>
      </c>
      <c r="L29" s="14"/>
      <c r="M29" s="14"/>
    </row>
    <row r="30" spans="1:17">
      <c r="A30" s="14"/>
      <c r="B30" s="2427" t="s">
        <v>1280</v>
      </c>
      <c r="C30" s="2413"/>
      <c r="D30" s="2429">
        <v>12</v>
      </c>
      <c r="E30" s="393">
        <v>0.4</v>
      </c>
      <c r="F30" s="14"/>
      <c r="G30" s="393"/>
      <c r="H30" s="825"/>
      <c r="I30" s="393">
        <f xml:space="preserve"> 1.35*1.35</f>
        <v>1.8225000000000002</v>
      </c>
      <c r="J30" s="2424">
        <f>D30*((E30*I30)+(E31*I31))</f>
        <v>16.308000000000003</v>
      </c>
      <c r="K30" s="14" t="s">
        <v>1278</v>
      </c>
      <c r="L30" s="14"/>
      <c r="M30" s="14"/>
    </row>
    <row r="31" spans="1:17">
      <c r="A31" s="14"/>
      <c r="B31" s="2427"/>
      <c r="C31" s="2413"/>
      <c r="D31" s="2429"/>
      <c r="E31" s="393">
        <v>1.1200000000000001</v>
      </c>
      <c r="F31" s="14"/>
      <c r="G31" s="393"/>
      <c r="H31" s="825"/>
      <c r="I31" s="393">
        <f>0.75^2</f>
        <v>0.5625</v>
      </c>
      <c r="J31" s="2424"/>
      <c r="K31" s="14" t="s">
        <v>1279</v>
      </c>
      <c r="L31" s="14"/>
      <c r="M31" s="14"/>
    </row>
    <row r="32" spans="1:17">
      <c r="A32" s="14"/>
      <c r="B32" s="2427" t="s">
        <v>1281</v>
      </c>
      <c r="C32" s="2413"/>
      <c r="D32" s="2429">
        <f>3*4</f>
        <v>12</v>
      </c>
      <c r="E32" s="393">
        <v>0.4</v>
      </c>
      <c r="F32" s="14"/>
      <c r="G32" s="393"/>
      <c r="H32" s="825"/>
      <c r="I32" s="393">
        <f>1.5^2</f>
        <v>2.25</v>
      </c>
      <c r="J32" s="2424">
        <f>D32*((E32*I32)+(E33*I33))</f>
        <v>20.452500000000001</v>
      </c>
      <c r="K32" s="14" t="s">
        <v>1278</v>
      </c>
      <c r="L32" s="14"/>
      <c r="M32" s="14"/>
    </row>
    <row r="33" spans="1:15">
      <c r="A33" s="14"/>
      <c r="B33" s="2427"/>
      <c r="C33" s="2413"/>
      <c r="D33" s="2429"/>
      <c r="E33" s="393">
        <v>1.43</v>
      </c>
      <c r="F33" s="14"/>
      <c r="G33" s="393"/>
      <c r="H33" s="825"/>
      <c r="I33" s="393">
        <f>0.75^2</f>
        <v>0.5625</v>
      </c>
      <c r="J33" s="2424"/>
      <c r="K33" s="14" t="s">
        <v>1279</v>
      </c>
      <c r="L33" s="14"/>
      <c r="M33" s="14"/>
    </row>
    <row r="34" spans="1:15">
      <c r="A34" s="14"/>
      <c r="B34" s="2427" t="s">
        <v>1282</v>
      </c>
      <c r="C34" s="2413"/>
      <c r="D34" s="918">
        <v>1</v>
      </c>
      <c r="E34" s="393">
        <v>5.32</v>
      </c>
      <c r="F34" s="919">
        <v>2.1800000000000002</v>
      </c>
      <c r="G34" s="393">
        <v>0.5</v>
      </c>
      <c r="H34" s="393"/>
      <c r="I34" s="393"/>
      <c r="J34" s="2424">
        <f>4*((D34*E34*F34*G34)+(D35*E35*F35*G35))</f>
        <v>38.516800000000003</v>
      </c>
      <c r="K34" s="14" t="s">
        <v>1278</v>
      </c>
      <c r="L34" s="14"/>
      <c r="M34" s="14"/>
    </row>
    <row r="35" spans="1:15">
      <c r="A35" s="14"/>
      <c r="B35" s="2427"/>
      <c r="C35" s="2413"/>
      <c r="D35" s="918">
        <v>8</v>
      </c>
      <c r="E35" s="393">
        <v>0.6</v>
      </c>
      <c r="F35" s="919">
        <v>0.6</v>
      </c>
      <c r="G35" s="920">
        <v>1.33</v>
      </c>
      <c r="H35" s="920"/>
      <c r="I35" s="920"/>
      <c r="J35" s="2424"/>
      <c r="K35" s="14" t="s">
        <v>1283</v>
      </c>
      <c r="L35" s="14"/>
      <c r="M35" s="14"/>
    </row>
    <row r="36" spans="1:15">
      <c r="A36" s="14"/>
      <c r="B36" s="2427" t="s">
        <v>1284</v>
      </c>
      <c r="C36" s="2413"/>
      <c r="D36" s="2429">
        <v>8</v>
      </c>
      <c r="E36" s="393">
        <v>1.35</v>
      </c>
      <c r="F36" s="393">
        <v>1.35</v>
      </c>
      <c r="G36" s="14">
        <v>0.4</v>
      </c>
      <c r="H36" s="14"/>
      <c r="I36" s="14"/>
      <c r="J36" s="2424">
        <f>D36*((E36*F36*G36)+(E37*F37*G37))</f>
        <v>12.266999999999999</v>
      </c>
      <c r="K36" s="14" t="s">
        <v>1278</v>
      </c>
      <c r="L36" s="14"/>
      <c r="M36" s="14"/>
    </row>
    <row r="37" spans="1:15">
      <c r="A37" s="14"/>
      <c r="B37" s="2427"/>
      <c r="C37" s="2413"/>
      <c r="D37" s="2429"/>
      <c r="E37" s="393">
        <v>0.75</v>
      </c>
      <c r="F37" s="920">
        <v>0.75</v>
      </c>
      <c r="G37" s="921">
        <v>1.43</v>
      </c>
      <c r="H37" s="921"/>
      <c r="I37" s="921"/>
      <c r="J37" s="2424"/>
      <c r="K37" s="14" t="s">
        <v>1279</v>
      </c>
      <c r="L37" s="14"/>
      <c r="M37" s="14"/>
    </row>
    <row r="38" spans="1:15">
      <c r="A38" s="14"/>
      <c r="B38" s="2427" t="s">
        <v>1285</v>
      </c>
      <c r="C38" s="14"/>
      <c r="D38" s="2429">
        <v>10</v>
      </c>
      <c r="E38" s="393">
        <v>2.6</v>
      </c>
      <c r="F38" s="393">
        <v>2.6</v>
      </c>
      <c r="G38" s="14">
        <v>0.56999999999999995</v>
      </c>
      <c r="H38" s="14"/>
      <c r="I38" s="14"/>
      <c r="J38" s="2424">
        <f>D38*(E38*F38*G38+E39*F39*G39)</f>
        <v>116.292</v>
      </c>
      <c r="K38" s="14" t="s">
        <v>1278</v>
      </c>
      <c r="L38" s="14"/>
      <c r="M38" s="14"/>
    </row>
    <row r="39" spans="1:15">
      <c r="A39" s="14"/>
      <c r="B39" s="2427"/>
      <c r="C39" s="14"/>
      <c r="D39" s="2429"/>
      <c r="E39" s="393">
        <v>1.8</v>
      </c>
      <c r="F39" s="920">
        <v>1.8</v>
      </c>
      <c r="G39" s="920">
        <v>2.4</v>
      </c>
      <c r="H39" s="920"/>
      <c r="I39" s="920"/>
      <c r="J39" s="2424"/>
      <c r="K39" s="14" t="s">
        <v>1279</v>
      </c>
      <c r="L39" s="14"/>
      <c r="M39" s="14"/>
    </row>
    <row r="40" spans="1:15">
      <c r="A40" s="14"/>
      <c r="B40" s="14" t="s">
        <v>1286</v>
      </c>
      <c r="C40" s="2413"/>
      <c r="D40" s="23"/>
      <c r="E40" s="14"/>
      <c r="F40" s="2432"/>
      <c r="G40" s="2432"/>
      <c r="H40" s="825"/>
      <c r="I40" s="825"/>
      <c r="J40" s="393"/>
      <c r="K40" s="14"/>
      <c r="L40" s="14"/>
      <c r="M40" s="14"/>
    </row>
    <row r="41" spans="1:15">
      <c r="A41" s="14"/>
      <c r="B41" s="921" t="s">
        <v>1287</v>
      </c>
      <c r="C41" s="2413"/>
      <c r="D41" s="23">
        <v>1</v>
      </c>
      <c r="E41" s="393">
        <v>25.49</v>
      </c>
      <c r="F41" s="14"/>
      <c r="G41" s="825"/>
      <c r="H41" s="825"/>
      <c r="I41" s="825">
        <v>0.52500000000000002</v>
      </c>
      <c r="J41" s="393">
        <f>E41*I41</f>
        <v>13.382249999999999</v>
      </c>
      <c r="K41" s="14"/>
      <c r="L41" s="14"/>
      <c r="M41" s="14"/>
    </row>
    <row r="42" spans="1:15">
      <c r="A42" s="14"/>
      <c r="B42" s="921" t="s">
        <v>1288</v>
      </c>
      <c r="C42" s="2413"/>
      <c r="D42" s="23">
        <v>1</v>
      </c>
      <c r="E42" s="393">
        <v>25.52</v>
      </c>
      <c r="F42" s="14"/>
      <c r="G42" s="825"/>
      <c r="H42" s="825"/>
      <c r="I42" s="825">
        <v>0.52500000000000002</v>
      </c>
      <c r="J42" s="393">
        <f>E42*I42</f>
        <v>13.398</v>
      </c>
      <c r="K42" s="14"/>
      <c r="L42" s="14"/>
      <c r="M42" s="14"/>
    </row>
    <row r="43" spans="1:15">
      <c r="A43" s="14"/>
      <c r="B43" s="921" t="s">
        <v>1288</v>
      </c>
      <c r="C43" s="2413"/>
      <c r="D43" s="23">
        <v>1</v>
      </c>
      <c r="E43" s="393">
        <v>25.54</v>
      </c>
      <c r="F43" s="14"/>
      <c r="G43" s="825"/>
      <c r="H43" s="825"/>
      <c r="I43" s="825">
        <v>0.52500000000000002</v>
      </c>
      <c r="J43" s="393">
        <f>E43*I43</f>
        <v>13.4085</v>
      </c>
      <c r="K43" s="14"/>
      <c r="L43" s="14"/>
      <c r="M43" s="14"/>
    </row>
    <row r="44" spans="1:15">
      <c r="A44" s="14"/>
      <c r="B44" s="921" t="s">
        <v>1289</v>
      </c>
      <c r="C44" s="2413"/>
      <c r="D44" s="23">
        <v>1</v>
      </c>
      <c r="E44" s="393">
        <v>25.7</v>
      </c>
      <c r="F44" s="14"/>
      <c r="G44" s="825"/>
      <c r="H44" s="825"/>
      <c r="I44" s="825">
        <v>0.52500000000000002</v>
      </c>
      <c r="J44" s="393">
        <f>E44*I44</f>
        <v>13.4925</v>
      </c>
      <c r="K44" s="14"/>
      <c r="L44" s="14"/>
      <c r="M44" s="14"/>
    </row>
    <row r="45" spans="1:15">
      <c r="A45" s="14"/>
      <c r="B45" s="14" t="s">
        <v>1290</v>
      </c>
      <c r="C45" s="14"/>
      <c r="D45" s="23"/>
      <c r="E45" s="922"/>
      <c r="F45" s="2432"/>
      <c r="G45" s="2432"/>
      <c r="H45" s="825"/>
      <c r="I45" s="825"/>
      <c r="J45" s="393"/>
      <c r="K45" s="14"/>
      <c r="L45" s="923"/>
      <c r="M45" s="923"/>
      <c r="N45" s="924"/>
      <c r="O45" s="924"/>
    </row>
    <row r="46" spans="1:15">
      <c r="A46" s="14"/>
      <c r="B46" s="921" t="s">
        <v>1291</v>
      </c>
      <c r="C46" s="14"/>
      <c r="D46" s="23">
        <v>1</v>
      </c>
      <c r="E46" s="393">
        <v>33.5</v>
      </c>
      <c r="F46" s="14"/>
      <c r="G46" s="825"/>
      <c r="H46" s="825"/>
      <c r="I46" s="825">
        <v>0.67800000000000005</v>
      </c>
      <c r="J46" s="393">
        <f>D46*E46*I46</f>
        <v>22.713000000000001</v>
      </c>
      <c r="K46" s="14"/>
      <c r="L46" s="14"/>
      <c r="M46" s="14"/>
    </row>
    <row r="47" spans="1:15">
      <c r="A47" s="14"/>
      <c r="B47" s="921" t="s">
        <v>1287</v>
      </c>
      <c r="C47" s="14"/>
      <c r="D47" s="23">
        <v>1</v>
      </c>
      <c r="E47" s="393">
        <v>6.69</v>
      </c>
      <c r="F47" s="14"/>
      <c r="G47" s="825"/>
      <c r="H47" s="825"/>
      <c r="I47" s="825">
        <f>I46</f>
        <v>0.67800000000000005</v>
      </c>
      <c r="J47" s="393">
        <f>D47*E47*I47</f>
        <v>4.5358200000000002</v>
      </c>
      <c r="K47" s="14"/>
      <c r="L47" s="14"/>
      <c r="M47" s="14"/>
    </row>
    <row r="48" spans="1:15">
      <c r="A48" s="14"/>
      <c r="B48" s="921" t="s">
        <v>1292</v>
      </c>
      <c r="C48" s="14"/>
      <c r="D48" s="23">
        <v>1</v>
      </c>
      <c r="E48" s="393">
        <f>77.12+25.35</f>
        <v>102.47</v>
      </c>
      <c r="F48" s="14"/>
      <c r="G48" s="10"/>
      <c r="H48" s="10"/>
      <c r="I48" s="10">
        <v>1.1029</v>
      </c>
      <c r="J48" s="393">
        <f>D48*E48*I48</f>
        <v>113.014163</v>
      </c>
      <c r="K48" s="14"/>
      <c r="L48" s="14"/>
      <c r="M48" s="14"/>
    </row>
    <row r="49" spans="1:13">
      <c r="A49" s="14"/>
      <c r="B49" s="14"/>
      <c r="C49" s="14"/>
      <c r="D49" s="14"/>
      <c r="E49" s="14"/>
      <c r="F49" s="14"/>
      <c r="G49" s="14"/>
      <c r="H49" s="909"/>
      <c r="I49" s="910" t="s">
        <v>20</v>
      </c>
      <c r="J49" s="911">
        <f>SUM(J24:J48)*1.25</f>
        <v>724.74733125</v>
      </c>
      <c r="K49" s="14"/>
      <c r="L49" s="14">
        <v>17500</v>
      </c>
      <c r="M49" s="14">
        <f>L49*J49</f>
        <v>12683078.296875</v>
      </c>
    </row>
    <row r="50" spans="1:13">
      <c r="A50" s="5">
        <v>5</v>
      </c>
      <c r="B50" s="6" t="s">
        <v>24</v>
      </c>
      <c r="C50" s="7" t="s">
        <v>322</v>
      </c>
      <c r="D50" s="7"/>
      <c r="E50" s="8"/>
      <c r="F50" s="8"/>
      <c r="G50" s="8"/>
      <c r="H50" s="391"/>
      <c r="I50" s="391"/>
      <c r="J50" s="917"/>
      <c r="K50" s="914"/>
      <c r="L50" s="6"/>
      <c r="M50" s="6"/>
    </row>
    <row r="51" spans="1:13">
      <c r="A51" s="14"/>
      <c r="B51" s="24" t="s">
        <v>1293</v>
      </c>
      <c r="C51" s="14"/>
      <c r="D51" s="14"/>
      <c r="E51" s="14"/>
      <c r="F51" s="14"/>
      <c r="G51" s="909"/>
      <c r="H51" s="909"/>
      <c r="I51" s="909"/>
      <c r="J51" s="909">
        <f>ROUNDUP(0.8%*7.85*(J49-J48),2)</f>
        <v>38.419999999999995</v>
      </c>
      <c r="K51" s="14"/>
      <c r="L51" s="14"/>
      <c r="M51" s="14"/>
    </row>
    <row r="52" spans="1:13" s="145" customFormat="1" ht="33.6">
      <c r="A52" s="343"/>
      <c r="B52" s="26" t="s">
        <v>1294</v>
      </c>
      <c r="C52" s="343"/>
      <c r="D52" s="343"/>
      <c r="E52" s="343"/>
      <c r="F52" s="343"/>
      <c r="G52" s="925"/>
      <c r="H52" s="925"/>
      <c r="I52" s="925"/>
      <c r="J52" s="925">
        <f>ROUNDUP(0.12%*7.85*(J48),2)</f>
        <v>1.07</v>
      </c>
      <c r="K52" s="343"/>
      <c r="L52" s="343"/>
      <c r="M52" s="343"/>
    </row>
    <row r="53" spans="1:13">
      <c r="A53" s="14"/>
      <c r="B53" s="14"/>
      <c r="C53" s="14"/>
      <c r="D53" s="14"/>
      <c r="E53" s="14"/>
      <c r="F53" s="14"/>
      <c r="G53" s="14"/>
      <c r="H53" s="909"/>
      <c r="I53" s="910" t="s">
        <v>20</v>
      </c>
      <c r="J53" s="911">
        <f>SUM(J51:J52)</f>
        <v>39.489999999999995</v>
      </c>
      <c r="K53" s="14"/>
      <c r="L53" s="14">
        <v>130000</v>
      </c>
      <c r="M53" s="14">
        <f>L53*J53</f>
        <v>5133699.9999999991</v>
      </c>
    </row>
    <row r="54" spans="1:13">
      <c r="A54" s="5">
        <v>5</v>
      </c>
      <c r="B54" s="6" t="s">
        <v>2604</v>
      </c>
      <c r="C54" s="7" t="s">
        <v>322</v>
      </c>
      <c r="D54" s="7"/>
      <c r="E54" s="8"/>
      <c r="F54" s="8"/>
      <c r="G54" s="8"/>
      <c r="H54" s="391"/>
      <c r="I54" s="391"/>
      <c r="J54" s="917"/>
      <c r="K54" s="914"/>
      <c r="L54" s="6"/>
      <c r="M54" s="6"/>
    </row>
    <row r="55" spans="1:13">
      <c r="A55" s="10"/>
      <c r="B55" s="14" t="s">
        <v>1295</v>
      </c>
      <c r="C55" s="12"/>
      <c r="D55" s="12">
        <v>1</v>
      </c>
      <c r="E55" s="13"/>
      <c r="F55" s="13"/>
      <c r="G55" s="13">
        <v>7.4999999999999997E-2</v>
      </c>
      <c r="H55" s="15"/>
      <c r="I55" s="15">
        <f>40*25</f>
        <v>1000</v>
      </c>
      <c r="J55" s="926">
        <f>I55*G55*D55</f>
        <v>75</v>
      </c>
      <c r="K55" s="927"/>
      <c r="L55" s="14"/>
      <c r="M55" s="14"/>
    </row>
    <row r="56" spans="1:13">
      <c r="A56" s="14"/>
      <c r="B56" s="14"/>
      <c r="C56" s="14"/>
      <c r="D56" s="14"/>
      <c r="E56" s="14"/>
      <c r="F56" s="14"/>
      <c r="G56" s="14"/>
      <c r="H56" s="909"/>
      <c r="I56" s="910" t="s">
        <v>20</v>
      </c>
      <c r="J56" s="911">
        <f>SUM(J55)</f>
        <v>75</v>
      </c>
      <c r="K56" s="14"/>
      <c r="L56" s="14">
        <v>13500</v>
      </c>
      <c r="M56" s="14">
        <f>L56*J56</f>
        <v>1012500</v>
      </c>
    </row>
    <row r="57" spans="1:13">
      <c r="A57" s="5">
        <v>7</v>
      </c>
      <c r="B57" s="6" t="s">
        <v>101</v>
      </c>
      <c r="C57" s="5" t="s">
        <v>19</v>
      </c>
      <c r="D57" s="5"/>
      <c r="E57" s="5"/>
      <c r="F57" s="5"/>
      <c r="G57" s="5"/>
      <c r="H57" s="5"/>
      <c r="I57" s="5"/>
      <c r="J57" s="5"/>
      <c r="K57" s="5"/>
      <c r="L57" s="6"/>
      <c r="M57" s="6"/>
    </row>
    <row r="58" spans="1:13">
      <c r="A58" s="14" t="s">
        <v>1296</v>
      </c>
      <c r="B58" s="24" t="s">
        <v>1273</v>
      </c>
      <c r="C58" s="14"/>
      <c r="D58" s="393"/>
      <c r="E58" s="393"/>
      <c r="F58" s="393"/>
      <c r="G58" s="393"/>
      <c r="H58" s="393"/>
      <c r="I58" s="393"/>
      <c r="J58" s="393"/>
      <c r="K58" s="14"/>
      <c r="L58" s="14"/>
      <c r="M58" s="14"/>
    </row>
    <row r="59" spans="1:13">
      <c r="A59" s="14"/>
      <c r="B59" s="24" t="s">
        <v>1297</v>
      </c>
      <c r="C59" s="14"/>
      <c r="D59" s="393">
        <v>3</v>
      </c>
      <c r="E59" s="393">
        <v>13.54</v>
      </c>
      <c r="F59" s="393"/>
      <c r="G59" s="393">
        <v>0.51</v>
      </c>
      <c r="H59" s="393"/>
      <c r="I59" s="393"/>
      <c r="J59" s="393">
        <f>D59*E59*G59</f>
        <v>20.716200000000001</v>
      </c>
      <c r="K59" s="14"/>
      <c r="L59" s="14"/>
      <c r="M59" s="14"/>
    </row>
    <row r="60" spans="1:13">
      <c r="A60" s="14"/>
      <c r="B60" s="24" t="s">
        <v>1298</v>
      </c>
      <c r="C60" s="14"/>
      <c r="D60" s="393">
        <v>3</v>
      </c>
      <c r="E60" s="393"/>
      <c r="F60" s="393">
        <v>4.43</v>
      </c>
      <c r="G60" s="393">
        <v>1.25</v>
      </c>
      <c r="H60" s="393"/>
      <c r="I60" s="393"/>
      <c r="J60" s="393">
        <f>F60*G60*8*D60</f>
        <v>132.89999999999998</v>
      </c>
      <c r="K60" s="14"/>
      <c r="L60" s="14"/>
      <c r="M60" s="14"/>
    </row>
    <row r="61" spans="1:13">
      <c r="A61" s="14"/>
      <c r="B61" s="24" t="s">
        <v>1299</v>
      </c>
      <c r="C61" s="14"/>
      <c r="D61" s="393">
        <v>3</v>
      </c>
      <c r="E61" s="393"/>
      <c r="F61" s="393"/>
      <c r="G61" s="393"/>
      <c r="H61" s="393"/>
      <c r="I61" s="393"/>
      <c r="J61" s="393">
        <f>(4*(0.25*1.25)+4*(0.5*1.25))*D61</f>
        <v>11.25</v>
      </c>
      <c r="K61" s="14"/>
      <c r="L61" s="14"/>
      <c r="M61" s="14"/>
    </row>
    <row r="62" spans="1:13">
      <c r="A62" s="14"/>
      <c r="B62" s="24"/>
      <c r="C62" s="14"/>
      <c r="D62" s="393"/>
      <c r="E62" s="393"/>
      <c r="F62" s="393"/>
      <c r="G62" s="393"/>
      <c r="H62" s="393"/>
      <c r="I62" s="393"/>
      <c r="J62" s="499">
        <f>SUM(J59:J61)</f>
        <v>164.86619999999999</v>
      </c>
      <c r="K62" s="14"/>
      <c r="L62" s="14"/>
      <c r="M62" s="14"/>
    </row>
    <row r="63" spans="1:13">
      <c r="A63" s="14" t="s">
        <v>1300</v>
      </c>
      <c r="B63" s="24" t="s">
        <v>1276</v>
      </c>
      <c r="C63" s="14"/>
      <c r="D63" s="393"/>
      <c r="E63" s="393"/>
      <c r="F63" s="393"/>
      <c r="G63" s="393"/>
      <c r="H63" s="393"/>
      <c r="I63" s="393"/>
      <c r="J63" s="393"/>
      <c r="K63" s="14"/>
      <c r="L63" s="14"/>
      <c r="M63" s="14"/>
    </row>
    <row r="64" spans="1:13">
      <c r="A64" s="14"/>
      <c r="B64" s="24" t="s">
        <v>1301</v>
      </c>
      <c r="C64" s="14"/>
      <c r="D64" s="393">
        <v>3</v>
      </c>
      <c r="E64" s="393">
        <v>4</v>
      </c>
      <c r="F64" s="393">
        <v>7.55</v>
      </c>
      <c r="G64" s="393">
        <v>0.5</v>
      </c>
      <c r="H64" s="393"/>
      <c r="I64" s="393"/>
      <c r="J64" s="393">
        <f>2*(E64+F64)*G64*D64</f>
        <v>34.650000000000006</v>
      </c>
      <c r="K64" s="14"/>
      <c r="L64" s="14"/>
      <c r="M64" s="14"/>
    </row>
    <row r="65" spans="1:13">
      <c r="A65" s="14"/>
      <c r="B65" s="24" t="s">
        <v>1302</v>
      </c>
      <c r="C65" s="14"/>
      <c r="D65" s="393">
        <v>3</v>
      </c>
      <c r="E65" s="393"/>
      <c r="F65" s="393">
        <v>7.55</v>
      </c>
      <c r="G65" s="393">
        <v>1.25</v>
      </c>
      <c r="H65" s="393"/>
      <c r="I65" s="393"/>
      <c r="J65" s="393">
        <f>G65*F65*8*D65</f>
        <v>226.5</v>
      </c>
      <c r="K65" s="14"/>
      <c r="L65" s="14"/>
      <c r="M65" s="14"/>
    </row>
    <row r="66" spans="1:13">
      <c r="A66" s="14"/>
      <c r="B66" s="24" t="s">
        <v>1303</v>
      </c>
      <c r="C66" s="14"/>
      <c r="D66" s="393">
        <v>3</v>
      </c>
      <c r="E66" s="393"/>
      <c r="F66" s="2432">
        <v>4.6295999999999999</v>
      </c>
      <c r="G66" s="2432"/>
      <c r="H66" s="825"/>
      <c r="I66" s="825"/>
      <c r="J66" s="393">
        <f>2*PRODUCT(D66:G66)</f>
        <v>27.7776</v>
      </c>
      <c r="K66" s="14"/>
      <c r="L66" s="14"/>
      <c r="M66" s="14"/>
    </row>
    <row r="67" spans="1:13">
      <c r="A67" s="14"/>
      <c r="B67" s="24"/>
      <c r="C67" s="14"/>
      <c r="D67" s="393"/>
      <c r="E67" s="393"/>
      <c r="F67" s="393"/>
      <c r="G67" s="393"/>
      <c r="H67" s="393"/>
      <c r="I67" s="393"/>
      <c r="J67" s="499">
        <f>SUM(J64:J66)</f>
        <v>288.92759999999998</v>
      </c>
      <c r="K67" s="14"/>
      <c r="L67" s="14"/>
      <c r="M67" s="14"/>
    </row>
    <row r="68" spans="1:13">
      <c r="A68" s="14"/>
      <c r="B68" s="24"/>
      <c r="C68" s="14"/>
      <c r="D68" s="393"/>
      <c r="E68" s="393"/>
      <c r="F68" s="393"/>
      <c r="G68" s="393"/>
      <c r="H68" s="393"/>
      <c r="I68" s="393"/>
      <c r="J68" s="393"/>
      <c r="K68" s="14"/>
      <c r="L68" s="14"/>
      <c r="M68" s="14"/>
    </row>
    <row r="69" spans="1:13">
      <c r="A69" s="14" t="s">
        <v>1304</v>
      </c>
      <c r="B69" s="24" t="s">
        <v>1275</v>
      </c>
      <c r="C69" s="14"/>
      <c r="D69" s="393">
        <v>0</v>
      </c>
      <c r="E69" s="393"/>
      <c r="F69" s="393"/>
      <c r="G69" s="393"/>
      <c r="H69" s="393"/>
      <c r="I69" s="393"/>
      <c r="J69" s="393">
        <f>(F69*6*4.5+E69*G69)*D69</f>
        <v>0</v>
      </c>
      <c r="K69" s="14"/>
      <c r="L69" s="14"/>
      <c r="M69" s="14"/>
    </row>
    <row r="70" spans="1:13">
      <c r="A70" s="14" t="s">
        <v>1305</v>
      </c>
      <c r="B70" s="24" t="s">
        <v>1280</v>
      </c>
      <c r="C70" s="14"/>
      <c r="D70" s="393"/>
      <c r="E70" s="393"/>
      <c r="F70" s="393"/>
      <c r="G70" s="393"/>
      <c r="H70" s="393"/>
      <c r="I70" s="393"/>
      <c r="J70" s="393"/>
      <c r="K70" s="14"/>
      <c r="L70" s="14"/>
      <c r="M70" s="14"/>
    </row>
    <row r="71" spans="1:13">
      <c r="A71" s="14"/>
      <c r="B71" s="24" t="s">
        <v>1301</v>
      </c>
      <c r="C71" s="14"/>
      <c r="D71" s="393">
        <v>12</v>
      </c>
      <c r="E71" s="393">
        <v>1.35</v>
      </c>
      <c r="F71" s="393">
        <v>1.35</v>
      </c>
      <c r="G71" s="393">
        <v>0.4</v>
      </c>
      <c r="H71" s="393"/>
      <c r="I71" s="393"/>
      <c r="J71" s="393">
        <f>2*E71*G71*D71</f>
        <v>12.96</v>
      </c>
      <c r="K71" s="14"/>
      <c r="L71" s="14"/>
      <c r="M71" s="14"/>
    </row>
    <row r="72" spans="1:13">
      <c r="A72" s="14"/>
      <c r="B72" s="24" t="s">
        <v>1306</v>
      </c>
      <c r="C72" s="14"/>
      <c r="D72" s="393">
        <v>12</v>
      </c>
      <c r="E72" s="393">
        <v>0.75</v>
      </c>
      <c r="F72" s="393">
        <v>0.75</v>
      </c>
      <c r="G72" s="393">
        <v>1.1200000000000001</v>
      </c>
      <c r="H72" s="393"/>
      <c r="I72" s="393"/>
      <c r="J72" s="393">
        <f>2*E72*G72*D72</f>
        <v>20.160000000000004</v>
      </c>
      <c r="K72" s="14"/>
      <c r="L72" s="14"/>
      <c r="M72" s="14"/>
    </row>
    <row r="73" spans="1:13">
      <c r="A73" s="14"/>
      <c r="B73" s="24" t="s">
        <v>1303</v>
      </c>
      <c r="C73" s="14"/>
      <c r="D73" s="393">
        <v>12</v>
      </c>
      <c r="E73" s="393"/>
      <c r="F73" s="2432">
        <v>1.3832</v>
      </c>
      <c r="G73" s="2432"/>
      <c r="H73" s="825"/>
      <c r="I73" s="825"/>
      <c r="J73" s="393">
        <f>2*D73*F73</f>
        <v>33.196799999999996</v>
      </c>
      <c r="K73" s="14"/>
      <c r="L73" s="14"/>
      <c r="M73" s="14"/>
    </row>
    <row r="74" spans="1:13">
      <c r="A74" s="14"/>
      <c r="B74" s="24"/>
      <c r="C74" s="14"/>
      <c r="D74" s="393"/>
      <c r="E74" s="393"/>
      <c r="F74" s="393"/>
      <c r="G74" s="393"/>
      <c r="H74" s="393"/>
      <c r="I74" s="393"/>
      <c r="J74" s="499">
        <f>SUM(J71:J73)</f>
        <v>66.316800000000001</v>
      </c>
      <c r="K74" s="499"/>
      <c r="L74" s="14"/>
      <c r="M74" s="14"/>
    </row>
    <row r="75" spans="1:13">
      <c r="A75" s="14" t="s">
        <v>1307</v>
      </c>
      <c r="B75" s="24" t="s">
        <v>1277</v>
      </c>
      <c r="C75" s="14"/>
      <c r="D75" s="393"/>
      <c r="E75" s="393"/>
      <c r="F75" s="393"/>
      <c r="G75" s="393"/>
      <c r="H75" s="393"/>
      <c r="I75" s="393"/>
      <c r="J75" s="393"/>
      <c r="K75" s="14"/>
      <c r="L75" s="14"/>
      <c r="M75" s="14"/>
    </row>
    <row r="76" spans="1:13">
      <c r="A76" s="14"/>
      <c r="B76" s="24" t="s">
        <v>1301</v>
      </c>
      <c r="C76" s="14"/>
      <c r="D76" s="393">
        <v>12</v>
      </c>
      <c r="E76" s="393">
        <v>1.35</v>
      </c>
      <c r="F76" s="393">
        <v>1.35</v>
      </c>
      <c r="G76" s="393">
        <v>0.4</v>
      </c>
      <c r="H76" s="393"/>
      <c r="I76" s="393"/>
      <c r="J76" s="393">
        <f>4*E76*G76*D76</f>
        <v>25.92</v>
      </c>
      <c r="K76" s="14"/>
      <c r="L76" s="14"/>
      <c r="M76" s="14"/>
    </row>
    <row r="77" spans="1:13">
      <c r="A77" s="14"/>
      <c r="B77" s="24" t="s">
        <v>1306</v>
      </c>
      <c r="C77" s="14"/>
      <c r="D77" s="393">
        <v>12</v>
      </c>
      <c r="E77" s="393">
        <v>0.75</v>
      </c>
      <c r="F77" s="393">
        <v>0.75</v>
      </c>
      <c r="G77" s="393">
        <v>1.1200000000000001</v>
      </c>
      <c r="H77" s="393"/>
      <c r="I77" s="393"/>
      <c r="J77" s="393">
        <f>4*E77*G77*D77</f>
        <v>40.320000000000007</v>
      </c>
      <c r="K77" s="14"/>
      <c r="L77" s="14"/>
      <c r="M77" s="14"/>
    </row>
    <row r="78" spans="1:13">
      <c r="A78" s="14"/>
      <c r="B78" s="24"/>
      <c r="C78" s="14"/>
      <c r="D78" s="393"/>
      <c r="E78" s="393"/>
      <c r="F78" s="393"/>
      <c r="G78" s="393"/>
      <c r="H78" s="393"/>
      <c r="I78" s="393"/>
      <c r="J78" s="499">
        <f>SUM(J76:J77)</f>
        <v>66.240000000000009</v>
      </c>
      <c r="K78" s="14"/>
      <c r="L78" s="14"/>
      <c r="M78" s="14"/>
    </row>
    <row r="79" spans="1:13">
      <c r="A79" s="14" t="s">
        <v>1308</v>
      </c>
      <c r="B79" s="24" t="s">
        <v>1282</v>
      </c>
      <c r="C79" s="14"/>
      <c r="D79" s="393"/>
      <c r="E79" s="393"/>
      <c r="F79" s="393"/>
      <c r="G79" s="393"/>
      <c r="H79" s="393"/>
      <c r="I79" s="393"/>
      <c r="J79" s="393"/>
      <c r="K79" s="14"/>
      <c r="L79" s="14"/>
      <c r="M79" s="14"/>
    </row>
    <row r="80" spans="1:13">
      <c r="A80" s="14"/>
      <c r="B80" s="24" t="s">
        <v>1301</v>
      </c>
      <c r="C80" s="14"/>
      <c r="D80" s="393">
        <v>4</v>
      </c>
      <c r="E80" s="393">
        <v>5.32</v>
      </c>
      <c r="F80" s="393">
        <v>2.1800000000000002</v>
      </c>
      <c r="G80" s="393">
        <v>0.5</v>
      </c>
      <c r="H80" s="393"/>
      <c r="I80" s="393"/>
      <c r="J80" s="393">
        <f>2*(E80+F80)*G80*D80</f>
        <v>30</v>
      </c>
      <c r="K80" s="14"/>
      <c r="L80" s="14"/>
      <c r="M80" s="14"/>
    </row>
    <row r="81" spans="1:21">
      <c r="A81" s="14"/>
      <c r="B81" s="24" t="s">
        <v>1306</v>
      </c>
      <c r="C81" s="14"/>
      <c r="D81" s="393">
        <v>4</v>
      </c>
      <c r="E81" s="393">
        <v>0.6</v>
      </c>
      <c r="F81" s="393">
        <v>0.6</v>
      </c>
      <c r="G81" s="393">
        <v>1.33</v>
      </c>
      <c r="H81" s="393"/>
      <c r="I81" s="393"/>
      <c r="J81" s="393">
        <f>8*2*(E81+F81)*G81*D81</f>
        <v>102.14400000000001</v>
      </c>
      <c r="K81" s="14"/>
      <c r="L81" s="14"/>
      <c r="M81" s="14"/>
    </row>
    <row r="82" spans="1:21">
      <c r="A82" s="14"/>
      <c r="B82" s="24"/>
      <c r="C82" s="14"/>
      <c r="D82" s="393"/>
      <c r="E82" s="14"/>
      <c r="F82" s="393"/>
      <c r="G82" s="393"/>
      <c r="H82" s="393"/>
      <c r="I82" s="393"/>
      <c r="J82" s="499">
        <f>SUM(J80:J81)</f>
        <v>132.14400000000001</v>
      </c>
      <c r="K82" s="14"/>
      <c r="L82" s="14"/>
      <c r="M82" s="14"/>
    </row>
    <row r="83" spans="1:21">
      <c r="A83" s="14"/>
      <c r="B83" s="24"/>
      <c r="C83" s="14"/>
      <c r="D83" s="393"/>
      <c r="E83" s="393"/>
      <c r="F83" s="393"/>
      <c r="G83" s="393"/>
      <c r="H83" s="393"/>
      <c r="I83" s="393"/>
      <c r="J83" s="499"/>
      <c r="K83" s="14"/>
      <c r="L83" s="14"/>
      <c r="M83" s="14"/>
    </row>
    <row r="84" spans="1:21">
      <c r="A84" s="14" t="s">
        <v>1309</v>
      </c>
      <c r="B84" s="24" t="s">
        <v>1281</v>
      </c>
      <c r="C84" s="14"/>
      <c r="D84" s="393">
        <v>4</v>
      </c>
      <c r="E84" s="393">
        <f>1.5*4</f>
        <v>6</v>
      </c>
      <c r="F84" s="393">
        <f>0.75*4</f>
        <v>3</v>
      </c>
      <c r="G84" s="393">
        <v>1.45</v>
      </c>
      <c r="H84" s="393"/>
      <c r="I84" s="393"/>
      <c r="J84" s="393">
        <f>(E84*0.5+G84*F84)*D84</f>
        <v>29.4</v>
      </c>
      <c r="K84" s="14"/>
      <c r="L84" s="14"/>
      <c r="M84" s="14"/>
    </row>
    <row r="85" spans="1:21">
      <c r="A85" s="14"/>
      <c r="B85" s="24" t="s">
        <v>1301</v>
      </c>
      <c r="C85" s="14"/>
      <c r="D85" s="393">
        <v>4</v>
      </c>
      <c r="E85" s="393">
        <v>1.5</v>
      </c>
      <c r="F85" s="393">
        <v>1.5</v>
      </c>
      <c r="G85" s="393">
        <v>0.4</v>
      </c>
      <c r="H85" s="393"/>
      <c r="I85" s="393"/>
      <c r="J85" s="393">
        <f>2*(E85+F85)*G85*D85</f>
        <v>9.6000000000000014</v>
      </c>
      <c r="K85" s="14"/>
      <c r="L85" s="14"/>
      <c r="M85" s="14"/>
    </row>
    <row r="86" spans="1:21">
      <c r="A86" s="14"/>
      <c r="B86" s="24" t="s">
        <v>1306</v>
      </c>
      <c r="C86" s="14"/>
      <c r="D86" s="393">
        <v>4</v>
      </c>
      <c r="E86" s="393">
        <v>0.75</v>
      </c>
      <c r="F86" s="393">
        <v>0.75</v>
      </c>
      <c r="G86" s="393">
        <v>1.43</v>
      </c>
      <c r="H86" s="393"/>
      <c r="I86" s="393"/>
      <c r="J86" s="393">
        <f>2*(E86+F86)*G86*D86</f>
        <v>17.16</v>
      </c>
      <c r="K86" s="14"/>
      <c r="L86" s="14"/>
      <c r="M86" s="14"/>
    </row>
    <row r="87" spans="1:21">
      <c r="A87" s="14"/>
      <c r="B87" s="24"/>
      <c r="C87" s="14"/>
      <c r="D87" s="393"/>
      <c r="E87" s="393"/>
      <c r="F87" s="393"/>
      <c r="G87" s="393"/>
      <c r="H87" s="393"/>
      <c r="I87" s="393"/>
      <c r="J87" s="499">
        <f>SUM(J84:J86)</f>
        <v>56.16</v>
      </c>
      <c r="K87" s="14"/>
      <c r="L87" s="14"/>
      <c r="M87" s="14"/>
    </row>
    <row r="88" spans="1:21">
      <c r="A88" s="14" t="s">
        <v>1310</v>
      </c>
      <c r="B88" s="24" t="s">
        <v>1284</v>
      </c>
      <c r="C88" s="14"/>
      <c r="D88" s="393"/>
      <c r="E88" s="393"/>
      <c r="F88" s="393"/>
      <c r="G88" s="393"/>
      <c r="H88" s="393"/>
      <c r="I88" s="393"/>
      <c r="J88" s="393"/>
      <c r="K88" s="14"/>
      <c r="L88" s="14"/>
      <c r="M88" s="14"/>
    </row>
    <row r="89" spans="1:21">
      <c r="A89" s="14"/>
      <c r="B89" s="24" t="s">
        <v>1301</v>
      </c>
      <c r="C89" s="14"/>
      <c r="D89" s="393">
        <v>8</v>
      </c>
      <c r="E89" s="393">
        <v>1.35</v>
      </c>
      <c r="F89" s="393">
        <v>1.35</v>
      </c>
      <c r="G89" s="393">
        <v>0.4</v>
      </c>
      <c r="H89" s="393"/>
      <c r="I89" s="393"/>
      <c r="J89" s="393">
        <f>2*(E89+F89)*G89*D89</f>
        <v>17.28</v>
      </c>
      <c r="K89" s="14"/>
      <c r="L89" s="14"/>
      <c r="M89" s="14"/>
    </row>
    <row r="90" spans="1:21">
      <c r="A90" s="14"/>
      <c r="B90" s="24" t="s">
        <v>1306</v>
      </c>
      <c r="C90" s="14"/>
      <c r="D90" s="393">
        <v>8</v>
      </c>
      <c r="E90" s="393">
        <v>0.75</v>
      </c>
      <c r="F90" s="393">
        <v>0.75</v>
      </c>
      <c r="G90" s="393">
        <v>1.43</v>
      </c>
      <c r="H90" s="393"/>
      <c r="I90" s="393"/>
      <c r="J90" s="393">
        <f>2*(E90+F90)*G90*D90</f>
        <v>34.32</v>
      </c>
      <c r="K90" s="14"/>
      <c r="L90" s="14"/>
      <c r="M90" s="14"/>
    </row>
    <row r="91" spans="1:21">
      <c r="A91" s="14"/>
      <c r="B91" s="24"/>
      <c r="C91" s="14"/>
      <c r="D91" s="393"/>
      <c r="E91" s="393"/>
      <c r="F91" s="393"/>
      <c r="G91" s="393"/>
      <c r="H91" s="393"/>
      <c r="I91" s="393"/>
      <c r="J91" s="499">
        <f>SUM(J89:J90)</f>
        <v>51.6</v>
      </c>
      <c r="K91" s="14"/>
      <c r="L91" s="14"/>
      <c r="M91" s="14"/>
    </row>
    <row r="92" spans="1:21" ht="12.75" customHeight="1">
      <c r="A92" s="14"/>
      <c r="B92" s="24" t="s">
        <v>1285</v>
      </c>
      <c r="C92" s="10"/>
      <c r="D92" s="2432">
        <v>10</v>
      </c>
      <c r="E92" s="393">
        <v>1.8</v>
      </c>
      <c r="F92" s="393">
        <v>1.8</v>
      </c>
      <c r="G92" s="393">
        <v>2.4</v>
      </c>
      <c r="H92" s="393"/>
      <c r="I92" s="393"/>
      <c r="J92" s="2433">
        <f>D92*(4*E92*G92+4*E93*G93)</f>
        <v>233.12</v>
      </c>
      <c r="K92" s="14" t="s">
        <v>1278</v>
      </c>
      <c r="L92" s="14"/>
      <c r="M92" s="14"/>
      <c r="O92" s="4" t="s">
        <v>1311</v>
      </c>
      <c r="P92" s="4" t="s">
        <v>1312</v>
      </c>
      <c r="Q92" s="4" t="s">
        <v>1313</v>
      </c>
      <c r="R92" s="4" t="s">
        <v>1314</v>
      </c>
      <c r="S92" s="4" t="s">
        <v>1312</v>
      </c>
      <c r="T92" s="4" t="s">
        <v>1313</v>
      </c>
      <c r="U92" s="4" t="s">
        <v>1315</v>
      </c>
    </row>
    <row r="93" spans="1:21">
      <c r="A93" s="14"/>
      <c r="B93" s="14"/>
      <c r="C93" s="10"/>
      <c r="D93" s="2432"/>
      <c r="E93" s="14">
        <v>2.6</v>
      </c>
      <c r="F93" s="14">
        <v>2.6</v>
      </c>
      <c r="G93" s="14">
        <v>0.57999999999999996</v>
      </c>
      <c r="H93" s="14"/>
      <c r="I93" s="14"/>
      <c r="J93" s="2433"/>
      <c r="K93" s="14" t="s">
        <v>1279</v>
      </c>
      <c r="L93" s="14"/>
      <c r="M93" s="14"/>
      <c r="N93" s="4" t="s">
        <v>1316</v>
      </c>
      <c r="O93" s="4">
        <v>776.87</v>
      </c>
    </row>
    <row r="94" spans="1:21">
      <c r="A94" s="14"/>
      <c r="B94" s="14" t="s">
        <v>1286</v>
      </c>
      <c r="C94" s="10"/>
      <c r="D94" s="23"/>
      <c r="E94" s="393"/>
      <c r="F94" s="393"/>
      <c r="G94" s="393"/>
      <c r="H94" s="393"/>
      <c r="I94" s="393"/>
      <c r="J94" s="393"/>
      <c r="K94" s="14"/>
      <c r="L94" s="14"/>
      <c r="M94" s="14"/>
      <c r="O94" s="4">
        <v>775.86</v>
      </c>
      <c r="P94" s="4">
        <f>$O$93-O94</f>
        <v>1.0099999999999909</v>
      </c>
      <c r="Q94" s="4">
        <f>P94+0.2</f>
        <v>1.2099999999999909</v>
      </c>
      <c r="R94" s="4">
        <v>775.6</v>
      </c>
      <c r="S94" s="4">
        <f>$O$93-R94</f>
        <v>1.2699999999999818</v>
      </c>
      <c r="T94" s="4">
        <f>S94+0.2</f>
        <v>1.4699999999999818</v>
      </c>
      <c r="U94" s="4">
        <v>25.8</v>
      </c>
    </row>
    <row r="95" spans="1:21">
      <c r="A95" s="14"/>
      <c r="B95" s="921" t="s">
        <v>1287</v>
      </c>
      <c r="C95" s="10"/>
      <c r="D95" s="23">
        <v>4</v>
      </c>
      <c r="E95" s="393">
        <f>E41</f>
        <v>25.49</v>
      </c>
      <c r="F95" s="393"/>
      <c r="G95" s="393">
        <v>1.05</v>
      </c>
      <c r="H95" s="393"/>
      <c r="I95" s="393"/>
      <c r="J95" s="393">
        <f>PRODUCT(D95:G95)</f>
        <v>107.05799999999999</v>
      </c>
      <c r="K95" s="14"/>
      <c r="L95" s="14"/>
      <c r="M95" s="14"/>
      <c r="O95" s="4">
        <v>775.91</v>
      </c>
      <c r="P95" s="4">
        <f>$O$93-O95</f>
        <v>0.96000000000003638</v>
      </c>
      <c r="Q95" s="4">
        <f>P95+0.2</f>
        <v>1.1600000000000363</v>
      </c>
      <c r="R95" s="4">
        <v>775.65</v>
      </c>
      <c r="S95" s="4">
        <f>$O$93-R95</f>
        <v>1.2200000000000273</v>
      </c>
      <c r="T95" s="4">
        <f>S95+0.2</f>
        <v>1.4200000000000272</v>
      </c>
      <c r="U95" s="4">
        <v>25.8</v>
      </c>
    </row>
    <row r="96" spans="1:21">
      <c r="A96" s="14"/>
      <c r="B96" s="921" t="s">
        <v>1288</v>
      </c>
      <c r="C96" s="10"/>
      <c r="D96" s="23">
        <v>4</v>
      </c>
      <c r="E96" s="393">
        <f>E42</f>
        <v>25.52</v>
      </c>
      <c r="F96" s="393"/>
      <c r="G96" s="393">
        <v>1.05</v>
      </c>
      <c r="H96" s="393"/>
      <c r="I96" s="393"/>
      <c r="J96" s="393">
        <f t="shared" ref="J96:J98" si="0">PRODUCT(D96:G96)</f>
        <v>107.184</v>
      </c>
      <c r="K96" s="14"/>
      <c r="L96" s="14"/>
      <c r="M96" s="14"/>
      <c r="O96" s="4">
        <v>775.86</v>
      </c>
      <c r="P96" s="4">
        <f>$O$93-O96</f>
        <v>1.0099999999999909</v>
      </c>
      <c r="Q96" s="4">
        <f>P96+0.2</f>
        <v>1.2099999999999909</v>
      </c>
      <c r="R96" s="4">
        <v>775.6</v>
      </c>
      <c r="S96" s="4">
        <f>$O$93-R96</f>
        <v>1.2699999999999818</v>
      </c>
      <c r="T96" s="4">
        <f>S96+0.2</f>
        <v>1.4699999999999818</v>
      </c>
      <c r="U96" s="4">
        <v>25.8</v>
      </c>
    </row>
    <row r="97" spans="1:16">
      <c r="A97" s="14"/>
      <c r="B97" s="921" t="s">
        <v>1288</v>
      </c>
      <c r="C97" s="10"/>
      <c r="D97" s="23">
        <v>4</v>
      </c>
      <c r="E97" s="393">
        <f>E43</f>
        <v>25.54</v>
      </c>
      <c r="F97" s="393"/>
      <c r="G97" s="393">
        <v>1.05</v>
      </c>
      <c r="H97" s="393"/>
      <c r="I97" s="393"/>
      <c r="J97" s="393">
        <f t="shared" si="0"/>
        <v>107.268</v>
      </c>
      <c r="K97" s="14"/>
      <c r="L97" s="14"/>
      <c r="M97" s="14"/>
    </row>
    <row r="98" spans="1:16">
      <c r="A98" s="14"/>
      <c r="B98" s="921" t="s">
        <v>1289</v>
      </c>
      <c r="C98" s="10"/>
      <c r="D98" s="23">
        <v>4</v>
      </c>
      <c r="E98" s="393">
        <f>E44</f>
        <v>25.7</v>
      </c>
      <c r="F98" s="393"/>
      <c r="G98" s="393">
        <v>1.05</v>
      </c>
      <c r="H98" s="393"/>
      <c r="I98" s="393"/>
      <c r="J98" s="393">
        <f t="shared" si="0"/>
        <v>107.94</v>
      </c>
      <c r="K98" s="14"/>
      <c r="L98" s="14"/>
      <c r="M98" s="14"/>
    </row>
    <row r="99" spans="1:16" ht="15.75" customHeight="1">
      <c r="A99" s="14"/>
      <c r="B99" s="921" t="s">
        <v>1303</v>
      </c>
      <c r="C99" s="10"/>
      <c r="D99" s="23">
        <v>8</v>
      </c>
      <c r="E99" s="393"/>
      <c r="F99" s="2434">
        <v>1.05</v>
      </c>
      <c r="G99" s="2434"/>
      <c r="H99" s="928"/>
      <c r="I99" s="928"/>
      <c r="J99" s="393">
        <f>F99*D99</f>
        <v>8.4</v>
      </c>
      <c r="K99" s="14"/>
      <c r="L99" s="14"/>
      <c r="M99" s="14"/>
    </row>
    <row r="100" spans="1:16" ht="15.75" customHeight="1">
      <c r="A100" s="14"/>
      <c r="B100" s="921" t="s">
        <v>606</v>
      </c>
      <c r="C100" s="10"/>
      <c r="D100" s="23">
        <v>1</v>
      </c>
      <c r="E100" s="393">
        <f>SUM(E95:E98)</f>
        <v>102.25</v>
      </c>
      <c r="F100" s="928">
        <v>1.05</v>
      </c>
      <c r="G100" s="928"/>
      <c r="H100" s="928"/>
      <c r="I100" s="928"/>
      <c r="J100" s="393">
        <f>F100*E100*D100</f>
        <v>107.36250000000001</v>
      </c>
      <c r="K100" s="14"/>
      <c r="L100" s="14"/>
      <c r="M100" s="14"/>
    </row>
    <row r="101" spans="1:16">
      <c r="A101" s="14"/>
      <c r="B101" s="14" t="s">
        <v>1290</v>
      </c>
      <c r="C101" s="14"/>
      <c r="D101" s="23"/>
      <c r="E101" s="393"/>
      <c r="F101" s="393"/>
      <c r="G101" s="393"/>
      <c r="H101" s="393"/>
      <c r="I101" s="393"/>
      <c r="J101" s="393"/>
      <c r="K101" s="14"/>
      <c r="L101" s="14"/>
      <c r="M101" s="14"/>
      <c r="O101" s="2430" t="s">
        <v>1286</v>
      </c>
      <c r="P101" s="2431"/>
    </row>
    <row r="102" spans="1:16">
      <c r="A102" s="14"/>
      <c r="B102" s="921" t="s">
        <v>1291</v>
      </c>
      <c r="C102" s="14"/>
      <c r="D102" s="23">
        <v>4</v>
      </c>
      <c r="E102" s="393">
        <f>E46</f>
        <v>33.5</v>
      </c>
      <c r="F102" s="393"/>
      <c r="G102" s="393">
        <v>1.1200000000000001</v>
      </c>
      <c r="H102" s="393"/>
      <c r="I102" s="393"/>
      <c r="J102" s="393">
        <f>G102*E102*D102</f>
        <v>150.08000000000001</v>
      </c>
      <c r="K102" s="14"/>
      <c r="L102" s="14"/>
      <c r="M102" s="14"/>
      <c r="O102" s="921" t="s">
        <v>1288</v>
      </c>
      <c r="P102" s="393">
        <f>(0.75*P95)+(1.05*Q95)</f>
        <v>1.9380000000000654</v>
      </c>
    </row>
    <row r="103" spans="1:16">
      <c r="A103" s="14"/>
      <c r="B103" s="921" t="s">
        <v>1287</v>
      </c>
      <c r="C103" s="14"/>
      <c r="D103" s="23">
        <v>4</v>
      </c>
      <c r="E103" s="393">
        <f>E47</f>
        <v>6.69</v>
      </c>
      <c r="F103" s="393"/>
      <c r="G103" s="393">
        <v>1.1200000000000001</v>
      </c>
      <c r="H103" s="393"/>
      <c r="I103" s="393"/>
      <c r="J103" s="393">
        <f>G103*E103*D103</f>
        <v>29.971200000000003</v>
      </c>
      <c r="K103" s="14"/>
      <c r="L103" s="14"/>
      <c r="M103" s="14"/>
      <c r="O103" s="921" t="s">
        <v>1289</v>
      </c>
      <c r="P103" s="393">
        <f>(0.75*P96)+(1.05*Q96)</f>
        <v>2.0279999999999836</v>
      </c>
    </row>
    <row r="104" spans="1:16">
      <c r="A104" s="14"/>
      <c r="B104" s="921" t="s">
        <v>1303</v>
      </c>
      <c r="C104" s="14"/>
      <c r="D104" s="23">
        <v>4</v>
      </c>
      <c r="E104" s="393"/>
      <c r="G104" s="825"/>
      <c r="H104" s="825"/>
      <c r="I104" s="825">
        <v>0.68</v>
      </c>
      <c r="J104" s="393">
        <f>D104*I104</f>
        <v>2.72</v>
      </c>
      <c r="K104" s="14"/>
      <c r="L104" s="14"/>
      <c r="M104" s="14"/>
      <c r="O104" s="53"/>
      <c r="P104" s="388"/>
    </row>
    <row r="105" spans="1:16">
      <c r="A105" s="14"/>
      <c r="B105" s="921" t="s">
        <v>606</v>
      </c>
      <c r="C105" s="14"/>
      <c r="D105" s="23">
        <v>1</v>
      </c>
      <c r="E105" s="393">
        <f>SUM(E102:E103)</f>
        <v>40.19</v>
      </c>
      <c r="F105" s="825">
        <v>1.1499999999999999</v>
      </c>
      <c r="G105" s="825"/>
      <c r="H105" s="825"/>
      <c r="I105" s="825"/>
      <c r="J105" s="393">
        <f>D105*E105*F105</f>
        <v>46.218499999999992</v>
      </c>
      <c r="K105" s="14"/>
      <c r="L105" s="14"/>
      <c r="M105" s="14"/>
      <c r="O105" s="53"/>
      <c r="P105" s="388"/>
    </row>
    <row r="106" spans="1:16">
      <c r="A106" s="14"/>
      <c r="B106" s="921" t="s">
        <v>1317</v>
      </c>
      <c r="C106" s="14"/>
      <c r="D106" s="23"/>
      <c r="E106" s="393"/>
      <c r="F106" s="825"/>
      <c r="G106" s="825"/>
      <c r="H106" s="825"/>
      <c r="I106" s="825"/>
      <c r="J106" s="393"/>
      <c r="K106" s="14"/>
      <c r="L106" s="14"/>
      <c r="M106" s="14"/>
      <c r="O106" s="53"/>
      <c r="P106" s="388"/>
    </row>
    <row r="107" spans="1:16">
      <c r="A107" s="14"/>
      <c r="B107" s="921" t="s">
        <v>543</v>
      </c>
      <c r="C107" s="14"/>
      <c r="D107" s="23">
        <v>4</v>
      </c>
      <c r="E107" s="393">
        <f>E48</f>
        <v>102.47</v>
      </c>
      <c r="F107" s="825"/>
      <c r="G107" s="825">
        <v>1.3</v>
      </c>
      <c r="H107" s="825"/>
      <c r="I107" s="825"/>
      <c r="J107" s="393">
        <f>D107*E107*G107</f>
        <v>532.84400000000005</v>
      </c>
      <c r="K107" s="14"/>
      <c r="L107" s="14"/>
      <c r="M107" s="14"/>
      <c r="O107" s="53"/>
      <c r="P107" s="388"/>
    </row>
    <row r="108" spans="1:16">
      <c r="A108" s="14"/>
      <c r="B108" s="921" t="s">
        <v>606</v>
      </c>
      <c r="C108" s="14"/>
      <c r="D108" s="23">
        <v>1</v>
      </c>
      <c r="E108" s="393">
        <v>102.47</v>
      </c>
      <c r="F108" s="825">
        <v>1.5</v>
      </c>
      <c r="G108" s="825"/>
      <c r="H108" s="825"/>
      <c r="I108" s="825"/>
      <c r="J108" s="393">
        <f>D108*E108*F108</f>
        <v>153.70499999999998</v>
      </c>
      <c r="K108" s="14"/>
      <c r="L108" s="14"/>
      <c r="M108" s="14"/>
      <c r="O108" s="53"/>
      <c r="P108" s="388"/>
    </row>
    <row r="109" spans="1:16">
      <c r="A109" s="14"/>
      <c r="B109" s="921" t="s">
        <v>1318</v>
      </c>
      <c r="C109" s="14"/>
      <c r="D109" s="23">
        <f>E108/15</f>
        <v>6.8313333333333333</v>
      </c>
      <c r="E109" s="393"/>
      <c r="G109" s="825"/>
      <c r="H109" s="825"/>
      <c r="I109" s="825">
        <v>1.1029</v>
      </c>
      <c r="J109" s="393">
        <f>D109*I109</f>
        <v>7.5342775333333334</v>
      </c>
      <c r="K109" s="14"/>
      <c r="L109" s="14"/>
      <c r="M109" s="14"/>
      <c r="O109" s="53"/>
      <c r="P109" s="388"/>
    </row>
    <row r="110" spans="1:16">
      <c r="A110" s="14"/>
      <c r="B110" s="14"/>
      <c r="C110" s="14"/>
      <c r="D110" s="14"/>
      <c r="E110" s="14"/>
      <c r="F110" s="14"/>
      <c r="G110" s="14"/>
      <c r="H110" s="909"/>
      <c r="I110" s="910" t="s">
        <v>20</v>
      </c>
      <c r="J110" s="911">
        <f>SUM(J102:J105,J95:J100,J92,J91,J87,J82,J78,J74,J67,J62,J107:J109)</f>
        <v>2527.6600775333336</v>
      </c>
      <c r="K110" s="14"/>
      <c r="L110" s="14">
        <v>1401.4</v>
      </c>
      <c r="M110" s="14">
        <f>L110*J110</f>
        <v>3542262.8326552138</v>
      </c>
    </row>
    <row r="111" spans="1:16">
      <c r="L111" s="100" t="s">
        <v>20</v>
      </c>
      <c r="M111" s="1515">
        <f>SUM(M11:M110)</f>
        <v>25266635.629530214</v>
      </c>
    </row>
  </sheetData>
  <mergeCells count="33">
    <mergeCell ref="O101:P101"/>
    <mergeCell ref="B38:B39"/>
    <mergeCell ref="D38:D39"/>
    <mergeCell ref="J38:J39"/>
    <mergeCell ref="C40:C44"/>
    <mergeCell ref="F40:G40"/>
    <mergeCell ref="F45:G45"/>
    <mergeCell ref="F66:G66"/>
    <mergeCell ref="F73:G73"/>
    <mergeCell ref="D92:D93"/>
    <mergeCell ref="J92:J93"/>
    <mergeCell ref="F99:G99"/>
    <mergeCell ref="B34:B35"/>
    <mergeCell ref="C34:C35"/>
    <mergeCell ref="J34:J35"/>
    <mergeCell ref="B36:B37"/>
    <mergeCell ref="C36:C37"/>
    <mergeCell ref="D36:D37"/>
    <mergeCell ref="J36:J37"/>
    <mergeCell ref="B30:B31"/>
    <mergeCell ref="C30:C31"/>
    <mergeCell ref="D30:D31"/>
    <mergeCell ref="J30:J31"/>
    <mergeCell ref="B32:B33"/>
    <mergeCell ref="C32:C33"/>
    <mergeCell ref="D32:D33"/>
    <mergeCell ref="J32:J33"/>
    <mergeCell ref="J28:J29"/>
    <mergeCell ref="F9:G9"/>
    <mergeCell ref="F23:G23"/>
    <mergeCell ref="B28:B29"/>
    <mergeCell ref="C28:C29"/>
    <mergeCell ref="D28:D29"/>
  </mergeCells>
  <printOptions horizontalCentered="1"/>
  <pageMargins left="0.7" right="0.7" top="0.71" bottom="0.59" header="0.3" footer="0.16"/>
  <pageSetup paperSize="9" scale="78" fitToHeight="3" orientation="landscape" r:id="rId1"/>
  <rowBreaks count="1" manualBreakCount="1">
    <brk id="33" max="10" man="1"/>
  </rowBreaks>
  <colBreaks count="1" manualBreakCount="1">
    <brk id="11" min="9" max="109" man="1"/>
  </colBreaks>
  <drawing r:id="rId2"/>
  <legacyDrawing r:id="rId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53">
    <tabColor rgb="FF7030A0"/>
    <pageSetUpPr fitToPage="1"/>
  </sheetPr>
  <dimension ref="A1:O43"/>
  <sheetViews>
    <sheetView workbookViewId="0"/>
  </sheetViews>
  <sheetFormatPr defaultColWidth="9.109375" defaultRowHeight="16.8"/>
  <cols>
    <col min="1" max="1" width="12.33203125" style="929" customWidth="1"/>
    <col min="2" max="2" width="35.33203125" style="929" customWidth="1"/>
    <col min="3" max="3" width="9.109375" style="929"/>
    <col min="4" max="4" width="7" style="929" customWidth="1"/>
    <col min="5" max="5" width="9.6640625" style="929" customWidth="1"/>
    <col min="6" max="6" width="11.6640625" style="929" customWidth="1"/>
    <col min="7" max="7" width="9.109375" style="929" customWidth="1"/>
    <col min="8" max="8" width="12.5546875" style="929" customWidth="1"/>
    <col min="9" max="9" width="9" style="929" customWidth="1"/>
    <col min="10" max="10" width="11.5546875" style="929" bestFit="1" customWidth="1"/>
    <col min="11" max="11" width="12.5546875" style="929" hidden="1" customWidth="1"/>
    <col min="12" max="12" width="15.33203125" style="929" hidden="1" customWidth="1"/>
    <col min="13" max="13" width="11.6640625" style="929" bestFit="1" customWidth="1"/>
    <col min="14" max="14" width="15" style="929" bestFit="1" customWidth="1"/>
    <col min="15" max="15" width="20.5546875" style="929" bestFit="1" customWidth="1"/>
    <col min="16" max="16384" width="9.109375" style="929"/>
  </cols>
  <sheetData>
    <row r="1" spans="1:15" s="520" customFormat="1" ht="19.2">
      <c r="A1" s="522"/>
      <c r="C1" s="523"/>
      <c r="D1" s="537"/>
      <c r="E1" s="1223"/>
      <c r="F1" s="1223"/>
      <c r="G1" s="523"/>
    </row>
    <row r="2" spans="1:15" s="520" customFormat="1" ht="19.2">
      <c r="A2" s="522"/>
      <c r="C2" s="523"/>
      <c r="D2" s="537"/>
      <c r="E2" s="1223"/>
      <c r="F2" s="1223"/>
      <c r="G2" s="523"/>
    </row>
    <row r="3" spans="1:15" s="520" customFormat="1" ht="19.2">
      <c r="A3" s="226" t="s">
        <v>0</v>
      </c>
      <c r="B3" s="1248" t="s">
        <v>2389</v>
      </c>
      <c r="C3" s="523"/>
      <c r="D3" s="537"/>
      <c r="E3" s="1223"/>
      <c r="F3" s="1223"/>
      <c r="G3" s="523"/>
    </row>
    <row r="4" spans="1:15" s="520" customFormat="1" ht="19.2">
      <c r="A4" s="119" t="s">
        <v>1</v>
      </c>
      <c r="B4" s="1248">
        <v>930100</v>
      </c>
      <c r="C4" s="523"/>
      <c r="D4" s="537"/>
      <c r="E4" s="1223"/>
      <c r="F4" s="1223"/>
      <c r="G4" s="523"/>
    </row>
    <row r="5" spans="1:15" s="520" customFormat="1" ht="19.2">
      <c r="A5" s="119" t="s">
        <v>2</v>
      </c>
      <c r="B5" s="1247" t="s">
        <v>331</v>
      </c>
      <c r="C5" s="523"/>
      <c r="D5" s="537"/>
      <c r="E5" s="1223"/>
      <c r="I5" s="1276" t="s">
        <v>1561</v>
      </c>
      <c r="J5" s="523" t="s">
        <v>1562</v>
      </c>
    </row>
    <row r="6" spans="1:15" s="520" customFormat="1" ht="19.2">
      <c r="A6" s="119" t="s">
        <v>3</v>
      </c>
      <c r="B6" s="1247" t="s">
        <v>1585</v>
      </c>
      <c r="C6" s="523"/>
      <c r="D6" s="537"/>
      <c r="E6" s="1223"/>
      <c r="I6" s="1276" t="s">
        <v>171</v>
      </c>
      <c r="J6" s="523" t="s">
        <v>1563</v>
      </c>
    </row>
    <row r="7" spans="1:15" s="520" customFormat="1" ht="19.2">
      <c r="A7" s="119" t="s">
        <v>4</v>
      </c>
      <c r="B7" s="1247"/>
      <c r="C7" s="523"/>
      <c r="D7" s="537"/>
      <c r="E7" s="1223"/>
      <c r="I7" s="1276" t="s">
        <v>106</v>
      </c>
      <c r="J7" s="1277">
        <f ca="1">TODAY()</f>
        <v>44942</v>
      </c>
    </row>
    <row r="8" spans="1:15">
      <c r="A8" s="4"/>
      <c r="B8" s="55"/>
      <c r="C8" s="382"/>
      <c r="D8" s="382"/>
      <c r="E8" s="383"/>
      <c r="F8" s="383"/>
      <c r="G8" s="383"/>
      <c r="H8" s="383"/>
      <c r="I8" s="383"/>
      <c r="J8" s="866"/>
      <c r="K8" s="867"/>
    </row>
    <row r="9" spans="1:15">
      <c r="A9" s="930"/>
      <c r="B9" s="930"/>
      <c r="C9" s="930"/>
      <c r="D9" s="930"/>
    </row>
    <row r="10" spans="1:15" ht="17.399999999999999" thickBot="1">
      <c r="A10" s="931" t="s">
        <v>1320</v>
      </c>
      <c r="B10" s="931"/>
      <c r="C10" s="931"/>
    </row>
    <row r="11" spans="1:15">
      <c r="A11" s="932" t="s">
        <v>7</v>
      </c>
      <c r="B11" s="933" t="s">
        <v>8</v>
      </c>
      <c r="C11" s="933" t="s">
        <v>9</v>
      </c>
      <c r="D11" s="933" t="s">
        <v>10</v>
      </c>
      <c r="E11" s="934" t="s">
        <v>11</v>
      </c>
      <c r="F11" s="934" t="s">
        <v>12</v>
      </c>
      <c r="G11" s="934" t="s">
        <v>13</v>
      </c>
      <c r="H11" s="934" t="s">
        <v>14</v>
      </c>
      <c r="I11" s="934" t="s">
        <v>15</v>
      </c>
      <c r="J11" s="934" t="s">
        <v>16</v>
      </c>
      <c r="K11" s="934" t="s">
        <v>34</v>
      </c>
      <c r="L11" s="934" t="s">
        <v>485</v>
      </c>
      <c r="M11" s="935" t="s">
        <v>17</v>
      </c>
      <c r="N11" s="935" t="s">
        <v>1266</v>
      </c>
      <c r="O11" s="935" t="s">
        <v>1234</v>
      </c>
    </row>
    <row r="12" spans="1:15">
      <c r="A12" s="996">
        <v>1</v>
      </c>
      <c r="B12" s="2122" t="s">
        <v>3343</v>
      </c>
      <c r="C12" s="998" t="s">
        <v>21</v>
      </c>
      <c r="D12" s="998">
        <v>1</v>
      </c>
      <c r="E12" s="999"/>
      <c r="F12" s="999">
        <v>4.2</v>
      </c>
      <c r="G12" s="999"/>
      <c r="H12" s="999"/>
      <c r="I12" s="999">
        <v>101</v>
      </c>
      <c r="J12" s="999">
        <f>F12*I12</f>
        <v>424.20000000000005</v>
      </c>
      <c r="K12" s="999"/>
      <c r="L12" s="999"/>
      <c r="M12" s="1000"/>
      <c r="N12" s="1000"/>
      <c r="O12" s="1000"/>
    </row>
    <row r="13" spans="1:15">
      <c r="A13" s="936">
        <v>2</v>
      </c>
      <c r="B13" s="937" t="s">
        <v>22</v>
      </c>
      <c r="C13" s="938" t="s">
        <v>21</v>
      </c>
      <c r="D13" s="7"/>
      <c r="E13" s="391"/>
      <c r="F13" s="391"/>
      <c r="G13" s="391"/>
      <c r="H13" s="391"/>
      <c r="I13" s="391"/>
      <c r="J13" s="939"/>
      <c r="K13" s="940"/>
      <c r="L13" s="940"/>
      <c r="M13" s="941"/>
      <c r="N13" s="941"/>
      <c r="O13" s="941"/>
    </row>
    <row r="14" spans="1:15">
      <c r="A14" s="942"/>
      <c r="B14" s="943" t="s">
        <v>1319</v>
      </c>
      <c r="C14" s="944"/>
      <c r="D14" s="45">
        <v>1</v>
      </c>
      <c r="E14" s="945"/>
      <c r="F14" s="945">
        <v>29.75</v>
      </c>
      <c r="G14" s="945"/>
      <c r="H14" s="945"/>
      <c r="I14" s="945">
        <v>21</v>
      </c>
      <c r="J14" s="946">
        <f>I14*F14*D14</f>
        <v>624.75</v>
      </c>
      <c r="K14" s="947"/>
      <c r="L14" s="947"/>
      <c r="M14" s="948"/>
      <c r="N14" s="949"/>
      <c r="O14" s="949"/>
    </row>
    <row r="15" spans="1:15">
      <c r="A15" s="942"/>
      <c r="B15" s="950"/>
      <c r="C15" s="951"/>
      <c r="D15" s="12"/>
      <c r="E15" s="825"/>
      <c r="F15" s="825"/>
      <c r="G15" s="825"/>
      <c r="H15" s="825"/>
      <c r="I15" s="952" t="s">
        <v>20</v>
      </c>
      <c r="J15" s="953">
        <f>SUM(J14:J14)</f>
        <v>624.75</v>
      </c>
      <c r="K15" s="954">
        <v>600</v>
      </c>
      <c r="L15" s="947">
        <f>K15*J15</f>
        <v>374850</v>
      </c>
      <c r="M15" s="498"/>
      <c r="N15" s="949">
        <v>262.5</v>
      </c>
      <c r="O15" s="949">
        <f>N15*J15</f>
        <v>163996.875</v>
      </c>
    </row>
    <row r="16" spans="1:15">
      <c r="A16" s="942"/>
      <c r="B16" s="950"/>
      <c r="C16" s="951"/>
      <c r="D16" s="12"/>
      <c r="E16" s="15"/>
      <c r="F16" s="15"/>
      <c r="G16" s="15"/>
      <c r="H16" s="15"/>
      <c r="I16" s="536"/>
      <c r="J16" s="955"/>
      <c r="K16" s="954"/>
      <c r="L16" s="947"/>
      <c r="M16" s="498"/>
      <c r="N16" s="949"/>
      <c r="O16" s="949"/>
    </row>
    <row r="17" spans="1:15">
      <c r="A17" s="936">
        <f>A13+1</f>
        <v>3</v>
      </c>
      <c r="B17" s="937" t="s">
        <v>309</v>
      </c>
      <c r="C17" s="938" t="s">
        <v>19</v>
      </c>
      <c r="D17" s="5"/>
      <c r="E17" s="5"/>
      <c r="F17" s="5"/>
      <c r="G17" s="5"/>
      <c r="H17" s="5"/>
      <c r="I17" s="5"/>
      <c r="J17" s="5"/>
      <c r="K17" s="6"/>
      <c r="L17" s="6"/>
      <c r="M17" s="956"/>
      <c r="N17" s="941"/>
      <c r="O17" s="941"/>
    </row>
    <row r="18" spans="1:15">
      <c r="A18" s="957"/>
      <c r="B18" s="958" t="s">
        <v>1321</v>
      </c>
      <c r="C18" s="959"/>
      <c r="D18" s="960">
        <v>1</v>
      </c>
      <c r="E18" s="960"/>
      <c r="F18" s="960"/>
      <c r="G18" s="961">
        <v>3.3</v>
      </c>
      <c r="H18" s="960">
        <v>232</v>
      </c>
      <c r="I18" s="960">
        <f>H18*G18</f>
        <v>765.59999999999991</v>
      </c>
      <c r="J18" s="960">
        <f>I18*D18</f>
        <v>765.59999999999991</v>
      </c>
      <c r="K18" s="358"/>
      <c r="L18" s="358"/>
      <c r="M18" s="962"/>
      <c r="N18" s="949"/>
      <c r="O18" s="949"/>
    </row>
    <row r="19" spans="1:15">
      <c r="A19" s="957"/>
      <c r="B19" s="958" t="s">
        <v>1322</v>
      </c>
      <c r="C19" s="959"/>
      <c r="D19" s="960">
        <v>1</v>
      </c>
      <c r="E19" s="960">
        <v>60</v>
      </c>
      <c r="F19" s="960">
        <v>2.4</v>
      </c>
      <c r="G19" s="960"/>
      <c r="H19" s="960"/>
      <c r="I19" s="960">
        <f>F19*E19*1.1</f>
        <v>158.4</v>
      </c>
      <c r="J19" s="960">
        <f>I19*D19</f>
        <v>158.4</v>
      </c>
      <c r="K19" s="358"/>
      <c r="L19" s="358"/>
      <c r="M19" s="962"/>
      <c r="N19" s="949"/>
      <c r="O19" s="949"/>
    </row>
    <row r="20" spans="1:15">
      <c r="A20" s="942"/>
      <c r="B20" s="950" t="s">
        <v>1323</v>
      </c>
      <c r="C20" s="951"/>
      <c r="D20" s="10">
        <v>3</v>
      </c>
      <c r="E20" s="825"/>
      <c r="F20" s="825">
        <v>4.4000000000000004</v>
      </c>
      <c r="G20" s="825"/>
      <c r="H20" s="825">
        <v>15</v>
      </c>
      <c r="I20" s="825">
        <f>H20*F20</f>
        <v>66</v>
      </c>
      <c r="J20" s="960">
        <f>I20*D20</f>
        <v>198</v>
      </c>
      <c r="K20" s="393"/>
      <c r="L20" s="393"/>
      <c r="M20" s="860"/>
      <c r="N20" s="949"/>
      <c r="O20" s="949"/>
    </row>
    <row r="21" spans="1:15">
      <c r="A21" s="942"/>
      <c r="B21" s="950"/>
      <c r="C21" s="951"/>
      <c r="D21" s="12"/>
      <c r="E21" s="825"/>
      <c r="F21" s="825"/>
      <c r="G21" s="825"/>
      <c r="H21" s="963"/>
      <c r="I21" s="952" t="s">
        <v>1324</v>
      </c>
      <c r="J21" s="953">
        <f>SUM(J18:J20)</f>
        <v>1122</v>
      </c>
      <c r="K21" s="964">
        <v>1650</v>
      </c>
      <c r="L21" s="964">
        <f>K21*J21</f>
        <v>1851300</v>
      </c>
      <c r="M21" s="860"/>
      <c r="N21" s="949">
        <v>1401.4</v>
      </c>
      <c r="O21" s="949">
        <f>N21*J21</f>
        <v>1572370.8</v>
      </c>
    </row>
    <row r="22" spans="1:15">
      <c r="A22" s="942"/>
      <c r="B22" s="950"/>
      <c r="C22" s="951"/>
      <c r="D22" s="12"/>
      <c r="E22" s="15"/>
      <c r="F22" s="15"/>
      <c r="G22" s="15"/>
      <c r="H22" s="965"/>
      <c r="I22" s="536"/>
      <c r="J22" s="955"/>
      <c r="K22" s="964"/>
      <c r="L22" s="964"/>
      <c r="M22" s="860"/>
      <c r="N22" s="949"/>
      <c r="O22" s="949"/>
    </row>
    <row r="23" spans="1:15">
      <c r="A23" s="936">
        <f>A17+1</f>
        <v>4</v>
      </c>
      <c r="B23" s="937" t="s">
        <v>756</v>
      </c>
      <c r="C23" s="938" t="s">
        <v>21</v>
      </c>
      <c r="D23" s="7"/>
      <c r="E23" s="391"/>
      <c r="F23" s="391"/>
      <c r="G23" s="391"/>
      <c r="H23" s="391"/>
      <c r="I23" s="391"/>
      <c r="J23" s="939"/>
      <c r="K23" s="966"/>
      <c r="L23" s="966"/>
      <c r="M23" s="967"/>
      <c r="N23" s="941"/>
      <c r="O23" s="941"/>
    </row>
    <row r="24" spans="1:15">
      <c r="A24" s="942"/>
      <c r="B24" s="968" t="s">
        <v>1325</v>
      </c>
      <c r="C24" s="951"/>
      <c r="D24" s="12">
        <v>1</v>
      </c>
      <c r="E24" s="825"/>
      <c r="F24" s="825"/>
      <c r="G24" s="825">
        <v>7.4999999999999997E-2</v>
      </c>
      <c r="H24" s="825"/>
      <c r="I24" s="825">
        <v>400</v>
      </c>
      <c r="J24" s="969">
        <f>I24*G24*D24</f>
        <v>30</v>
      </c>
      <c r="K24" s="970"/>
      <c r="L24" s="970"/>
      <c r="M24" s="860"/>
      <c r="N24" s="949"/>
      <c r="O24" s="949"/>
    </row>
    <row r="25" spans="1:15">
      <c r="A25" s="942"/>
      <c r="B25" s="950"/>
      <c r="C25" s="951"/>
      <c r="D25" s="12"/>
      <c r="E25" s="825"/>
      <c r="F25" s="825"/>
      <c r="G25" s="825"/>
      <c r="H25" s="825"/>
      <c r="I25" s="952" t="s">
        <v>20</v>
      </c>
      <c r="J25" s="953">
        <f>SUM(J24:J24)</f>
        <v>30</v>
      </c>
      <c r="K25" s="964">
        <v>13000</v>
      </c>
      <c r="L25" s="964">
        <f>K25*J25</f>
        <v>390000</v>
      </c>
      <c r="M25" s="860"/>
      <c r="N25" s="949">
        <v>13500</v>
      </c>
      <c r="O25" s="949">
        <f>N25*J25</f>
        <v>405000</v>
      </c>
    </row>
    <row r="26" spans="1:15">
      <c r="A26" s="942"/>
      <c r="B26" s="950"/>
      <c r="C26" s="951"/>
      <c r="D26" s="12"/>
      <c r="E26" s="15"/>
      <c r="F26" s="15"/>
      <c r="G26" s="15"/>
      <c r="H26" s="15"/>
      <c r="I26" s="536"/>
      <c r="J26" s="971"/>
      <c r="K26" s="947"/>
      <c r="L26" s="947"/>
      <c r="M26" s="833"/>
      <c r="N26" s="949"/>
      <c r="O26" s="949"/>
    </row>
    <row r="27" spans="1:15">
      <c r="A27" s="936">
        <f>A23+1</f>
        <v>5</v>
      </c>
      <c r="B27" s="937" t="s">
        <v>29</v>
      </c>
      <c r="C27" s="938" t="s">
        <v>21</v>
      </c>
      <c r="D27" s="7"/>
      <c r="E27" s="391"/>
      <c r="F27" s="391"/>
      <c r="G27" s="391"/>
      <c r="H27" s="391"/>
      <c r="I27" s="391"/>
      <c r="J27" s="972"/>
      <c r="K27" s="940"/>
      <c r="L27" s="940"/>
      <c r="M27" s="941"/>
      <c r="N27" s="941"/>
      <c r="O27" s="941"/>
    </row>
    <row r="28" spans="1:15">
      <c r="A28" s="204"/>
      <c r="B28" s="950" t="s">
        <v>1326</v>
      </c>
      <c r="C28" s="973"/>
      <c r="D28" s="12">
        <v>3</v>
      </c>
      <c r="E28" s="15">
        <v>6</v>
      </c>
      <c r="F28" s="15"/>
      <c r="G28" s="15"/>
      <c r="H28" s="15"/>
      <c r="I28" s="15">
        <v>11.18</v>
      </c>
      <c r="J28" s="974">
        <f>I28*E28*D28</f>
        <v>201.24</v>
      </c>
      <c r="K28" s="954"/>
      <c r="L28" s="954"/>
      <c r="M28" s="833"/>
      <c r="N28" s="949"/>
      <c r="O28" s="949"/>
    </row>
    <row r="29" spans="1:15">
      <c r="A29" s="204"/>
      <c r="B29" s="950" t="s">
        <v>1327</v>
      </c>
      <c r="C29" s="973"/>
      <c r="D29" s="12">
        <v>3</v>
      </c>
      <c r="E29" s="15"/>
      <c r="F29" s="15">
        <v>3.7</v>
      </c>
      <c r="G29" s="15"/>
      <c r="H29" s="15"/>
      <c r="I29" s="15">
        <f>1.88*2</f>
        <v>3.76</v>
      </c>
      <c r="J29" s="974">
        <f>I29*F29*D29</f>
        <v>41.735999999999997</v>
      </c>
      <c r="K29" s="954"/>
      <c r="L29" s="954"/>
      <c r="M29" s="833"/>
      <c r="N29" s="949"/>
      <c r="O29" s="949"/>
    </row>
    <row r="30" spans="1:15">
      <c r="A30" s="204"/>
      <c r="B30" s="950" t="s">
        <v>1319</v>
      </c>
      <c r="C30" s="973"/>
      <c r="D30" s="12">
        <v>1</v>
      </c>
      <c r="E30" s="15">
        <v>60</v>
      </c>
      <c r="F30" s="15"/>
      <c r="G30" s="15"/>
      <c r="H30" s="15"/>
      <c r="I30" s="15">
        <v>7.08</v>
      </c>
      <c r="J30" s="974">
        <f>I30*E30*D30</f>
        <v>424.8</v>
      </c>
      <c r="K30" s="954"/>
      <c r="L30" s="954"/>
      <c r="M30" s="833"/>
      <c r="N30" s="949"/>
      <c r="O30" s="949"/>
    </row>
    <row r="31" spans="1:15">
      <c r="A31" s="942"/>
      <c r="B31" s="950"/>
      <c r="C31" s="951"/>
      <c r="D31" s="12"/>
      <c r="E31" s="15"/>
      <c r="F31" s="825"/>
      <c r="G31" s="825"/>
      <c r="H31" s="825"/>
      <c r="I31" s="952" t="s">
        <v>20</v>
      </c>
      <c r="J31" s="953">
        <f>SUM(J28:J30)</f>
        <v>667.77600000000007</v>
      </c>
      <c r="K31" s="947">
        <v>18000</v>
      </c>
      <c r="L31" s="947">
        <f>K31*J31</f>
        <v>12019968.000000002</v>
      </c>
      <c r="M31" s="498"/>
      <c r="N31" s="949">
        <v>17500</v>
      </c>
      <c r="O31" s="949">
        <f>N31*J31</f>
        <v>11686080.000000002</v>
      </c>
    </row>
    <row r="32" spans="1:15">
      <c r="A32" s="936">
        <f>A27+1</f>
        <v>6</v>
      </c>
      <c r="B32" s="937" t="s">
        <v>24</v>
      </c>
      <c r="C32" s="938" t="s">
        <v>25</v>
      </c>
      <c r="D32" s="7"/>
      <c r="E32" s="391"/>
      <c r="F32" s="391"/>
      <c r="G32" s="391"/>
      <c r="H32" s="391"/>
      <c r="I32" s="391"/>
      <c r="J32" s="391"/>
      <c r="K32" s="8"/>
      <c r="L32" s="8"/>
      <c r="M32" s="975"/>
      <c r="N32" s="941"/>
      <c r="O32" s="941"/>
    </row>
    <row r="33" spans="1:15">
      <c r="A33" s="942"/>
      <c r="B33" s="950" t="s">
        <v>26</v>
      </c>
      <c r="C33" s="951"/>
      <c r="D33" s="45" t="s">
        <v>86</v>
      </c>
      <c r="E33" s="976">
        <v>0.01</v>
      </c>
      <c r="F33" s="2435" t="s">
        <v>87</v>
      </c>
      <c r="G33" s="2436"/>
      <c r="H33" s="2437"/>
      <c r="I33" s="15"/>
      <c r="J33" s="825">
        <f>ROUND(E33*J31*7.85,2)</f>
        <v>52.42</v>
      </c>
      <c r="K33" s="13"/>
      <c r="L33" s="13"/>
      <c r="M33" s="833"/>
      <c r="N33" s="949"/>
      <c r="O33" s="949"/>
    </row>
    <row r="34" spans="1:15">
      <c r="A34" s="942"/>
      <c r="B34" s="950"/>
      <c r="C34" s="951"/>
      <c r="D34" s="45"/>
      <c r="E34" s="977"/>
      <c r="F34" s="977"/>
      <c r="G34" s="977"/>
      <c r="H34" s="977"/>
      <c r="I34" s="536" t="s">
        <v>20</v>
      </c>
      <c r="J34" s="953">
        <f>SUM(J33:J33)</f>
        <v>52.42</v>
      </c>
      <c r="K34" s="947">
        <v>135000</v>
      </c>
      <c r="L34" s="947">
        <f>K34*J34</f>
        <v>7076700</v>
      </c>
      <c r="M34" s="498"/>
      <c r="N34" s="949">
        <v>130000</v>
      </c>
      <c r="O34" s="949">
        <f>N34*J34</f>
        <v>6814600</v>
      </c>
    </row>
    <row r="35" spans="1:15" ht="67.2">
      <c r="A35" s="936">
        <v>8</v>
      </c>
      <c r="B35" s="978" t="s">
        <v>740</v>
      </c>
      <c r="C35" s="979"/>
      <c r="D35" s="5"/>
      <c r="E35" s="5"/>
      <c r="F35" s="5"/>
      <c r="G35" s="5"/>
      <c r="H35" s="5"/>
      <c r="I35" s="5"/>
      <c r="J35" s="5"/>
      <c r="K35" s="5"/>
      <c r="L35" s="5"/>
      <c r="M35" s="886"/>
      <c r="N35" s="941"/>
      <c r="O35" s="941"/>
    </row>
    <row r="36" spans="1:15">
      <c r="A36" s="980">
        <f>A35+0.1</f>
        <v>8.1</v>
      </c>
      <c r="B36" s="981" t="s">
        <v>155</v>
      </c>
      <c r="C36" s="973" t="s">
        <v>27</v>
      </c>
      <c r="D36" s="965"/>
      <c r="E36" s="965"/>
      <c r="F36" s="965"/>
      <c r="G36" s="965"/>
      <c r="H36" s="965"/>
      <c r="I36" s="965"/>
      <c r="J36" s="965"/>
      <c r="K36" s="949"/>
      <c r="L36" s="949"/>
      <c r="M36" s="982"/>
      <c r="N36" s="949"/>
      <c r="O36" s="949"/>
    </row>
    <row r="37" spans="1:15">
      <c r="A37" s="983"/>
      <c r="B37" s="950"/>
      <c r="C37" s="951"/>
      <c r="D37" s="12"/>
      <c r="E37" s="15"/>
      <c r="F37" s="825"/>
      <c r="G37" s="15"/>
      <c r="H37" s="15"/>
      <c r="I37" s="952" t="s">
        <v>20</v>
      </c>
      <c r="J37" s="953">
        <v>100</v>
      </c>
      <c r="K37" s="954">
        <v>1729.2</v>
      </c>
      <c r="L37" s="947">
        <f>K37*J37</f>
        <v>172920</v>
      </c>
      <c r="M37" s="498"/>
      <c r="N37" s="949">
        <v>1693</v>
      </c>
      <c r="O37" s="949">
        <f>N37*J37</f>
        <v>169300</v>
      </c>
    </row>
    <row r="38" spans="1:15">
      <c r="A38" s="980">
        <f>A36+0.1</f>
        <v>8.1999999999999993</v>
      </c>
      <c r="B38" s="981" t="s">
        <v>741</v>
      </c>
      <c r="C38" s="973" t="s">
        <v>19</v>
      </c>
      <c r="D38" s="965"/>
      <c r="E38" s="965"/>
      <c r="F38" s="963"/>
      <c r="G38" s="965"/>
      <c r="H38" s="965"/>
      <c r="I38" s="963"/>
      <c r="J38" s="963"/>
      <c r="K38" s="949"/>
      <c r="L38" s="13"/>
      <c r="M38" s="833"/>
      <c r="N38" s="949"/>
      <c r="O38" s="949"/>
    </row>
    <row r="39" spans="1:15">
      <c r="A39" s="980"/>
      <c r="B39" s="950" t="s">
        <v>1328</v>
      </c>
      <c r="C39" s="973"/>
      <c r="D39" s="965"/>
      <c r="E39" s="965"/>
      <c r="F39" s="963"/>
      <c r="G39" s="965"/>
      <c r="H39" s="965"/>
      <c r="I39" s="963"/>
      <c r="J39" s="825"/>
      <c r="K39" s="13"/>
      <c r="L39" s="13"/>
      <c r="M39" s="833"/>
      <c r="N39" s="949"/>
      <c r="O39" s="949"/>
    </row>
    <row r="40" spans="1:15">
      <c r="A40" s="983"/>
      <c r="B40" s="950"/>
      <c r="C40" s="951"/>
      <c r="D40" s="12"/>
      <c r="E40" s="15"/>
      <c r="F40" s="825"/>
      <c r="G40" s="15"/>
      <c r="H40" s="15"/>
      <c r="I40" s="952" t="s">
        <v>20</v>
      </c>
      <c r="J40" s="953">
        <v>200</v>
      </c>
      <c r="K40" s="947">
        <v>1675.8500000000001</v>
      </c>
      <c r="L40" s="947">
        <f>K40*J40</f>
        <v>335170</v>
      </c>
      <c r="M40" s="498"/>
      <c r="N40" s="949">
        <v>1245</v>
      </c>
      <c r="O40" s="949">
        <f>N40*J40</f>
        <v>249000</v>
      </c>
    </row>
    <row r="41" spans="1:15">
      <c r="A41" s="980">
        <f>A38+0.1</f>
        <v>8.2999999999999989</v>
      </c>
      <c r="B41" s="981" t="s">
        <v>158</v>
      </c>
      <c r="C41" s="973" t="s">
        <v>27</v>
      </c>
      <c r="D41" s="12"/>
      <c r="E41" s="965"/>
      <c r="F41" s="963"/>
      <c r="G41" s="15"/>
      <c r="H41" s="15"/>
      <c r="I41" s="825"/>
      <c r="J41" s="825"/>
      <c r="K41" s="13"/>
      <c r="L41" s="13"/>
      <c r="M41" s="833"/>
      <c r="N41" s="949"/>
      <c r="O41" s="949"/>
    </row>
    <row r="42" spans="1:15" ht="17.399999999999999" thickBot="1">
      <c r="A42" s="984"/>
      <c r="B42" s="985"/>
      <c r="C42" s="986"/>
      <c r="D42" s="987"/>
      <c r="E42" s="988"/>
      <c r="F42" s="989"/>
      <c r="G42" s="988"/>
      <c r="H42" s="988"/>
      <c r="I42" s="990" t="s">
        <v>20</v>
      </c>
      <c r="J42" s="953">
        <v>100</v>
      </c>
      <c r="K42" s="991">
        <v>1723.7</v>
      </c>
      <c r="L42" s="992">
        <f>K42*J42</f>
        <v>172370</v>
      </c>
      <c r="M42" s="993"/>
      <c r="N42" s="949">
        <v>1208</v>
      </c>
      <c r="O42" s="949">
        <f>N42*J42</f>
        <v>120800</v>
      </c>
    </row>
    <row r="43" spans="1:15">
      <c r="K43" s="994" t="s">
        <v>20</v>
      </c>
      <c r="L43" s="994">
        <f>SUM(L13:L42)</f>
        <v>22393278</v>
      </c>
      <c r="N43" s="995" t="s">
        <v>20</v>
      </c>
      <c r="O43" s="1514">
        <f>SUM(O14:O42)</f>
        <v>21181147.675000001</v>
      </c>
    </row>
  </sheetData>
  <mergeCells count="1">
    <mergeCell ref="F33:H33"/>
  </mergeCells>
  <printOptions horizontalCentered="1"/>
  <pageMargins left="0.7" right="0.7" top="0.71" bottom="0.59" header="0.3" footer="0.16"/>
  <pageSetup paperSize="9" scale="78" orientation="landscape" r:id="rId1"/>
  <colBreaks count="1" manualBreakCount="1">
    <brk id="15" max="40" man="1"/>
  </colBreaks>
  <drawing r:id="rId2"/>
  <legacy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54">
    <tabColor rgb="FF7030A0"/>
  </sheetPr>
  <dimension ref="A1:M52"/>
  <sheetViews>
    <sheetView workbookViewId="0"/>
  </sheetViews>
  <sheetFormatPr defaultColWidth="9.109375" defaultRowHeight="16.8"/>
  <cols>
    <col min="1" max="1" width="12.33203125" style="929" customWidth="1"/>
    <col min="2" max="2" width="35.33203125" style="929" customWidth="1"/>
    <col min="3" max="3" width="9.109375" style="929"/>
    <col min="4" max="4" width="7" style="929" customWidth="1"/>
    <col min="5" max="5" width="9.6640625" style="929" customWidth="1"/>
    <col min="6" max="6" width="11.6640625" style="929" customWidth="1"/>
    <col min="7" max="7" width="9.109375" style="929" customWidth="1"/>
    <col min="8" max="8" width="12.5546875" style="929" customWidth="1"/>
    <col min="9" max="9" width="9" style="929" customWidth="1"/>
    <col min="10" max="10" width="13.44140625" style="929" bestFit="1" customWidth="1"/>
    <col min="11" max="11" width="10.44140625" style="929" bestFit="1" customWidth="1"/>
    <col min="12" max="12" width="11.88671875" style="929" bestFit="1" customWidth="1"/>
    <col min="13" max="13" width="14.44140625" style="929" customWidth="1"/>
    <col min="14" max="16384" width="9.109375" style="929"/>
  </cols>
  <sheetData>
    <row r="1" spans="1:13" s="520" customFormat="1" ht="19.2">
      <c r="A1" s="522"/>
      <c r="C1" s="523"/>
      <c r="D1" s="537"/>
      <c r="E1" s="1223"/>
      <c r="F1" s="1223"/>
      <c r="G1" s="523"/>
    </row>
    <row r="2" spans="1:13" s="520" customFormat="1" ht="19.2">
      <c r="A2" s="522"/>
      <c r="C2" s="523"/>
      <c r="D2" s="537"/>
      <c r="E2" s="1223"/>
      <c r="F2" s="1223"/>
      <c r="G2" s="523"/>
    </row>
    <row r="3" spans="1:13" s="520" customFormat="1" ht="19.2">
      <c r="A3" s="226" t="s">
        <v>0</v>
      </c>
      <c r="B3" s="1248" t="s">
        <v>2389</v>
      </c>
      <c r="C3" s="523"/>
      <c r="D3" s="537"/>
      <c r="E3" s="1223"/>
      <c r="F3" s="1223"/>
      <c r="G3" s="523"/>
    </row>
    <row r="4" spans="1:13" s="520" customFormat="1" ht="19.2">
      <c r="A4" s="119" t="s">
        <v>1</v>
      </c>
      <c r="B4" s="1248">
        <v>930100</v>
      </c>
      <c r="C4" s="523"/>
      <c r="D4" s="537"/>
      <c r="E4" s="1223"/>
      <c r="F4" s="1223"/>
      <c r="G4" s="523"/>
    </row>
    <row r="5" spans="1:13" s="520" customFormat="1" ht="19.2">
      <c r="A5" s="119" t="s">
        <v>2</v>
      </c>
      <c r="B5" s="1247" t="s">
        <v>331</v>
      </c>
      <c r="C5" s="523"/>
      <c r="D5" s="537"/>
      <c r="E5" s="1223"/>
      <c r="J5" s="1276" t="s">
        <v>1561</v>
      </c>
      <c r="K5" s="523" t="s">
        <v>1562</v>
      </c>
    </row>
    <row r="6" spans="1:13" s="520" customFormat="1" ht="19.2">
      <c r="A6" s="119" t="s">
        <v>3</v>
      </c>
      <c r="B6" s="1247" t="s">
        <v>1586</v>
      </c>
      <c r="C6" s="523"/>
      <c r="D6" s="537"/>
      <c r="E6" s="1223"/>
      <c r="J6" s="1276" t="s">
        <v>171</v>
      </c>
      <c r="K6" s="523" t="s">
        <v>1563</v>
      </c>
    </row>
    <row r="7" spans="1:13" s="520" customFormat="1" ht="19.2">
      <c r="A7" s="119" t="s">
        <v>4</v>
      </c>
      <c r="B7" s="1247"/>
      <c r="C7" s="523"/>
      <c r="D7" s="537"/>
      <c r="E7" s="1223"/>
      <c r="J7" s="1276" t="s">
        <v>106</v>
      </c>
      <c r="K7" s="1277">
        <f ca="1">TODAY()</f>
        <v>44942</v>
      </c>
    </row>
    <row r="8" spans="1:13">
      <c r="A8" s="4"/>
      <c r="B8" s="55"/>
      <c r="C8" s="382"/>
      <c r="D8" s="382"/>
      <c r="E8" s="383"/>
      <c r="F8" s="383"/>
      <c r="G8" s="383"/>
      <c r="H8" s="383"/>
      <c r="I8" s="383"/>
      <c r="J8" s="866"/>
    </row>
    <row r="9" spans="1:13" ht="17.399999999999999" thickBot="1">
      <c r="A9" s="930"/>
      <c r="B9" s="930"/>
      <c r="C9" s="930"/>
      <c r="D9" s="930"/>
    </row>
    <row r="10" spans="1:13">
      <c r="A10" s="932" t="s">
        <v>7</v>
      </c>
      <c r="B10" s="933" t="s">
        <v>8</v>
      </c>
      <c r="C10" s="933" t="s">
        <v>9</v>
      </c>
      <c r="D10" s="933" t="s">
        <v>10</v>
      </c>
      <c r="E10" s="934" t="s">
        <v>11</v>
      </c>
      <c r="F10" s="934" t="s">
        <v>12</v>
      </c>
      <c r="G10" s="934" t="s">
        <v>13</v>
      </c>
      <c r="H10" s="934" t="s">
        <v>14</v>
      </c>
      <c r="I10" s="934" t="s">
        <v>15</v>
      </c>
      <c r="J10" s="934" t="s">
        <v>16</v>
      </c>
      <c r="K10" s="935" t="s">
        <v>17</v>
      </c>
      <c r="L10" s="935" t="s">
        <v>1233</v>
      </c>
      <c r="M10" s="935" t="s">
        <v>1234</v>
      </c>
    </row>
    <row r="11" spans="1:13">
      <c r="A11" s="936">
        <v>1</v>
      </c>
      <c r="B11" s="937" t="s">
        <v>18</v>
      </c>
      <c r="C11" s="938" t="s">
        <v>19</v>
      </c>
      <c r="D11" s="7"/>
      <c r="E11" s="391"/>
      <c r="F11" s="391"/>
      <c r="G11" s="391"/>
      <c r="H11" s="391"/>
      <c r="I11" s="391"/>
      <c r="J11" s="939"/>
      <c r="K11" s="941"/>
      <c r="L11" s="941"/>
      <c r="M11" s="941"/>
    </row>
    <row r="12" spans="1:13">
      <c r="A12" s="996"/>
      <c r="B12" s="997" t="s">
        <v>1329</v>
      </c>
      <c r="C12" s="998"/>
      <c r="D12" s="998">
        <v>1</v>
      </c>
      <c r="E12" s="999"/>
      <c r="F12" s="999"/>
      <c r="G12" s="999"/>
      <c r="H12" s="999"/>
      <c r="I12" s="999">
        <v>2500</v>
      </c>
      <c r="J12" s="999">
        <f>I12*D12</f>
        <v>2500</v>
      </c>
      <c r="K12" s="1000"/>
      <c r="L12" s="949"/>
      <c r="M12" s="949"/>
    </row>
    <row r="13" spans="1:13">
      <c r="A13" s="996"/>
      <c r="B13" s="998"/>
      <c r="C13" s="998"/>
      <c r="D13" s="998"/>
      <c r="E13" s="999"/>
      <c r="F13" s="999"/>
      <c r="G13" s="999"/>
      <c r="H13" s="999"/>
      <c r="I13" s="952" t="s">
        <v>20</v>
      </c>
      <c r="J13" s="953">
        <f>SUM(J12:J12)</f>
        <v>2500</v>
      </c>
      <c r="K13" s="1000"/>
      <c r="L13" s="949">
        <v>50.5</v>
      </c>
      <c r="M13" s="949">
        <f>L13*J13</f>
        <v>126250</v>
      </c>
    </row>
    <row r="14" spans="1:13">
      <c r="A14" s="936">
        <v>2</v>
      </c>
      <c r="B14" s="937" t="s">
        <v>492</v>
      </c>
      <c r="C14" s="938" t="s">
        <v>21</v>
      </c>
      <c r="D14" s="7"/>
      <c r="E14" s="391"/>
      <c r="F14" s="391"/>
      <c r="G14" s="391"/>
      <c r="H14" s="391"/>
      <c r="I14" s="391"/>
      <c r="J14" s="939"/>
      <c r="K14" s="941"/>
      <c r="L14" s="941"/>
      <c r="M14" s="941"/>
    </row>
    <row r="15" spans="1:13">
      <c r="A15" s="996"/>
      <c r="B15" s="809" t="s">
        <v>1330</v>
      </c>
      <c r="C15" s="998"/>
      <c r="D15" s="998">
        <v>1</v>
      </c>
      <c r="E15" s="999">
        <v>190</v>
      </c>
      <c r="F15" s="999"/>
      <c r="G15" s="999"/>
      <c r="H15" s="999"/>
      <c r="I15" s="999">
        <v>35</v>
      </c>
      <c r="J15" s="999">
        <f>I15*E15*D15</f>
        <v>6650</v>
      </c>
      <c r="K15" s="1000"/>
      <c r="L15" s="949"/>
      <c r="M15" s="949"/>
    </row>
    <row r="16" spans="1:13">
      <c r="A16" s="996"/>
      <c r="B16" s="998"/>
      <c r="C16" s="998"/>
      <c r="D16" s="998"/>
      <c r="E16" s="999"/>
      <c r="F16" s="999"/>
      <c r="G16" s="999"/>
      <c r="H16" s="999"/>
      <c r="I16" s="952" t="s">
        <v>20</v>
      </c>
      <c r="J16" s="953">
        <f>SUM(J15:J15)</f>
        <v>6650</v>
      </c>
      <c r="K16" s="1000"/>
      <c r="L16" s="949"/>
      <c r="M16" s="949"/>
    </row>
    <row r="17" spans="1:13">
      <c r="A17" s="996"/>
      <c r="B17" s="883"/>
      <c r="C17" s="1001"/>
      <c r="D17" s="97"/>
      <c r="E17" s="1002"/>
      <c r="F17" s="1002"/>
      <c r="G17" s="1002"/>
      <c r="H17" s="1002"/>
      <c r="I17" s="1001" t="s">
        <v>1505</v>
      </c>
      <c r="J17" s="953">
        <f>0.2*J16</f>
        <v>1330</v>
      </c>
      <c r="K17" s="1000"/>
      <c r="L17" s="949">
        <v>1350</v>
      </c>
      <c r="M17" s="949">
        <f>L17*J17</f>
        <v>1795500</v>
      </c>
    </row>
    <row r="18" spans="1:13">
      <c r="A18" s="996"/>
      <c r="B18" s="883"/>
      <c r="C18" s="1001"/>
      <c r="D18" s="97"/>
      <c r="E18" s="1002"/>
      <c r="F18" s="1002"/>
      <c r="G18" s="1002"/>
      <c r="H18" s="1002"/>
      <c r="I18" s="1001" t="s">
        <v>1506</v>
      </c>
      <c r="J18" s="953">
        <f>J16-J17</f>
        <v>5320</v>
      </c>
      <c r="K18" s="1000"/>
      <c r="L18" s="949">
        <v>320</v>
      </c>
      <c r="M18" s="949">
        <f>L18*J18</f>
        <v>1702400</v>
      </c>
    </row>
    <row r="19" spans="1:13">
      <c r="A19" s="936">
        <v>3</v>
      </c>
      <c r="B19" s="937" t="s">
        <v>22</v>
      </c>
      <c r="C19" s="938" t="s">
        <v>21</v>
      </c>
      <c r="D19" s="7"/>
      <c r="E19" s="391"/>
      <c r="F19" s="391"/>
      <c r="G19" s="391"/>
      <c r="H19" s="391"/>
      <c r="I19" s="391"/>
      <c r="J19" s="939"/>
      <c r="K19" s="941"/>
      <c r="L19" s="941"/>
      <c r="M19" s="941"/>
    </row>
    <row r="20" spans="1:13">
      <c r="A20" s="942"/>
      <c r="B20" s="809" t="s">
        <v>1330</v>
      </c>
      <c r="C20" s="944"/>
      <c r="D20" s="45">
        <v>1</v>
      </c>
      <c r="E20" s="945">
        <f>E15</f>
        <v>190</v>
      </c>
      <c r="F20" s="945"/>
      <c r="G20" s="945"/>
      <c r="H20" s="945"/>
      <c r="I20" s="945">
        <v>26</v>
      </c>
      <c r="J20" s="946">
        <f>I20*E20*D20</f>
        <v>4940</v>
      </c>
      <c r="K20" s="948"/>
      <c r="L20" s="949"/>
      <c r="M20" s="949"/>
    </row>
    <row r="21" spans="1:13">
      <c r="A21" s="942"/>
      <c r="B21" s="950"/>
      <c r="C21" s="951"/>
      <c r="D21" s="12"/>
      <c r="E21" s="825"/>
      <c r="F21" s="825"/>
      <c r="G21" s="825"/>
      <c r="H21" s="825"/>
      <c r="I21" s="952" t="s">
        <v>20</v>
      </c>
      <c r="J21" s="953">
        <f>SUM(J20:J20)</f>
        <v>4940</v>
      </c>
      <c r="K21" s="498"/>
      <c r="L21" s="949">
        <v>262</v>
      </c>
      <c r="M21" s="949">
        <f>L21*J21</f>
        <v>1294280</v>
      </c>
    </row>
    <row r="22" spans="1:13">
      <c r="A22" s="942"/>
      <c r="B22" s="950"/>
      <c r="C22" s="951"/>
      <c r="D22" s="12"/>
      <c r="E22" s="15"/>
      <c r="F22" s="15"/>
      <c r="G22" s="15"/>
      <c r="H22" s="15"/>
      <c r="I22" s="536"/>
      <c r="J22" s="955"/>
      <c r="K22" s="498"/>
      <c r="L22" s="949"/>
      <c r="M22" s="949"/>
    </row>
    <row r="23" spans="1:13">
      <c r="A23" s="936">
        <f>A19+1</f>
        <v>4</v>
      </c>
      <c r="B23" s="937" t="s">
        <v>309</v>
      </c>
      <c r="C23" s="938" t="s">
        <v>19</v>
      </c>
      <c r="D23" s="5"/>
      <c r="E23" s="5"/>
      <c r="F23" s="5"/>
      <c r="G23" s="5"/>
      <c r="H23" s="5"/>
      <c r="I23" s="5"/>
      <c r="J23" s="5"/>
      <c r="K23" s="956"/>
      <c r="L23" s="941"/>
      <c r="M23" s="941"/>
    </row>
    <row r="24" spans="1:13">
      <c r="A24" s="957"/>
      <c r="B24" s="958" t="s">
        <v>1331</v>
      </c>
      <c r="C24" s="959"/>
      <c r="D24" s="960">
        <v>2</v>
      </c>
      <c r="E24" s="961">
        <f>E20</f>
        <v>190</v>
      </c>
      <c r="F24" s="960"/>
      <c r="G24" s="961">
        <v>8</v>
      </c>
      <c r="H24" s="960"/>
      <c r="I24" s="960">
        <f>G24*E24</f>
        <v>1520</v>
      </c>
      <c r="J24" s="960">
        <f>I24*D24</f>
        <v>3040</v>
      </c>
      <c r="K24" s="962"/>
      <c r="L24" s="833"/>
      <c r="M24" s="833"/>
    </row>
    <row r="25" spans="1:13">
      <c r="A25" s="957"/>
      <c r="B25" s="958" t="s">
        <v>1332</v>
      </c>
      <c r="C25" s="959"/>
      <c r="D25" s="960">
        <f>CEILING(190/20,1)</f>
        <v>10</v>
      </c>
      <c r="E25" s="960"/>
      <c r="F25" s="960"/>
      <c r="G25" s="960"/>
      <c r="H25" s="960"/>
      <c r="I25" s="960">
        <v>10.9</v>
      </c>
      <c r="J25" s="960">
        <f>I25*D25</f>
        <v>109</v>
      </c>
      <c r="K25" s="962"/>
      <c r="L25" s="949"/>
      <c r="M25" s="949"/>
    </row>
    <row r="26" spans="1:13">
      <c r="A26" s="942"/>
      <c r="B26" s="950"/>
      <c r="C26" s="951"/>
      <c r="D26" s="12"/>
      <c r="E26" s="825"/>
      <c r="F26" s="825"/>
      <c r="G26" s="825"/>
      <c r="H26" s="963"/>
      <c r="I26" s="952" t="s">
        <v>1324</v>
      </c>
      <c r="J26" s="953">
        <f>SUM(J24:J25)</f>
        <v>3149</v>
      </c>
      <c r="K26" s="860"/>
      <c r="L26" s="949">
        <v>1401.4</v>
      </c>
      <c r="M26" s="949">
        <f>L26*J26</f>
        <v>4413008.6000000006</v>
      </c>
    </row>
    <row r="27" spans="1:13">
      <c r="A27" s="942"/>
      <c r="B27" s="950"/>
      <c r="C27" s="951"/>
      <c r="D27" s="12"/>
      <c r="E27" s="15"/>
      <c r="F27" s="15"/>
      <c r="G27" s="15"/>
      <c r="H27" s="965"/>
      <c r="I27" s="536"/>
      <c r="J27" s="955"/>
      <c r="K27" s="860"/>
      <c r="L27" s="949"/>
      <c r="M27" s="949"/>
    </row>
    <row r="28" spans="1:13">
      <c r="A28" s="936">
        <f>A23+1</f>
        <v>5</v>
      </c>
      <c r="B28" s="937" t="s">
        <v>2603</v>
      </c>
      <c r="C28" s="938" t="s">
        <v>21</v>
      </c>
      <c r="D28" s="7"/>
      <c r="E28" s="391"/>
      <c r="F28" s="391"/>
      <c r="G28" s="391"/>
      <c r="H28" s="391"/>
      <c r="I28" s="391"/>
      <c r="J28" s="939"/>
      <c r="K28" s="967"/>
      <c r="L28" s="941"/>
      <c r="M28" s="941"/>
    </row>
    <row r="29" spans="1:13">
      <c r="A29" s="942"/>
      <c r="B29" s="1500" t="s">
        <v>1330</v>
      </c>
      <c r="C29" s="951"/>
      <c r="D29" s="12">
        <v>1</v>
      </c>
      <c r="E29" s="825">
        <f>E24</f>
        <v>190</v>
      </c>
      <c r="F29" s="825">
        <v>6</v>
      </c>
      <c r="G29" s="825">
        <v>7.4999999999999997E-2</v>
      </c>
      <c r="H29" s="825"/>
      <c r="I29" s="825">
        <f>F29*E29</f>
        <v>1140</v>
      </c>
      <c r="J29" s="969">
        <f>I29*G29*D29</f>
        <v>85.5</v>
      </c>
      <c r="K29" s="860"/>
      <c r="L29" s="949"/>
      <c r="M29" s="949"/>
    </row>
    <row r="30" spans="1:13">
      <c r="A30" s="942"/>
      <c r="B30" s="950"/>
      <c r="C30" s="951"/>
      <c r="D30" s="12"/>
      <c r="E30" s="825"/>
      <c r="F30" s="825"/>
      <c r="G30" s="825"/>
      <c r="H30" s="825"/>
      <c r="I30" s="952" t="s">
        <v>20</v>
      </c>
      <c r="J30" s="953">
        <f>SUM(J29)</f>
        <v>85.5</v>
      </c>
      <c r="K30" s="860"/>
      <c r="L30" s="949">
        <v>13500</v>
      </c>
      <c r="M30" s="949">
        <f>L30*J30</f>
        <v>1154250</v>
      </c>
    </row>
    <row r="31" spans="1:13">
      <c r="A31" s="942"/>
      <c r="B31" s="950"/>
      <c r="C31" s="951"/>
      <c r="D31" s="12"/>
      <c r="E31" s="15"/>
      <c r="F31" s="15"/>
      <c r="G31" s="15"/>
      <c r="H31" s="15"/>
      <c r="I31" s="536"/>
      <c r="J31" s="971"/>
      <c r="K31" s="833"/>
      <c r="L31" s="949"/>
      <c r="M31" s="949"/>
    </row>
    <row r="32" spans="1:13">
      <c r="A32" s="936">
        <f>A28+1</f>
        <v>6</v>
      </c>
      <c r="B32" s="937" t="s">
        <v>29</v>
      </c>
      <c r="C32" s="938" t="s">
        <v>21</v>
      </c>
      <c r="D32" s="7"/>
      <c r="E32" s="391"/>
      <c r="F32" s="391"/>
      <c r="G32" s="391"/>
      <c r="H32" s="391"/>
      <c r="I32" s="391"/>
      <c r="J32" s="972"/>
      <c r="K32" s="941"/>
      <c r="L32" s="941"/>
      <c r="M32" s="941"/>
    </row>
    <row r="33" spans="1:13">
      <c r="A33" s="204"/>
      <c r="B33" s="809" t="s">
        <v>1330</v>
      </c>
      <c r="C33" s="973"/>
      <c r="D33" s="12">
        <v>1</v>
      </c>
      <c r="E33" s="15">
        <v>190</v>
      </c>
      <c r="F33" s="15"/>
      <c r="G33" s="15"/>
      <c r="H33" s="15"/>
      <c r="I33" s="15">
        <v>10.9</v>
      </c>
      <c r="J33" s="974">
        <f>I33*E33*D33</f>
        <v>2071</v>
      </c>
      <c r="K33" s="833"/>
      <c r="L33" s="949"/>
      <c r="M33" s="949"/>
    </row>
    <row r="34" spans="1:13">
      <c r="A34" s="942"/>
      <c r="B34" s="950"/>
      <c r="C34" s="951"/>
      <c r="D34" s="12"/>
      <c r="E34" s="15"/>
      <c r="F34" s="825"/>
      <c r="G34" s="825"/>
      <c r="H34" s="825"/>
      <c r="I34" s="952" t="s">
        <v>20</v>
      </c>
      <c r="J34" s="953">
        <f>SUM(J33:J33)</f>
        <v>2071</v>
      </c>
      <c r="K34" s="498"/>
      <c r="L34" s="949">
        <v>17500</v>
      </c>
      <c r="M34" s="949">
        <f>L34*J34</f>
        <v>36242500</v>
      </c>
    </row>
    <row r="35" spans="1:13">
      <c r="A35" s="936">
        <f>A32+1</f>
        <v>7</v>
      </c>
      <c r="B35" s="937" t="s">
        <v>24</v>
      </c>
      <c r="C35" s="938" t="s">
        <v>25</v>
      </c>
      <c r="D35" s="7"/>
      <c r="E35" s="391"/>
      <c r="F35" s="391"/>
      <c r="G35" s="391"/>
      <c r="H35" s="391"/>
      <c r="I35" s="391"/>
      <c r="J35" s="391"/>
      <c r="K35" s="975"/>
      <c r="L35" s="941"/>
      <c r="M35" s="941"/>
    </row>
    <row r="36" spans="1:13">
      <c r="A36" s="942"/>
      <c r="B36" s="950" t="s">
        <v>26</v>
      </c>
      <c r="C36" s="951"/>
      <c r="D36" s="45" t="s">
        <v>86</v>
      </c>
      <c r="E36" s="976">
        <v>0.01</v>
      </c>
      <c r="F36" s="2435" t="s">
        <v>87</v>
      </c>
      <c r="G36" s="2436"/>
      <c r="H36" s="2437"/>
      <c r="I36" s="15"/>
      <c r="J36" s="825">
        <f>ROUND(E36*J34*7.85,2)</f>
        <v>162.57</v>
      </c>
      <c r="K36" s="833"/>
      <c r="L36" s="949"/>
      <c r="M36" s="949"/>
    </row>
    <row r="37" spans="1:13">
      <c r="A37" s="942"/>
      <c r="B37" s="950"/>
      <c r="C37" s="951"/>
      <c r="D37" s="45"/>
      <c r="E37" s="977"/>
      <c r="F37" s="977"/>
      <c r="G37" s="977"/>
      <c r="H37" s="977"/>
      <c r="I37" s="536" t="s">
        <v>20</v>
      </c>
      <c r="J37" s="953">
        <f>SUM(J36:J36)</f>
        <v>162.57</v>
      </c>
      <c r="K37" s="498"/>
      <c r="L37" s="949">
        <v>130000</v>
      </c>
      <c r="M37" s="949">
        <f>L37*J37</f>
        <v>21134100</v>
      </c>
    </row>
    <row r="38" spans="1:13">
      <c r="A38" s="936">
        <f>A35+1</f>
        <v>8</v>
      </c>
      <c r="B38" s="937" t="s">
        <v>1333</v>
      </c>
      <c r="C38" s="938" t="s">
        <v>25</v>
      </c>
      <c r="D38" s="7"/>
      <c r="E38" s="391"/>
      <c r="F38" s="391"/>
      <c r="G38" s="391"/>
      <c r="H38" s="391"/>
      <c r="I38" s="391"/>
      <c r="J38" s="391"/>
      <c r="K38" s="975"/>
      <c r="L38" s="941"/>
      <c r="M38" s="941"/>
    </row>
    <row r="39" spans="1:13">
      <c r="A39" s="942"/>
      <c r="B39" s="997" t="s">
        <v>1334</v>
      </c>
      <c r="C39" s="951"/>
      <c r="D39" s="45">
        <v>1</v>
      </c>
      <c r="E39" s="977">
        <f>E33/2</f>
        <v>95</v>
      </c>
      <c r="F39" s="977">
        <v>3</v>
      </c>
      <c r="G39" s="977"/>
      <c r="H39" s="977"/>
      <c r="I39" s="536">
        <f>F39*E39</f>
        <v>285</v>
      </c>
      <c r="J39" s="955">
        <f>I39*D39</f>
        <v>285</v>
      </c>
      <c r="K39" s="498"/>
      <c r="L39" s="949"/>
      <c r="M39" s="949"/>
    </row>
    <row r="40" spans="1:13">
      <c r="A40" s="942"/>
      <c r="B40" s="950"/>
      <c r="C40" s="951"/>
      <c r="D40" s="45"/>
      <c r="E40" s="977"/>
      <c r="F40" s="977"/>
      <c r="G40" s="977"/>
      <c r="H40" s="977"/>
      <c r="I40" s="536" t="s">
        <v>20</v>
      </c>
      <c r="J40" s="953">
        <f>SUM(J39:J39)</f>
        <v>285</v>
      </c>
      <c r="K40" s="498"/>
      <c r="L40" s="949">
        <v>4956.5</v>
      </c>
      <c r="M40" s="949">
        <f>L40*J40</f>
        <v>1412602.5</v>
      </c>
    </row>
    <row r="41" spans="1:13">
      <c r="A41" s="936">
        <f>A38+1</f>
        <v>9</v>
      </c>
      <c r="B41" s="937" t="s">
        <v>1335</v>
      </c>
      <c r="C41" s="938" t="s">
        <v>25</v>
      </c>
      <c r="D41" s="7"/>
      <c r="E41" s="391"/>
      <c r="F41" s="391"/>
      <c r="G41" s="391"/>
      <c r="H41" s="391"/>
      <c r="I41" s="391"/>
      <c r="J41" s="391"/>
      <c r="K41" s="975"/>
      <c r="L41" s="941"/>
      <c r="M41" s="941"/>
    </row>
    <row r="42" spans="1:13">
      <c r="A42" s="942"/>
      <c r="B42" s="950" t="s">
        <v>1336</v>
      </c>
      <c r="C42" s="951"/>
      <c r="D42" s="45">
        <v>1</v>
      </c>
      <c r="E42" s="977"/>
      <c r="F42" s="977"/>
      <c r="G42" s="977"/>
      <c r="H42" s="977"/>
      <c r="I42" s="536">
        <v>500</v>
      </c>
      <c r="J42" s="955">
        <f>I42*D42</f>
        <v>500</v>
      </c>
      <c r="K42" s="498"/>
      <c r="L42" s="949"/>
      <c r="M42" s="949"/>
    </row>
    <row r="43" spans="1:13">
      <c r="A43" s="942"/>
      <c r="B43" s="950"/>
      <c r="C43" s="951"/>
      <c r="D43" s="45"/>
      <c r="E43" s="977"/>
      <c r="F43" s="977"/>
      <c r="G43" s="977"/>
      <c r="H43" s="977"/>
      <c r="I43" s="536" t="s">
        <v>20</v>
      </c>
      <c r="J43" s="953">
        <f>SUM(J42:J42)</f>
        <v>500</v>
      </c>
      <c r="K43" s="498"/>
      <c r="L43" s="949">
        <v>2314</v>
      </c>
      <c r="M43" s="949">
        <f>L43*J43</f>
        <v>1157000</v>
      </c>
    </row>
    <row r="44" spans="1:13" ht="67.2">
      <c r="A44" s="936">
        <v>8</v>
      </c>
      <c r="B44" s="978" t="s">
        <v>740</v>
      </c>
      <c r="C44" s="979"/>
      <c r="D44" s="5"/>
      <c r="E44" s="5"/>
      <c r="F44" s="5"/>
      <c r="G44" s="5"/>
      <c r="H44" s="5"/>
      <c r="I44" s="5"/>
      <c r="J44" s="5"/>
      <c r="K44" s="886"/>
      <c r="L44" s="941"/>
      <c r="M44" s="941"/>
    </row>
    <row r="45" spans="1:13">
      <c r="A45" s="980">
        <f>A44+0.1</f>
        <v>8.1</v>
      </c>
      <c r="B45" s="981" t="s">
        <v>155</v>
      </c>
      <c r="C45" s="973" t="s">
        <v>27</v>
      </c>
      <c r="D45" s="965"/>
      <c r="E45" s="965"/>
      <c r="F45" s="965"/>
      <c r="G45" s="965"/>
      <c r="H45" s="965"/>
      <c r="I45" s="965"/>
      <c r="J45" s="965"/>
      <c r="K45" s="982"/>
      <c r="L45" s="949"/>
      <c r="M45" s="949"/>
    </row>
    <row r="46" spans="1:13">
      <c r="A46" s="983"/>
      <c r="B46" s="809" t="s">
        <v>1330</v>
      </c>
      <c r="C46" s="951"/>
      <c r="D46" s="960">
        <f>CEILING(190/20,1)</f>
        <v>10</v>
      </c>
      <c r="E46" s="15"/>
      <c r="F46" s="825"/>
      <c r="G46" s="15"/>
      <c r="H46" s="15">
        <v>15</v>
      </c>
      <c r="I46" s="952" t="s">
        <v>20</v>
      </c>
      <c r="J46" s="953">
        <f>H46*D46</f>
        <v>150</v>
      </c>
      <c r="K46" s="498"/>
      <c r="L46" s="949">
        <v>1693</v>
      </c>
      <c r="M46" s="949">
        <f>L46*J46</f>
        <v>253950</v>
      </c>
    </row>
    <row r="47" spans="1:13">
      <c r="A47" s="980">
        <f>A45+0.1</f>
        <v>8.1999999999999993</v>
      </c>
      <c r="B47" s="981" t="s">
        <v>741</v>
      </c>
      <c r="C47" s="973" t="s">
        <v>19</v>
      </c>
      <c r="D47" s="965"/>
      <c r="E47" s="965"/>
      <c r="F47" s="963"/>
      <c r="G47" s="965"/>
      <c r="H47" s="965"/>
      <c r="I47" s="963"/>
      <c r="J47" s="963"/>
      <c r="K47" s="833"/>
      <c r="L47" s="949"/>
      <c r="M47" s="949"/>
    </row>
    <row r="48" spans="1:13">
      <c r="A48" s="980"/>
      <c r="B48" s="809" t="s">
        <v>1330</v>
      </c>
      <c r="C48" s="973"/>
      <c r="D48" s="965"/>
      <c r="E48" s="965"/>
      <c r="F48" s="963"/>
      <c r="G48" s="965"/>
      <c r="H48" s="965"/>
      <c r="I48" s="963"/>
      <c r="J48" s="825"/>
      <c r="K48" s="833"/>
      <c r="L48" s="949"/>
      <c r="M48" s="949"/>
    </row>
    <row r="49" spans="1:13">
      <c r="A49" s="983"/>
      <c r="B49" s="950"/>
      <c r="C49" s="951"/>
      <c r="D49" s="12">
        <f>D46</f>
        <v>10</v>
      </c>
      <c r="E49" s="15"/>
      <c r="F49" s="825"/>
      <c r="G49" s="15"/>
      <c r="H49" s="15">
        <v>15</v>
      </c>
      <c r="I49" s="952" t="s">
        <v>20</v>
      </c>
      <c r="J49" s="953">
        <f>H49*D49</f>
        <v>150</v>
      </c>
      <c r="K49" s="498"/>
      <c r="L49" s="949">
        <v>1245</v>
      </c>
      <c r="M49" s="949">
        <f>L49*J49</f>
        <v>186750</v>
      </c>
    </row>
    <row r="50" spans="1:13">
      <c r="A50" s="980">
        <f>A47+0.1</f>
        <v>8.2999999999999989</v>
      </c>
      <c r="B50" s="981" t="s">
        <v>158</v>
      </c>
      <c r="C50" s="973" t="s">
        <v>27</v>
      </c>
      <c r="D50" s="12"/>
      <c r="E50" s="965"/>
      <c r="F50" s="963"/>
      <c r="G50" s="15"/>
      <c r="H50" s="15"/>
      <c r="I50" s="825"/>
      <c r="J50" s="825"/>
      <c r="K50" s="833"/>
      <c r="L50" s="949"/>
      <c r="M50" s="949"/>
    </row>
    <row r="51" spans="1:13" ht="17.399999999999999" thickBot="1">
      <c r="A51" s="984"/>
      <c r="B51" s="809" t="s">
        <v>1330</v>
      </c>
      <c r="C51" s="986"/>
      <c r="D51" s="987">
        <f>D46</f>
        <v>10</v>
      </c>
      <c r="E51" s="988"/>
      <c r="F51" s="989"/>
      <c r="G51" s="988"/>
      <c r="H51" s="988">
        <v>15</v>
      </c>
      <c r="I51" s="990" t="s">
        <v>20</v>
      </c>
      <c r="J51" s="953">
        <f>H51*D51</f>
        <v>150</v>
      </c>
      <c r="K51" s="993"/>
      <c r="L51" s="949">
        <v>1208</v>
      </c>
      <c r="M51" s="949">
        <f>L51*J51</f>
        <v>181200</v>
      </c>
    </row>
    <row r="52" spans="1:13">
      <c r="L52" s="995" t="s">
        <v>20</v>
      </c>
      <c r="M52" s="1514">
        <f>SUM(M12:M51)</f>
        <v>71053791.099999994</v>
      </c>
    </row>
  </sheetData>
  <mergeCells count="1">
    <mergeCell ref="F36:H36"/>
  </mergeCells>
  <printOptions horizontalCentered="1"/>
  <pageMargins left="0.7" right="0.7" top="0.71" bottom="0.59" header="0.3" footer="0.16"/>
  <pageSetup paperSize="9" scale="96" fitToHeight="10" orientation="landscape" r:id="rId1"/>
  <rowBreaks count="1" manualBreakCount="1">
    <brk id="34" max="10" man="1"/>
  </rowBreaks>
  <drawing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3" tint="0.59999389629810485"/>
  </sheetPr>
  <dimension ref="A2:Q242"/>
  <sheetViews>
    <sheetView workbookViewId="0"/>
  </sheetViews>
  <sheetFormatPr defaultColWidth="9.109375" defaultRowHeight="16.8"/>
  <cols>
    <col min="1" max="1" width="12.44140625" style="1" customWidth="1"/>
    <col min="2" max="2" width="48.44140625" style="1" customWidth="1"/>
    <col min="3" max="3" width="7" style="1" customWidth="1"/>
    <col min="4" max="4" width="7.5546875" style="1" customWidth="1"/>
    <col min="5" max="5" width="11.33203125" style="1" customWidth="1"/>
    <col min="6" max="6" width="11.5546875" style="1" customWidth="1"/>
    <col min="7" max="7" width="9.5546875" style="1" customWidth="1"/>
    <col min="8" max="8" width="10.33203125" style="1" customWidth="1"/>
    <col min="9" max="9" width="14" style="1" customWidth="1"/>
    <col min="10" max="10" width="13.44140625" style="1" customWidth="1"/>
    <col min="11" max="11" width="18" style="1" customWidth="1"/>
    <col min="12" max="16384" width="9.109375" style="1"/>
  </cols>
  <sheetData>
    <row r="2" spans="1:17">
      <c r="A2" s="119" t="s">
        <v>0</v>
      </c>
      <c r="B2" s="1" t="e">
        <f>#REF!</f>
        <v>#REF!</v>
      </c>
    </row>
    <row r="3" spans="1:17">
      <c r="A3" s="119" t="s">
        <v>1</v>
      </c>
      <c r="B3" s="1" t="e">
        <f>#REF!</f>
        <v>#REF!</v>
      </c>
    </row>
    <row r="4" spans="1:17">
      <c r="A4" s="119" t="s">
        <v>2</v>
      </c>
      <c r="B4" s="227" t="s">
        <v>331</v>
      </c>
    </row>
    <row r="5" spans="1:17">
      <c r="A5" s="119" t="s">
        <v>3</v>
      </c>
      <c r="B5" s="1" t="s">
        <v>379</v>
      </c>
    </row>
    <row r="6" spans="1:17">
      <c r="A6" s="119" t="s">
        <v>4</v>
      </c>
    </row>
    <row r="7" spans="1:17">
      <c r="H7" s="239" t="s">
        <v>486</v>
      </c>
    </row>
    <row r="8" spans="1:17">
      <c r="A8" s="230" t="s">
        <v>332</v>
      </c>
      <c r="B8" s="230" t="s">
        <v>8</v>
      </c>
      <c r="C8" s="230" t="s">
        <v>9</v>
      </c>
      <c r="D8" s="230" t="s">
        <v>333</v>
      </c>
      <c r="E8" s="230" t="s">
        <v>11</v>
      </c>
      <c r="F8" s="230" t="s">
        <v>12</v>
      </c>
      <c r="G8" s="230" t="s">
        <v>13</v>
      </c>
      <c r="H8" s="230" t="s">
        <v>15</v>
      </c>
      <c r="I8" s="230" t="s">
        <v>357</v>
      </c>
      <c r="J8" s="230" t="s">
        <v>16</v>
      </c>
      <c r="K8" s="230" t="s">
        <v>17</v>
      </c>
    </row>
    <row r="9" spans="1:17" s="601" customFormat="1">
      <c r="A9" s="596">
        <v>1</v>
      </c>
      <c r="B9" s="597" t="s">
        <v>421</v>
      </c>
      <c r="C9" s="599" t="s">
        <v>305</v>
      </c>
      <c r="D9" s="599">
        <v>1</v>
      </c>
      <c r="E9" s="599"/>
      <c r="F9" s="599"/>
      <c r="G9" s="599"/>
      <c r="H9" s="599">
        <v>1800</v>
      </c>
      <c r="I9" s="599"/>
      <c r="J9" s="599">
        <f>H9*D9</f>
        <v>1800</v>
      </c>
      <c r="K9" s="599"/>
    </row>
    <row r="10" spans="1:17">
      <c r="A10" s="240"/>
      <c r="B10" s="277"/>
      <c r="C10" s="231"/>
      <c r="D10" s="44"/>
      <c r="E10" s="44"/>
      <c r="F10" s="44"/>
      <c r="G10" s="44"/>
      <c r="H10" s="44"/>
      <c r="I10" s="231" t="s">
        <v>439</v>
      </c>
      <c r="J10" s="231">
        <f>SUM(J9)</f>
        <v>1800</v>
      </c>
      <c r="K10" s="44"/>
    </row>
    <row r="11" spans="1:17">
      <c r="A11" s="240"/>
      <c r="B11" s="277"/>
      <c r="C11" s="44"/>
      <c r="D11" s="44"/>
      <c r="E11" s="44"/>
      <c r="F11" s="44"/>
      <c r="G11" s="44"/>
      <c r="H11" s="44"/>
      <c r="I11" s="44"/>
      <c r="J11" s="44"/>
      <c r="K11" s="44"/>
    </row>
    <row r="12" spans="1:17" s="601" customFormat="1">
      <c r="A12" s="596">
        <v>2</v>
      </c>
      <c r="B12" s="597" t="s">
        <v>313</v>
      </c>
      <c r="C12" s="599" t="s">
        <v>306</v>
      </c>
      <c r="D12" s="599"/>
      <c r="E12" s="599"/>
      <c r="F12" s="599"/>
      <c r="G12" s="599"/>
      <c r="H12" s="599"/>
      <c r="I12" s="599"/>
      <c r="J12" s="599"/>
      <c r="K12" s="599"/>
    </row>
    <row r="13" spans="1:17">
      <c r="A13" s="235"/>
      <c r="B13" s="260" t="s">
        <v>684</v>
      </c>
      <c r="C13" s="44"/>
      <c r="D13" s="44"/>
      <c r="E13" s="44"/>
      <c r="F13" s="44"/>
      <c r="G13" s="44"/>
      <c r="H13" s="44"/>
      <c r="I13" s="44"/>
      <c r="J13" s="44"/>
      <c r="K13" s="44"/>
    </row>
    <row r="14" spans="1:17">
      <c r="A14" s="235"/>
      <c r="B14" s="338" t="s">
        <v>683</v>
      </c>
      <c r="C14" s="44"/>
      <c r="D14" s="44">
        <v>1</v>
      </c>
      <c r="E14" s="44">
        <v>25.6</v>
      </c>
      <c r="F14" s="44"/>
      <c r="G14" s="44"/>
      <c r="H14" s="44">
        <v>364.6</v>
      </c>
      <c r="I14" s="44"/>
      <c r="J14" s="44">
        <f>H14*E14*D14</f>
        <v>9333.76</v>
      </c>
      <c r="K14" s="44"/>
    </row>
    <row r="15" spans="1:17">
      <c r="A15" s="235"/>
      <c r="B15" s="338" t="s">
        <v>423</v>
      </c>
      <c r="C15" s="44"/>
      <c r="D15" s="44">
        <v>1</v>
      </c>
      <c r="E15" s="44">
        <v>49.3</v>
      </c>
      <c r="F15" s="44"/>
      <c r="G15" s="44"/>
      <c r="H15" s="44">
        <v>598.29989999999998</v>
      </c>
      <c r="I15" s="44"/>
      <c r="J15" s="44">
        <f>H15*E15*D15</f>
        <v>29496.185069999996</v>
      </c>
      <c r="K15" s="44"/>
    </row>
    <row r="16" spans="1:17">
      <c r="A16" s="235"/>
      <c r="B16" s="260" t="s">
        <v>682</v>
      </c>
      <c r="C16" s="44"/>
      <c r="D16" s="44"/>
      <c r="E16" s="44"/>
      <c r="F16" s="44"/>
      <c r="G16" s="44"/>
      <c r="H16" s="325"/>
      <c r="I16" s="269"/>
      <c r="J16" s="239"/>
      <c r="K16" s="44"/>
      <c r="Q16" s="1">
        <f>954.4403-356.1404</f>
        <v>598.29989999999998</v>
      </c>
    </row>
    <row r="17" spans="1:11">
      <c r="A17" s="235"/>
      <c r="B17" s="338" t="s">
        <v>423</v>
      </c>
      <c r="C17" s="44"/>
      <c r="D17" s="44">
        <v>1</v>
      </c>
      <c r="E17" s="44">
        <v>43.73</v>
      </c>
      <c r="F17" s="44"/>
      <c r="G17" s="44"/>
      <c r="H17" s="325">
        <v>878.12620000000004</v>
      </c>
      <c r="I17" s="267"/>
      <c r="J17" s="44">
        <f>H17*E17*D17</f>
        <v>38400.458725999997</v>
      </c>
      <c r="K17" s="44"/>
    </row>
    <row r="18" spans="1:11">
      <c r="A18" s="235"/>
      <c r="B18" s="260"/>
      <c r="C18" s="44"/>
      <c r="D18" s="44"/>
      <c r="E18" s="44"/>
      <c r="F18" s="44"/>
      <c r="G18" s="44"/>
      <c r="H18" s="325"/>
      <c r="I18" s="269" t="s">
        <v>685</v>
      </c>
      <c r="J18" s="239">
        <f>SUM(J17:J17)</f>
        <v>38400.458725999997</v>
      </c>
      <c r="K18" s="44"/>
    </row>
    <row r="19" spans="1:11">
      <c r="A19" s="235"/>
      <c r="B19" s="260" t="s">
        <v>424</v>
      </c>
      <c r="C19" s="44"/>
      <c r="D19" s="44">
        <v>1</v>
      </c>
      <c r="E19" s="44"/>
      <c r="F19" s="44"/>
      <c r="G19" s="44"/>
      <c r="H19" s="325"/>
      <c r="I19" s="269" t="s">
        <v>439</v>
      </c>
      <c r="J19" s="239">
        <f>J14</f>
        <v>9333.76</v>
      </c>
      <c r="K19" s="44"/>
    </row>
    <row r="20" spans="1:11">
      <c r="A20" s="240"/>
      <c r="B20" s="277" t="s">
        <v>423</v>
      </c>
      <c r="C20" s="231"/>
      <c r="D20" s="44">
        <v>1</v>
      </c>
      <c r="E20" s="44"/>
      <c r="F20" s="44"/>
      <c r="G20" s="44"/>
      <c r="H20" s="44"/>
      <c r="I20" s="231" t="s">
        <v>439</v>
      </c>
      <c r="J20" s="231">
        <f>AVERAGE(J15,J17)</f>
        <v>33948.321897999995</v>
      </c>
      <c r="K20" s="44"/>
    </row>
    <row r="21" spans="1:11">
      <c r="A21" s="240"/>
      <c r="B21" s="277"/>
      <c r="C21" s="231"/>
      <c r="D21" s="44"/>
      <c r="E21" s="44"/>
      <c r="F21" s="44"/>
      <c r="G21" s="44"/>
      <c r="H21" s="44"/>
      <c r="I21" s="231"/>
      <c r="J21" s="231"/>
      <c r="K21" s="44"/>
    </row>
    <row r="22" spans="1:11">
      <c r="A22" s="240"/>
      <c r="B22" s="277"/>
      <c r="C22" s="231"/>
      <c r="D22" s="44"/>
      <c r="E22" s="44"/>
      <c r="F22" s="44"/>
      <c r="G22" s="44"/>
      <c r="H22" s="44"/>
      <c r="I22" s="231"/>
      <c r="J22" s="231">
        <f>5%*J20</f>
        <v>1697.4160948999997</v>
      </c>
      <c r="K22" s="239" t="s">
        <v>1134</v>
      </c>
    </row>
    <row r="23" spans="1:11">
      <c r="A23" s="240"/>
      <c r="B23" s="277"/>
      <c r="C23" s="44"/>
      <c r="D23" s="44"/>
      <c r="E23" s="44"/>
      <c r="F23" s="44"/>
      <c r="G23" s="44"/>
      <c r="H23" s="44"/>
      <c r="I23" s="44"/>
      <c r="J23" s="239">
        <f>5%*J20</f>
        <v>1697.4160948999997</v>
      </c>
      <c r="K23" s="239" t="s">
        <v>1135</v>
      </c>
    </row>
    <row r="24" spans="1:11">
      <c r="A24" s="240"/>
      <c r="B24" s="277"/>
      <c r="C24" s="44"/>
      <c r="D24" s="44"/>
      <c r="E24" s="44"/>
      <c r="F24" s="44"/>
      <c r="G24" s="44"/>
      <c r="H24" s="44"/>
      <c r="I24" s="44"/>
      <c r="J24" s="239">
        <f>90%*J20</f>
        <v>30553.489708199995</v>
      </c>
      <c r="K24" s="239" t="s">
        <v>1136</v>
      </c>
    </row>
    <row r="25" spans="1:11">
      <c r="A25" s="240"/>
      <c r="B25" s="277"/>
      <c r="C25" s="44"/>
      <c r="D25" s="44"/>
      <c r="E25" s="44"/>
      <c r="F25" s="44"/>
      <c r="G25" s="44"/>
      <c r="H25" s="44"/>
      <c r="I25" s="44"/>
      <c r="J25" s="44"/>
      <c r="K25" s="44"/>
    </row>
    <row r="26" spans="1:11" s="601" customFormat="1">
      <c r="A26" s="596">
        <v>3</v>
      </c>
      <c r="B26" s="597" t="s">
        <v>422</v>
      </c>
      <c r="C26" s="599" t="s">
        <v>306</v>
      </c>
      <c r="D26" s="599"/>
      <c r="E26" s="599"/>
      <c r="F26" s="599"/>
      <c r="G26" s="599"/>
      <c r="H26" s="603"/>
      <c r="I26" s="602"/>
      <c r="J26" s="599"/>
      <c r="K26" s="599"/>
    </row>
    <row r="27" spans="1:11">
      <c r="A27" s="240"/>
      <c r="B27" s="277"/>
      <c r="C27" s="231"/>
      <c r="D27" s="44"/>
      <c r="E27" s="44"/>
      <c r="F27" s="44"/>
      <c r="G27" s="44"/>
      <c r="H27" s="44"/>
      <c r="I27" s="231" t="s">
        <v>439</v>
      </c>
      <c r="J27" s="231">
        <f>30%*J20</f>
        <v>10184.496569399998</v>
      </c>
      <c r="K27" s="239" t="s">
        <v>970</v>
      </c>
    </row>
    <row r="28" spans="1:11">
      <c r="A28" s="240"/>
      <c r="B28" s="277"/>
      <c r="C28" s="231"/>
      <c r="D28" s="44"/>
      <c r="E28" s="44"/>
      <c r="F28" s="44"/>
      <c r="G28" s="44"/>
      <c r="H28" s="44"/>
      <c r="I28" s="231"/>
      <c r="J28" s="231"/>
      <c r="K28" s="239"/>
    </row>
    <row r="29" spans="1:11">
      <c r="A29" s="240"/>
      <c r="B29" s="277"/>
      <c r="C29" s="44"/>
      <c r="D29" s="44"/>
      <c r="E29" s="44"/>
      <c r="F29" s="44"/>
      <c r="G29" s="44"/>
      <c r="H29" s="44"/>
      <c r="I29" s="44"/>
      <c r="J29" s="44"/>
      <c r="K29" s="44"/>
    </row>
    <row r="30" spans="1:11" s="601" customFormat="1">
      <c r="A30" s="596">
        <v>4</v>
      </c>
      <c r="B30" s="597" t="s">
        <v>1067</v>
      </c>
      <c r="C30" s="599" t="s">
        <v>306</v>
      </c>
      <c r="D30" s="599"/>
      <c r="E30" s="599"/>
      <c r="F30" s="599"/>
      <c r="G30" s="599"/>
      <c r="H30" s="599"/>
      <c r="I30" s="599"/>
      <c r="J30" s="599"/>
      <c r="K30" s="599"/>
    </row>
    <row r="31" spans="1:11">
      <c r="A31" s="235"/>
      <c r="B31" s="277" t="s">
        <v>423</v>
      </c>
      <c r="C31" s="44"/>
      <c r="D31" s="44">
        <v>1</v>
      </c>
      <c r="E31" s="44">
        <v>40.25</v>
      </c>
      <c r="F31" s="44">
        <v>16.8</v>
      </c>
      <c r="G31" s="44">
        <v>0.3</v>
      </c>
      <c r="H31" s="44"/>
      <c r="I31" s="44">
        <f>F31*E31*D31*G31</f>
        <v>202.86</v>
      </c>
      <c r="J31" s="44">
        <f>I31*D31</f>
        <v>202.86</v>
      </c>
      <c r="K31" s="44"/>
    </row>
    <row r="32" spans="1:11">
      <c r="A32" s="235"/>
      <c r="B32" s="277" t="s">
        <v>424</v>
      </c>
      <c r="C32" s="44"/>
      <c r="D32" s="44">
        <v>1</v>
      </c>
      <c r="E32" s="44">
        <v>25.6</v>
      </c>
      <c r="F32" s="44">
        <v>6.4</v>
      </c>
      <c r="G32" s="44">
        <v>0.3</v>
      </c>
      <c r="H32" s="44"/>
      <c r="I32" s="267">
        <f>F32*E32*D32*G32</f>
        <v>49.152000000000008</v>
      </c>
      <c r="J32" s="267">
        <f>I32*D32</f>
        <v>49.152000000000008</v>
      </c>
      <c r="K32" s="44"/>
    </row>
    <row r="33" spans="1:11">
      <c r="A33" s="240"/>
      <c r="B33" s="277"/>
      <c r="C33" s="231"/>
      <c r="D33" s="44"/>
      <c r="E33" s="44"/>
      <c r="F33" s="44"/>
      <c r="G33" s="44"/>
      <c r="H33" s="44"/>
      <c r="I33" s="231" t="s">
        <v>439</v>
      </c>
      <c r="J33" s="231">
        <f>SUM(J31:J32)</f>
        <v>252.01200000000003</v>
      </c>
      <c r="K33" s="44"/>
    </row>
    <row r="34" spans="1:11">
      <c r="A34" s="240"/>
      <c r="B34" s="277"/>
      <c r="C34" s="44"/>
      <c r="D34" s="44"/>
      <c r="E34" s="44"/>
      <c r="F34" s="44"/>
      <c r="G34" s="44"/>
      <c r="H34" s="44"/>
      <c r="I34" s="44"/>
      <c r="J34" s="267"/>
      <c r="K34" s="44"/>
    </row>
    <row r="35" spans="1:11" s="601" customFormat="1">
      <c r="A35" s="596">
        <v>5</v>
      </c>
      <c r="B35" s="597" t="s">
        <v>425</v>
      </c>
      <c r="C35" s="599" t="s">
        <v>306</v>
      </c>
      <c r="D35" s="599"/>
      <c r="E35" s="599"/>
      <c r="F35" s="599"/>
      <c r="G35" s="599"/>
      <c r="H35" s="599"/>
      <c r="I35" s="599"/>
      <c r="J35" s="602"/>
      <c r="K35" s="599"/>
    </row>
    <row r="36" spans="1:11">
      <c r="A36" s="235"/>
      <c r="B36" s="277" t="s">
        <v>423</v>
      </c>
      <c r="C36" s="44"/>
      <c r="D36" s="44">
        <v>1</v>
      </c>
      <c r="E36" s="44">
        <f>E31</f>
        <v>40.25</v>
      </c>
      <c r="F36" s="44">
        <f>F31</f>
        <v>16.8</v>
      </c>
      <c r="G36" s="44">
        <v>0.15</v>
      </c>
      <c r="H36" s="44"/>
      <c r="I36" s="267">
        <f>F36*E36*D36*G36</f>
        <v>101.43</v>
      </c>
      <c r="J36" s="267">
        <f>I36*D36</f>
        <v>101.43</v>
      </c>
      <c r="K36" s="44"/>
    </row>
    <row r="37" spans="1:11">
      <c r="A37" s="235"/>
      <c r="B37" s="277" t="s">
        <v>424</v>
      </c>
      <c r="C37" s="44"/>
      <c r="D37" s="44">
        <v>1</v>
      </c>
      <c r="E37" s="44">
        <f>E32</f>
        <v>25.6</v>
      </c>
      <c r="F37" s="44">
        <f>F32</f>
        <v>6.4</v>
      </c>
      <c r="G37" s="44">
        <f>G36</f>
        <v>0.15</v>
      </c>
      <c r="H37" s="44"/>
      <c r="I37" s="267">
        <f>F37*E37*D37*G37</f>
        <v>24.576000000000004</v>
      </c>
      <c r="J37" s="267">
        <f>I37*D37</f>
        <v>24.576000000000004</v>
      </c>
      <c r="K37" s="44"/>
    </row>
    <row r="38" spans="1:11">
      <c r="A38" s="240"/>
      <c r="B38" s="277"/>
      <c r="C38" s="231"/>
      <c r="D38" s="44"/>
      <c r="E38" s="44"/>
      <c r="F38" s="44"/>
      <c r="G38" s="44"/>
      <c r="H38" s="44"/>
      <c r="I38" s="231" t="s">
        <v>439</v>
      </c>
      <c r="J38" s="231">
        <f>SUM(J36:J37)</f>
        <v>126.00600000000001</v>
      </c>
      <c r="K38" s="44"/>
    </row>
    <row r="39" spans="1:11" s="601" customFormat="1">
      <c r="A39" s="596">
        <v>6</v>
      </c>
      <c r="B39" s="597" t="s">
        <v>426</v>
      </c>
      <c r="C39" s="599" t="s">
        <v>306</v>
      </c>
      <c r="D39" s="599"/>
      <c r="E39" s="599"/>
      <c r="F39" s="599"/>
      <c r="G39" s="599"/>
      <c r="H39" s="599"/>
      <c r="I39" s="599"/>
      <c r="J39" s="599"/>
      <c r="K39" s="599"/>
    </row>
    <row r="40" spans="1:11">
      <c r="A40" s="235"/>
      <c r="B40" s="341" t="s">
        <v>688</v>
      </c>
      <c r="C40" s="591"/>
      <c r="D40" s="591"/>
      <c r="E40" s="591"/>
      <c r="F40" s="44"/>
      <c r="G40" s="44"/>
      <c r="H40" s="44"/>
      <c r="I40" s="44"/>
      <c r="J40" s="44"/>
      <c r="K40" s="44"/>
    </row>
    <row r="41" spans="1:11">
      <c r="A41" s="235">
        <v>6.1</v>
      </c>
      <c r="B41" s="425" t="s">
        <v>1141</v>
      </c>
      <c r="C41" s="591"/>
      <c r="D41" s="591"/>
      <c r="E41" s="591"/>
      <c r="F41" s="44"/>
      <c r="G41" s="44"/>
      <c r="H41" s="44"/>
      <c r="I41" s="44"/>
      <c r="J41" s="44"/>
      <c r="K41" s="44"/>
    </row>
    <row r="42" spans="1:11">
      <c r="A42" s="235"/>
      <c r="B42" s="342" t="s">
        <v>689</v>
      </c>
      <c r="C42" s="316"/>
      <c r="D42" s="588"/>
      <c r="E42" s="589"/>
      <c r="F42" s="44"/>
      <c r="G42" s="44"/>
      <c r="H42" s="44"/>
      <c r="I42" s="44"/>
      <c r="J42" s="44"/>
      <c r="K42" s="44"/>
    </row>
    <row r="43" spans="1:11">
      <c r="A43" s="235"/>
      <c r="B43" s="342" t="s">
        <v>690</v>
      </c>
      <c r="C43" s="316"/>
      <c r="D43" s="588">
        <v>1</v>
      </c>
      <c r="E43" s="589">
        <v>16.8</v>
      </c>
      <c r="F43" s="44">
        <v>28.74</v>
      </c>
      <c r="G43" s="44">
        <v>2</v>
      </c>
      <c r="H43" s="44"/>
      <c r="I43" s="44"/>
      <c r="J43" s="267">
        <f>D43*E43*F43</f>
        <v>482.83199999999999</v>
      </c>
      <c r="K43" s="44"/>
    </row>
    <row r="44" spans="1:11">
      <c r="A44" s="235"/>
      <c r="B44" s="342" t="s">
        <v>1142</v>
      </c>
      <c r="C44" s="316"/>
      <c r="D44" s="588">
        <v>1</v>
      </c>
      <c r="E44" s="589">
        <v>16.8</v>
      </c>
      <c r="F44" s="44">
        <v>28.74</v>
      </c>
      <c r="G44" s="44">
        <v>6.99</v>
      </c>
      <c r="H44" s="44"/>
      <c r="I44" s="44"/>
      <c r="J44" s="267">
        <f>D44*E44*F44*G44</f>
        <v>3374.99568</v>
      </c>
      <c r="K44" s="44"/>
    </row>
    <row r="45" spans="1:11">
      <c r="A45" s="235"/>
      <c r="B45" s="760" t="s">
        <v>1143</v>
      </c>
      <c r="C45" s="316"/>
      <c r="D45" s="588"/>
      <c r="E45" s="589"/>
      <c r="F45" s="44"/>
      <c r="G45" s="44"/>
      <c r="H45" s="44"/>
      <c r="I45" s="44"/>
      <c r="J45" s="44"/>
      <c r="K45" s="44"/>
    </row>
    <row r="46" spans="1:11">
      <c r="A46" s="235"/>
      <c r="B46" s="761" t="s">
        <v>1144</v>
      </c>
      <c r="C46" s="316"/>
      <c r="D46" s="588">
        <v>1</v>
      </c>
      <c r="E46" s="589"/>
      <c r="F46" s="44"/>
      <c r="G46" s="44">
        <v>6.99</v>
      </c>
      <c r="H46" s="44">
        <f>45.368</f>
        <v>45.368000000000002</v>
      </c>
      <c r="I46" s="44"/>
      <c r="J46" s="590">
        <f>-D46*G46*H46</f>
        <v>-317.12232</v>
      </c>
      <c r="K46" s="44"/>
    </row>
    <row r="47" spans="1:11">
      <c r="A47" s="235"/>
      <c r="B47" s="761" t="s">
        <v>1145</v>
      </c>
      <c r="C47" s="316"/>
      <c r="D47" s="588">
        <v>2</v>
      </c>
      <c r="E47" s="589">
        <v>3</v>
      </c>
      <c r="F47" s="44">
        <v>3</v>
      </c>
      <c r="G47" s="44">
        <v>4</v>
      </c>
      <c r="H47" s="44"/>
      <c r="I47" s="44"/>
      <c r="J47" s="590">
        <f>-D47*E47*F47*G47</f>
        <v>-72</v>
      </c>
      <c r="K47" s="44"/>
    </row>
    <row r="48" spans="1:11">
      <c r="A48" s="235"/>
      <c r="B48" s="761" t="s">
        <v>720</v>
      </c>
      <c r="C48" s="316"/>
      <c r="D48" s="588">
        <v>1</v>
      </c>
      <c r="E48" s="589">
        <v>4</v>
      </c>
      <c r="F48" s="44">
        <v>2</v>
      </c>
      <c r="G48" s="44">
        <v>7.19</v>
      </c>
      <c r="H48" s="44"/>
      <c r="I48" s="44"/>
      <c r="J48" s="590">
        <f>-D48*E48*F48*G48</f>
        <v>-57.52</v>
      </c>
      <c r="K48" s="44"/>
    </row>
    <row r="49" spans="1:11">
      <c r="A49" s="235"/>
      <c r="B49" s="761" t="s">
        <v>1146</v>
      </c>
      <c r="C49" s="316"/>
      <c r="D49" s="588">
        <v>1</v>
      </c>
      <c r="E49" s="589">
        <v>8.85</v>
      </c>
      <c r="F49" s="44">
        <v>2.65</v>
      </c>
      <c r="G49" s="44">
        <v>6.99</v>
      </c>
      <c r="H49" s="44"/>
      <c r="I49" s="44"/>
      <c r="J49" s="590">
        <f>-D49*E49*F49*G49</f>
        <v>-163.93297499999997</v>
      </c>
      <c r="K49" s="44"/>
    </row>
    <row r="50" spans="1:11">
      <c r="A50" s="235"/>
      <c r="B50" s="760" t="s">
        <v>1147</v>
      </c>
      <c r="C50" s="316"/>
      <c r="D50" s="588"/>
      <c r="E50" s="589"/>
      <c r="F50" s="44"/>
      <c r="G50" s="44"/>
      <c r="H50" s="44"/>
      <c r="I50" s="44"/>
      <c r="J50" s="44"/>
      <c r="K50" s="44"/>
    </row>
    <row r="51" spans="1:11">
      <c r="A51" s="235"/>
      <c r="B51" s="342" t="s">
        <v>1148</v>
      </c>
      <c r="C51" s="316"/>
      <c r="D51" s="588">
        <v>1</v>
      </c>
      <c r="E51" s="589">
        <v>16.8</v>
      </c>
      <c r="F51" s="44">
        <v>28.74</v>
      </c>
      <c r="G51" s="44">
        <v>1.9550000000000001</v>
      </c>
      <c r="H51" s="44"/>
      <c r="I51" s="44"/>
      <c r="J51" s="267">
        <f>D51*E51*F51*G51</f>
        <v>943.93655999999999</v>
      </c>
      <c r="K51" s="44"/>
    </row>
    <row r="52" spans="1:11">
      <c r="A52" s="235"/>
      <c r="B52" s="342" t="s">
        <v>1149</v>
      </c>
      <c r="C52" s="316"/>
      <c r="D52" s="588">
        <v>1</v>
      </c>
      <c r="E52" s="589">
        <v>16.8</v>
      </c>
      <c r="F52" s="44">
        <v>28.74</v>
      </c>
      <c r="G52" s="44">
        <v>6.2249999999999996</v>
      </c>
      <c r="H52" s="44"/>
      <c r="I52" s="44"/>
      <c r="J52" s="267">
        <f>D52*E52*F52*G52</f>
        <v>3005.6291999999999</v>
      </c>
      <c r="K52" s="44"/>
    </row>
    <row r="53" spans="1:11">
      <c r="A53" s="235"/>
      <c r="B53" s="342" t="s">
        <v>636</v>
      </c>
      <c r="C53" s="316"/>
      <c r="D53" s="588">
        <v>1</v>
      </c>
      <c r="E53" s="589">
        <v>16.8</v>
      </c>
      <c r="F53" s="44">
        <v>28.74</v>
      </c>
      <c r="G53" s="44">
        <v>3.5</v>
      </c>
      <c r="H53" s="44"/>
      <c r="I53" s="44"/>
      <c r="J53" s="267">
        <f>D53*E53*F53*G53</f>
        <v>1689.912</v>
      </c>
      <c r="K53" s="44"/>
    </row>
    <row r="54" spans="1:11">
      <c r="A54" s="235"/>
      <c r="B54" s="342" t="s">
        <v>690</v>
      </c>
      <c r="C54" s="316"/>
      <c r="D54" s="588">
        <v>2</v>
      </c>
      <c r="E54" s="589">
        <v>16.8</v>
      </c>
      <c r="F54" s="44">
        <v>28.74</v>
      </c>
      <c r="G54" s="44">
        <v>0.15</v>
      </c>
      <c r="H54" s="44"/>
      <c r="I54" s="44"/>
      <c r="J54" s="267">
        <f>D54*E54*F54*G54</f>
        <v>144.84959999999998</v>
      </c>
      <c r="K54" s="44"/>
    </row>
    <row r="55" spans="1:11">
      <c r="A55" s="235"/>
      <c r="B55" s="761" t="s">
        <v>1150</v>
      </c>
      <c r="C55" s="316"/>
      <c r="D55" s="588">
        <v>2</v>
      </c>
      <c r="E55" s="589">
        <v>3.7</v>
      </c>
      <c r="F55" s="44">
        <v>3.7</v>
      </c>
      <c r="G55" s="44">
        <v>0.15</v>
      </c>
      <c r="H55" s="44"/>
      <c r="I55" s="44"/>
      <c r="J55" s="590">
        <f>-D55*E55*F55*G55</f>
        <v>-4.1070000000000002</v>
      </c>
      <c r="K55" s="44"/>
    </row>
    <row r="56" spans="1:11">
      <c r="A56" s="235"/>
      <c r="B56" s="760" t="s">
        <v>1151</v>
      </c>
      <c r="C56" s="316"/>
      <c r="D56" s="588">
        <v>2</v>
      </c>
      <c r="E56" s="589"/>
      <c r="F56" s="44"/>
      <c r="G56" s="44"/>
      <c r="H56" s="44"/>
      <c r="I56" s="44">
        <f>319.4</f>
        <v>319.39999999999998</v>
      </c>
      <c r="J56" s="590">
        <f>D56*I56</f>
        <v>638.79999999999995</v>
      </c>
      <c r="K56" s="267"/>
    </row>
    <row r="57" spans="1:11">
      <c r="A57" s="235"/>
      <c r="B57" s="342" t="s">
        <v>1152</v>
      </c>
      <c r="C57" s="316"/>
      <c r="D57" s="588">
        <v>13</v>
      </c>
      <c r="E57" s="589">
        <v>0.8</v>
      </c>
      <c r="F57" s="44">
        <v>0.6</v>
      </c>
      <c r="G57" s="44">
        <v>8.8000000000000007</v>
      </c>
      <c r="H57" s="44"/>
      <c r="I57" s="44"/>
      <c r="J57" s="44">
        <f>D57*E57*F57*G57</f>
        <v>54.912000000000006</v>
      </c>
      <c r="K57" s="44"/>
    </row>
    <row r="58" spans="1:11">
      <c r="A58" s="235"/>
      <c r="B58" s="342" t="s">
        <v>1153</v>
      </c>
      <c r="C58" s="316"/>
      <c r="D58" s="588">
        <v>4</v>
      </c>
      <c r="E58" s="589">
        <v>28.74</v>
      </c>
      <c r="F58" s="44">
        <v>0.4</v>
      </c>
      <c r="G58" s="44">
        <v>0.6</v>
      </c>
      <c r="H58" s="44"/>
      <c r="I58" s="44"/>
      <c r="J58" s="44">
        <f>D58*E58*F58*G58</f>
        <v>27.590399999999999</v>
      </c>
      <c r="K58" s="44"/>
    </row>
    <row r="59" spans="1:11">
      <c r="A59" s="235"/>
      <c r="B59" s="342" t="s">
        <v>1154</v>
      </c>
      <c r="C59" s="316"/>
      <c r="D59" s="588">
        <v>7</v>
      </c>
      <c r="E59" s="589">
        <v>16.8</v>
      </c>
      <c r="F59" s="44">
        <v>0.4</v>
      </c>
      <c r="G59" s="44">
        <v>0.6</v>
      </c>
      <c r="H59" s="44"/>
      <c r="I59" s="44"/>
      <c r="J59" s="44">
        <f>D59*E59*F59*G59</f>
        <v>28.224000000000004</v>
      </c>
      <c r="K59" s="44"/>
    </row>
    <row r="60" spans="1:11">
      <c r="A60" s="235"/>
      <c r="B60" s="342" t="s">
        <v>1155</v>
      </c>
      <c r="C60" s="316"/>
      <c r="D60" s="588">
        <v>2</v>
      </c>
      <c r="E60" s="589">
        <v>28.74</v>
      </c>
      <c r="F60" s="44"/>
      <c r="G60" s="44"/>
      <c r="H60" s="44">
        <v>1.62</v>
      </c>
      <c r="I60" s="44"/>
      <c r="J60" s="44">
        <f>D60*E60*H60</f>
        <v>93.117599999999996</v>
      </c>
      <c r="K60" s="44"/>
    </row>
    <row r="61" spans="1:11">
      <c r="A61" s="235"/>
      <c r="B61" s="342" t="s">
        <v>722</v>
      </c>
      <c r="C61" s="316"/>
      <c r="D61" s="588">
        <v>1</v>
      </c>
      <c r="E61" s="589">
        <v>1.9</v>
      </c>
      <c r="F61" s="44"/>
      <c r="G61" s="44"/>
      <c r="H61" s="44">
        <f>0.8*4+2*0.43</f>
        <v>4.0600000000000005</v>
      </c>
      <c r="I61" s="44"/>
      <c r="J61" s="44">
        <f>D61*E61*H61</f>
        <v>7.7140000000000004</v>
      </c>
      <c r="K61" s="44"/>
    </row>
    <row r="62" spans="1:11">
      <c r="A62" s="235"/>
      <c r="B62" s="342"/>
      <c r="C62" s="316"/>
      <c r="D62" s="588"/>
      <c r="E62" s="589"/>
      <c r="F62" s="44"/>
      <c r="G62" s="44"/>
      <c r="H62" s="44"/>
      <c r="I62" s="44"/>
      <c r="J62" s="44"/>
      <c r="K62" s="44"/>
    </row>
    <row r="63" spans="1:11">
      <c r="A63" s="235">
        <v>6.2</v>
      </c>
      <c r="B63" s="760" t="s">
        <v>1156</v>
      </c>
      <c r="C63" s="316"/>
      <c r="D63" s="588"/>
      <c r="E63" s="589"/>
      <c r="F63" s="44"/>
      <c r="G63" s="44"/>
      <c r="H63" s="44"/>
      <c r="I63" s="44"/>
      <c r="J63" s="44"/>
      <c r="K63" s="44"/>
    </row>
    <row r="64" spans="1:11">
      <c r="A64" s="235"/>
      <c r="B64" s="342" t="s">
        <v>730</v>
      </c>
      <c r="C64" s="316"/>
      <c r="D64" s="588">
        <v>1</v>
      </c>
      <c r="E64" s="589">
        <v>16.8</v>
      </c>
      <c r="F64" s="44">
        <v>11.5</v>
      </c>
      <c r="G64" s="44">
        <v>2</v>
      </c>
      <c r="H64" s="44"/>
      <c r="I64" s="44"/>
      <c r="J64" s="44">
        <f>D64*E64*F64*G64</f>
        <v>386.40000000000003</v>
      </c>
      <c r="K64" s="44"/>
    </row>
    <row r="65" spans="1:11">
      <c r="A65" s="235"/>
      <c r="B65" s="342" t="s">
        <v>1157</v>
      </c>
      <c r="C65" s="316"/>
      <c r="D65" s="588">
        <v>2</v>
      </c>
      <c r="E65" s="589">
        <v>0.4</v>
      </c>
      <c r="F65" s="44">
        <v>11.5</v>
      </c>
      <c r="G65" s="44">
        <v>3.5</v>
      </c>
      <c r="H65" s="44"/>
      <c r="I65" s="44"/>
      <c r="J65" s="44">
        <f t="shared" ref="J65" si="0">D65*E65*F65*G65</f>
        <v>32.200000000000003</v>
      </c>
      <c r="K65" s="44"/>
    </row>
    <row r="66" spans="1:11">
      <c r="A66" s="235"/>
      <c r="B66" s="761" t="s">
        <v>1158</v>
      </c>
      <c r="C66" s="316"/>
      <c r="D66" s="588">
        <v>1</v>
      </c>
      <c r="E66" s="589">
        <v>7.2</v>
      </c>
      <c r="F66" s="44">
        <v>0.4</v>
      </c>
      <c r="G66" s="44">
        <v>3.5</v>
      </c>
      <c r="H66" s="44"/>
      <c r="I66" s="44"/>
      <c r="J66" s="590">
        <f>-D66*E66*F66*G66</f>
        <v>-10.080000000000002</v>
      </c>
      <c r="K66" s="44"/>
    </row>
    <row r="67" spans="1:11">
      <c r="A67" s="235"/>
      <c r="B67" s="342" t="s">
        <v>1159</v>
      </c>
      <c r="C67" s="316"/>
      <c r="D67" s="588">
        <v>7</v>
      </c>
      <c r="E67" s="589">
        <v>0.8</v>
      </c>
      <c r="F67" s="44">
        <v>0.6</v>
      </c>
      <c r="G67" s="44">
        <v>8.8000000000000007</v>
      </c>
      <c r="H67" s="44"/>
      <c r="I67" s="44"/>
      <c r="J67" s="590">
        <f>D67*E67*F67*G67</f>
        <v>29.568000000000005</v>
      </c>
      <c r="K67" s="44"/>
    </row>
    <row r="68" spans="1:11">
      <c r="A68" s="235"/>
      <c r="B68" s="342" t="s">
        <v>1153</v>
      </c>
      <c r="C68" s="316"/>
      <c r="D68" s="588">
        <v>4</v>
      </c>
      <c r="E68" s="589">
        <v>11.5</v>
      </c>
      <c r="F68" s="44">
        <v>0.4</v>
      </c>
      <c r="G68" s="44">
        <v>0.6</v>
      </c>
      <c r="H68" s="44"/>
      <c r="I68" s="44"/>
      <c r="J68" s="44">
        <f>D68*E68*F68*G68</f>
        <v>11.040000000000001</v>
      </c>
      <c r="K68" s="44"/>
    </row>
    <row r="69" spans="1:11">
      <c r="A69" s="235"/>
      <c r="B69" s="342" t="s">
        <v>1154</v>
      </c>
      <c r="C69" s="316"/>
      <c r="D69" s="588">
        <v>3</v>
      </c>
      <c r="E69" s="589">
        <v>16.8</v>
      </c>
      <c r="F69" s="44">
        <v>0.4</v>
      </c>
      <c r="G69" s="44">
        <v>0.6</v>
      </c>
      <c r="H69" s="44"/>
      <c r="I69" s="44"/>
      <c r="J69" s="44">
        <f>D69*E69*F69*G69</f>
        <v>12.096000000000002</v>
      </c>
      <c r="K69" s="44"/>
    </row>
    <row r="70" spans="1:11">
      <c r="A70" s="235"/>
      <c r="B70" s="342" t="s">
        <v>1160</v>
      </c>
      <c r="C70" s="316"/>
      <c r="D70" s="588">
        <v>2</v>
      </c>
      <c r="E70" s="589">
        <v>11.5</v>
      </c>
      <c r="F70" s="44"/>
      <c r="G70" s="44"/>
      <c r="H70" s="44">
        <f>1.62</f>
        <v>1.62</v>
      </c>
      <c r="I70" s="44"/>
      <c r="J70" s="44">
        <f>D70*E70*H70</f>
        <v>37.260000000000005</v>
      </c>
      <c r="K70" s="44"/>
    </row>
    <row r="71" spans="1:11">
      <c r="A71" s="235"/>
      <c r="B71" s="342"/>
      <c r="C71" s="316"/>
      <c r="D71" s="588"/>
      <c r="E71" s="589"/>
      <c r="F71" s="44"/>
      <c r="G71" s="44"/>
      <c r="H71" s="44"/>
      <c r="I71" s="44"/>
      <c r="J71" s="267"/>
      <c r="K71" s="44"/>
    </row>
    <row r="72" spans="1:11">
      <c r="A72" s="240"/>
      <c r="B72" s="342"/>
      <c r="C72" s="316"/>
      <c r="D72" s="588"/>
      <c r="E72" s="589"/>
      <c r="F72" s="44"/>
      <c r="G72" s="44"/>
      <c r="H72" s="267"/>
      <c r="I72" s="267"/>
      <c r="J72" s="44"/>
      <c r="K72" s="44"/>
    </row>
    <row r="73" spans="1:11">
      <c r="A73" s="240"/>
      <c r="B73" s="277"/>
      <c r="C73" s="231"/>
      <c r="D73" s="44"/>
      <c r="E73" s="44"/>
      <c r="F73" s="44"/>
      <c r="G73" s="44"/>
      <c r="H73" s="44"/>
      <c r="I73" s="231" t="s">
        <v>439</v>
      </c>
      <c r="J73" s="233">
        <f>SUM(J43:J72)</f>
        <v>10376.314744999998</v>
      </c>
      <c r="K73" s="44"/>
    </row>
    <row r="74" spans="1:11">
      <c r="A74" s="240"/>
      <c r="B74" s="277"/>
      <c r="C74" s="231"/>
      <c r="D74" s="44"/>
      <c r="E74" s="44"/>
      <c r="F74" s="44"/>
      <c r="G74" s="44"/>
      <c r="H74" s="44"/>
      <c r="I74" s="231"/>
      <c r="J74" s="231"/>
      <c r="K74" s="44"/>
    </row>
    <row r="75" spans="1:11" s="601" customFormat="1">
      <c r="A75" s="596">
        <v>7</v>
      </c>
      <c r="B75" s="597" t="s">
        <v>427</v>
      </c>
      <c r="C75" s="599" t="s">
        <v>306</v>
      </c>
      <c r="D75" s="599"/>
      <c r="E75" s="599"/>
      <c r="F75" s="599"/>
      <c r="G75" s="599"/>
      <c r="H75" s="599"/>
      <c r="I75" s="599"/>
      <c r="J75" s="599"/>
      <c r="K75" s="599"/>
    </row>
    <row r="76" spans="1:11">
      <c r="A76" s="240"/>
      <c r="B76" s="342" t="s">
        <v>723</v>
      </c>
      <c r="C76" s="316"/>
      <c r="D76" s="588">
        <v>14</v>
      </c>
      <c r="E76" s="595">
        <v>8.1999999999999993</v>
      </c>
      <c r="F76" s="44"/>
      <c r="G76" s="44"/>
      <c r="H76" s="44">
        <v>1.6</v>
      </c>
      <c r="I76" s="44"/>
      <c r="J76" s="44">
        <f>D76*E76*H76</f>
        <v>183.67999999999998</v>
      </c>
      <c r="K76" s="44"/>
    </row>
    <row r="77" spans="1:11">
      <c r="A77" s="240"/>
      <c r="B77" s="342" t="s">
        <v>724</v>
      </c>
      <c r="C77" s="316"/>
      <c r="D77" s="588">
        <f>6*2</f>
        <v>12</v>
      </c>
      <c r="E77" s="595">
        <v>3.4</v>
      </c>
      <c r="F77" s="44">
        <v>0.3</v>
      </c>
      <c r="G77" s="44">
        <v>0.3</v>
      </c>
      <c r="H77" s="44"/>
      <c r="I77" s="44"/>
      <c r="J77" s="44">
        <f>D77*E77*F77*G77</f>
        <v>3.6719999999999993</v>
      </c>
      <c r="K77" s="44"/>
    </row>
    <row r="78" spans="1:11">
      <c r="A78" s="240"/>
      <c r="B78" s="342" t="s">
        <v>725</v>
      </c>
      <c r="C78" s="316"/>
      <c r="D78" s="588">
        <f>6*2</f>
        <v>12</v>
      </c>
      <c r="E78" s="595">
        <v>4.2</v>
      </c>
      <c r="F78" s="44">
        <v>0.3</v>
      </c>
      <c r="G78" s="44">
        <v>0.3</v>
      </c>
      <c r="H78" s="44"/>
      <c r="I78" s="44"/>
      <c r="J78" s="44">
        <f>D78*E78*F78*G78</f>
        <v>4.5360000000000005</v>
      </c>
      <c r="K78" s="44"/>
    </row>
    <row r="79" spans="1:11">
      <c r="A79" s="240"/>
      <c r="B79" s="342" t="s">
        <v>707</v>
      </c>
      <c r="C79" s="316"/>
      <c r="D79" s="588"/>
      <c r="E79" s="595"/>
      <c r="F79" s="44"/>
      <c r="G79" s="44"/>
      <c r="H79" s="44"/>
      <c r="I79" s="44"/>
      <c r="J79" s="44"/>
      <c r="K79" s="44"/>
    </row>
    <row r="80" spans="1:11">
      <c r="A80" s="240"/>
      <c r="B80" s="342" t="s">
        <v>722</v>
      </c>
      <c r="C80" s="316"/>
      <c r="D80" s="588"/>
      <c r="E80" s="595"/>
      <c r="F80" s="44"/>
      <c r="G80" s="44"/>
      <c r="H80" s="44"/>
      <c r="I80" s="44"/>
      <c r="J80" s="44"/>
      <c r="K80" s="44"/>
    </row>
    <row r="81" spans="1:11">
      <c r="A81" s="240"/>
      <c r="B81" s="342" t="s">
        <v>726</v>
      </c>
      <c r="C81" s="316"/>
      <c r="D81" s="588">
        <v>2</v>
      </c>
      <c r="E81" s="595"/>
      <c r="F81" s="44"/>
      <c r="G81" s="44"/>
      <c r="H81" s="44">
        <v>2.23</v>
      </c>
      <c r="I81" s="44"/>
      <c r="J81" s="590">
        <f>D81*H81</f>
        <v>4.46</v>
      </c>
      <c r="K81" s="44"/>
    </row>
    <row r="82" spans="1:11">
      <c r="A82" s="240"/>
      <c r="B82" s="342" t="s">
        <v>727</v>
      </c>
      <c r="C82" s="316"/>
      <c r="D82" s="588"/>
      <c r="E82" s="595"/>
      <c r="F82" s="44"/>
      <c r="G82" s="44"/>
      <c r="H82" s="44"/>
      <c r="I82" s="44"/>
      <c r="J82" s="44"/>
      <c r="K82" s="44"/>
    </row>
    <row r="83" spans="1:11">
      <c r="A83" s="240"/>
      <c r="B83" s="342" t="s">
        <v>728</v>
      </c>
      <c r="C83" s="316"/>
      <c r="D83" s="588">
        <v>1</v>
      </c>
      <c r="E83" s="595">
        <v>25.6</v>
      </c>
      <c r="F83" s="44">
        <v>5.6</v>
      </c>
      <c r="G83" s="44"/>
      <c r="H83" s="44"/>
      <c r="I83" s="44"/>
      <c r="J83" s="44">
        <f>D83*E83*F83</f>
        <v>143.35999999999999</v>
      </c>
      <c r="K83" s="44"/>
    </row>
    <row r="84" spans="1:11">
      <c r="A84" s="240"/>
      <c r="B84" s="342" t="s">
        <v>692</v>
      </c>
      <c r="C84" s="316"/>
      <c r="D84" s="588">
        <v>2</v>
      </c>
      <c r="E84" s="595"/>
      <c r="F84" s="44"/>
      <c r="G84" s="44"/>
      <c r="H84" s="44">
        <v>0.83</v>
      </c>
      <c r="I84" s="44"/>
      <c r="J84" s="590">
        <f>D84*H84</f>
        <v>1.66</v>
      </c>
      <c r="K84" s="44"/>
    </row>
    <row r="85" spans="1:11">
      <c r="A85" s="240"/>
      <c r="B85" s="342" t="s">
        <v>729</v>
      </c>
      <c r="C85" s="316"/>
      <c r="D85" s="588"/>
      <c r="E85" s="595"/>
      <c r="F85" s="44"/>
      <c r="G85" s="44"/>
      <c r="H85" s="44"/>
      <c r="I85" s="44"/>
      <c r="J85" s="44"/>
      <c r="K85" s="44"/>
    </row>
    <row r="86" spans="1:11">
      <c r="A86" s="240"/>
      <c r="B86" s="342" t="s">
        <v>728</v>
      </c>
      <c r="C86" s="316"/>
      <c r="D86" s="588">
        <v>1</v>
      </c>
      <c r="E86" s="595">
        <v>25.6</v>
      </c>
      <c r="F86" s="44">
        <v>5.6</v>
      </c>
      <c r="G86" s="44"/>
      <c r="H86" s="44"/>
      <c r="I86" s="44"/>
      <c r="J86" s="44">
        <f>D86*E86*F86</f>
        <v>143.35999999999999</v>
      </c>
      <c r="K86" s="44"/>
    </row>
    <row r="87" spans="1:11">
      <c r="A87" s="240"/>
      <c r="B87" s="342" t="s">
        <v>692</v>
      </c>
      <c r="C87" s="316"/>
      <c r="D87" s="588">
        <v>2</v>
      </c>
      <c r="E87" s="595"/>
      <c r="F87" s="44"/>
      <c r="G87" s="44"/>
      <c r="H87" s="44">
        <v>2.23</v>
      </c>
      <c r="I87" s="44"/>
      <c r="J87" s="590">
        <f>D87*H87</f>
        <v>4.46</v>
      </c>
      <c r="K87" s="44"/>
    </row>
    <row r="88" spans="1:11">
      <c r="A88" s="240"/>
      <c r="B88" s="342" t="s">
        <v>730</v>
      </c>
      <c r="C88" s="316"/>
      <c r="D88" s="588"/>
      <c r="E88" s="589"/>
      <c r="F88" s="44"/>
      <c r="G88" s="44"/>
      <c r="H88" s="44"/>
      <c r="I88" s="44"/>
      <c r="J88" s="44"/>
      <c r="K88" s="44"/>
    </row>
    <row r="89" spans="1:11">
      <c r="A89" s="240"/>
      <c r="B89" s="342" t="s">
        <v>731</v>
      </c>
      <c r="C89" s="316"/>
      <c r="D89" s="588">
        <v>7</v>
      </c>
      <c r="E89" s="589">
        <v>1.5</v>
      </c>
      <c r="F89" s="44"/>
      <c r="G89" s="44"/>
      <c r="H89" s="44">
        <v>0.3</v>
      </c>
      <c r="I89" s="44"/>
      <c r="J89" s="44">
        <f>4*E89*H89*D89</f>
        <v>12.599999999999998</v>
      </c>
      <c r="K89" s="44"/>
    </row>
    <row r="90" spans="1:11">
      <c r="A90" s="240"/>
      <c r="B90" s="342" t="s">
        <v>732</v>
      </c>
      <c r="C90" s="316"/>
      <c r="D90" s="588">
        <v>7</v>
      </c>
      <c r="E90" s="589">
        <v>1.5</v>
      </c>
      <c r="F90" s="44"/>
      <c r="G90" s="44"/>
      <c r="H90" s="44">
        <v>0.3</v>
      </c>
      <c r="I90" s="44"/>
      <c r="J90" s="44">
        <f>4*E90*H90*D90</f>
        <v>12.599999999999998</v>
      </c>
      <c r="K90" s="44"/>
    </row>
    <row r="91" spans="1:11">
      <c r="A91" s="240"/>
      <c r="B91" s="277"/>
      <c r="C91" s="44"/>
      <c r="D91" s="44"/>
      <c r="E91" s="44"/>
      <c r="F91" s="44"/>
      <c r="G91" s="44"/>
      <c r="H91" s="44"/>
      <c r="I91" s="44"/>
      <c r="J91" s="44"/>
      <c r="K91" s="44"/>
    </row>
    <row r="92" spans="1:11">
      <c r="A92" s="240"/>
      <c r="B92" s="277"/>
      <c r="C92" s="231"/>
      <c r="D92" s="44"/>
      <c r="E92" s="44"/>
      <c r="F92" s="44"/>
      <c r="G92" s="44"/>
      <c r="H92" s="44"/>
      <c r="I92" s="231" t="s">
        <v>439</v>
      </c>
      <c r="J92" s="231">
        <f>SUM(J76:J91)</f>
        <v>514.38799999999992</v>
      </c>
      <c r="K92" s="44"/>
    </row>
    <row r="93" spans="1:11">
      <c r="A93" s="240"/>
      <c r="B93" s="277"/>
      <c r="C93" s="44"/>
      <c r="D93" s="44"/>
      <c r="E93" s="44"/>
      <c r="F93" s="44"/>
      <c r="G93" s="44"/>
      <c r="H93" s="44"/>
      <c r="I93" s="44"/>
      <c r="J93" s="44"/>
      <c r="K93" s="44"/>
    </row>
    <row r="94" spans="1:11" s="601" customFormat="1">
      <c r="A94" s="596">
        <v>8</v>
      </c>
      <c r="B94" s="597" t="s">
        <v>429</v>
      </c>
      <c r="C94" s="599" t="s">
        <v>306</v>
      </c>
      <c r="D94" s="599">
        <v>1</v>
      </c>
      <c r="E94" s="599"/>
      <c r="F94" s="599"/>
      <c r="G94" s="599"/>
      <c r="H94" s="599"/>
      <c r="I94" s="599">
        <f>(1.66*3.14*1.7)+37.45*7.1</f>
        <v>274.75608</v>
      </c>
      <c r="J94" s="599">
        <f>I94*D94</f>
        <v>274.75608</v>
      </c>
      <c r="K94" s="599"/>
    </row>
    <row r="95" spans="1:11">
      <c r="A95" s="240"/>
      <c r="B95" s="277"/>
      <c r="C95" s="231"/>
      <c r="D95" s="44"/>
      <c r="E95" s="44"/>
      <c r="F95" s="44"/>
      <c r="G95" s="44"/>
      <c r="H95" s="44"/>
      <c r="I95" s="231" t="s">
        <v>439</v>
      </c>
      <c r="J95" s="231">
        <f>SUM(J94)</f>
        <v>274.75608</v>
      </c>
      <c r="K95" s="44"/>
    </row>
    <row r="96" spans="1:11">
      <c r="A96" s="240"/>
      <c r="B96" s="277"/>
      <c r="C96" s="44"/>
      <c r="D96" s="44"/>
      <c r="E96" s="44"/>
      <c r="F96" s="44"/>
      <c r="G96" s="44"/>
      <c r="H96" s="44"/>
      <c r="I96" s="44"/>
      <c r="J96" s="44"/>
      <c r="K96" s="44"/>
    </row>
    <row r="97" spans="1:11" s="601" customFormat="1">
      <c r="A97" s="596">
        <v>9</v>
      </c>
      <c r="B97" s="597" t="s">
        <v>430</v>
      </c>
      <c r="C97" s="599" t="s">
        <v>306</v>
      </c>
      <c r="D97" s="599"/>
      <c r="E97" s="599"/>
      <c r="F97" s="599"/>
      <c r="G97" s="599"/>
      <c r="H97" s="599"/>
      <c r="I97" s="599"/>
      <c r="J97" s="599"/>
      <c r="K97" s="599"/>
    </row>
    <row r="98" spans="1:11">
      <c r="A98" s="235"/>
      <c r="B98" s="260" t="s">
        <v>687</v>
      </c>
      <c r="C98" s="44"/>
      <c r="D98" s="44">
        <v>2</v>
      </c>
      <c r="E98" s="44">
        <v>40.25</v>
      </c>
      <c r="F98" s="44">
        <v>0.8</v>
      </c>
      <c r="G98" s="44">
        <v>0.8</v>
      </c>
      <c r="H98" s="44"/>
      <c r="I98" s="44"/>
      <c r="J98" s="44">
        <f>D98*E98*F98*G98</f>
        <v>51.52000000000001</v>
      </c>
      <c r="K98" s="44"/>
    </row>
    <row r="99" spans="1:11">
      <c r="A99" s="240"/>
      <c r="B99" s="277"/>
      <c r="C99" s="231"/>
      <c r="D99" s="44"/>
      <c r="E99" s="44"/>
      <c r="F99" s="44"/>
      <c r="G99" s="44"/>
      <c r="H99" s="44"/>
      <c r="I99" s="231" t="s">
        <v>439</v>
      </c>
      <c r="J99" s="231">
        <f>SUM(J98:J98)</f>
        <v>51.52000000000001</v>
      </c>
      <c r="K99" s="44"/>
    </row>
    <row r="100" spans="1:11">
      <c r="A100" s="240"/>
      <c r="B100" s="277"/>
      <c r="C100" s="44"/>
      <c r="D100" s="44"/>
      <c r="E100" s="44"/>
      <c r="F100" s="44"/>
      <c r="G100" s="44"/>
      <c r="H100" s="44"/>
      <c r="I100" s="44"/>
      <c r="J100" s="44"/>
      <c r="K100" s="44"/>
    </row>
    <row r="101" spans="1:11" s="601" customFormat="1">
      <c r="A101" s="596">
        <v>10</v>
      </c>
      <c r="B101" s="759" t="s">
        <v>1140</v>
      </c>
      <c r="C101" s="599" t="s">
        <v>306</v>
      </c>
      <c r="D101" s="599"/>
      <c r="E101" s="599"/>
      <c r="F101" s="599"/>
      <c r="G101" s="599"/>
      <c r="H101" s="599"/>
      <c r="I101" s="599"/>
      <c r="J101" s="599"/>
      <c r="K101" s="599"/>
    </row>
    <row r="102" spans="1:11">
      <c r="A102" s="240"/>
      <c r="B102" s="277" t="s">
        <v>431</v>
      </c>
      <c r="C102" s="44"/>
      <c r="D102" s="44">
        <v>2</v>
      </c>
      <c r="E102" s="44">
        <v>40.25</v>
      </c>
      <c r="F102" s="44">
        <v>0.23</v>
      </c>
      <c r="G102" s="44">
        <v>8.8000000000000007</v>
      </c>
      <c r="H102" s="44"/>
      <c r="I102" s="267">
        <f>F102*E102*G102</f>
        <v>81.466000000000008</v>
      </c>
      <c r="J102" s="267">
        <f>I102*D102</f>
        <v>162.93200000000002</v>
      </c>
      <c r="K102" s="44"/>
    </row>
    <row r="103" spans="1:11">
      <c r="A103" s="240"/>
      <c r="B103" s="277" t="s">
        <v>432</v>
      </c>
      <c r="C103" s="44"/>
      <c r="D103" s="44">
        <v>2</v>
      </c>
      <c r="E103" s="44">
        <v>16.899999999999999</v>
      </c>
      <c r="F103" s="44">
        <v>0.23</v>
      </c>
      <c r="G103" s="44">
        <v>8.8000000000000007</v>
      </c>
      <c r="H103" s="44"/>
      <c r="I103" s="267">
        <f>F103*E103*G103</f>
        <v>34.205600000000004</v>
      </c>
      <c r="J103" s="267">
        <f>I103*D103</f>
        <v>68.411200000000008</v>
      </c>
      <c r="K103" s="44"/>
    </row>
    <row r="104" spans="1:11">
      <c r="A104" s="240"/>
      <c r="B104" s="277"/>
      <c r="C104" s="231"/>
      <c r="D104" s="44"/>
      <c r="E104" s="44"/>
      <c r="F104" s="44"/>
      <c r="G104" s="44"/>
      <c r="H104" s="44"/>
      <c r="I104" s="267"/>
      <c r="J104" s="233">
        <f>SUM(J102:J103)</f>
        <v>231.34320000000002</v>
      </c>
      <c r="K104" s="44"/>
    </row>
    <row r="105" spans="1:11">
      <c r="A105" s="240"/>
      <c r="B105" s="277" t="s">
        <v>433</v>
      </c>
      <c r="C105" s="44"/>
      <c r="D105" s="44">
        <v>2</v>
      </c>
      <c r="E105" s="44">
        <v>65.5</v>
      </c>
      <c r="F105" s="44">
        <v>0.23</v>
      </c>
      <c r="G105" s="44">
        <f>10.7-3*0.4</f>
        <v>9.5</v>
      </c>
      <c r="H105" s="44"/>
      <c r="I105" s="267">
        <f>F105*E105*G105</f>
        <v>143.11750000000001</v>
      </c>
      <c r="J105" s="267">
        <f>I105*D105</f>
        <v>286.23500000000001</v>
      </c>
      <c r="K105" s="44"/>
    </row>
    <row r="106" spans="1:11">
      <c r="A106" s="240"/>
      <c r="B106" s="277" t="s">
        <v>434</v>
      </c>
      <c r="C106" s="44"/>
      <c r="D106" s="44">
        <v>2</v>
      </c>
      <c r="E106" s="44">
        <v>25.5</v>
      </c>
      <c r="F106" s="44">
        <v>0.23</v>
      </c>
      <c r="G106" s="44">
        <f>10.7-3*0.4</f>
        <v>9.5</v>
      </c>
      <c r="H106" s="44"/>
      <c r="I106" s="267">
        <f>F106*E106*G106</f>
        <v>55.717500000000001</v>
      </c>
      <c r="J106" s="267">
        <f>I106*D106</f>
        <v>111.435</v>
      </c>
      <c r="K106" s="44"/>
    </row>
    <row r="107" spans="1:11">
      <c r="A107" s="240"/>
      <c r="B107" s="277"/>
      <c r="C107" s="231"/>
      <c r="D107" s="44"/>
      <c r="E107" s="44"/>
      <c r="F107" s="44"/>
      <c r="G107" s="44"/>
      <c r="H107" s="44"/>
      <c r="I107" s="44"/>
      <c r="J107" s="233">
        <f>SUM(J105:J106)</f>
        <v>397.67</v>
      </c>
      <c r="K107" s="44"/>
    </row>
    <row r="108" spans="1:11">
      <c r="A108" s="240"/>
      <c r="B108" s="277"/>
      <c r="C108" s="231"/>
      <c r="D108" s="44"/>
      <c r="E108" s="44"/>
      <c r="F108" s="44"/>
      <c r="G108" s="44"/>
      <c r="H108" s="44"/>
      <c r="I108" s="231" t="s">
        <v>439</v>
      </c>
      <c r="J108" s="233">
        <f>J107+J104</f>
        <v>629.0132000000001</v>
      </c>
      <c r="K108" s="44"/>
    </row>
    <row r="109" spans="1:11">
      <c r="A109" s="240"/>
      <c r="B109" s="277"/>
      <c r="C109" s="44"/>
      <c r="D109" s="44"/>
      <c r="E109" s="44"/>
      <c r="F109" s="44"/>
      <c r="G109" s="44"/>
      <c r="H109" s="44"/>
      <c r="I109" s="44"/>
      <c r="J109" s="44"/>
      <c r="K109" s="44"/>
    </row>
    <row r="110" spans="1:11" s="601" customFormat="1">
      <c r="A110" s="596">
        <v>11</v>
      </c>
      <c r="B110" s="597" t="s">
        <v>24</v>
      </c>
      <c r="C110" s="598" t="s">
        <v>308</v>
      </c>
      <c r="D110" s="599"/>
      <c r="E110" s="599"/>
      <c r="F110" s="599"/>
      <c r="G110" s="599"/>
      <c r="H110" s="599"/>
      <c r="I110" s="599"/>
      <c r="J110" s="599"/>
      <c r="K110" s="599"/>
    </row>
    <row r="111" spans="1:11">
      <c r="A111" s="240"/>
      <c r="B111" s="277" t="s">
        <v>423</v>
      </c>
      <c r="C111" s="44"/>
      <c r="D111" s="44"/>
      <c r="E111" s="44"/>
      <c r="F111" s="44"/>
      <c r="G111" s="44"/>
      <c r="H111" s="44"/>
      <c r="I111" s="44"/>
      <c r="J111" s="44"/>
      <c r="K111" s="44"/>
    </row>
    <row r="112" spans="1:11">
      <c r="A112" s="240"/>
      <c r="B112" s="277" t="s">
        <v>435</v>
      </c>
      <c r="C112" s="44"/>
      <c r="D112" s="44"/>
      <c r="E112" s="44"/>
      <c r="F112" s="44"/>
      <c r="G112" s="44"/>
      <c r="H112" s="44"/>
      <c r="I112" s="44"/>
      <c r="J112" s="267">
        <f>(J43+J44+J46+J47+J48+J49+J64)*0.5%*7.85</f>
        <v>142.62085611124999</v>
      </c>
      <c r="K112" s="273" t="s">
        <v>445</v>
      </c>
    </row>
    <row r="113" spans="1:15">
      <c r="A113" s="240"/>
      <c r="B113" s="277" t="s">
        <v>436</v>
      </c>
      <c r="C113" s="44"/>
      <c r="D113" s="44"/>
      <c r="E113" s="44"/>
      <c r="F113" s="44"/>
      <c r="G113" s="44"/>
      <c r="H113" s="44"/>
      <c r="I113" s="44"/>
      <c r="J113" s="267">
        <f>(J52+J53+J54+J55+J56+J57+J58+J59+J60+J51+J66+J67+J68+J69+J70+J65+J99)*1.5%*7.85</f>
        <v>799.10664938999992</v>
      </c>
      <c r="K113" s="273" t="s">
        <v>1161</v>
      </c>
    </row>
    <row r="114" spans="1:15">
      <c r="A114" s="240"/>
      <c r="B114" s="277" t="s">
        <v>424</v>
      </c>
      <c r="C114" s="231"/>
      <c r="D114" s="44"/>
      <c r="E114" s="44"/>
      <c r="F114" s="44"/>
      <c r="G114" s="44"/>
      <c r="H114" s="44"/>
      <c r="I114" s="44"/>
      <c r="J114" s="233">
        <f>SUM(J112:J113)</f>
        <v>941.72750550124988</v>
      </c>
      <c r="K114" s="273"/>
    </row>
    <row r="115" spans="1:15">
      <c r="A115" s="240"/>
      <c r="B115" s="277" t="s">
        <v>436</v>
      </c>
      <c r="C115" s="44"/>
      <c r="D115" s="44"/>
      <c r="E115" s="44"/>
      <c r="F115" s="44"/>
      <c r="G115" s="44"/>
      <c r="H115" s="44"/>
      <c r="I115" s="44"/>
      <c r="J115" s="267">
        <f>(J76+J77+J78)*1.5%*7.85</f>
        <v>22.594811999999994</v>
      </c>
      <c r="K115" s="273" t="s">
        <v>1161</v>
      </c>
    </row>
    <row r="116" spans="1:15">
      <c r="A116" s="240"/>
      <c r="B116" s="277" t="s">
        <v>428</v>
      </c>
      <c r="C116" s="44"/>
      <c r="D116" s="44"/>
      <c r="E116" s="44"/>
      <c r="F116" s="44"/>
      <c r="G116" s="44"/>
      <c r="H116" s="44"/>
      <c r="I116" s="44"/>
      <c r="J116" s="267">
        <f>(J81+J83+J84+J86+J87+J89+J90)*1.5%*7.85</f>
        <v>37.974374999999995</v>
      </c>
      <c r="K116" s="273" t="s">
        <v>1161</v>
      </c>
      <c r="O116" s="1" t="s">
        <v>125</v>
      </c>
    </row>
    <row r="117" spans="1:15">
      <c r="A117" s="240"/>
      <c r="B117" s="277"/>
      <c r="C117" s="231"/>
      <c r="D117" s="44"/>
      <c r="E117" s="44"/>
      <c r="F117" s="44"/>
      <c r="G117" s="44"/>
      <c r="H117" s="44"/>
      <c r="I117" s="44"/>
      <c r="J117" s="233">
        <f>SUM(J115:J116)</f>
        <v>60.569186999999985</v>
      </c>
      <c r="K117" s="44"/>
    </row>
    <row r="118" spans="1:15">
      <c r="A118" s="240"/>
      <c r="B118" s="277"/>
      <c r="C118" s="231"/>
      <c r="D118" s="44"/>
      <c r="E118" s="44"/>
      <c r="F118" s="44"/>
      <c r="G118" s="44"/>
      <c r="H118" s="44"/>
      <c r="I118" s="231" t="s">
        <v>439</v>
      </c>
      <c r="J118" s="233">
        <f>J117+J114</f>
        <v>1002.2966925012498</v>
      </c>
      <c r="K118" s="44"/>
    </row>
    <row r="119" spans="1:15">
      <c r="A119" s="240"/>
      <c r="B119" s="277"/>
      <c r="C119" s="44"/>
      <c r="D119" s="44"/>
      <c r="E119" s="44"/>
      <c r="F119" s="44"/>
      <c r="G119" s="44"/>
      <c r="H119" s="44"/>
      <c r="I119" s="44"/>
      <c r="J119" s="44"/>
      <c r="K119" s="44"/>
    </row>
    <row r="120" spans="1:15" s="601" customFormat="1">
      <c r="A120" s="596">
        <v>12</v>
      </c>
      <c r="B120" s="597" t="s">
        <v>437</v>
      </c>
      <c r="C120" s="598" t="s">
        <v>438</v>
      </c>
      <c r="D120" s="599"/>
      <c r="E120" s="599"/>
      <c r="F120" s="599"/>
      <c r="G120" s="599"/>
      <c r="H120" s="599"/>
      <c r="I120" s="599"/>
      <c r="J120" s="599"/>
      <c r="K120" s="599"/>
    </row>
    <row r="121" spans="1:15">
      <c r="A121" s="240"/>
      <c r="B121" s="277" t="s">
        <v>423</v>
      </c>
      <c r="C121" s="44"/>
      <c r="D121" s="44">
        <v>1</v>
      </c>
      <c r="E121" s="44"/>
      <c r="F121" s="44"/>
      <c r="G121" s="44"/>
      <c r="H121" s="44">
        <v>450</v>
      </c>
      <c r="I121" s="44"/>
      <c r="J121" s="44">
        <f>H121*30</f>
        <v>13500</v>
      </c>
      <c r="K121" s="44"/>
    </row>
    <row r="122" spans="1:15">
      <c r="A122" s="240"/>
      <c r="B122" s="277" t="s">
        <v>424</v>
      </c>
      <c r="C122" s="44"/>
      <c r="D122" s="44">
        <v>1</v>
      </c>
      <c r="E122" s="44"/>
      <c r="F122" s="44"/>
      <c r="G122" s="44"/>
      <c r="H122" s="44">
        <v>150</v>
      </c>
      <c r="I122" s="44"/>
      <c r="J122" s="44">
        <f>H122*30</f>
        <v>4500</v>
      </c>
      <c r="K122" s="44"/>
    </row>
    <row r="123" spans="1:15">
      <c r="A123" s="240"/>
      <c r="B123" s="277"/>
      <c r="C123" s="231"/>
      <c r="D123" s="44"/>
      <c r="E123" s="44"/>
      <c r="F123" s="44"/>
      <c r="G123" s="44"/>
      <c r="H123" s="44"/>
      <c r="I123" s="44"/>
      <c r="J123" s="231">
        <f>SUM(J121:J122)</f>
        <v>18000</v>
      </c>
      <c r="K123" s="44"/>
    </row>
    <row r="124" spans="1:15">
      <c r="A124" s="240"/>
      <c r="B124" s="277"/>
      <c r="C124" s="44"/>
      <c r="D124" s="44"/>
      <c r="E124" s="44"/>
      <c r="F124" s="44"/>
      <c r="G124" s="44"/>
      <c r="H124" s="44"/>
      <c r="I124" s="44"/>
      <c r="J124" s="44"/>
      <c r="K124" s="44"/>
    </row>
    <row r="125" spans="1:15" s="601" customFormat="1">
      <c r="A125" s="596">
        <v>13</v>
      </c>
      <c r="B125" s="597" t="s">
        <v>101</v>
      </c>
      <c r="C125" s="598" t="s">
        <v>85</v>
      </c>
      <c r="D125" s="599">
        <v>1</v>
      </c>
      <c r="E125" s="599"/>
      <c r="F125" s="599"/>
      <c r="G125" s="599"/>
      <c r="H125" s="599"/>
      <c r="I125" s="599"/>
      <c r="J125" s="600">
        <f>SUM(J126:J193)</f>
        <v>5099.5591638925125</v>
      </c>
      <c r="K125" s="599"/>
    </row>
    <row r="126" spans="1:15">
      <c r="A126" s="44"/>
      <c r="B126" s="342" t="s">
        <v>689</v>
      </c>
      <c r="C126" s="316"/>
      <c r="D126" s="588"/>
      <c r="E126" s="589"/>
      <c r="F126" s="44"/>
      <c r="G126" s="44"/>
      <c r="H126" s="44"/>
      <c r="I126" s="44"/>
      <c r="J126" s="44"/>
      <c r="K126" s="44"/>
    </row>
    <row r="127" spans="1:15">
      <c r="A127" s="44"/>
      <c r="B127" s="342" t="s">
        <v>690</v>
      </c>
      <c r="C127" s="316"/>
      <c r="D127" s="588"/>
      <c r="E127" s="589"/>
      <c r="F127" s="44"/>
      <c r="G127" s="44"/>
      <c r="H127" s="44"/>
      <c r="I127" s="44"/>
      <c r="J127" s="44"/>
      <c r="K127" s="44"/>
    </row>
    <row r="128" spans="1:15">
      <c r="A128" s="44"/>
      <c r="B128" s="342" t="s">
        <v>691</v>
      </c>
      <c r="C128" s="316"/>
      <c r="D128" s="588">
        <v>2</v>
      </c>
      <c r="E128" s="589">
        <v>16.8</v>
      </c>
      <c r="F128" s="44"/>
      <c r="G128" s="44">
        <v>2.5</v>
      </c>
      <c r="H128" s="44"/>
      <c r="I128" s="44"/>
      <c r="J128" s="44">
        <f>D128*E128*G128</f>
        <v>84</v>
      </c>
      <c r="K128" s="44"/>
    </row>
    <row r="129" spans="1:11">
      <c r="A129" s="44"/>
      <c r="B129" s="342" t="s">
        <v>692</v>
      </c>
      <c r="C129" s="316"/>
      <c r="D129" s="588">
        <v>2</v>
      </c>
      <c r="E129" s="589">
        <v>22.33</v>
      </c>
      <c r="F129" s="44"/>
      <c r="G129" s="44">
        <v>2.5</v>
      </c>
      <c r="H129" s="44"/>
      <c r="I129" s="44"/>
      <c r="J129" s="44">
        <f>D129*E129*G129</f>
        <v>111.64999999999999</v>
      </c>
      <c r="K129" s="44"/>
    </row>
    <row r="130" spans="1:11">
      <c r="A130" s="44"/>
      <c r="B130" s="342" t="s">
        <v>693</v>
      </c>
      <c r="C130" s="316"/>
      <c r="D130" s="588"/>
      <c r="E130" s="589"/>
      <c r="F130" s="44"/>
      <c r="G130" s="44"/>
      <c r="H130" s="44"/>
      <c r="I130" s="44"/>
      <c r="J130" s="44"/>
      <c r="K130" s="44"/>
    </row>
    <row r="131" spans="1:11">
      <c r="A131" s="44"/>
      <c r="B131" s="342" t="s">
        <v>691</v>
      </c>
      <c r="C131" s="316"/>
      <c r="D131" s="588">
        <v>2</v>
      </c>
      <c r="E131" s="589"/>
      <c r="F131" s="44"/>
      <c r="G131" s="44"/>
      <c r="H131" s="44">
        <v>43.4</v>
      </c>
      <c r="I131" s="44"/>
      <c r="J131" s="590">
        <f>H131*D131</f>
        <v>86.8</v>
      </c>
      <c r="K131" s="44"/>
    </row>
    <row r="132" spans="1:11">
      <c r="A132" s="44"/>
      <c r="B132" s="342" t="s">
        <v>692</v>
      </c>
      <c r="C132" s="316"/>
      <c r="D132" s="588">
        <v>2</v>
      </c>
      <c r="E132" s="589">
        <v>10.27</v>
      </c>
      <c r="F132" s="44"/>
      <c r="G132" s="44">
        <v>7</v>
      </c>
      <c r="H132" s="44"/>
      <c r="I132" s="44"/>
      <c r="J132" s="44">
        <f>D132*E132*G132</f>
        <v>143.78</v>
      </c>
      <c r="K132" s="44"/>
    </row>
    <row r="133" spans="1:11">
      <c r="A133" s="44"/>
      <c r="B133" s="342" t="s">
        <v>694</v>
      </c>
      <c r="C133" s="316"/>
      <c r="D133" s="588"/>
      <c r="E133" s="589"/>
      <c r="F133" s="44"/>
      <c r="G133" s="44"/>
      <c r="H133" s="44"/>
      <c r="I133" s="44"/>
      <c r="J133" s="44"/>
      <c r="K133" s="44"/>
    </row>
    <row r="134" spans="1:11">
      <c r="A134" s="44"/>
      <c r="B134" s="342" t="s">
        <v>695</v>
      </c>
      <c r="C134" s="316"/>
      <c r="D134" s="588">
        <v>2</v>
      </c>
      <c r="E134" s="589">
        <v>10.27</v>
      </c>
      <c r="F134" s="44"/>
      <c r="G134" s="44">
        <v>7</v>
      </c>
      <c r="H134" s="44"/>
      <c r="I134" s="44"/>
      <c r="J134" s="44">
        <f>D134*E134*G134</f>
        <v>143.78</v>
      </c>
      <c r="K134" s="44"/>
    </row>
    <row r="135" spans="1:11">
      <c r="A135" s="44"/>
      <c r="B135" s="342" t="s">
        <v>696</v>
      </c>
      <c r="C135" s="316"/>
      <c r="D135" s="588">
        <v>2</v>
      </c>
      <c r="E135" s="589">
        <v>10.27</v>
      </c>
      <c r="F135" s="44"/>
      <c r="G135" s="44">
        <v>7</v>
      </c>
      <c r="H135" s="44"/>
      <c r="I135" s="44"/>
      <c r="J135" s="44">
        <f>D135*E135*G135</f>
        <v>143.78</v>
      </c>
      <c r="K135" s="44"/>
    </row>
    <row r="136" spans="1:11">
      <c r="A136" s="44"/>
      <c r="B136" s="342" t="s">
        <v>697</v>
      </c>
      <c r="C136" s="316"/>
      <c r="D136" s="588"/>
      <c r="E136" s="589"/>
      <c r="F136" s="44"/>
      <c r="G136" s="44"/>
      <c r="H136" s="44"/>
      <c r="I136" s="44"/>
      <c r="J136" s="44"/>
      <c r="K136" s="44"/>
    </row>
    <row r="137" spans="1:11">
      <c r="A137" s="44"/>
      <c r="B137" s="342" t="s">
        <v>691</v>
      </c>
      <c r="C137" s="316"/>
      <c r="D137" s="588">
        <v>2</v>
      </c>
      <c r="E137" s="589"/>
      <c r="F137" s="44"/>
      <c r="G137" s="44"/>
      <c r="H137" s="44">
        <v>27.74</v>
      </c>
      <c r="I137" s="44"/>
      <c r="J137" s="590">
        <f>H137*D137</f>
        <v>55.48</v>
      </c>
      <c r="K137" s="44"/>
    </row>
    <row r="138" spans="1:11">
      <c r="A138" s="44"/>
      <c r="B138" s="342" t="s">
        <v>692</v>
      </c>
      <c r="C138" s="316"/>
      <c r="D138" s="588">
        <v>2</v>
      </c>
      <c r="E138" s="589">
        <v>28.74</v>
      </c>
      <c r="F138" s="44"/>
      <c r="G138" s="44">
        <v>7.45</v>
      </c>
      <c r="H138" s="44"/>
      <c r="I138" s="44"/>
      <c r="J138" s="44">
        <f>D138*E138*G138</f>
        <v>428.226</v>
      </c>
      <c r="K138" s="44"/>
    </row>
    <row r="139" spans="1:11">
      <c r="A139" s="44"/>
      <c r="B139" s="342" t="s">
        <v>698</v>
      </c>
      <c r="C139" s="316"/>
      <c r="D139" s="588"/>
      <c r="E139" s="589"/>
      <c r="F139" s="44"/>
      <c r="G139" s="44"/>
      <c r="H139" s="44"/>
      <c r="I139" s="44"/>
      <c r="J139" s="44"/>
      <c r="K139" s="44"/>
    </row>
    <row r="140" spans="1:11">
      <c r="A140" s="44"/>
      <c r="B140" s="341" t="s">
        <v>691</v>
      </c>
      <c r="C140" s="591"/>
      <c r="D140" s="591">
        <v>2</v>
      </c>
      <c r="E140" s="591"/>
      <c r="F140" s="44"/>
      <c r="G140" s="44"/>
      <c r="H140" s="44">
        <v>11.63</v>
      </c>
      <c r="I140" s="44"/>
      <c r="J140" s="590">
        <f>H140*D140</f>
        <v>23.26</v>
      </c>
      <c r="K140" s="44"/>
    </row>
    <row r="141" spans="1:11">
      <c r="A141" s="44"/>
      <c r="B141" s="341" t="s">
        <v>692</v>
      </c>
      <c r="C141" s="591"/>
      <c r="D141" s="591">
        <v>2</v>
      </c>
      <c r="E141" s="592">
        <f>E138</f>
        <v>28.74</v>
      </c>
      <c r="F141" s="44"/>
      <c r="G141" s="44">
        <v>2.93</v>
      </c>
      <c r="H141" s="44"/>
      <c r="I141" s="44"/>
      <c r="J141" s="44">
        <f>D141*E141*G141</f>
        <v>168.41640000000001</v>
      </c>
      <c r="K141" s="44"/>
    </row>
    <row r="142" spans="1:11">
      <c r="A142" s="44"/>
      <c r="B142" s="341" t="s">
        <v>699</v>
      </c>
      <c r="C142" s="591"/>
      <c r="D142" s="591">
        <v>1</v>
      </c>
      <c r="E142" s="592">
        <f>E141</f>
        <v>28.74</v>
      </c>
      <c r="F142" s="44">
        <v>3.96</v>
      </c>
      <c r="G142" s="44"/>
      <c r="H142" s="44"/>
      <c r="I142" s="44"/>
      <c r="J142" s="590">
        <f>D142*E142*F142</f>
        <v>113.81039999999999</v>
      </c>
      <c r="K142" s="44"/>
    </row>
    <row r="143" spans="1:11">
      <c r="A143" s="44"/>
      <c r="B143" s="342" t="s">
        <v>700</v>
      </c>
      <c r="C143" s="316"/>
      <c r="D143" s="588"/>
      <c r="E143" s="589"/>
      <c r="F143" s="44"/>
      <c r="G143" s="44"/>
      <c r="H143" s="44"/>
      <c r="I143" s="44"/>
      <c r="J143" s="44"/>
      <c r="K143" s="44"/>
    </row>
    <row r="144" spans="1:11">
      <c r="A144" s="44"/>
      <c r="B144" s="341" t="s">
        <v>691</v>
      </c>
      <c r="C144" s="591"/>
      <c r="D144" s="591">
        <v>2</v>
      </c>
      <c r="E144" s="592"/>
      <c r="F144" s="44"/>
      <c r="G144" s="44"/>
      <c r="H144" s="44">
        <v>5.61</v>
      </c>
      <c r="I144" s="44"/>
      <c r="J144" s="44">
        <f>D144*H144</f>
        <v>11.22</v>
      </c>
      <c r="K144" s="44"/>
    </row>
    <row r="145" spans="1:11">
      <c r="A145" s="44"/>
      <c r="B145" s="342" t="s">
        <v>701</v>
      </c>
      <c r="C145" s="316"/>
      <c r="D145" s="588"/>
      <c r="E145" s="589"/>
      <c r="F145" s="44"/>
      <c r="G145" s="44"/>
      <c r="H145" s="44"/>
      <c r="I145" s="44"/>
      <c r="J145" s="44"/>
      <c r="K145" s="44"/>
    </row>
    <row r="146" spans="1:11">
      <c r="A146" s="44"/>
      <c r="B146" s="342" t="s">
        <v>691</v>
      </c>
      <c r="C146" s="316"/>
      <c r="D146" s="588">
        <v>2</v>
      </c>
      <c r="E146" s="589"/>
      <c r="F146" s="44"/>
      <c r="G146" s="44"/>
      <c r="H146" s="44">
        <v>5.48</v>
      </c>
      <c r="I146" s="44"/>
      <c r="J146" s="44">
        <f>D146*H146</f>
        <v>10.96</v>
      </c>
      <c r="K146" s="44"/>
    </row>
    <row r="147" spans="1:11">
      <c r="A147" s="44"/>
      <c r="B147" s="342" t="s">
        <v>692</v>
      </c>
      <c r="C147" s="316"/>
      <c r="D147" s="588"/>
      <c r="E147" s="589"/>
      <c r="F147" s="44"/>
      <c r="G147" s="44"/>
      <c r="H147" s="44"/>
      <c r="I147" s="44"/>
      <c r="J147" s="44"/>
      <c r="K147" s="44"/>
    </row>
    <row r="148" spans="1:11">
      <c r="A148" s="44"/>
      <c r="B148" s="342" t="s">
        <v>702</v>
      </c>
      <c r="C148" s="316"/>
      <c r="D148" s="588">
        <v>1</v>
      </c>
      <c r="E148" s="589">
        <v>16</v>
      </c>
      <c r="F148" s="44"/>
      <c r="G148" s="44">
        <v>4.55</v>
      </c>
      <c r="H148" s="44"/>
      <c r="I148" s="44"/>
      <c r="J148" s="44">
        <f>D148*E148*G148</f>
        <v>72.8</v>
      </c>
      <c r="K148" s="44"/>
    </row>
    <row r="149" spans="1:11">
      <c r="A149" s="44"/>
      <c r="B149" s="342" t="s">
        <v>703</v>
      </c>
      <c r="C149" s="316"/>
      <c r="D149" s="588">
        <v>1</v>
      </c>
      <c r="E149" s="589">
        <v>16</v>
      </c>
      <c r="F149" s="44"/>
      <c r="G149" s="44">
        <v>3.48</v>
      </c>
      <c r="H149" s="44"/>
      <c r="I149" s="44"/>
      <c r="J149" s="44">
        <f>D149*E149*G149</f>
        <v>55.68</v>
      </c>
      <c r="K149" s="44"/>
    </row>
    <row r="150" spans="1:11">
      <c r="A150" s="44"/>
      <c r="B150" s="342" t="s">
        <v>704</v>
      </c>
      <c r="C150" s="316"/>
      <c r="D150" s="588"/>
      <c r="E150" s="589"/>
      <c r="F150" s="44"/>
      <c r="G150" s="44"/>
      <c r="H150" s="44"/>
      <c r="I150" s="44"/>
      <c r="J150" s="44"/>
      <c r="K150" s="44"/>
    </row>
    <row r="151" spans="1:11">
      <c r="A151" s="44"/>
      <c r="B151" s="342" t="s">
        <v>691</v>
      </c>
      <c r="C151" s="316"/>
      <c r="D151" s="588">
        <v>2</v>
      </c>
      <c r="E151" s="589"/>
      <c r="F151" s="44"/>
      <c r="G151" s="44"/>
      <c r="H151" s="44">
        <v>12.8</v>
      </c>
      <c r="I151" s="44"/>
      <c r="J151" s="44">
        <f>D151*H151</f>
        <v>25.6</v>
      </c>
      <c r="K151" s="44"/>
    </row>
    <row r="152" spans="1:11">
      <c r="A152" s="44"/>
      <c r="B152" s="342" t="s">
        <v>702</v>
      </c>
      <c r="C152" s="316"/>
      <c r="D152" s="588">
        <v>1</v>
      </c>
      <c r="E152" s="589">
        <v>12</v>
      </c>
      <c r="F152" s="44"/>
      <c r="G152" s="44">
        <v>1</v>
      </c>
      <c r="H152" s="44"/>
      <c r="I152" s="44"/>
      <c r="J152" s="44">
        <f>D152*E152*G152</f>
        <v>12</v>
      </c>
      <c r="K152" s="44"/>
    </row>
    <row r="153" spans="1:11">
      <c r="A153" s="44"/>
      <c r="B153" s="342" t="s">
        <v>705</v>
      </c>
      <c r="C153" s="316"/>
      <c r="D153" s="588"/>
      <c r="E153" s="589"/>
      <c r="F153" s="44"/>
      <c r="G153" s="44"/>
      <c r="H153" s="44"/>
      <c r="I153" s="44"/>
      <c r="J153" s="44"/>
      <c r="K153" s="44"/>
    </row>
    <row r="154" spans="1:11">
      <c r="A154" s="44"/>
      <c r="B154" s="342" t="s">
        <v>706</v>
      </c>
      <c r="C154" s="316"/>
      <c r="D154" s="588">
        <v>1</v>
      </c>
      <c r="E154" s="589">
        <f>PI()*10.27</f>
        <v>32.264156552367176</v>
      </c>
      <c r="F154" s="44"/>
      <c r="G154" s="44">
        <v>8.18</v>
      </c>
      <c r="H154" s="44"/>
      <c r="I154" s="44"/>
      <c r="J154" s="44">
        <f>D154*E154*G154</f>
        <v>263.92080059836348</v>
      </c>
      <c r="K154" s="44"/>
    </row>
    <row r="155" spans="1:11">
      <c r="A155" s="44"/>
      <c r="B155" s="342" t="s">
        <v>707</v>
      </c>
      <c r="C155" s="316"/>
      <c r="D155" s="588"/>
      <c r="E155" s="589"/>
      <c r="F155" s="44"/>
      <c r="G155" s="44"/>
      <c r="H155" s="44"/>
      <c r="I155" s="44"/>
      <c r="J155" s="44"/>
      <c r="K155" s="44"/>
    </row>
    <row r="156" spans="1:11">
      <c r="A156" s="44"/>
      <c r="B156" s="342" t="s">
        <v>708</v>
      </c>
      <c r="C156" s="316"/>
      <c r="D156" s="588">
        <v>1</v>
      </c>
      <c r="E156" s="593">
        <f>PI()*8.27</f>
        <v>25.980971245187586</v>
      </c>
      <c r="F156" s="44"/>
      <c r="G156" s="44">
        <v>1.5</v>
      </c>
      <c r="H156" s="44"/>
      <c r="I156" s="44"/>
      <c r="J156" s="44">
        <f>D156*E156*G156</f>
        <v>38.971456867781377</v>
      </c>
      <c r="K156" s="44"/>
    </row>
    <row r="157" spans="1:11">
      <c r="A157" s="44"/>
      <c r="B157" s="341" t="s">
        <v>709</v>
      </c>
      <c r="C157" s="591"/>
      <c r="D157" s="591">
        <v>1</v>
      </c>
      <c r="E157" s="592">
        <f>PI()*6.76</f>
        <v>21.237166338267002</v>
      </c>
      <c r="F157" s="44"/>
      <c r="G157" s="44">
        <v>1.65</v>
      </c>
      <c r="H157" s="44"/>
      <c r="I157" s="44"/>
      <c r="J157" s="44">
        <f>D157*E157*G157</f>
        <v>35.041324458140551</v>
      </c>
      <c r="K157" s="44"/>
    </row>
    <row r="158" spans="1:11">
      <c r="A158" s="44"/>
      <c r="B158" s="341" t="s">
        <v>710</v>
      </c>
      <c r="C158" s="591"/>
      <c r="D158" s="591">
        <v>1</v>
      </c>
      <c r="E158" s="592">
        <f>PI()*5.26</f>
        <v>16.524777357882311</v>
      </c>
      <c r="F158" s="44">
        <v>1.28</v>
      </c>
      <c r="G158" s="44"/>
      <c r="H158" s="44"/>
      <c r="I158" s="44"/>
      <c r="J158" s="590">
        <f>D158*E158*F158</f>
        <v>21.151715018089359</v>
      </c>
      <c r="K158" s="44"/>
    </row>
    <row r="159" spans="1:11">
      <c r="A159" s="44"/>
      <c r="B159" s="341" t="s">
        <v>711</v>
      </c>
      <c r="C159" s="591"/>
      <c r="D159" s="591">
        <v>1</v>
      </c>
      <c r="E159" s="592">
        <f>PI()*2.7</f>
        <v>8.4823001646924414</v>
      </c>
      <c r="F159" s="44"/>
      <c r="G159" s="44">
        <v>1.3</v>
      </c>
      <c r="H159" s="44"/>
      <c r="I159" s="44"/>
      <c r="J159" s="44">
        <f>D159*E159*G159</f>
        <v>11.026990214100174</v>
      </c>
      <c r="K159" s="44"/>
    </row>
    <row r="160" spans="1:11">
      <c r="A160" s="44"/>
      <c r="B160" s="341" t="s">
        <v>712</v>
      </c>
      <c r="C160" s="591"/>
      <c r="D160" s="591">
        <v>1</v>
      </c>
      <c r="E160" s="592">
        <f>PI()*5.26</f>
        <v>16.524777357882311</v>
      </c>
      <c r="F160" s="44"/>
      <c r="G160" s="44">
        <v>1.36</v>
      </c>
      <c r="H160" s="44"/>
      <c r="I160" s="44"/>
      <c r="J160" s="44">
        <f>D160*E160*G160</f>
        <v>22.473697206719944</v>
      </c>
      <c r="K160" s="44"/>
    </row>
    <row r="161" spans="1:11">
      <c r="A161" s="44"/>
      <c r="B161" s="341" t="s">
        <v>713</v>
      </c>
      <c r="C161" s="591"/>
      <c r="D161" s="591">
        <v>1</v>
      </c>
      <c r="E161" s="592">
        <f>PI()*9.07</f>
        <v>28.494245368059424</v>
      </c>
      <c r="F161" s="44"/>
      <c r="G161" s="44">
        <v>3.34</v>
      </c>
      <c r="H161" s="44"/>
      <c r="I161" s="44"/>
      <c r="J161" s="44">
        <f>D161*E161*G161</f>
        <v>95.170779529318466</v>
      </c>
      <c r="K161" s="44"/>
    </row>
    <row r="162" spans="1:11">
      <c r="A162" s="44"/>
      <c r="B162" s="342" t="s">
        <v>714</v>
      </c>
      <c r="C162" s="316"/>
      <c r="D162" s="588"/>
      <c r="E162" s="589"/>
      <c r="F162" s="44"/>
      <c r="G162" s="44"/>
      <c r="H162" s="44"/>
      <c r="I162" s="44"/>
      <c r="J162" s="44"/>
      <c r="K162" s="44"/>
    </row>
    <row r="163" spans="1:11">
      <c r="A163" s="44"/>
      <c r="B163" s="342" t="s">
        <v>715</v>
      </c>
      <c r="C163" s="316"/>
      <c r="D163" s="588">
        <v>3</v>
      </c>
      <c r="E163" s="589">
        <v>0.8</v>
      </c>
      <c r="F163" s="44">
        <v>0.6</v>
      </c>
      <c r="G163" s="44">
        <v>18.98</v>
      </c>
      <c r="H163" s="44"/>
      <c r="I163" s="44"/>
      <c r="J163" s="44">
        <f>2*(E163+F163)*G163*D163</f>
        <v>159.43199999999999</v>
      </c>
      <c r="K163" s="44"/>
    </row>
    <row r="164" spans="1:11">
      <c r="A164" s="44"/>
      <c r="B164" s="342" t="s">
        <v>716</v>
      </c>
      <c r="C164" s="316"/>
      <c r="D164" s="588">
        <v>3</v>
      </c>
      <c r="E164" s="589">
        <v>0.8</v>
      </c>
      <c r="F164" s="44">
        <v>0.6</v>
      </c>
      <c r="G164" s="44">
        <v>15.52</v>
      </c>
      <c r="H164" s="44"/>
      <c r="I164" s="44"/>
      <c r="J164" s="44">
        <f>2*(E164+F164)*G164*D164</f>
        <v>130.36799999999999</v>
      </c>
      <c r="K164" s="44"/>
    </row>
    <row r="165" spans="1:11">
      <c r="A165" s="44"/>
      <c r="B165" s="342" t="s">
        <v>717</v>
      </c>
      <c r="C165" s="316"/>
      <c r="D165" s="588"/>
      <c r="E165" s="589"/>
      <c r="F165" s="44"/>
      <c r="G165" s="44"/>
      <c r="H165" s="44"/>
      <c r="I165" s="44"/>
      <c r="J165" s="44"/>
      <c r="K165" s="44"/>
    </row>
    <row r="166" spans="1:11">
      <c r="A166" s="44"/>
      <c r="B166" s="342" t="s">
        <v>715</v>
      </c>
      <c r="C166" s="316"/>
      <c r="D166" s="588">
        <v>10</v>
      </c>
      <c r="E166" s="589">
        <v>0.8</v>
      </c>
      <c r="F166" s="589">
        <v>0.6</v>
      </c>
      <c r="G166" s="589">
        <v>26.5</v>
      </c>
      <c r="H166" s="44"/>
      <c r="I166" s="44"/>
      <c r="J166" s="44">
        <f>2*(E166+F166)*G166*D166</f>
        <v>741.99999999999989</v>
      </c>
      <c r="K166" s="44"/>
    </row>
    <row r="167" spans="1:11">
      <c r="A167" s="44"/>
      <c r="B167" s="342" t="s">
        <v>716</v>
      </c>
      <c r="C167" s="316"/>
      <c r="D167" s="588">
        <v>4</v>
      </c>
      <c r="E167" s="589">
        <v>0.8</v>
      </c>
      <c r="F167" s="589">
        <v>0.6</v>
      </c>
      <c r="G167" s="589">
        <v>25.68</v>
      </c>
      <c r="H167" s="44"/>
      <c r="I167" s="44"/>
      <c r="J167" s="44">
        <f>2*(E167+F167)*G167*D167</f>
        <v>287.61599999999999</v>
      </c>
      <c r="K167" s="44"/>
    </row>
    <row r="168" spans="1:11">
      <c r="A168" s="44"/>
      <c r="B168" s="342" t="s">
        <v>718</v>
      </c>
      <c r="C168" s="316"/>
      <c r="D168" s="588">
        <f>2*3</f>
        <v>6</v>
      </c>
      <c r="E168" s="589">
        <v>0.6</v>
      </c>
      <c r="F168" s="594">
        <v>0.4</v>
      </c>
      <c r="G168" s="594">
        <v>39.03</v>
      </c>
      <c r="H168" s="44"/>
      <c r="I168" s="44"/>
      <c r="J168" s="44">
        <f>(E168+2*F168)*G168*D168</f>
        <v>327.85199999999998</v>
      </c>
      <c r="K168" s="44"/>
    </row>
    <row r="169" spans="1:11">
      <c r="A169" s="44"/>
      <c r="B169" s="342" t="s">
        <v>719</v>
      </c>
      <c r="C169" s="316"/>
      <c r="D169" s="588">
        <f>2*3</f>
        <v>6</v>
      </c>
      <c r="E169" s="589">
        <v>0.6</v>
      </c>
      <c r="F169" s="594">
        <v>0.4</v>
      </c>
      <c r="G169" s="594">
        <v>16.8</v>
      </c>
      <c r="H169" s="44"/>
      <c r="I169" s="44"/>
      <c r="J169" s="44">
        <f>(E169+2*F169)*G169*D169</f>
        <v>141.12</v>
      </c>
      <c r="K169" s="44"/>
    </row>
    <row r="170" spans="1:11">
      <c r="A170" s="44"/>
      <c r="B170" s="342" t="s">
        <v>720</v>
      </c>
      <c r="C170" s="316"/>
      <c r="D170" s="588"/>
      <c r="E170" s="589"/>
      <c r="F170" s="44"/>
      <c r="G170" s="44"/>
      <c r="H170" s="44"/>
      <c r="I170" s="44"/>
      <c r="J170" s="44"/>
      <c r="K170" s="44"/>
    </row>
    <row r="171" spans="1:11">
      <c r="A171" s="44"/>
      <c r="B171" s="342" t="s">
        <v>721</v>
      </c>
      <c r="C171" s="316"/>
      <c r="D171" s="588">
        <v>1</v>
      </c>
      <c r="E171" s="589">
        <v>27.94</v>
      </c>
      <c r="F171" s="44"/>
      <c r="G171" s="44">
        <v>7.5</v>
      </c>
      <c r="H171" s="44"/>
      <c r="I171" s="44"/>
      <c r="J171" s="44">
        <f>D171*E171*G171</f>
        <v>209.55</v>
      </c>
      <c r="K171" s="44"/>
    </row>
    <row r="172" spans="1:11">
      <c r="A172" s="44"/>
      <c r="B172" s="342"/>
      <c r="C172" s="316"/>
      <c r="D172" s="588"/>
      <c r="E172" s="589"/>
      <c r="F172" s="44"/>
      <c r="G172" s="44"/>
      <c r="H172" s="44"/>
      <c r="I172" s="44"/>
      <c r="J172" s="44"/>
      <c r="K172" s="44"/>
    </row>
    <row r="173" spans="1:11">
      <c r="A173" s="44"/>
      <c r="B173" s="342"/>
      <c r="C173" s="316"/>
      <c r="D173" s="588"/>
      <c r="E173" s="589"/>
      <c r="F173" s="44"/>
      <c r="G173" s="44"/>
      <c r="H173" s="44"/>
      <c r="I173" s="44"/>
      <c r="J173" s="44"/>
      <c r="K173" s="44"/>
    </row>
    <row r="174" spans="1:11">
      <c r="A174" s="44"/>
      <c r="B174" s="342" t="s">
        <v>424</v>
      </c>
      <c r="C174" s="316"/>
      <c r="D174" s="588"/>
      <c r="E174" s="589"/>
      <c r="F174" s="44"/>
      <c r="G174" s="44"/>
      <c r="H174" s="44"/>
      <c r="I174" s="44"/>
      <c r="J174" s="44"/>
      <c r="K174" s="44"/>
    </row>
    <row r="175" spans="1:11">
      <c r="A175" s="44"/>
      <c r="B175" s="342" t="s">
        <v>723</v>
      </c>
      <c r="C175" s="316"/>
      <c r="D175" s="588">
        <v>14</v>
      </c>
      <c r="E175" s="595">
        <v>8.1999999999999993</v>
      </c>
      <c r="F175" s="44">
        <v>1.6</v>
      </c>
      <c r="G175" s="44"/>
      <c r="H175" s="44"/>
      <c r="I175" s="44"/>
      <c r="J175" s="44">
        <f>D175*E175*F175</f>
        <v>183.67999999999998</v>
      </c>
      <c r="K175" s="44"/>
    </row>
    <row r="176" spans="1:11">
      <c r="A176" s="44"/>
      <c r="B176" s="342" t="s">
        <v>724</v>
      </c>
      <c r="C176" s="316"/>
      <c r="D176" s="588">
        <f>6*2</f>
        <v>12</v>
      </c>
      <c r="E176" s="595">
        <v>3.4</v>
      </c>
      <c r="F176" s="44">
        <v>0.3</v>
      </c>
      <c r="G176" s="44">
        <v>0.3</v>
      </c>
      <c r="H176" s="44"/>
      <c r="I176" s="44"/>
      <c r="J176" s="44">
        <f>D176*E176*F176*G176</f>
        <v>3.6719999999999993</v>
      </c>
      <c r="K176" s="44"/>
    </row>
    <row r="177" spans="1:11">
      <c r="A177" s="44"/>
      <c r="B177" s="342" t="s">
        <v>725</v>
      </c>
      <c r="C177" s="316"/>
      <c r="D177" s="588">
        <f>6*2</f>
        <v>12</v>
      </c>
      <c r="E177" s="595">
        <v>4.2</v>
      </c>
      <c r="F177" s="44">
        <v>0.3</v>
      </c>
      <c r="G177" s="44">
        <v>0.3</v>
      </c>
      <c r="H177" s="44"/>
      <c r="I177" s="44"/>
      <c r="J177" s="44">
        <f>D177*E177*F177*G177</f>
        <v>4.5360000000000005</v>
      </c>
      <c r="K177" s="44"/>
    </row>
    <row r="178" spans="1:11">
      <c r="A178" s="44"/>
      <c r="B178" s="342" t="s">
        <v>707</v>
      </c>
      <c r="C178" s="316"/>
      <c r="D178" s="588"/>
      <c r="E178" s="595"/>
      <c r="F178" s="44"/>
      <c r="G178" s="44"/>
      <c r="H178" s="44"/>
      <c r="I178" s="44"/>
      <c r="J178" s="44"/>
      <c r="K178" s="44"/>
    </row>
    <row r="179" spans="1:11">
      <c r="A179" s="44"/>
      <c r="B179" s="342" t="s">
        <v>722</v>
      </c>
      <c r="C179" s="316"/>
      <c r="D179" s="588"/>
      <c r="E179" s="595"/>
      <c r="F179" s="44"/>
      <c r="G179" s="44"/>
      <c r="H179" s="44"/>
      <c r="I179" s="44"/>
      <c r="J179" s="44"/>
      <c r="K179" s="44"/>
    </row>
    <row r="180" spans="1:11">
      <c r="A180" s="44"/>
      <c r="B180" s="342" t="s">
        <v>726</v>
      </c>
      <c r="C180" s="316"/>
      <c r="D180" s="588">
        <v>2</v>
      </c>
      <c r="E180" s="595"/>
      <c r="F180" s="44"/>
      <c r="G180" s="44"/>
      <c r="H180" s="44">
        <v>2.33</v>
      </c>
      <c r="I180" s="44"/>
      <c r="J180" s="590">
        <f>D180*H180</f>
        <v>4.66</v>
      </c>
      <c r="K180" s="44"/>
    </row>
    <row r="181" spans="1:11">
      <c r="A181" s="44"/>
      <c r="B181" s="342" t="s">
        <v>727</v>
      </c>
      <c r="C181" s="316"/>
      <c r="D181" s="588"/>
      <c r="E181" s="595"/>
      <c r="F181" s="44"/>
      <c r="G181" s="44"/>
      <c r="H181" s="44"/>
      <c r="I181" s="44"/>
      <c r="J181" s="44"/>
      <c r="K181" s="44"/>
    </row>
    <row r="182" spans="1:11">
      <c r="A182" s="44"/>
      <c r="B182" s="342" t="s">
        <v>728</v>
      </c>
      <c r="C182" s="316"/>
      <c r="D182" s="588">
        <v>1</v>
      </c>
      <c r="E182" s="595">
        <v>25.6</v>
      </c>
      <c r="F182" s="44"/>
      <c r="G182" s="44">
        <v>5.6</v>
      </c>
      <c r="H182" s="44"/>
      <c r="I182" s="44"/>
      <c r="J182" s="44">
        <f>D182*E182*G182</f>
        <v>143.35999999999999</v>
      </c>
      <c r="K182" s="44"/>
    </row>
    <row r="183" spans="1:11">
      <c r="A183" s="44"/>
      <c r="B183" s="342" t="s">
        <v>692</v>
      </c>
      <c r="C183" s="316"/>
      <c r="D183" s="588">
        <v>2</v>
      </c>
      <c r="E183" s="595"/>
      <c r="F183" s="44"/>
      <c r="G183" s="44"/>
      <c r="H183" s="44">
        <v>0.83</v>
      </c>
      <c r="I183" s="44"/>
      <c r="J183" s="590">
        <f>D183*H183</f>
        <v>1.66</v>
      </c>
      <c r="K183" s="44"/>
    </row>
    <row r="184" spans="1:11">
      <c r="A184" s="44"/>
      <c r="B184" s="342" t="s">
        <v>729</v>
      </c>
      <c r="C184" s="316"/>
      <c r="D184" s="588"/>
      <c r="E184" s="595"/>
      <c r="F184" s="44"/>
      <c r="G184" s="44"/>
      <c r="H184" s="44"/>
      <c r="I184" s="44"/>
      <c r="J184" s="44"/>
      <c r="K184" s="44"/>
    </row>
    <row r="185" spans="1:11">
      <c r="A185" s="44"/>
      <c r="B185" s="342" t="s">
        <v>728</v>
      </c>
      <c r="C185" s="316"/>
      <c r="D185" s="588">
        <v>1</v>
      </c>
      <c r="E185" s="595">
        <v>25.6</v>
      </c>
      <c r="F185" s="44"/>
      <c r="G185" s="44">
        <v>5.6</v>
      </c>
      <c r="H185" s="44"/>
      <c r="I185" s="44"/>
      <c r="J185" s="590">
        <f>D185*E185*G185</f>
        <v>143.35999999999999</v>
      </c>
      <c r="K185" s="44"/>
    </row>
    <row r="186" spans="1:11">
      <c r="A186" s="44"/>
      <c r="B186" s="342" t="s">
        <v>692</v>
      </c>
      <c r="C186" s="316"/>
      <c r="D186" s="588">
        <v>2</v>
      </c>
      <c r="E186" s="595"/>
      <c r="F186" s="44"/>
      <c r="G186" s="44"/>
      <c r="H186" s="44">
        <v>2.23</v>
      </c>
      <c r="I186" s="44"/>
      <c r="J186" s="590">
        <f>D186*H186</f>
        <v>4.46</v>
      </c>
      <c r="K186" s="44"/>
    </row>
    <row r="187" spans="1:11">
      <c r="A187" s="44"/>
      <c r="B187" s="342" t="s">
        <v>730</v>
      </c>
      <c r="C187" s="316"/>
      <c r="D187" s="588"/>
      <c r="E187" s="589"/>
      <c r="F187" s="44"/>
      <c r="G187" s="44"/>
      <c r="H187" s="44"/>
      <c r="I187" s="44"/>
      <c r="J187" s="44"/>
      <c r="K187" s="44"/>
    </row>
    <row r="188" spans="1:11">
      <c r="A188" s="44"/>
      <c r="B188" s="342" t="s">
        <v>731</v>
      </c>
      <c r="C188" s="316"/>
      <c r="D188" s="588">
        <v>7</v>
      </c>
      <c r="E188" s="589">
        <v>1.5</v>
      </c>
      <c r="F188" s="44"/>
      <c r="G188" s="44"/>
      <c r="H188" s="44">
        <v>0.3</v>
      </c>
      <c r="I188" s="44"/>
      <c r="J188" s="44">
        <f>4*D188*E188*H188</f>
        <v>12.6</v>
      </c>
      <c r="K188" s="44"/>
    </row>
    <row r="189" spans="1:11">
      <c r="A189" s="44"/>
      <c r="B189" s="342" t="s">
        <v>732</v>
      </c>
      <c r="C189" s="316"/>
      <c r="D189" s="588">
        <v>7</v>
      </c>
      <c r="E189" s="589">
        <v>1.5</v>
      </c>
      <c r="F189" s="44"/>
      <c r="G189" s="44"/>
      <c r="H189" s="44">
        <v>0.3</v>
      </c>
      <c r="I189" s="44"/>
      <c r="J189" s="44">
        <f>4*D189*E189*H189</f>
        <v>12.6</v>
      </c>
      <c r="K189" s="44"/>
    </row>
    <row r="190" spans="1:11">
      <c r="A190" s="44"/>
      <c r="B190" s="342"/>
      <c r="C190" s="316"/>
      <c r="D190" s="588"/>
      <c r="E190" s="589"/>
      <c r="F190" s="44"/>
      <c r="G190" s="44"/>
      <c r="H190" s="44"/>
      <c r="I190" s="44"/>
      <c r="J190" s="44"/>
      <c r="K190" s="44"/>
    </row>
    <row r="191" spans="1:11">
      <c r="A191" s="44"/>
      <c r="B191" s="342" t="s">
        <v>733</v>
      </c>
      <c r="C191" s="316"/>
      <c r="D191" s="588"/>
      <c r="E191" s="589"/>
      <c r="F191" s="44"/>
      <c r="G191" s="44"/>
      <c r="H191" s="44"/>
      <c r="I191" s="44"/>
      <c r="J191" s="44"/>
      <c r="K191" s="44"/>
    </row>
    <row r="192" spans="1:11">
      <c r="A192" s="44"/>
      <c r="B192" s="342" t="s">
        <v>686</v>
      </c>
      <c r="C192" s="316"/>
      <c r="D192" s="588">
        <v>2</v>
      </c>
      <c r="E192" s="589">
        <v>40.24</v>
      </c>
      <c r="F192" s="44"/>
      <c r="G192" s="44"/>
      <c r="H192" s="44">
        <v>3.69</v>
      </c>
      <c r="I192" s="44"/>
      <c r="J192" s="44">
        <f>D192*E192*H192</f>
        <v>296.97120000000001</v>
      </c>
      <c r="K192" s="44"/>
    </row>
    <row r="193" spans="1:11">
      <c r="A193" s="44"/>
      <c r="B193" s="342" t="s">
        <v>687</v>
      </c>
      <c r="C193" s="316"/>
      <c r="D193" s="588">
        <v>2</v>
      </c>
      <c r="E193" s="589">
        <f>E192</f>
        <v>40.24</v>
      </c>
      <c r="F193" s="44"/>
      <c r="G193" s="44"/>
      <c r="H193" s="44">
        <v>1.38</v>
      </c>
      <c r="I193" s="44"/>
      <c r="J193" s="44">
        <f>D193*E193*H193</f>
        <v>111.0624</v>
      </c>
      <c r="K193" s="44"/>
    </row>
    <row r="194" spans="1:11">
      <c r="A194" s="44"/>
      <c r="B194" s="44"/>
      <c r="C194" s="44"/>
      <c r="D194" s="44"/>
      <c r="E194" s="44"/>
      <c r="F194" s="44"/>
      <c r="G194" s="44"/>
      <c r="H194" s="44"/>
      <c r="I194" s="44"/>
      <c r="J194" s="44"/>
      <c r="K194" s="44"/>
    </row>
    <row r="195" spans="1:11" s="601" customFormat="1">
      <c r="A195" s="616">
        <v>14</v>
      </c>
      <c r="B195" s="604" t="s">
        <v>1051</v>
      </c>
      <c r="C195" s="599" t="s">
        <v>19</v>
      </c>
      <c r="D195" s="599"/>
      <c r="E195" s="599"/>
      <c r="F195" s="599"/>
      <c r="G195" s="599"/>
      <c r="H195" s="599"/>
      <c r="I195" s="599"/>
      <c r="J195" s="599"/>
      <c r="K195" s="599"/>
    </row>
    <row r="196" spans="1:11">
      <c r="A196" s="44"/>
      <c r="B196" s="44"/>
      <c r="C196" s="44"/>
      <c r="D196" s="44">
        <v>1</v>
      </c>
      <c r="E196" s="44"/>
      <c r="F196" s="44"/>
      <c r="G196" s="44"/>
      <c r="H196" s="44">
        <v>933.95399999999995</v>
      </c>
      <c r="I196" s="44"/>
      <c r="J196" s="44">
        <f>H196*D196</f>
        <v>933.95399999999995</v>
      </c>
      <c r="K196" s="44"/>
    </row>
    <row r="197" spans="1:11">
      <c r="A197" s="44"/>
      <c r="B197" s="44"/>
      <c r="C197" s="44"/>
      <c r="D197" s="44"/>
      <c r="E197" s="44"/>
      <c r="F197" s="44"/>
      <c r="G197" s="44"/>
      <c r="H197" s="44"/>
      <c r="I197" s="44"/>
      <c r="J197" s="44"/>
      <c r="K197" s="44"/>
    </row>
    <row r="198" spans="1:11" s="601" customFormat="1">
      <c r="A198" s="441">
        <v>15</v>
      </c>
      <c r="B198" s="615" t="s">
        <v>1052</v>
      </c>
      <c r="C198" s="7" t="s">
        <v>19</v>
      </c>
      <c r="D198" s="7"/>
      <c r="E198" s="7"/>
      <c r="F198" s="7"/>
      <c r="G198" s="7"/>
      <c r="H198" s="7"/>
      <c r="I198" s="599"/>
      <c r="J198" s="7"/>
      <c r="K198" s="599"/>
    </row>
    <row r="199" spans="1:11">
      <c r="A199" s="110"/>
      <c r="B199" s="113" t="s">
        <v>424</v>
      </c>
      <c r="C199" s="45"/>
      <c r="D199" s="45"/>
      <c r="E199" s="45"/>
      <c r="F199" s="45"/>
      <c r="G199" s="45"/>
      <c r="H199" s="45"/>
      <c r="I199" s="44"/>
      <c r="J199" s="45"/>
      <c r="K199" s="44"/>
    </row>
    <row r="200" spans="1:11">
      <c r="A200" s="605"/>
      <c r="B200" s="606" t="s">
        <v>1053</v>
      </c>
      <c r="C200" s="607"/>
      <c r="D200" s="608">
        <v>2</v>
      </c>
      <c r="E200" s="609"/>
      <c r="F200" s="609">
        <v>1.5</v>
      </c>
      <c r="G200" s="609">
        <v>2.44</v>
      </c>
      <c r="H200" s="609"/>
      <c r="I200" s="44"/>
      <c r="J200" s="609">
        <f>D200*F200*G200</f>
        <v>7.32</v>
      </c>
      <c r="K200" s="44"/>
    </row>
    <row r="201" spans="1:11">
      <c r="A201" s="605"/>
      <c r="B201" s="606"/>
      <c r="C201" s="607"/>
      <c r="D201" s="608">
        <v>2</v>
      </c>
      <c r="E201" s="609"/>
      <c r="F201" s="609">
        <v>1.5</v>
      </c>
      <c r="G201" s="609">
        <v>2.44</v>
      </c>
      <c r="H201" s="609"/>
      <c r="I201" s="44"/>
      <c r="J201" s="609">
        <f>D201*F201*G201</f>
        <v>7.32</v>
      </c>
      <c r="K201" s="44"/>
    </row>
    <row r="202" spans="1:11">
      <c r="A202" s="605"/>
      <c r="B202" s="606" t="s">
        <v>1054</v>
      </c>
      <c r="C202" s="607"/>
      <c r="D202" s="608">
        <v>3</v>
      </c>
      <c r="E202" s="609"/>
      <c r="F202" s="609">
        <v>2</v>
      </c>
      <c r="G202" s="609">
        <v>1.21</v>
      </c>
      <c r="H202" s="609"/>
      <c r="I202" s="44"/>
      <c r="J202" s="609">
        <f>D202*F202*G202</f>
        <v>7.26</v>
      </c>
      <c r="K202" s="44"/>
    </row>
    <row r="203" spans="1:11">
      <c r="A203" s="605"/>
      <c r="B203" s="606"/>
      <c r="C203" s="607"/>
      <c r="D203" s="608">
        <v>3</v>
      </c>
      <c r="E203" s="609"/>
      <c r="F203" s="609">
        <v>1</v>
      </c>
      <c r="G203" s="609">
        <v>1.21</v>
      </c>
      <c r="H203" s="609"/>
      <c r="I203" s="44"/>
      <c r="J203" s="609">
        <f>D203*F203*G203</f>
        <v>3.63</v>
      </c>
      <c r="K203" s="44"/>
    </row>
    <row r="204" spans="1:11">
      <c r="A204" s="605"/>
      <c r="B204" s="606"/>
      <c r="C204" s="607"/>
      <c r="D204" s="608"/>
      <c r="E204" s="609"/>
      <c r="F204" s="609"/>
      <c r="G204" s="609"/>
      <c r="H204" s="609"/>
      <c r="I204" s="44"/>
      <c r="J204" s="609"/>
      <c r="K204" s="44"/>
    </row>
    <row r="205" spans="1:11">
      <c r="A205" s="605"/>
      <c r="B205" s="606" t="s">
        <v>423</v>
      </c>
      <c r="C205" s="607"/>
      <c r="D205" s="608"/>
      <c r="E205" s="609"/>
      <c r="F205" s="609"/>
      <c r="G205" s="609"/>
      <c r="H205" s="609"/>
      <c r="I205" s="44"/>
      <c r="J205" s="609"/>
      <c r="K205" s="44"/>
    </row>
    <row r="206" spans="1:11">
      <c r="A206" s="605"/>
      <c r="B206" s="606" t="s">
        <v>1055</v>
      </c>
      <c r="C206" s="607"/>
      <c r="D206" s="608">
        <v>1</v>
      </c>
      <c r="E206" s="609"/>
      <c r="F206" s="609">
        <v>2.8</v>
      </c>
      <c r="G206" s="609">
        <v>2.2000000000000002</v>
      </c>
      <c r="H206" s="609"/>
      <c r="I206" s="44"/>
      <c r="J206" s="609">
        <f>D206*F206*G206</f>
        <v>6.16</v>
      </c>
      <c r="K206" s="44"/>
    </row>
    <row r="207" spans="1:11">
      <c r="A207" s="605"/>
      <c r="B207" s="606" t="s">
        <v>1056</v>
      </c>
      <c r="C207" s="607"/>
      <c r="D207" s="608">
        <v>4</v>
      </c>
      <c r="E207" s="609"/>
      <c r="F207" s="609">
        <v>3</v>
      </c>
      <c r="G207" s="609">
        <v>1.95</v>
      </c>
      <c r="H207" s="609"/>
      <c r="I207" s="44"/>
      <c r="J207" s="609">
        <f>D207*F207*G207</f>
        <v>23.4</v>
      </c>
      <c r="K207" s="44"/>
    </row>
    <row r="208" spans="1:11">
      <c r="A208" s="605"/>
      <c r="B208" s="606"/>
      <c r="C208" s="607"/>
      <c r="D208" s="608"/>
      <c r="E208" s="609"/>
      <c r="F208" s="609"/>
      <c r="G208" s="609"/>
      <c r="H208" s="609"/>
      <c r="I208" s="44"/>
      <c r="J208" s="609"/>
      <c r="K208" s="44"/>
    </row>
    <row r="209" spans="1:11">
      <c r="A209" s="605"/>
      <c r="B209" s="610"/>
      <c r="C209" s="605"/>
      <c r="D209" s="608"/>
      <c r="E209" s="605"/>
      <c r="F209" s="605"/>
      <c r="G209" s="611" t="s">
        <v>20</v>
      </c>
      <c r="H209" s="611"/>
      <c r="I209" s="44"/>
      <c r="J209" s="612">
        <f>SUM(J200:J208)</f>
        <v>55.089999999999996</v>
      </c>
      <c r="K209" s="44"/>
    </row>
    <row r="210" spans="1:11" s="601" customFormat="1">
      <c r="A210" s="441">
        <v>16</v>
      </c>
      <c r="B210" s="615" t="s">
        <v>1057</v>
      </c>
      <c r="C210" s="7" t="s">
        <v>19</v>
      </c>
      <c r="D210" s="7"/>
      <c r="E210" s="7"/>
      <c r="F210" s="7"/>
      <c r="G210" s="7"/>
      <c r="H210" s="7"/>
      <c r="I210" s="599"/>
      <c r="J210" s="7"/>
      <c r="K210" s="599"/>
    </row>
    <row r="211" spans="1:11">
      <c r="A211" s="610"/>
      <c r="B211" s="606" t="s">
        <v>1065</v>
      </c>
      <c r="C211" s="607"/>
      <c r="D211" s="608">
        <v>1</v>
      </c>
      <c r="E211" s="609"/>
      <c r="F211" s="609"/>
      <c r="G211" s="609">
        <v>17</v>
      </c>
      <c r="H211" s="609">
        <v>114.04470000000001</v>
      </c>
      <c r="I211" s="44"/>
      <c r="J211" s="609">
        <f>H211*G211*D211</f>
        <v>1938.7599</v>
      </c>
      <c r="K211" s="44"/>
    </row>
    <row r="212" spans="1:11">
      <c r="A212" s="610"/>
      <c r="B212" s="113"/>
      <c r="C212" s="607"/>
      <c r="D212" s="608"/>
      <c r="E212" s="609"/>
      <c r="F212" s="609"/>
      <c r="G212" s="609"/>
      <c r="H212" s="609"/>
      <c r="I212" s="44"/>
      <c r="J212" s="609"/>
      <c r="K212" s="44"/>
    </row>
    <row r="213" spans="1:11">
      <c r="A213" s="610"/>
      <c r="B213" s="113" t="s">
        <v>1066</v>
      </c>
      <c r="C213" s="607"/>
      <c r="D213" s="608">
        <v>1</v>
      </c>
      <c r="E213" s="609"/>
      <c r="F213" s="609"/>
      <c r="G213" s="609">
        <v>7.15</v>
      </c>
      <c r="H213" s="609">
        <v>93.278000000000006</v>
      </c>
      <c r="I213" s="44"/>
      <c r="J213" s="609">
        <f>H213*G213*D213</f>
        <v>666.93770000000006</v>
      </c>
      <c r="K213" s="44"/>
    </row>
    <row r="214" spans="1:11">
      <c r="A214" s="605"/>
      <c r="B214" s="610"/>
      <c r="C214" s="605"/>
      <c r="D214" s="608"/>
      <c r="E214" s="605"/>
      <c r="F214" s="605"/>
      <c r="G214" s="611" t="s">
        <v>20</v>
      </c>
      <c r="H214" s="611"/>
      <c r="I214" s="44"/>
      <c r="J214" s="612">
        <f>SUM(J211:J213)</f>
        <v>2605.6976</v>
      </c>
      <c r="K214" s="44"/>
    </row>
    <row r="215" spans="1:11" s="601" customFormat="1">
      <c r="A215" s="441">
        <v>17</v>
      </c>
      <c r="B215" s="615" t="s">
        <v>1058</v>
      </c>
      <c r="C215" s="7" t="s">
        <v>19</v>
      </c>
      <c r="D215" s="7"/>
      <c r="E215" s="7"/>
      <c r="F215" s="7"/>
      <c r="G215" s="7"/>
      <c r="H215" s="7"/>
      <c r="I215" s="599"/>
      <c r="J215" s="7"/>
      <c r="K215" s="599"/>
    </row>
    <row r="216" spans="1:11">
      <c r="A216" s="610"/>
      <c r="B216" s="606" t="s">
        <v>1065</v>
      </c>
      <c r="C216" s="607"/>
      <c r="D216" s="608">
        <v>1</v>
      </c>
      <c r="E216" s="609"/>
      <c r="F216" s="609"/>
      <c r="G216" s="609">
        <v>17</v>
      </c>
      <c r="H216" s="609">
        <v>114.04470000000001</v>
      </c>
      <c r="I216" s="44"/>
      <c r="J216" s="609">
        <f>H216*G216*D216</f>
        <v>1938.7599</v>
      </c>
      <c r="K216" s="44"/>
    </row>
    <row r="217" spans="1:11">
      <c r="A217" s="610"/>
      <c r="B217" s="113"/>
      <c r="C217" s="607"/>
      <c r="D217" s="608"/>
      <c r="E217" s="609"/>
      <c r="F217" s="609"/>
      <c r="G217" s="609"/>
      <c r="H217" s="609"/>
      <c r="I217" s="44"/>
      <c r="J217" s="609"/>
      <c r="K217" s="44"/>
    </row>
    <row r="218" spans="1:11">
      <c r="A218" s="610"/>
      <c r="B218" s="113" t="s">
        <v>1066</v>
      </c>
      <c r="C218" s="607"/>
      <c r="D218" s="608">
        <v>1</v>
      </c>
      <c r="E218" s="609"/>
      <c r="F218" s="609"/>
      <c r="G218" s="609">
        <v>7.15</v>
      </c>
      <c r="H218" s="609">
        <v>93.278000000000006</v>
      </c>
      <c r="I218" s="44"/>
      <c r="J218" s="609">
        <f>H218*G218*D218</f>
        <v>666.93770000000006</v>
      </c>
      <c r="K218" s="44"/>
    </row>
    <row r="219" spans="1:11">
      <c r="A219" s="605"/>
      <c r="B219" s="610"/>
      <c r="C219" s="605"/>
      <c r="D219" s="608"/>
      <c r="E219" s="605"/>
      <c r="F219" s="605"/>
      <c r="G219" s="611" t="s">
        <v>20</v>
      </c>
      <c r="H219" s="611"/>
      <c r="I219" s="44"/>
      <c r="J219" s="612">
        <f>SUM(J216:J218)</f>
        <v>2605.6976</v>
      </c>
      <c r="K219" s="44"/>
    </row>
    <row r="220" spans="1:11" s="601" customFormat="1">
      <c r="A220" s="441">
        <v>16</v>
      </c>
      <c r="B220" s="615" t="s">
        <v>1059</v>
      </c>
      <c r="C220" s="7" t="s">
        <v>322</v>
      </c>
      <c r="D220" s="7"/>
      <c r="E220" s="7"/>
      <c r="F220" s="7"/>
      <c r="G220" s="7"/>
      <c r="H220" s="7"/>
      <c r="I220" s="599"/>
      <c r="J220" s="7"/>
      <c r="K220" s="599"/>
    </row>
    <row r="221" spans="1:11">
      <c r="A221" s="606"/>
      <c r="B221" s="606" t="s">
        <v>1059</v>
      </c>
      <c r="C221" s="607"/>
      <c r="D221" s="607"/>
      <c r="E221" s="607"/>
      <c r="F221" s="607"/>
      <c r="G221" s="607"/>
      <c r="H221" s="609"/>
      <c r="I221" s="44"/>
      <c r="J221" s="609">
        <f>((8.81*2)+(1*(8.81/0.3)))*PI()*0.02^2/4*7.85</f>
        <v>0.11587617895108787</v>
      </c>
      <c r="K221" s="44"/>
    </row>
    <row r="222" spans="1:11">
      <c r="A222" s="606"/>
      <c r="B222" s="606"/>
      <c r="C222" s="340"/>
      <c r="D222" s="606"/>
      <c r="E222" s="606"/>
      <c r="F222" s="606"/>
      <c r="G222" s="611" t="s">
        <v>20</v>
      </c>
      <c r="H222" s="609"/>
      <c r="I222" s="44"/>
      <c r="J222" s="612">
        <f>SUM(J221:J221)</f>
        <v>0.11587617895108787</v>
      </c>
      <c r="K222" s="44"/>
    </row>
    <row r="223" spans="1:11" s="601" customFormat="1">
      <c r="A223" s="441">
        <v>17</v>
      </c>
      <c r="B223" s="615" t="s">
        <v>1061</v>
      </c>
      <c r="C223" s="5" t="s">
        <v>46</v>
      </c>
      <c r="D223" s="5"/>
      <c r="E223" s="5"/>
      <c r="F223" s="5"/>
      <c r="G223" s="5"/>
      <c r="H223" s="5"/>
      <c r="I223" s="599"/>
      <c r="J223" s="5"/>
      <c r="K223" s="599"/>
    </row>
    <row r="224" spans="1:11">
      <c r="A224" s="605"/>
      <c r="B224" s="605" t="s">
        <v>1062</v>
      </c>
      <c r="C224" s="605"/>
      <c r="D224" s="605"/>
      <c r="E224" s="605"/>
      <c r="F224" s="605"/>
      <c r="G224" s="605"/>
      <c r="H224" s="606"/>
      <c r="I224" s="44"/>
      <c r="J224" s="605">
        <v>50.9</v>
      </c>
      <c r="K224" s="44"/>
    </row>
    <row r="225" spans="1:11">
      <c r="A225" s="613"/>
      <c r="B225" s="605"/>
      <c r="C225" s="605"/>
      <c r="D225" s="605"/>
      <c r="E225" s="605"/>
      <c r="F225" s="605"/>
      <c r="G225" s="614" t="s">
        <v>20</v>
      </c>
      <c r="H225" s="606"/>
      <c r="I225" s="44"/>
      <c r="J225" s="612">
        <f>SUM(J224:J224)</f>
        <v>50.9</v>
      </c>
      <c r="K225" s="44"/>
    </row>
    <row r="226" spans="1:11" s="601" customFormat="1">
      <c r="A226" s="441">
        <v>18</v>
      </c>
      <c r="B226" s="615" t="s">
        <v>1063</v>
      </c>
      <c r="C226" s="5" t="s">
        <v>19</v>
      </c>
      <c r="D226" s="5"/>
      <c r="E226" s="5"/>
      <c r="F226" s="5"/>
      <c r="G226" s="5"/>
      <c r="H226" s="5"/>
      <c r="I226" s="599"/>
      <c r="J226" s="5"/>
      <c r="K226" s="599"/>
    </row>
    <row r="227" spans="1:11">
      <c r="A227" s="605"/>
      <c r="B227" s="605" t="s">
        <v>1064</v>
      </c>
      <c r="C227" s="605"/>
      <c r="D227" s="605">
        <v>1</v>
      </c>
      <c r="E227" s="605"/>
      <c r="F227" s="605">
        <v>6</v>
      </c>
      <c r="G227" s="605">
        <v>6.8</v>
      </c>
      <c r="H227" s="606"/>
      <c r="I227" s="44"/>
      <c r="J227" s="605">
        <f>D227*F227*G227</f>
        <v>40.799999999999997</v>
      </c>
      <c r="K227" s="44"/>
    </row>
    <row r="228" spans="1:11">
      <c r="A228" s="613"/>
      <c r="B228" s="605"/>
      <c r="C228" s="605"/>
      <c r="D228" s="605"/>
      <c r="E228" s="605"/>
      <c r="F228" s="605"/>
      <c r="G228" s="614" t="s">
        <v>20</v>
      </c>
      <c r="H228" s="606"/>
      <c r="I228" s="44"/>
      <c r="J228" s="612">
        <f>SUM(J227:J227)</f>
        <v>40.799999999999997</v>
      </c>
      <c r="K228" s="44"/>
    </row>
    <row r="229" spans="1:11" s="601" customFormat="1">
      <c r="A229" s="441">
        <v>19</v>
      </c>
      <c r="B229" s="615" t="s">
        <v>1124</v>
      </c>
      <c r="C229" s="5" t="s">
        <v>46</v>
      </c>
      <c r="D229" s="5"/>
      <c r="E229" s="5"/>
      <c r="F229" s="5"/>
      <c r="G229" s="5"/>
      <c r="H229" s="5"/>
      <c r="I229" s="599"/>
      <c r="J229" s="5"/>
      <c r="K229" s="599"/>
    </row>
    <row r="230" spans="1:11">
      <c r="A230" s="605"/>
      <c r="B230" s="605"/>
      <c r="C230" s="605"/>
      <c r="D230" s="605">
        <v>1</v>
      </c>
      <c r="E230" s="605"/>
      <c r="F230" s="605"/>
      <c r="G230" s="605"/>
      <c r="H230" s="606"/>
      <c r="I230" s="44"/>
      <c r="J230" s="605">
        <v>127</v>
      </c>
      <c r="K230" s="44"/>
    </row>
    <row r="231" spans="1:11">
      <c r="A231" s="613"/>
      <c r="B231" s="605"/>
      <c r="C231" s="605"/>
      <c r="D231" s="605"/>
      <c r="E231" s="605"/>
      <c r="F231" s="605"/>
      <c r="G231" s="614" t="s">
        <v>20</v>
      </c>
      <c r="H231" s="606"/>
      <c r="I231" s="44"/>
      <c r="J231" s="612">
        <f>SUM(J230:J230)</f>
        <v>127</v>
      </c>
      <c r="K231" s="44"/>
    </row>
    <row r="232" spans="1:11" s="601" customFormat="1">
      <c r="A232" s="441">
        <v>20</v>
      </c>
      <c r="B232" s="615" t="s">
        <v>1060</v>
      </c>
      <c r="C232" s="5" t="s">
        <v>19</v>
      </c>
      <c r="D232" s="5"/>
      <c r="E232" s="5"/>
      <c r="F232" s="5"/>
      <c r="G232" s="5"/>
      <c r="H232" s="5"/>
      <c r="I232" s="599"/>
      <c r="J232" s="5"/>
      <c r="K232" s="599"/>
    </row>
    <row r="233" spans="1:11">
      <c r="A233" s="605"/>
      <c r="B233" s="605"/>
      <c r="C233" s="605"/>
      <c r="D233" s="605">
        <v>1</v>
      </c>
      <c r="E233" s="605"/>
      <c r="F233" s="605"/>
      <c r="G233" s="605"/>
      <c r="H233" s="606"/>
      <c r="I233" s="44"/>
      <c r="J233" s="605">
        <v>171</v>
      </c>
      <c r="K233" s="44"/>
    </row>
    <row r="234" spans="1:11">
      <c r="A234" s="613"/>
      <c r="B234" s="605"/>
      <c r="C234" s="605"/>
      <c r="D234" s="605"/>
      <c r="E234" s="605"/>
      <c r="F234" s="605"/>
      <c r="G234" s="614" t="s">
        <v>20</v>
      </c>
      <c r="H234" s="606"/>
      <c r="I234" s="44"/>
      <c r="J234" s="612">
        <f>J233</f>
        <v>171</v>
      </c>
      <c r="K234" s="44"/>
    </row>
    <row r="235" spans="1:11">
      <c r="A235" s="230">
        <v>21</v>
      </c>
      <c r="B235" s="179" t="s">
        <v>347</v>
      </c>
      <c r="C235" s="5" t="s">
        <v>306</v>
      </c>
      <c r="D235" s="5"/>
      <c r="E235" s="5"/>
      <c r="F235" s="5"/>
      <c r="G235" s="5"/>
      <c r="H235" s="5"/>
      <c r="I235" s="599"/>
      <c r="J235" s="5"/>
      <c r="K235" s="599"/>
    </row>
    <row r="236" spans="1:11">
      <c r="A236" s="406"/>
      <c r="B236" s="753" t="s">
        <v>1137</v>
      </c>
      <c r="C236" s="316"/>
      <c r="D236" s="754">
        <v>1</v>
      </c>
      <c r="E236" s="606"/>
      <c r="F236" s="606"/>
      <c r="G236" s="611"/>
      <c r="H236" s="609">
        <f>2*(394.1*SIN(RADIANS(84.29))+1*22.2+25.6*1)+2*(469.95*SIN(RADIANS(84.29))+1*25.73+32.13)</f>
        <v>1930.845548395532</v>
      </c>
      <c r="I236" s="44"/>
      <c r="J236" s="758">
        <f>H236*D236</f>
        <v>1930.845548395532</v>
      </c>
      <c r="K236" s="44"/>
    </row>
    <row r="237" spans="1:11">
      <c r="A237" s="406"/>
      <c r="B237" s="753"/>
      <c r="C237" s="316"/>
      <c r="D237" s="754"/>
      <c r="E237" s="606"/>
      <c r="F237" s="606"/>
      <c r="G237" s="611"/>
      <c r="H237" s="609"/>
      <c r="I237" s="44"/>
      <c r="J237" s="612"/>
      <c r="K237" s="44"/>
    </row>
    <row r="238" spans="1:11">
      <c r="A238" s="230">
        <v>22</v>
      </c>
      <c r="B238" s="179" t="s">
        <v>328</v>
      </c>
      <c r="C238" s="5" t="s">
        <v>307</v>
      </c>
      <c r="D238" s="5"/>
      <c r="E238" s="5"/>
      <c r="F238" s="5"/>
      <c r="G238" s="5"/>
      <c r="H238" s="5"/>
      <c r="I238" s="599"/>
      <c r="J238" s="5"/>
      <c r="K238" s="599"/>
    </row>
    <row r="239" spans="1:11" ht="33.6">
      <c r="A239" s="406"/>
      <c r="B239" s="753" t="s">
        <v>1138</v>
      </c>
      <c r="C239" s="316"/>
      <c r="D239" s="754">
        <f>131*2+110*2</f>
        <v>482</v>
      </c>
      <c r="E239" s="606"/>
      <c r="F239" s="606"/>
      <c r="G239" s="611"/>
      <c r="H239" s="609"/>
      <c r="I239" s="44"/>
      <c r="J239" s="758">
        <f>D239</f>
        <v>482</v>
      </c>
      <c r="K239" s="44"/>
    </row>
    <row r="240" spans="1:11">
      <c r="A240" s="406"/>
      <c r="B240" s="753"/>
      <c r="C240" s="316"/>
      <c r="D240" s="754"/>
      <c r="E240" s="606"/>
      <c r="F240" s="606"/>
      <c r="G240" s="611"/>
      <c r="H240" s="609"/>
      <c r="I240" s="44"/>
      <c r="J240" s="612"/>
      <c r="K240" s="44"/>
    </row>
    <row r="241" spans="1:11">
      <c r="A241" s="230">
        <v>23</v>
      </c>
      <c r="B241" s="179" t="s">
        <v>1139</v>
      </c>
      <c r="C241" s="5" t="s">
        <v>306</v>
      </c>
      <c r="D241" s="5"/>
      <c r="E241" s="5"/>
      <c r="F241" s="5"/>
      <c r="G241" s="5"/>
      <c r="H241" s="5"/>
      <c r="I241" s="599"/>
      <c r="J241" s="5"/>
      <c r="K241" s="599"/>
    </row>
    <row r="242" spans="1:11">
      <c r="A242" s="44"/>
      <c r="B242" s="755"/>
      <c r="C242" s="316"/>
      <c r="D242" s="754">
        <v>1</v>
      </c>
      <c r="E242" s="754">
        <f>2*(16.8+28.74)</f>
        <v>91.08</v>
      </c>
      <c r="F242" s="754"/>
      <c r="G242" s="756"/>
      <c r="H242" s="757">
        <v>50.55</v>
      </c>
      <c r="I242" s="44"/>
      <c r="J242" s="758">
        <f>D242*E242*H242</f>
        <v>4604.0940000000001</v>
      </c>
      <c r="K242" s="44"/>
    </row>
  </sheetData>
  <pageMargins left="0.7" right="0.7" top="0.75" bottom="0.75" header="0.3" footer="0.3"/>
  <pageSetup scale="50" orientation="portrait" r:id="rId1"/>
  <rowBreaks count="1" manualBreakCount="1">
    <brk id="93" max="10" man="1"/>
  </rowBreaks>
  <drawing r:id="rId2"/>
  <legacyDrawing r:id="rId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3" tint="0.39997558519241921"/>
  </sheetPr>
  <dimension ref="A2:K30"/>
  <sheetViews>
    <sheetView workbookViewId="0"/>
  </sheetViews>
  <sheetFormatPr defaultColWidth="9.109375" defaultRowHeight="16.8"/>
  <cols>
    <col min="1" max="1" width="12.44140625" style="1" customWidth="1"/>
    <col min="2" max="2" width="44.6640625" style="1" bestFit="1" customWidth="1"/>
    <col min="3" max="4" width="9.109375" style="1"/>
    <col min="5" max="5" width="12.88671875" style="1" customWidth="1"/>
    <col min="6" max="6" width="13.44140625" style="1" customWidth="1"/>
    <col min="7" max="8" width="9.109375" style="1"/>
    <col min="9" max="9" width="14.5546875" style="1" customWidth="1"/>
    <col min="10" max="10" width="13.5546875" style="1" customWidth="1"/>
    <col min="11" max="11" width="19.88671875" style="1" customWidth="1"/>
    <col min="12" max="16384" width="9.109375" style="1"/>
  </cols>
  <sheetData>
    <row r="2" spans="1:11">
      <c r="A2" s="226" t="s">
        <v>0</v>
      </c>
      <c r="B2" s="1" t="e">
        <f>#REF!</f>
        <v>#REF!</v>
      </c>
    </row>
    <row r="3" spans="1:11">
      <c r="A3" s="119" t="s">
        <v>1</v>
      </c>
      <c r="B3" s="1" t="e">
        <f>#REF!</f>
        <v>#REF!</v>
      </c>
      <c r="G3" s="1" t="s">
        <v>678</v>
      </c>
    </row>
    <row r="4" spans="1:11">
      <c r="A4" s="119" t="s">
        <v>2</v>
      </c>
      <c r="B4" s="227" t="s">
        <v>331</v>
      </c>
      <c r="G4" s="1">
        <v>1</v>
      </c>
      <c r="H4" s="1" t="s">
        <v>679</v>
      </c>
    </row>
    <row r="5" spans="1:11">
      <c r="A5" s="119" t="s">
        <v>3</v>
      </c>
      <c r="B5" s="1" t="s">
        <v>378</v>
      </c>
    </row>
    <row r="6" spans="1:11">
      <c r="A6" s="119" t="s">
        <v>4</v>
      </c>
    </row>
    <row r="8" spans="1:11">
      <c r="A8" s="230" t="s">
        <v>332</v>
      </c>
      <c r="B8" s="230" t="s">
        <v>8</v>
      </c>
      <c r="C8" s="230" t="s">
        <v>9</v>
      </c>
      <c r="D8" s="230" t="s">
        <v>333</v>
      </c>
      <c r="E8" s="230" t="s">
        <v>11</v>
      </c>
      <c r="F8" s="230" t="s">
        <v>12</v>
      </c>
      <c r="G8" s="230" t="s">
        <v>13</v>
      </c>
      <c r="H8" s="230" t="s">
        <v>15</v>
      </c>
      <c r="I8" s="230" t="s">
        <v>14</v>
      </c>
      <c r="J8" s="230" t="s">
        <v>16</v>
      </c>
      <c r="K8" s="230" t="s">
        <v>17</v>
      </c>
    </row>
    <row r="9" spans="1:11">
      <c r="A9" s="235">
        <v>2</v>
      </c>
      <c r="B9" s="231" t="s">
        <v>313</v>
      </c>
      <c r="C9" s="44" t="s">
        <v>306</v>
      </c>
      <c r="D9" s="44"/>
      <c r="E9" s="44"/>
      <c r="F9" s="44"/>
      <c r="G9" s="44"/>
      <c r="H9" s="44"/>
      <c r="I9" s="44"/>
      <c r="J9" s="44"/>
      <c r="K9" s="44"/>
    </row>
    <row r="10" spans="1:11">
      <c r="A10" s="240"/>
      <c r="B10" s="44"/>
      <c r="C10" s="44"/>
      <c r="D10" s="44">
        <v>1</v>
      </c>
      <c r="E10" s="44"/>
      <c r="F10" s="44">
        <f>4.2+1.25*2</f>
        <v>6.7</v>
      </c>
      <c r="G10" s="44"/>
      <c r="H10" s="44">
        <v>665</v>
      </c>
      <c r="I10" s="44"/>
      <c r="J10" s="44">
        <f>D10*F10*H10</f>
        <v>4455.5</v>
      </c>
      <c r="K10" s="44" t="s">
        <v>520</v>
      </c>
    </row>
    <row r="11" spans="1:11">
      <c r="A11" s="240"/>
      <c r="B11" s="44"/>
      <c r="C11" s="44"/>
      <c r="D11" s="44"/>
      <c r="E11" s="44"/>
      <c r="F11" s="44"/>
      <c r="G11" s="44"/>
      <c r="H11" s="44"/>
      <c r="I11" s="231" t="s">
        <v>439</v>
      </c>
      <c r="J11" s="231">
        <f>SUM(J10)</f>
        <v>4455.5</v>
      </c>
      <c r="K11" s="44"/>
    </row>
    <row r="12" spans="1:11">
      <c r="A12" s="235">
        <v>3</v>
      </c>
      <c r="B12" s="231" t="s">
        <v>422</v>
      </c>
      <c r="C12" s="44" t="s">
        <v>306</v>
      </c>
      <c r="D12" s="44"/>
      <c r="E12" s="44"/>
      <c r="F12" s="44"/>
      <c r="G12" s="44"/>
      <c r="H12" s="44"/>
      <c r="I12" s="44"/>
      <c r="J12" s="44"/>
      <c r="K12" s="44"/>
    </row>
    <row r="13" spans="1:11">
      <c r="A13" s="240"/>
      <c r="B13" s="44"/>
      <c r="C13" s="44"/>
      <c r="D13" s="44">
        <v>2</v>
      </c>
      <c r="E13" s="44">
        <f>78+6</f>
        <v>84</v>
      </c>
      <c r="F13" s="44">
        <v>3.75</v>
      </c>
      <c r="G13" s="44"/>
      <c r="H13" s="44"/>
      <c r="I13" s="44"/>
      <c r="J13" s="44">
        <f>D13*E13*F13</f>
        <v>630</v>
      </c>
      <c r="K13" s="44" t="s">
        <v>520</v>
      </c>
    </row>
    <row r="14" spans="1:11">
      <c r="A14" s="240"/>
      <c r="B14" s="44"/>
      <c r="C14" s="44"/>
      <c r="D14" s="44"/>
      <c r="E14" s="44"/>
      <c r="F14" s="44"/>
      <c r="G14" s="44"/>
      <c r="H14" s="44"/>
      <c r="I14" s="231" t="s">
        <v>439</v>
      </c>
      <c r="J14" s="231">
        <f>SUM(J13)</f>
        <v>630</v>
      </c>
      <c r="K14" s="44"/>
    </row>
    <row r="15" spans="1:11">
      <c r="A15" s="235">
        <v>5</v>
      </c>
      <c r="B15" s="231" t="s">
        <v>522</v>
      </c>
      <c r="C15" s="44" t="s">
        <v>306</v>
      </c>
      <c r="D15" s="44"/>
      <c r="E15" s="44"/>
      <c r="F15" s="44"/>
      <c r="G15" s="44"/>
      <c r="H15" s="44"/>
      <c r="I15" s="44"/>
      <c r="J15" s="44"/>
      <c r="K15" s="44"/>
    </row>
    <row r="16" spans="1:11">
      <c r="A16" s="240"/>
      <c r="B16" s="44"/>
      <c r="C16" s="44"/>
      <c r="D16" s="44">
        <v>1</v>
      </c>
      <c r="E16" s="44">
        <f>E13</f>
        <v>84</v>
      </c>
      <c r="F16" s="44">
        <v>4.2</v>
      </c>
      <c r="G16" s="267">
        <v>7.4999999999999997E-2</v>
      </c>
      <c r="H16" s="44"/>
      <c r="I16" s="44"/>
      <c r="J16" s="267">
        <f>D16*E16*F16*G16</f>
        <v>26.46</v>
      </c>
      <c r="K16" s="44"/>
    </row>
    <row r="17" spans="1:11">
      <c r="A17" s="240"/>
      <c r="B17" s="44"/>
      <c r="C17" s="44"/>
      <c r="D17" s="44"/>
      <c r="E17" s="44"/>
      <c r="F17" s="44"/>
      <c r="G17" s="44"/>
      <c r="H17" s="44"/>
      <c r="I17" s="231" t="s">
        <v>439</v>
      </c>
      <c r="J17" s="233">
        <f>SUM(J16)</f>
        <v>26.46</v>
      </c>
      <c r="K17" s="44"/>
    </row>
    <row r="18" spans="1:11">
      <c r="A18" s="235">
        <v>6</v>
      </c>
      <c r="B18" s="231" t="s">
        <v>315</v>
      </c>
      <c r="C18" s="44" t="s">
        <v>306</v>
      </c>
      <c r="D18" s="44"/>
      <c r="E18" s="44"/>
      <c r="F18" s="44"/>
      <c r="G18" s="44"/>
      <c r="H18" s="44"/>
      <c r="I18" s="44"/>
      <c r="J18" s="44"/>
      <c r="K18" s="44"/>
    </row>
    <row r="19" spans="1:11">
      <c r="A19" s="240"/>
      <c r="B19" s="44" t="s">
        <v>681</v>
      </c>
      <c r="C19" s="44"/>
      <c r="D19" s="44">
        <f>D16</f>
        <v>1</v>
      </c>
      <c r="E19" s="44">
        <f>E16</f>
        <v>84</v>
      </c>
      <c r="F19" s="44"/>
      <c r="G19" s="44"/>
      <c r="H19" s="44">
        <v>6.2</v>
      </c>
      <c r="I19" s="44"/>
      <c r="J19" s="44">
        <f>D19*E19*H19</f>
        <v>520.80000000000007</v>
      </c>
      <c r="K19" s="44" t="s">
        <v>601</v>
      </c>
    </row>
    <row r="20" spans="1:11">
      <c r="A20" s="240"/>
      <c r="B20" s="44" t="s">
        <v>680</v>
      </c>
      <c r="C20" s="44"/>
      <c r="D20" s="44">
        <v>2</v>
      </c>
      <c r="E20" s="44">
        <v>7.5</v>
      </c>
      <c r="F20" s="44"/>
      <c r="G20" s="44"/>
      <c r="H20" s="44">
        <f>1.5*0.5*2</f>
        <v>1.5</v>
      </c>
      <c r="I20" s="44"/>
      <c r="J20" s="44">
        <f>D20*E20*H20</f>
        <v>22.5</v>
      </c>
      <c r="K20" s="44"/>
    </row>
    <row r="21" spans="1:11">
      <c r="A21" s="240"/>
      <c r="B21" s="44"/>
      <c r="C21" s="44"/>
      <c r="D21" s="44"/>
      <c r="E21" s="44"/>
      <c r="F21" s="44"/>
      <c r="G21" s="44"/>
      <c r="H21" s="44"/>
      <c r="I21" s="231" t="s">
        <v>439</v>
      </c>
      <c r="J21" s="231">
        <f>SUM(J19:J20)</f>
        <v>543.30000000000007</v>
      </c>
      <c r="K21" s="44"/>
    </row>
    <row r="22" spans="1:11">
      <c r="A22" s="235">
        <v>7</v>
      </c>
      <c r="B22" s="231" t="s">
        <v>24</v>
      </c>
      <c r="C22" s="44" t="s">
        <v>25</v>
      </c>
      <c r="D22" s="44"/>
      <c r="E22" s="44"/>
      <c r="F22" s="44"/>
      <c r="G22" s="44"/>
      <c r="H22" s="44"/>
      <c r="I22" s="44"/>
      <c r="J22" s="44"/>
      <c r="K22" s="44"/>
    </row>
    <row r="23" spans="1:11">
      <c r="A23" s="240"/>
      <c r="B23" s="44"/>
      <c r="C23" s="44"/>
      <c r="D23" s="44"/>
      <c r="E23" s="44"/>
      <c r="F23" s="44"/>
      <c r="G23" s="44"/>
      <c r="H23" s="44"/>
      <c r="I23" s="44"/>
      <c r="J23" s="243">
        <f>0.8%*J21*7.85</f>
        <v>34.119240000000005</v>
      </c>
      <c r="K23" s="273" t="s">
        <v>405</v>
      </c>
    </row>
    <row r="24" spans="1:11">
      <c r="A24" s="240"/>
      <c r="B24" s="44"/>
      <c r="C24" s="44"/>
      <c r="D24" s="44"/>
      <c r="E24" s="44"/>
      <c r="F24" s="44"/>
      <c r="G24" s="44"/>
      <c r="H24" s="44"/>
      <c r="I24" s="44"/>
      <c r="J24" s="44"/>
      <c r="K24" s="44"/>
    </row>
    <row r="25" spans="1:11">
      <c r="A25" s="235">
        <v>8</v>
      </c>
      <c r="B25" s="231" t="s">
        <v>101</v>
      </c>
      <c r="C25" s="44" t="s">
        <v>85</v>
      </c>
      <c r="D25" s="44"/>
      <c r="E25" s="44"/>
      <c r="F25" s="44"/>
      <c r="G25" s="44"/>
      <c r="H25" s="44"/>
      <c r="I25" s="44"/>
      <c r="J25" s="44"/>
      <c r="K25" s="44"/>
    </row>
    <row r="26" spans="1:11">
      <c r="A26" s="240"/>
      <c r="B26" s="277" t="s">
        <v>440</v>
      </c>
      <c r="C26" s="44"/>
      <c r="D26" s="44">
        <f>2*2</f>
        <v>4</v>
      </c>
      <c r="E26" s="44">
        <f>E19</f>
        <v>84</v>
      </c>
      <c r="F26" s="44"/>
      <c r="G26" s="44">
        <v>2</v>
      </c>
      <c r="H26" s="44"/>
      <c r="I26" s="44"/>
      <c r="J26" s="44">
        <f>D26*E26*G26</f>
        <v>672</v>
      </c>
      <c r="K26" s="44"/>
    </row>
    <row r="27" spans="1:11">
      <c r="A27" s="240"/>
      <c r="B27" s="277" t="s">
        <v>442</v>
      </c>
      <c r="C27" s="44"/>
      <c r="D27" s="44">
        <f>2*2</f>
        <v>4</v>
      </c>
      <c r="E27" s="44">
        <f>E28</f>
        <v>84</v>
      </c>
      <c r="F27" s="44"/>
      <c r="G27" s="44">
        <v>3.5</v>
      </c>
      <c r="H27" s="44"/>
      <c r="I27" s="44"/>
      <c r="J27" s="44">
        <f>D27*E27*G27</f>
        <v>1176</v>
      </c>
      <c r="K27" s="44"/>
    </row>
    <row r="28" spans="1:11">
      <c r="A28" s="240"/>
      <c r="B28" s="277" t="s">
        <v>441</v>
      </c>
      <c r="C28" s="44"/>
      <c r="D28" s="44">
        <f>2*1</f>
        <v>2</v>
      </c>
      <c r="E28" s="44">
        <f>E26</f>
        <v>84</v>
      </c>
      <c r="F28" s="44">
        <v>3.2</v>
      </c>
      <c r="G28" s="44"/>
      <c r="H28" s="44"/>
      <c r="I28" s="44"/>
      <c r="J28" s="44">
        <f>D28*E28*F28</f>
        <v>537.6</v>
      </c>
      <c r="K28" s="44"/>
    </row>
    <row r="29" spans="1:11">
      <c r="A29" s="240"/>
      <c r="B29" s="44"/>
      <c r="C29" s="44"/>
      <c r="D29" s="44"/>
      <c r="E29" s="44"/>
      <c r="F29" s="44"/>
      <c r="G29" s="44"/>
      <c r="H29" s="44"/>
      <c r="I29" s="231" t="s">
        <v>439</v>
      </c>
      <c r="J29" s="231">
        <f>SUM(J26:J28)</f>
        <v>2385.6</v>
      </c>
      <c r="K29" s="44"/>
    </row>
    <row r="30" spans="1:11">
      <c r="A30" s="240"/>
      <c r="B30" s="44"/>
      <c r="C30" s="44"/>
      <c r="D30" s="44"/>
      <c r="E30" s="44"/>
      <c r="F30" s="44"/>
      <c r="G30" s="44"/>
      <c r="H30" s="44"/>
      <c r="I30" s="44"/>
      <c r="J30" s="44"/>
      <c r="K30" s="44"/>
    </row>
  </sheetData>
  <pageMargins left="0.7" right="0.7" top="0.75" bottom="0.75" header="0.3" footer="0.3"/>
  <pageSetup orientation="portrait" r:id="rId1"/>
  <drawing r:id="rId2"/>
  <legacy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dimension ref="A2:K286"/>
  <sheetViews>
    <sheetView workbookViewId="0"/>
  </sheetViews>
  <sheetFormatPr defaultColWidth="9.109375" defaultRowHeight="16.8"/>
  <cols>
    <col min="1" max="1" width="12.109375" style="1" customWidth="1"/>
    <col min="2" max="2" width="27.5546875" style="1" customWidth="1"/>
    <col min="3" max="4" width="9.109375" style="1"/>
    <col min="5" max="5" width="11" style="1" customWidth="1"/>
    <col min="6" max="6" width="11.44140625" style="1" customWidth="1"/>
    <col min="7" max="7" width="10.5546875" style="1" customWidth="1"/>
    <col min="8" max="8" width="9.109375" style="1"/>
    <col min="9" max="9" width="12.44140625" style="1" customWidth="1"/>
    <col min="10" max="10" width="12.6640625" style="1" customWidth="1"/>
    <col min="11" max="11" width="11.6640625" style="1" customWidth="1"/>
    <col min="12" max="16384" width="9.109375" style="1"/>
  </cols>
  <sheetData>
    <row r="2" spans="1:11">
      <c r="A2" s="226" t="s">
        <v>0</v>
      </c>
      <c r="B2" s="1" t="s">
        <v>292</v>
      </c>
    </row>
    <row r="3" spans="1:11">
      <c r="A3" s="119" t="s">
        <v>1</v>
      </c>
      <c r="B3" s="228">
        <v>930076</v>
      </c>
    </row>
    <row r="4" spans="1:11">
      <c r="A4" s="119" t="s">
        <v>2</v>
      </c>
      <c r="B4" s="227" t="s">
        <v>331</v>
      </c>
    </row>
    <row r="5" spans="1:11">
      <c r="A5" s="119" t="s">
        <v>3</v>
      </c>
      <c r="B5" s="1" t="s">
        <v>376</v>
      </c>
    </row>
    <row r="6" spans="1:11">
      <c r="A6" s="119" t="s">
        <v>4</v>
      </c>
    </row>
    <row r="8" spans="1:11">
      <c r="A8" s="230" t="s">
        <v>332</v>
      </c>
      <c r="B8" s="230" t="s">
        <v>8</v>
      </c>
      <c r="C8" s="230" t="s">
        <v>9</v>
      </c>
      <c r="D8" s="230" t="s">
        <v>333</v>
      </c>
      <c r="E8" s="230" t="s">
        <v>11</v>
      </c>
      <c r="F8" s="230" t="s">
        <v>12</v>
      </c>
      <c r="G8" s="230" t="s">
        <v>13</v>
      </c>
      <c r="H8" s="230" t="s">
        <v>15</v>
      </c>
      <c r="I8" s="230" t="s">
        <v>14</v>
      </c>
      <c r="J8" s="230" t="s">
        <v>16</v>
      </c>
      <c r="K8" s="230" t="s">
        <v>17</v>
      </c>
    </row>
    <row r="9" spans="1:11">
      <c r="A9" s="235">
        <v>1</v>
      </c>
      <c r="B9" s="231" t="s">
        <v>380</v>
      </c>
      <c r="C9" s="232"/>
      <c r="D9" s="232"/>
      <c r="E9" s="232"/>
      <c r="F9" s="232"/>
      <c r="G9" s="232"/>
      <c r="H9" s="232"/>
      <c r="I9" s="232"/>
      <c r="J9" s="232"/>
      <c r="K9" s="44"/>
    </row>
    <row r="10" spans="1:11" ht="17.399999999999999">
      <c r="A10" s="235">
        <v>1.1000000000000001</v>
      </c>
      <c r="B10" s="231" t="s">
        <v>313</v>
      </c>
      <c r="C10" s="232" t="s">
        <v>339</v>
      </c>
      <c r="D10" s="232">
        <v>1</v>
      </c>
      <c r="E10" s="232">
        <v>5.38</v>
      </c>
      <c r="F10" s="232"/>
      <c r="G10" s="232"/>
      <c r="H10" s="241">
        <v>6.9755000000000003</v>
      </c>
      <c r="I10" s="232"/>
      <c r="J10" s="233">
        <f>D10*E10*H10</f>
        <v>37.528190000000002</v>
      </c>
      <c r="K10" s="44"/>
    </row>
    <row r="11" spans="1:11">
      <c r="A11" s="235"/>
      <c r="B11" s="232"/>
      <c r="C11" s="232"/>
      <c r="D11" s="232"/>
      <c r="E11" s="232"/>
      <c r="F11" s="232"/>
      <c r="G11" s="232"/>
      <c r="H11" s="232"/>
      <c r="I11" s="232"/>
      <c r="J11" s="232"/>
      <c r="K11" s="44"/>
    </row>
    <row r="12" spans="1:11" ht="17.399999999999999">
      <c r="A12" s="235">
        <v>1.2</v>
      </c>
      <c r="B12" s="231" t="s">
        <v>314</v>
      </c>
      <c r="C12" s="232" t="s">
        <v>339</v>
      </c>
      <c r="D12" s="232">
        <v>1</v>
      </c>
      <c r="E12" s="232">
        <v>5.38</v>
      </c>
      <c r="F12" s="241">
        <v>5.7839999999999998</v>
      </c>
      <c r="G12" s="232">
        <v>0.08</v>
      </c>
      <c r="H12" s="232"/>
      <c r="I12" s="232"/>
      <c r="J12" s="233">
        <f>D12*E12*F12*G12</f>
        <v>2.4894335999999999</v>
      </c>
      <c r="K12" s="44"/>
    </row>
    <row r="13" spans="1:11">
      <c r="A13" s="235"/>
      <c r="B13" s="232"/>
      <c r="C13" s="232"/>
      <c r="D13" s="232"/>
      <c r="E13" s="232"/>
      <c r="F13" s="232"/>
      <c r="G13" s="232"/>
      <c r="H13" s="232"/>
      <c r="I13" s="232"/>
      <c r="J13" s="232"/>
      <c r="K13" s="44"/>
    </row>
    <row r="14" spans="1:11" ht="17.399999999999999">
      <c r="A14" s="235">
        <v>1.3</v>
      </c>
      <c r="B14" s="231" t="s">
        <v>315</v>
      </c>
      <c r="C14" s="232" t="s">
        <v>339</v>
      </c>
      <c r="D14" s="232"/>
      <c r="E14" s="232"/>
      <c r="F14" s="232"/>
      <c r="G14" s="232"/>
      <c r="H14" s="232"/>
      <c r="I14" s="232"/>
      <c r="J14" s="232"/>
      <c r="K14" s="44"/>
    </row>
    <row r="15" spans="1:11">
      <c r="A15" s="235"/>
      <c r="B15" s="232" t="s">
        <v>381</v>
      </c>
      <c r="C15" s="232"/>
      <c r="D15" s="232">
        <v>1</v>
      </c>
      <c r="E15" s="232">
        <v>5.38</v>
      </c>
      <c r="F15" s="232"/>
      <c r="G15" s="232"/>
      <c r="H15" s="241">
        <v>1.2382</v>
      </c>
      <c r="I15" s="232"/>
      <c r="J15" s="241">
        <f>D15*E15*H15</f>
        <v>6.6615159999999998</v>
      </c>
      <c r="K15" s="44"/>
    </row>
    <row r="16" spans="1:11">
      <c r="A16" s="235"/>
      <c r="B16" s="232" t="s">
        <v>382</v>
      </c>
      <c r="C16" s="232"/>
      <c r="D16" s="232">
        <v>1</v>
      </c>
      <c r="E16" s="232">
        <v>5.38</v>
      </c>
      <c r="F16" s="232"/>
      <c r="G16" s="232"/>
      <c r="H16" s="241">
        <v>0.89839999999999998</v>
      </c>
      <c r="I16" s="232"/>
      <c r="J16" s="241">
        <f>D16*E16*H16</f>
        <v>4.8333919999999999</v>
      </c>
      <c r="K16" s="44"/>
    </row>
    <row r="17" spans="1:11">
      <c r="A17" s="235"/>
      <c r="B17" s="232" t="s">
        <v>383</v>
      </c>
      <c r="C17" s="232"/>
      <c r="D17" s="232"/>
      <c r="E17" s="232"/>
      <c r="F17" s="232"/>
      <c r="G17" s="232"/>
      <c r="H17" s="241"/>
      <c r="I17" s="232"/>
      <c r="J17" s="241"/>
      <c r="K17" s="44"/>
    </row>
    <row r="18" spans="1:11">
      <c r="A18" s="235"/>
      <c r="B18" s="232" t="s">
        <v>384</v>
      </c>
      <c r="C18" s="232"/>
      <c r="D18" s="232">
        <v>1</v>
      </c>
      <c r="E18" s="232">
        <v>5.38</v>
      </c>
      <c r="F18" s="232"/>
      <c r="G18" s="232"/>
      <c r="H18" s="241">
        <v>0.71020000000000005</v>
      </c>
      <c r="I18" s="232"/>
      <c r="J18" s="241">
        <f>D18*E18*H18</f>
        <v>3.8208760000000002</v>
      </c>
      <c r="K18" s="44"/>
    </row>
    <row r="19" spans="1:11">
      <c r="A19" s="235"/>
      <c r="B19" s="232" t="s">
        <v>385</v>
      </c>
      <c r="C19" s="232"/>
      <c r="D19" s="232"/>
      <c r="E19" s="232"/>
      <c r="F19" s="232"/>
      <c r="G19" s="232"/>
      <c r="H19" s="241"/>
      <c r="I19" s="232"/>
      <c r="J19" s="241"/>
      <c r="K19" s="44"/>
    </row>
    <row r="20" spans="1:11">
      <c r="A20" s="235"/>
      <c r="B20" s="232" t="s">
        <v>386</v>
      </c>
      <c r="C20" s="232"/>
      <c r="D20" s="232">
        <v>1</v>
      </c>
      <c r="E20" s="232">
        <v>5.38</v>
      </c>
      <c r="F20" s="232"/>
      <c r="G20" s="232"/>
      <c r="H20" s="241">
        <v>0.47589999999999999</v>
      </c>
      <c r="I20" s="232"/>
      <c r="J20" s="241">
        <f>D20*E20*H20</f>
        <v>2.5603419999999999</v>
      </c>
      <c r="K20" s="44"/>
    </row>
    <row r="21" spans="1:11">
      <c r="A21" s="235"/>
      <c r="B21" s="232" t="s">
        <v>387</v>
      </c>
      <c r="C21" s="232"/>
      <c r="D21" s="232">
        <v>1</v>
      </c>
      <c r="E21" s="232">
        <v>5.38</v>
      </c>
      <c r="F21" s="232"/>
      <c r="G21" s="232"/>
      <c r="H21" s="241">
        <v>0.41620000000000001</v>
      </c>
      <c r="I21" s="232"/>
      <c r="J21" s="241">
        <f>D21*E21*H21</f>
        <v>2.2391559999999999</v>
      </c>
      <c r="K21" s="44"/>
    </row>
    <row r="22" spans="1:11">
      <c r="A22" s="235"/>
      <c r="B22" s="232" t="s">
        <v>388</v>
      </c>
      <c r="C22" s="232"/>
      <c r="D22" s="232">
        <v>1</v>
      </c>
      <c r="E22" s="232">
        <v>5.38</v>
      </c>
      <c r="F22" s="232"/>
      <c r="G22" s="232"/>
      <c r="H22" s="241">
        <v>0.23169999999999999</v>
      </c>
      <c r="I22" s="232"/>
      <c r="J22" s="241">
        <f>D22*E22*H22</f>
        <v>1.2465459999999999</v>
      </c>
      <c r="K22" s="44"/>
    </row>
    <row r="23" spans="1:11">
      <c r="A23" s="235"/>
      <c r="B23" s="232"/>
      <c r="C23" s="232"/>
      <c r="D23" s="232"/>
      <c r="E23" s="232"/>
      <c r="F23" s="232"/>
      <c r="G23" s="232"/>
      <c r="H23" s="232"/>
      <c r="I23" s="232"/>
      <c r="J23" s="233">
        <f>SUM(J15:J22)</f>
        <v>21.361827999999999</v>
      </c>
      <c r="K23" s="44"/>
    </row>
    <row r="24" spans="1:11">
      <c r="A24" s="235"/>
      <c r="B24" s="232"/>
      <c r="C24" s="232"/>
      <c r="D24" s="232"/>
      <c r="E24" s="232"/>
      <c r="F24" s="232"/>
      <c r="G24" s="232"/>
      <c r="H24" s="232"/>
      <c r="I24" s="232"/>
      <c r="J24" s="232"/>
      <c r="K24" s="44"/>
    </row>
    <row r="25" spans="1:11" ht="17.399999999999999">
      <c r="A25" s="235">
        <v>1.4</v>
      </c>
      <c r="B25" s="231" t="s">
        <v>389</v>
      </c>
      <c r="C25" s="232" t="s">
        <v>339</v>
      </c>
      <c r="D25" s="232">
        <v>1</v>
      </c>
      <c r="E25" s="232">
        <v>5.38</v>
      </c>
      <c r="F25" s="232"/>
      <c r="G25" s="232"/>
      <c r="H25" s="241">
        <v>1.7978000000000001</v>
      </c>
      <c r="I25" s="232"/>
      <c r="J25" s="233">
        <f>D25*E25*H25</f>
        <v>9.6721640000000004</v>
      </c>
      <c r="K25" s="44"/>
    </row>
    <row r="26" spans="1:11">
      <c r="A26" s="235"/>
      <c r="B26" s="232"/>
      <c r="C26" s="232"/>
      <c r="D26" s="232"/>
      <c r="E26" s="232"/>
      <c r="F26" s="232"/>
      <c r="G26" s="232"/>
      <c r="H26" s="232"/>
      <c r="I26" s="232"/>
      <c r="J26" s="232"/>
      <c r="K26" s="44"/>
    </row>
    <row r="27" spans="1:11" ht="17.399999999999999">
      <c r="A27" s="235">
        <v>1.5</v>
      </c>
      <c r="B27" s="231" t="s">
        <v>101</v>
      </c>
      <c r="C27" s="232" t="s">
        <v>420</v>
      </c>
      <c r="D27" s="232"/>
      <c r="E27" s="232"/>
      <c r="F27" s="232"/>
      <c r="G27" s="232"/>
      <c r="H27" s="232"/>
      <c r="I27" s="232"/>
      <c r="J27" s="232"/>
      <c r="K27" s="44"/>
    </row>
    <row r="28" spans="1:11">
      <c r="A28" s="235"/>
      <c r="B28" s="232" t="s">
        <v>381</v>
      </c>
      <c r="C28" s="232"/>
      <c r="D28" s="232">
        <v>2</v>
      </c>
      <c r="E28" s="232">
        <v>5.38</v>
      </c>
      <c r="F28" s="232"/>
      <c r="G28" s="232">
        <f>(1.25+1.31)/2</f>
        <v>1.28</v>
      </c>
      <c r="H28" s="232"/>
      <c r="I28" s="232"/>
      <c r="J28" s="241">
        <f>D28*E28*G28</f>
        <v>13.7728</v>
      </c>
      <c r="K28" s="44"/>
    </row>
    <row r="29" spans="1:11">
      <c r="A29" s="235"/>
      <c r="B29" s="232"/>
      <c r="C29" s="232"/>
      <c r="D29" s="232">
        <v>2</v>
      </c>
      <c r="E29" s="232"/>
      <c r="F29" s="232"/>
      <c r="G29" s="232"/>
      <c r="H29" s="241">
        <f>H15</f>
        <v>1.2382</v>
      </c>
      <c r="I29" s="232"/>
      <c r="J29" s="241">
        <f>D29*H29</f>
        <v>2.4763999999999999</v>
      </c>
      <c r="K29" s="44"/>
    </row>
    <row r="30" spans="1:11">
      <c r="A30" s="235"/>
      <c r="B30" s="232" t="s">
        <v>382</v>
      </c>
      <c r="C30" s="232"/>
      <c r="D30" s="232">
        <v>2</v>
      </c>
      <c r="E30" s="232">
        <v>5.38</v>
      </c>
      <c r="F30" s="232"/>
      <c r="G30" s="232">
        <f>(1.25+1.31)/2</f>
        <v>1.28</v>
      </c>
      <c r="H30" s="241"/>
      <c r="I30" s="232"/>
      <c r="J30" s="241">
        <f>D30*E30*G30</f>
        <v>13.7728</v>
      </c>
      <c r="K30" s="44"/>
    </row>
    <row r="31" spans="1:11">
      <c r="A31" s="235"/>
      <c r="B31" s="232"/>
      <c r="C31" s="232"/>
      <c r="D31" s="232">
        <v>2</v>
      </c>
      <c r="E31" s="232"/>
      <c r="F31" s="232"/>
      <c r="G31" s="232"/>
      <c r="H31" s="241">
        <f>H16</f>
        <v>0.89839999999999998</v>
      </c>
      <c r="I31" s="232"/>
      <c r="J31" s="241">
        <f>D31*H31</f>
        <v>1.7968</v>
      </c>
      <c r="K31" s="44"/>
    </row>
    <row r="32" spans="1:11">
      <c r="A32" s="235"/>
      <c r="B32" s="232" t="s">
        <v>383</v>
      </c>
      <c r="C32" s="232"/>
      <c r="D32" s="275"/>
      <c r="E32" s="275"/>
      <c r="F32" s="275"/>
      <c r="G32" s="275"/>
      <c r="H32" s="288"/>
      <c r="I32" s="232"/>
      <c r="J32" s="232"/>
      <c r="K32" s="44"/>
    </row>
    <row r="33" spans="1:11">
      <c r="A33" s="235"/>
      <c r="B33" s="232" t="s">
        <v>384</v>
      </c>
      <c r="C33" s="232"/>
      <c r="D33" s="232">
        <v>2</v>
      </c>
      <c r="E33" s="232">
        <v>5.38</v>
      </c>
      <c r="F33" s="232"/>
      <c r="G33" s="232">
        <v>0.25</v>
      </c>
      <c r="H33" s="241"/>
      <c r="I33" s="232"/>
      <c r="J33" s="232">
        <f>D33*E33*G33</f>
        <v>2.69</v>
      </c>
      <c r="K33" s="44"/>
    </row>
    <row r="34" spans="1:11">
      <c r="A34" s="235"/>
      <c r="B34" s="232"/>
      <c r="C34" s="232"/>
      <c r="D34" s="232">
        <v>2</v>
      </c>
      <c r="E34" s="232"/>
      <c r="F34" s="232"/>
      <c r="G34" s="232"/>
      <c r="H34" s="241">
        <f>H18</f>
        <v>0.71020000000000005</v>
      </c>
      <c r="I34" s="232"/>
      <c r="J34" s="241">
        <f>D34*H34</f>
        <v>1.4204000000000001</v>
      </c>
      <c r="K34" s="44"/>
    </row>
    <row r="35" spans="1:11">
      <c r="A35" s="235"/>
      <c r="B35" s="232" t="s">
        <v>385</v>
      </c>
      <c r="C35" s="232"/>
      <c r="D35" s="232"/>
      <c r="E35" s="232"/>
      <c r="F35" s="232"/>
      <c r="G35" s="232"/>
      <c r="H35" s="241"/>
      <c r="I35" s="232"/>
      <c r="J35" s="232"/>
      <c r="K35" s="44"/>
    </row>
    <row r="36" spans="1:11">
      <c r="A36" s="235"/>
      <c r="B36" s="232" t="s">
        <v>386</v>
      </c>
      <c r="C36" s="232"/>
      <c r="D36" s="232">
        <v>2</v>
      </c>
      <c r="E36" s="232">
        <v>5.38</v>
      </c>
      <c r="F36" s="232"/>
      <c r="G36" s="232"/>
      <c r="H36" s="241"/>
      <c r="I36" s="241">
        <v>4.1532999999999998</v>
      </c>
      <c r="J36" s="241">
        <f>D36*E36*I36</f>
        <v>44.689507999999996</v>
      </c>
      <c r="K36" s="44"/>
    </row>
    <row r="37" spans="1:11">
      <c r="A37" s="235"/>
      <c r="B37" s="232"/>
      <c r="C37" s="232"/>
      <c r="D37" s="232">
        <v>2</v>
      </c>
      <c r="E37" s="232"/>
      <c r="F37" s="232"/>
      <c r="G37" s="232"/>
      <c r="H37" s="241">
        <f>H20</f>
        <v>0.47589999999999999</v>
      </c>
      <c r="I37" s="241"/>
      <c r="J37" s="241">
        <f>D37*H37</f>
        <v>0.95179999999999998</v>
      </c>
      <c r="K37" s="44"/>
    </row>
    <row r="38" spans="1:11">
      <c r="A38" s="235"/>
      <c r="B38" s="232" t="s">
        <v>387</v>
      </c>
      <c r="C38" s="232"/>
      <c r="D38" s="232">
        <v>2</v>
      </c>
      <c r="E38" s="232">
        <v>5.38</v>
      </c>
      <c r="F38" s="232"/>
      <c r="G38" s="232"/>
      <c r="H38" s="241"/>
      <c r="I38" s="241">
        <v>4.2835000000000001</v>
      </c>
      <c r="J38" s="241">
        <f>D38*E38*I38</f>
        <v>46.09046</v>
      </c>
      <c r="K38" s="44"/>
    </row>
    <row r="39" spans="1:11">
      <c r="A39" s="235"/>
      <c r="B39" s="232"/>
      <c r="C39" s="232"/>
      <c r="D39" s="232">
        <v>2</v>
      </c>
      <c r="E39" s="232"/>
      <c r="F39" s="232"/>
      <c r="G39" s="232"/>
      <c r="H39" s="241">
        <f>H21</f>
        <v>0.41620000000000001</v>
      </c>
      <c r="I39" s="232"/>
      <c r="J39" s="241">
        <f>D39*H39</f>
        <v>0.83240000000000003</v>
      </c>
      <c r="K39" s="44"/>
    </row>
    <row r="40" spans="1:11">
      <c r="A40" s="235"/>
      <c r="B40" s="232"/>
      <c r="C40" s="232"/>
      <c r="D40" s="232"/>
      <c r="E40" s="232"/>
      <c r="F40" s="232"/>
      <c r="G40" s="232"/>
      <c r="H40" s="232"/>
      <c r="I40" s="232"/>
      <c r="J40" s="232"/>
      <c r="K40" s="44"/>
    </row>
    <row r="41" spans="1:11">
      <c r="A41" s="235"/>
      <c r="B41" s="232" t="s">
        <v>388</v>
      </c>
      <c r="C41" s="232"/>
      <c r="D41" s="232">
        <v>2</v>
      </c>
      <c r="E41" s="232">
        <v>5.38</v>
      </c>
      <c r="F41" s="232"/>
      <c r="G41" s="232">
        <v>0.25</v>
      </c>
      <c r="H41" s="232"/>
      <c r="I41" s="232"/>
      <c r="J41" s="232">
        <f>D41*E41*G41</f>
        <v>2.69</v>
      </c>
      <c r="K41" s="44"/>
    </row>
    <row r="42" spans="1:11">
      <c r="A42" s="235"/>
      <c r="B42" s="232"/>
      <c r="C42" s="232"/>
      <c r="D42" s="232">
        <v>2</v>
      </c>
      <c r="E42" s="232"/>
      <c r="F42" s="232"/>
      <c r="G42" s="232"/>
      <c r="H42" s="241">
        <f>H22</f>
        <v>0.23169999999999999</v>
      </c>
      <c r="I42" s="232"/>
      <c r="J42" s="241">
        <f>D42*H42</f>
        <v>0.46339999999999998</v>
      </c>
      <c r="K42" s="44"/>
    </row>
    <row r="43" spans="1:11">
      <c r="A43" s="235"/>
      <c r="B43" s="232" t="s">
        <v>390</v>
      </c>
      <c r="C43" s="232"/>
      <c r="D43" s="232">
        <v>2</v>
      </c>
      <c r="E43" s="232"/>
      <c r="F43" s="232"/>
      <c r="G43" s="232"/>
      <c r="H43" s="241">
        <v>2.4154</v>
      </c>
      <c r="I43" s="232"/>
      <c r="J43" s="241">
        <f>D43*H43</f>
        <v>4.8308</v>
      </c>
      <c r="K43" s="44"/>
    </row>
    <row r="44" spans="1:11">
      <c r="A44" s="235"/>
      <c r="B44" s="232"/>
      <c r="C44" s="232"/>
      <c r="D44" s="232">
        <v>2</v>
      </c>
      <c r="E44" s="232">
        <v>5.38</v>
      </c>
      <c r="F44" s="232"/>
      <c r="G44" s="232">
        <v>0.85</v>
      </c>
      <c r="H44" s="232"/>
      <c r="I44" s="232"/>
      <c r="J44" s="241">
        <f>D44*E44*G44</f>
        <v>9.145999999999999</v>
      </c>
      <c r="K44" s="44"/>
    </row>
    <row r="45" spans="1:11">
      <c r="A45" s="235"/>
      <c r="B45" s="232"/>
      <c r="C45" s="232"/>
      <c r="D45" s="232"/>
      <c r="E45" s="232"/>
      <c r="F45" s="232"/>
      <c r="G45" s="232"/>
      <c r="H45" s="232"/>
      <c r="I45" s="232"/>
      <c r="J45" s="233">
        <f>SUM(J28:J44)</f>
        <v>145.62356800000001</v>
      </c>
      <c r="K45" s="44"/>
    </row>
    <row r="46" spans="1:11">
      <c r="A46" s="235"/>
      <c r="B46" s="232"/>
      <c r="C46" s="232"/>
      <c r="D46" s="232"/>
      <c r="E46" s="232"/>
      <c r="F46" s="232"/>
      <c r="G46" s="232"/>
      <c r="H46" s="232"/>
      <c r="I46" s="232"/>
      <c r="J46" s="232"/>
      <c r="K46" s="44"/>
    </row>
    <row r="47" spans="1:11">
      <c r="A47" s="235">
        <v>1.6</v>
      </c>
      <c r="B47" s="231" t="s">
        <v>24</v>
      </c>
      <c r="C47" s="232" t="s">
        <v>25</v>
      </c>
      <c r="D47" s="234"/>
      <c r="E47" s="232"/>
      <c r="F47" s="232"/>
      <c r="G47" s="232"/>
      <c r="H47" s="234" t="s">
        <v>443</v>
      </c>
      <c r="I47" s="232"/>
      <c r="J47" s="233">
        <f>((0.8/100)*J23*7850)/1000</f>
        <v>1.3415227984</v>
      </c>
      <c r="K47" s="44"/>
    </row>
    <row r="48" spans="1:11">
      <c r="A48" s="280"/>
      <c r="B48" s="276"/>
      <c r="C48" s="276"/>
      <c r="D48" s="276"/>
      <c r="E48" s="276"/>
      <c r="F48" s="276"/>
      <c r="G48" s="276"/>
      <c r="H48" s="276"/>
      <c r="I48" s="276"/>
      <c r="J48" s="276"/>
      <c r="K48" s="276"/>
    </row>
    <row r="49" spans="1:11">
      <c r="A49" s="281"/>
      <c r="B49" s="275"/>
      <c r="C49" s="275"/>
      <c r="D49" s="275"/>
      <c r="E49" s="275"/>
      <c r="F49" s="275"/>
      <c r="G49" s="275"/>
      <c r="H49" s="275"/>
      <c r="I49" s="275"/>
      <c r="J49" s="275"/>
    </row>
    <row r="50" spans="1:11">
      <c r="A50" s="235">
        <v>2</v>
      </c>
      <c r="B50" s="231" t="s">
        <v>391</v>
      </c>
      <c r="C50" s="232"/>
      <c r="D50" s="232"/>
      <c r="E50" s="232"/>
      <c r="F50" s="232"/>
      <c r="G50" s="232"/>
      <c r="H50" s="232"/>
      <c r="I50" s="232"/>
      <c r="J50" s="232"/>
      <c r="K50" s="44"/>
    </row>
    <row r="51" spans="1:11" ht="17.399999999999999">
      <c r="A51" s="235">
        <v>2.1</v>
      </c>
      <c r="B51" s="231" t="s">
        <v>313</v>
      </c>
      <c r="C51" s="232" t="s">
        <v>339</v>
      </c>
      <c r="D51" s="232">
        <v>1</v>
      </c>
      <c r="E51" s="232">
        <v>2.19</v>
      </c>
      <c r="F51" s="232"/>
      <c r="G51" s="232"/>
      <c r="H51" s="232">
        <v>9.0178999999999991</v>
      </c>
      <c r="I51" s="232"/>
      <c r="J51" s="233">
        <f>D51*E51*H51</f>
        <v>19.749200999999999</v>
      </c>
      <c r="K51" s="44"/>
    </row>
    <row r="52" spans="1:11">
      <c r="A52" s="235"/>
      <c r="B52" s="232"/>
      <c r="C52" s="232"/>
      <c r="D52" s="232"/>
      <c r="E52" s="232"/>
      <c r="F52" s="232"/>
      <c r="G52" s="232"/>
      <c r="H52" s="232"/>
      <c r="I52" s="232"/>
      <c r="J52" s="232"/>
      <c r="K52" s="44"/>
    </row>
    <row r="53" spans="1:11" ht="17.399999999999999">
      <c r="A53" s="235">
        <v>2.2000000000000002</v>
      </c>
      <c r="B53" s="231" t="s">
        <v>314</v>
      </c>
      <c r="C53" s="232" t="s">
        <v>339</v>
      </c>
      <c r="D53" s="232">
        <v>1</v>
      </c>
      <c r="E53" s="232">
        <f>E51</f>
        <v>2.19</v>
      </c>
      <c r="F53" s="241">
        <v>6.5556000000000001</v>
      </c>
      <c r="G53" s="232">
        <v>0.08</v>
      </c>
      <c r="H53" s="232"/>
      <c r="I53" s="232"/>
      <c r="J53" s="233">
        <f>D53*E53*F53*G53</f>
        <v>1.14854112</v>
      </c>
      <c r="K53" s="44"/>
    </row>
    <row r="54" spans="1:11">
      <c r="A54" s="235"/>
      <c r="B54" s="232"/>
      <c r="C54" s="232"/>
      <c r="D54" s="232"/>
      <c r="E54" s="232"/>
      <c r="F54" s="232"/>
      <c r="G54" s="232"/>
      <c r="H54" s="232"/>
      <c r="I54" s="232"/>
      <c r="J54" s="232"/>
      <c r="K54" s="44"/>
    </row>
    <row r="55" spans="1:11" ht="17.399999999999999">
      <c r="A55" s="235">
        <v>2.2999999999999998</v>
      </c>
      <c r="B55" s="231" t="s">
        <v>315</v>
      </c>
      <c r="C55" s="232" t="s">
        <v>339</v>
      </c>
      <c r="D55" s="232"/>
      <c r="E55" s="232"/>
      <c r="F55" s="232"/>
      <c r="G55" s="232"/>
      <c r="H55" s="232"/>
      <c r="I55" s="232"/>
      <c r="J55" s="232"/>
      <c r="K55" s="44"/>
    </row>
    <row r="56" spans="1:11">
      <c r="A56" s="235"/>
      <c r="B56" s="232" t="s">
        <v>392</v>
      </c>
      <c r="C56" s="232"/>
      <c r="D56" s="232">
        <v>1</v>
      </c>
      <c r="E56" s="232">
        <f>E51</f>
        <v>2.19</v>
      </c>
      <c r="F56" s="232"/>
      <c r="G56" s="232"/>
      <c r="H56" s="241">
        <v>1.3242</v>
      </c>
      <c r="I56" s="232"/>
      <c r="J56" s="241">
        <f>D56*E56*H56</f>
        <v>2.8999980000000001</v>
      </c>
      <c r="K56" s="44"/>
    </row>
    <row r="57" spans="1:11">
      <c r="A57" s="235"/>
      <c r="B57" s="232" t="s">
        <v>381</v>
      </c>
      <c r="C57" s="232"/>
      <c r="D57" s="232">
        <v>1</v>
      </c>
      <c r="E57" s="232">
        <v>3.28</v>
      </c>
      <c r="F57" s="232"/>
      <c r="G57" s="232"/>
      <c r="H57" s="241">
        <v>1.0156000000000001</v>
      </c>
      <c r="I57" s="232"/>
      <c r="J57" s="241">
        <f>D57*E57*H57</f>
        <v>3.3311679999999999</v>
      </c>
      <c r="K57" s="44"/>
    </row>
    <row r="58" spans="1:11">
      <c r="A58" s="235"/>
      <c r="B58" s="232" t="s">
        <v>382</v>
      </c>
      <c r="C58" s="232"/>
      <c r="D58" s="232">
        <v>1</v>
      </c>
      <c r="E58" s="232">
        <v>2.2000000000000002</v>
      </c>
      <c r="F58" s="232"/>
      <c r="G58" s="232"/>
      <c r="H58" s="241">
        <v>1.3593999999999999</v>
      </c>
      <c r="I58" s="232"/>
      <c r="J58" s="241">
        <f>D58*E58*H58</f>
        <v>2.9906800000000002</v>
      </c>
      <c r="K58" s="44"/>
    </row>
    <row r="59" spans="1:11">
      <c r="A59" s="235"/>
      <c r="B59" s="232" t="s">
        <v>393</v>
      </c>
      <c r="C59" s="232"/>
      <c r="D59" s="232"/>
      <c r="E59" s="232"/>
      <c r="F59" s="232"/>
      <c r="G59" s="232"/>
      <c r="H59" s="232"/>
      <c r="I59" s="232"/>
      <c r="J59" s="232"/>
      <c r="K59" s="44"/>
    </row>
    <row r="60" spans="1:11">
      <c r="A60" s="235"/>
      <c r="B60" s="232" t="s">
        <v>394</v>
      </c>
      <c r="C60" s="232"/>
      <c r="D60" s="232">
        <v>1</v>
      </c>
      <c r="E60" s="232">
        <v>0.7</v>
      </c>
      <c r="F60" s="232">
        <v>0.6</v>
      </c>
      <c r="G60" s="232">
        <v>1</v>
      </c>
      <c r="H60" s="232"/>
      <c r="I60" s="232"/>
      <c r="J60" s="232">
        <f>D60*E60*F60*G60</f>
        <v>0.42</v>
      </c>
      <c r="K60" s="44"/>
    </row>
    <row r="61" spans="1:11">
      <c r="A61" s="235"/>
      <c r="B61" s="232" t="s">
        <v>395</v>
      </c>
      <c r="C61" s="232"/>
      <c r="D61" s="232">
        <v>1</v>
      </c>
      <c r="E61" s="232">
        <v>0.7</v>
      </c>
      <c r="F61" s="232">
        <v>0.6</v>
      </c>
      <c r="G61" s="232">
        <v>1</v>
      </c>
      <c r="H61" s="232"/>
      <c r="I61" s="232"/>
      <c r="J61" s="232">
        <f>D61*E61*F61*G61</f>
        <v>0.42</v>
      </c>
      <c r="K61" s="44"/>
    </row>
    <row r="62" spans="1:11">
      <c r="A62" s="235"/>
      <c r="B62" s="232" t="s">
        <v>396</v>
      </c>
      <c r="C62" s="232"/>
      <c r="D62" s="232"/>
      <c r="E62" s="232"/>
      <c r="F62" s="232"/>
      <c r="G62" s="232"/>
      <c r="H62" s="232"/>
      <c r="I62" s="232"/>
      <c r="J62" s="232"/>
      <c r="K62" s="44"/>
    </row>
    <row r="63" spans="1:11">
      <c r="A63" s="235"/>
      <c r="B63" s="232" t="s">
        <v>394</v>
      </c>
      <c r="C63" s="232"/>
      <c r="D63" s="232">
        <v>1</v>
      </c>
      <c r="E63" s="232">
        <v>4.0199999999999996</v>
      </c>
      <c r="F63" s="232">
        <v>0.7</v>
      </c>
      <c r="G63" s="232">
        <v>1</v>
      </c>
      <c r="H63" s="232"/>
      <c r="I63" s="232"/>
      <c r="J63" s="241">
        <f>D63*E63*F63*G63</f>
        <v>2.8139999999999996</v>
      </c>
      <c r="K63" s="44"/>
    </row>
    <row r="64" spans="1:11">
      <c r="A64" s="235"/>
      <c r="B64" s="232" t="s">
        <v>395</v>
      </c>
      <c r="C64" s="232"/>
      <c r="D64" s="232">
        <v>1</v>
      </c>
      <c r="E64" s="232">
        <v>3.01</v>
      </c>
      <c r="F64" s="232">
        <v>0.7</v>
      </c>
      <c r="G64" s="232">
        <v>1</v>
      </c>
      <c r="H64" s="232"/>
      <c r="I64" s="232"/>
      <c r="J64" s="241">
        <f>D64*E64*F64*G64</f>
        <v>2.1069999999999998</v>
      </c>
      <c r="K64" s="44"/>
    </row>
    <row r="65" spans="1:11">
      <c r="A65" s="235"/>
      <c r="B65" s="232" t="s">
        <v>397</v>
      </c>
      <c r="C65" s="232"/>
      <c r="D65" s="232"/>
      <c r="E65" s="232"/>
      <c r="F65" s="232"/>
      <c r="G65" s="232"/>
      <c r="H65" s="232"/>
      <c r="I65" s="232"/>
      <c r="J65" s="241"/>
      <c r="K65" s="44"/>
    </row>
    <row r="66" spans="1:11">
      <c r="A66" s="235"/>
      <c r="B66" s="232" t="s">
        <v>398</v>
      </c>
      <c r="C66" s="232"/>
      <c r="D66" s="232">
        <v>1</v>
      </c>
      <c r="E66" s="232">
        <f>(0.8+0.7+0.7+0.2)</f>
        <v>2.4000000000000004</v>
      </c>
      <c r="F66" s="232">
        <v>0.6</v>
      </c>
      <c r="G66" s="232">
        <v>0.3</v>
      </c>
      <c r="H66" s="232"/>
      <c r="I66" s="232"/>
      <c r="J66" s="241">
        <f>D66*E66*F66*G66</f>
        <v>0.43200000000000005</v>
      </c>
      <c r="K66" s="44"/>
    </row>
    <row r="67" spans="1:11">
      <c r="A67" s="235"/>
      <c r="B67" s="232" t="s">
        <v>399</v>
      </c>
      <c r="C67" s="232"/>
      <c r="D67" s="232">
        <v>1</v>
      </c>
      <c r="E67" s="232">
        <v>2.97</v>
      </c>
      <c r="F67" s="232">
        <v>0.6</v>
      </c>
      <c r="G67" s="232">
        <v>0.3</v>
      </c>
      <c r="H67" s="232"/>
      <c r="I67" s="232"/>
      <c r="J67" s="241">
        <f>D67*E67*F67*G67</f>
        <v>0.53459999999999996</v>
      </c>
      <c r="K67" s="44"/>
    </row>
    <row r="68" spans="1:11">
      <c r="A68" s="235"/>
      <c r="B68" s="232"/>
      <c r="C68" s="232"/>
      <c r="D68" s="232"/>
      <c r="E68" s="232"/>
      <c r="F68" s="232"/>
      <c r="G68" s="232"/>
      <c r="H68" s="232"/>
      <c r="I68" s="232"/>
      <c r="J68" s="233">
        <f>SUM(J56:J67)</f>
        <v>15.949445999999998</v>
      </c>
      <c r="K68" s="44"/>
    </row>
    <row r="69" spans="1:11">
      <c r="A69" s="235"/>
      <c r="B69" s="232"/>
      <c r="C69" s="232"/>
      <c r="D69" s="232"/>
      <c r="E69" s="232"/>
      <c r="F69" s="232"/>
      <c r="G69" s="232"/>
      <c r="H69" s="232"/>
      <c r="I69" s="232"/>
      <c r="J69" s="232"/>
      <c r="K69" s="44"/>
    </row>
    <row r="70" spans="1:11" ht="17.399999999999999">
      <c r="A70" s="235">
        <v>2.4</v>
      </c>
      <c r="B70" s="231" t="s">
        <v>101</v>
      </c>
      <c r="C70" s="232" t="s">
        <v>420</v>
      </c>
      <c r="D70" s="232"/>
      <c r="E70" s="232"/>
      <c r="F70" s="232"/>
      <c r="G70" s="232"/>
      <c r="H70" s="232"/>
      <c r="I70" s="232"/>
      <c r="J70" s="232"/>
      <c r="K70" s="44"/>
    </row>
    <row r="71" spans="1:11">
      <c r="A71" s="235"/>
      <c r="B71" s="232" t="s">
        <v>392</v>
      </c>
      <c r="C71" s="232"/>
      <c r="D71" s="232">
        <v>2</v>
      </c>
      <c r="E71" s="232">
        <f>E56</f>
        <v>2.19</v>
      </c>
      <c r="F71" s="232"/>
      <c r="G71" s="232">
        <v>0.25</v>
      </c>
      <c r="H71" s="232"/>
      <c r="I71" s="232"/>
      <c r="J71" s="241">
        <f>D71*E71*G71</f>
        <v>1.095</v>
      </c>
      <c r="K71" s="44"/>
    </row>
    <row r="72" spans="1:11">
      <c r="A72" s="235"/>
      <c r="B72" s="232"/>
      <c r="C72" s="232"/>
      <c r="D72" s="232">
        <v>2</v>
      </c>
      <c r="E72" s="232"/>
      <c r="F72" s="232"/>
      <c r="G72" s="232"/>
      <c r="H72" s="241">
        <f>H56</f>
        <v>1.3242</v>
      </c>
      <c r="I72" s="232"/>
      <c r="J72" s="241">
        <f>D72*H72</f>
        <v>2.6484000000000001</v>
      </c>
      <c r="K72" s="44"/>
    </row>
    <row r="73" spans="1:11">
      <c r="A73" s="235"/>
      <c r="B73" s="232" t="s">
        <v>381</v>
      </c>
      <c r="C73" s="232"/>
      <c r="D73" s="232">
        <v>2</v>
      </c>
      <c r="E73" s="232">
        <f>E57</f>
        <v>3.28</v>
      </c>
      <c r="F73" s="232"/>
      <c r="G73" s="241">
        <f>(1.25+1.4)/2</f>
        <v>1.325</v>
      </c>
      <c r="H73" s="241"/>
      <c r="I73" s="232"/>
      <c r="J73" s="241">
        <f>D73*E73*G73</f>
        <v>8.6919999999999984</v>
      </c>
      <c r="K73" s="44"/>
    </row>
    <row r="74" spans="1:11">
      <c r="A74" s="235"/>
      <c r="B74" s="232"/>
      <c r="C74" s="232"/>
      <c r="D74" s="232">
        <v>2</v>
      </c>
      <c r="E74" s="232"/>
      <c r="F74" s="232"/>
      <c r="G74" s="241"/>
      <c r="H74" s="241">
        <f>H57</f>
        <v>1.0156000000000001</v>
      </c>
      <c r="I74" s="232"/>
      <c r="J74" s="241">
        <f>D74*H74</f>
        <v>2.0312000000000001</v>
      </c>
      <c r="K74" s="44"/>
    </row>
    <row r="75" spans="1:11">
      <c r="A75" s="235"/>
      <c r="B75" s="232" t="s">
        <v>382</v>
      </c>
      <c r="C75" s="232"/>
      <c r="D75" s="232">
        <v>2</v>
      </c>
      <c r="E75" s="232">
        <f>E58</f>
        <v>2.2000000000000002</v>
      </c>
      <c r="F75" s="232"/>
      <c r="G75" s="241">
        <f>(1.14+1.77)/2</f>
        <v>1.4550000000000001</v>
      </c>
      <c r="H75" s="241"/>
      <c r="I75" s="232"/>
      <c r="J75" s="241">
        <f>D75*E75*G75</f>
        <v>6.402000000000001</v>
      </c>
      <c r="K75" s="44"/>
    </row>
    <row r="76" spans="1:11">
      <c r="A76" s="235"/>
      <c r="B76" s="232"/>
      <c r="C76" s="232"/>
      <c r="D76" s="232">
        <v>2</v>
      </c>
      <c r="E76" s="232"/>
      <c r="F76" s="232"/>
      <c r="G76" s="232"/>
      <c r="H76" s="241">
        <f>H58</f>
        <v>1.3593999999999999</v>
      </c>
      <c r="I76" s="232"/>
      <c r="J76" s="241">
        <f>D76*H76</f>
        <v>2.7187999999999999</v>
      </c>
      <c r="K76" s="44"/>
    </row>
    <row r="77" spans="1:11">
      <c r="A77" s="235"/>
      <c r="B77" s="232" t="s">
        <v>393</v>
      </c>
      <c r="C77" s="232"/>
      <c r="D77" s="232"/>
      <c r="E77" s="232"/>
      <c r="F77" s="232"/>
      <c r="G77" s="232"/>
      <c r="H77" s="232"/>
      <c r="I77" s="232"/>
      <c r="J77" s="232"/>
      <c r="K77" s="44"/>
    </row>
    <row r="78" spans="1:11">
      <c r="A78" s="235"/>
      <c r="B78" s="232" t="s">
        <v>394</v>
      </c>
      <c r="C78" s="232"/>
      <c r="D78" s="232">
        <f>2*2</f>
        <v>4</v>
      </c>
      <c r="E78" s="232">
        <f>E60</f>
        <v>0.7</v>
      </c>
      <c r="F78" s="232"/>
      <c r="G78" s="232">
        <f>G60</f>
        <v>1</v>
      </c>
      <c r="H78" s="232"/>
      <c r="I78" s="232"/>
      <c r="J78" s="232">
        <f>D78*E78*G78</f>
        <v>2.8</v>
      </c>
      <c r="K78" s="44"/>
    </row>
    <row r="79" spans="1:11">
      <c r="A79" s="235"/>
      <c r="B79" s="232"/>
      <c r="C79" s="232"/>
      <c r="D79" s="232">
        <f>2*2</f>
        <v>4</v>
      </c>
      <c r="E79" s="232"/>
      <c r="F79" s="232">
        <f>F60</f>
        <v>0.6</v>
      </c>
      <c r="G79" s="232">
        <f>G60</f>
        <v>1</v>
      </c>
      <c r="H79" s="232"/>
      <c r="I79" s="232"/>
      <c r="J79" s="232">
        <f>D79*F79*G79</f>
        <v>2.4</v>
      </c>
      <c r="K79" s="44"/>
    </row>
    <row r="80" spans="1:11">
      <c r="A80" s="235"/>
      <c r="B80" s="232" t="s">
        <v>395</v>
      </c>
      <c r="C80" s="232"/>
      <c r="D80" s="232">
        <f>2*2</f>
        <v>4</v>
      </c>
      <c r="E80" s="232">
        <f>E61</f>
        <v>0.7</v>
      </c>
      <c r="F80" s="232"/>
      <c r="G80" s="232">
        <f>G61</f>
        <v>1</v>
      </c>
      <c r="H80" s="232"/>
      <c r="I80" s="232"/>
      <c r="J80" s="232">
        <f>D80*E80*G80</f>
        <v>2.8</v>
      </c>
      <c r="K80" s="44"/>
    </row>
    <row r="81" spans="1:11">
      <c r="A81" s="235"/>
      <c r="B81" s="232"/>
      <c r="C81" s="232"/>
      <c r="D81" s="232">
        <f>2*2</f>
        <v>4</v>
      </c>
      <c r="E81" s="232"/>
      <c r="F81" s="232">
        <f>F61</f>
        <v>0.6</v>
      </c>
      <c r="G81" s="232">
        <f>G61</f>
        <v>1</v>
      </c>
      <c r="H81" s="232"/>
      <c r="I81" s="232"/>
      <c r="J81" s="232">
        <f>D81*F81*G81</f>
        <v>2.4</v>
      </c>
      <c r="K81" s="44"/>
    </row>
    <row r="82" spans="1:11">
      <c r="A82" s="235"/>
      <c r="B82" s="232" t="s">
        <v>396</v>
      </c>
      <c r="C82" s="232"/>
      <c r="D82" s="232"/>
      <c r="E82" s="232"/>
      <c r="F82" s="232"/>
      <c r="G82" s="232"/>
      <c r="H82" s="232"/>
      <c r="I82" s="232"/>
      <c r="J82" s="232"/>
      <c r="K82" s="44"/>
    </row>
    <row r="83" spans="1:11">
      <c r="A83" s="235"/>
      <c r="B83" s="232" t="s">
        <v>394</v>
      </c>
      <c r="C83" s="232"/>
      <c r="D83" s="232">
        <f>2*2</f>
        <v>4</v>
      </c>
      <c r="E83" s="232">
        <f>E63</f>
        <v>4.0199999999999996</v>
      </c>
      <c r="F83" s="232"/>
      <c r="G83" s="232">
        <f>G63</f>
        <v>1</v>
      </c>
      <c r="H83" s="232"/>
      <c r="I83" s="232"/>
      <c r="J83" s="232">
        <f>D83*E83*G83</f>
        <v>16.079999999999998</v>
      </c>
      <c r="K83" s="44"/>
    </row>
    <row r="84" spans="1:11">
      <c r="A84" s="235"/>
      <c r="B84" s="232"/>
      <c r="C84" s="232"/>
      <c r="D84" s="232">
        <f>2*2</f>
        <v>4</v>
      </c>
      <c r="E84" s="232"/>
      <c r="F84" s="232">
        <f>F63</f>
        <v>0.7</v>
      </c>
      <c r="G84" s="232">
        <f>G63</f>
        <v>1</v>
      </c>
      <c r="H84" s="232"/>
      <c r="I84" s="232"/>
      <c r="J84" s="232">
        <f>D84*F84*G84</f>
        <v>2.8</v>
      </c>
      <c r="K84" s="44"/>
    </row>
    <row r="85" spans="1:11">
      <c r="A85" s="235"/>
      <c r="B85" s="232" t="s">
        <v>395</v>
      </c>
      <c r="C85" s="232"/>
      <c r="D85" s="232">
        <f>2*2</f>
        <v>4</v>
      </c>
      <c r="E85" s="232">
        <f>E64</f>
        <v>3.01</v>
      </c>
      <c r="F85" s="232"/>
      <c r="G85" s="232">
        <f>G64</f>
        <v>1</v>
      </c>
      <c r="H85" s="232"/>
      <c r="I85" s="232"/>
      <c r="J85" s="232">
        <f>D85*E85*G85</f>
        <v>12.04</v>
      </c>
      <c r="K85" s="44"/>
    </row>
    <row r="86" spans="1:11">
      <c r="A86" s="235"/>
      <c r="B86" s="232"/>
      <c r="C86" s="232"/>
      <c r="D86" s="232">
        <f>2*2</f>
        <v>4</v>
      </c>
      <c r="E86" s="232"/>
      <c r="F86" s="232">
        <f>F64</f>
        <v>0.7</v>
      </c>
      <c r="G86" s="232">
        <f>G64</f>
        <v>1</v>
      </c>
      <c r="H86" s="232"/>
      <c r="I86" s="232"/>
      <c r="J86" s="232">
        <f>D86*F86*G86</f>
        <v>2.8</v>
      </c>
      <c r="K86" s="44"/>
    </row>
    <row r="87" spans="1:11">
      <c r="A87" s="235"/>
      <c r="B87" s="232" t="s">
        <v>397</v>
      </c>
      <c r="C87" s="232"/>
      <c r="D87" s="232"/>
      <c r="E87" s="232"/>
      <c r="F87" s="232"/>
      <c r="G87" s="232"/>
      <c r="H87" s="232"/>
      <c r="I87" s="232"/>
      <c r="J87" s="232"/>
      <c r="K87" s="44"/>
    </row>
    <row r="88" spans="1:11">
      <c r="A88" s="235"/>
      <c r="B88" s="232" t="s">
        <v>398</v>
      </c>
      <c r="C88" s="232"/>
      <c r="D88" s="232">
        <v>2</v>
      </c>
      <c r="E88" s="232">
        <f>E66</f>
        <v>2.4000000000000004</v>
      </c>
      <c r="F88" s="232"/>
      <c r="G88" s="232">
        <f>G66</f>
        <v>0.3</v>
      </c>
      <c r="H88" s="232"/>
      <c r="I88" s="232"/>
      <c r="J88" s="232">
        <f>D88*E88*G88</f>
        <v>1.4400000000000002</v>
      </c>
      <c r="K88" s="44"/>
    </row>
    <row r="89" spans="1:11">
      <c r="A89" s="235"/>
      <c r="B89" s="232"/>
      <c r="C89" s="232"/>
      <c r="D89" s="232">
        <v>2</v>
      </c>
      <c r="E89" s="232"/>
      <c r="F89" s="232">
        <f>F66</f>
        <v>0.6</v>
      </c>
      <c r="G89" s="232">
        <f>G66</f>
        <v>0.3</v>
      </c>
      <c r="H89" s="232"/>
      <c r="I89" s="232"/>
      <c r="J89" s="232">
        <f>D89*F89*G89</f>
        <v>0.36</v>
      </c>
      <c r="K89" s="44"/>
    </row>
    <row r="90" spans="1:11">
      <c r="A90" s="235"/>
      <c r="B90" s="232" t="s">
        <v>399</v>
      </c>
      <c r="C90" s="232"/>
      <c r="D90" s="232">
        <v>2</v>
      </c>
      <c r="E90" s="232">
        <f>E67</f>
        <v>2.97</v>
      </c>
      <c r="F90" s="232"/>
      <c r="G90" s="232">
        <f>G67</f>
        <v>0.3</v>
      </c>
      <c r="H90" s="232"/>
      <c r="I90" s="232"/>
      <c r="J90" s="232">
        <f>D90*E90*G90</f>
        <v>1.782</v>
      </c>
      <c r="K90" s="44"/>
    </row>
    <row r="91" spans="1:11">
      <c r="A91" s="235"/>
      <c r="B91" s="231"/>
      <c r="C91" s="232"/>
      <c r="D91" s="232">
        <v>2</v>
      </c>
      <c r="E91" s="232"/>
      <c r="F91" s="232">
        <f>F67</f>
        <v>0.6</v>
      </c>
      <c r="G91" s="232">
        <f>G67</f>
        <v>0.3</v>
      </c>
      <c r="H91" s="232"/>
      <c r="I91" s="232"/>
      <c r="J91" s="232">
        <f>D91*F91*G91</f>
        <v>0.36</v>
      </c>
      <c r="K91" s="44"/>
    </row>
    <row r="92" spans="1:11">
      <c r="A92" s="235"/>
      <c r="B92" s="231"/>
      <c r="C92" s="232"/>
      <c r="D92" s="232"/>
      <c r="E92" s="232"/>
      <c r="F92" s="232"/>
      <c r="G92" s="232"/>
      <c r="H92" s="232"/>
      <c r="I92" s="232"/>
      <c r="J92" s="233">
        <f>SUM(J71:J91)</f>
        <v>71.649399999999986</v>
      </c>
      <c r="K92" s="44"/>
    </row>
    <row r="93" spans="1:11">
      <c r="A93" s="235"/>
      <c r="B93" s="232"/>
      <c r="C93" s="232"/>
      <c r="D93" s="232"/>
      <c r="E93" s="232"/>
      <c r="F93" s="232"/>
      <c r="G93" s="232"/>
      <c r="H93" s="232"/>
      <c r="I93" s="232"/>
      <c r="J93" s="232"/>
      <c r="K93" s="44"/>
    </row>
    <row r="94" spans="1:11">
      <c r="A94" s="235">
        <v>2.5</v>
      </c>
      <c r="B94" s="231" t="s">
        <v>24</v>
      </c>
      <c r="C94" s="232" t="s">
        <v>25</v>
      </c>
      <c r="D94" s="232"/>
      <c r="E94" s="232"/>
      <c r="F94" s="232"/>
      <c r="G94" s="232"/>
      <c r="H94" s="234" t="s">
        <v>444</v>
      </c>
      <c r="I94" s="232"/>
      <c r="J94" s="233">
        <f>(1%*J68*7850)/1000</f>
        <v>1.252031511</v>
      </c>
      <c r="K94" s="44"/>
    </row>
    <row r="95" spans="1:11">
      <c r="A95" s="280"/>
      <c r="B95" s="276"/>
      <c r="C95" s="276"/>
      <c r="D95" s="276"/>
      <c r="E95" s="276"/>
      <c r="F95" s="276"/>
      <c r="G95" s="276"/>
      <c r="H95" s="276"/>
      <c r="I95" s="276"/>
      <c r="J95" s="276"/>
      <c r="K95" s="276"/>
    </row>
    <row r="96" spans="1:11">
      <c r="A96" s="281"/>
      <c r="B96" s="275"/>
      <c r="C96" s="275"/>
      <c r="D96" s="275"/>
      <c r="E96" s="275"/>
      <c r="F96" s="275"/>
      <c r="G96" s="275"/>
      <c r="H96" s="275"/>
      <c r="I96" s="275"/>
      <c r="J96" s="275"/>
    </row>
    <row r="97" spans="1:11">
      <c r="A97" s="235">
        <v>3</v>
      </c>
      <c r="B97" s="231" t="s">
        <v>137</v>
      </c>
      <c r="C97" s="232"/>
      <c r="D97" s="232"/>
      <c r="E97" s="232"/>
      <c r="F97" s="232"/>
      <c r="G97" s="232"/>
      <c r="H97" s="232"/>
      <c r="I97" s="232"/>
      <c r="J97" s="232"/>
      <c r="K97" s="44"/>
    </row>
    <row r="98" spans="1:11" ht="17.399999999999999">
      <c r="A98" s="235">
        <v>3.1</v>
      </c>
      <c r="B98" s="231" t="s">
        <v>313</v>
      </c>
      <c r="C98" s="232" t="s">
        <v>339</v>
      </c>
      <c r="D98" s="232">
        <v>1</v>
      </c>
      <c r="E98" s="232"/>
      <c r="F98" s="232"/>
      <c r="G98" s="232"/>
      <c r="H98" s="232"/>
      <c r="I98" s="232"/>
      <c r="J98" s="241"/>
      <c r="K98" s="44"/>
    </row>
    <row r="99" spans="1:11">
      <c r="A99" s="235"/>
      <c r="B99" s="232" t="s">
        <v>400</v>
      </c>
      <c r="C99" s="232"/>
      <c r="D99" s="232"/>
      <c r="E99" s="232"/>
      <c r="F99" s="232"/>
      <c r="G99" s="232"/>
      <c r="H99" s="232"/>
      <c r="I99" s="232"/>
      <c r="J99" s="232"/>
      <c r="K99" s="44"/>
    </row>
    <row r="100" spans="1:11">
      <c r="A100" s="235"/>
      <c r="B100" s="232" t="s">
        <v>401</v>
      </c>
      <c r="C100" s="232"/>
      <c r="D100" s="232">
        <v>1</v>
      </c>
      <c r="E100" s="232">
        <v>16.23</v>
      </c>
      <c r="F100" s="232"/>
      <c r="G100" s="232"/>
      <c r="H100" s="241">
        <f>(0.614+0.3544)/2</f>
        <v>0.48419999999999996</v>
      </c>
      <c r="I100" s="232"/>
      <c r="J100" s="241">
        <f>D100*E100*H100</f>
        <v>7.8585659999999997</v>
      </c>
      <c r="K100" s="44"/>
    </row>
    <row r="101" spans="1:11">
      <c r="A101" s="235"/>
      <c r="B101" s="232" t="s">
        <v>335</v>
      </c>
      <c r="C101" s="232"/>
      <c r="D101" s="232">
        <v>1</v>
      </c>
      <c r="E101" s="232">
        <v>10</v>
      </c>
      <c r="F101" s="232"/>
      <c r="G101" s="232"/>
      <c r="H101" s="241">
        <f>(0.3544+0)/2</f>
        <v>0.1772</v>
      </c>
      <c r="I101" s="232"/>
      <c r="J101" s="241">
        <f>D101*E101*H101</f>
        <v>1.772</v>
      </c>
      <c r="K101" s="44"/>
    </row>
    <row r="102" spans="1:11">
      <c r="A102" s="235"/>
      <c r="B102" s="232" t="s">
        <v>402</v>
      </c>
      <c r="C102" s="232"/>
      <c r="D102" s="232">
        <v>1</v>
      </c>
      <c r="E102" s="232">
        <v>10.64</v>
      </c>
      <c r="F102" s="232"/>
      <c r="G102" s="232"/>
      <c r="H102" s="232">
        <v>0</v>
      </c>
      <c r="I102" s="232"/>
      <c r="J102" s="232">
        <f>D102*E102*H102</f>
        <v>0</v>
      </c>
      <c r="K102" s="44"/>
    </row>
    <row r="103" spans="1:11">
      <c r="A103" s="235"/>
      <c r="B103" s="232"/>
      <c r="C103" s="232"/>
      <c r="D103" s="232"/>
      <c r="E103" s="231">
        <f>SUM(E100:E102)</f>
        <v>36.870000000000005</v>
      </c>
      <c r="F103" s="232"/>
      <c r="G103" s="232"/>
      <c r="H103" s="232"/>
      <c r="I103" s="232"/>
      <c r="J103" s="233">
        <f>SUM(J100:J102)</f>
        <v>9.630566</v>
      </c>
      <c r="K103" s="44"/>
    </row>
    <row r="104" spans="1:11">
      <c r="A104" s="235"/>
      <c r="B104" s="232"/>
      <c r="C104" s="232"/>
      <c r="D104" s="232"/>
      <c r="E104" s="232"/>
      <c r="F104" s="232"/>
      <c r="G104" s="232"/>
      <c r="H104" s="232"/>
      <c r="I104" s="232"/>
      <c r="J104" s="232"/>
      <c r="K104" s="44"/>
    </row>
    <row r="105" spans="1:11" ht="17.399999999999999">
      <c r="A105" s="235">
        <v>3.2</v>
      </c>
      <c r="B105" s="231" t="s">
        <v>31</v>
      </c>
      <c r="C105" s="232" t="s">
        <v>339</v>
      </c>
      <c r="D105" s="232"/>
      <c r="E105" s="232"/>
      <c r="F105" s="232"/>
      <c r="G105" s="232"/>
      <c r="H105" s="232"/>
      <c r="I105" s="232"/>
      <c r="J105" s="232"/>
      <c r="K105" s="44"/>
    </row>
    <row r="106" spans="1:11">
      <c r="A106" s="235"/>
      <c r="B106" s="232" t="s">
        <v>400</v>
      </c>
      <c r="C106" s="232"/>
      <c r="D106" s="232"/>
      <c r="E106" s="232"/>
      <c r="F106" s="232"/>
      <c r="G106" s="232"/>
      <c r="H106" s="232"/>
      <c r="I106" s="232"/>
      <c r="J106" s="232"/>
      <c r="K106" s="44"/>
    </row>
    <row r="107" spans="1:11">
      <c r="A107" s="235"/>
      <c r="B107" s="232" t="s">
        <v>401</v>
      </c>
      <c r="C107" s="232"/>
      <c r="D107" s="232">
        <v>1</v>
      </c>
      <c r="E107" s="232">
        <f>E100</f>
        <v>16.23</v>
      </c>
      <c r="F107" s="232"/>
      <c r="G107" s="232"/>
      <c r="H107" s="241">
        <f>(3.0318+2.0679)/2</f>
        <v>2.5498500000000002</v>
      </c>
      <c r="I107" s="232"/>
      <c r="J107" s="241">
        <f>D107*E107*H107</f>
        <v>41.384065500000005</v>
      </c>
      <c r="K107" s="44"/>
    </row>
    <row r="108" spans="1:11">
      <c r="A108" s="235"/>
      <c r="B108" s="232" t="s">
        <v>335</v>
      </c>
      <c r="C108" s="232"/>
      <c r="D108" s="232">
        <v>1</v>
      </c>
      <c r="E108" s="232">
        <f>E101</f>
        <v>10</v>
      </c>
      <c r="F108" s="232"/>
      <c r="G108" s="232"/>
      <c r="H108" s="241">
        <f>(2.0679+5.3694)/2</f>
        <v>3.7186499999999998</v>
      </c>
      <c r="I108" s="232"/>
      <c r="J108" s="241">
        <f>D108*E108*H108</f>
        <v>37.186499999999995</v>
      </c>
      <c r="K108" s="44"/>
    </row>
    <row r="109" spans="1:11">
      <c r="A109" s="235"/>
      <c r="B109" s="232" t="s">
        <v>402</v>
      </c>
      <c r="C109" s="232"/>
      <c r="D109" s="232">
        <v>1</v>
      </c>
      <c r="E109" s="232">
        <f>E102</f>
        <v>10.64</v>
      </c>
      <c r="F109" s="232"/>
      <c r="G109" s="232"/>
      <c r="H109" s="241">
        <f>(5.3694+10.2683)/2</f>
        <v>7.8188499999999994</v>
      </c>
      <c r="I109" s="232"/>
      <c r="J109" s="241">
        <f>D109*E109*H109</f>
        <v>83.192564000000004</v>
      </c>
      <c r="K109" s="44"/>
    </row>
    <row r="110" spans="1:11">
      <c r="A110" s="235"/>
      <c r="B110" s="232"/>
      <c r="C110" s="232"/>
      <c r="D110" s="232"/>
      <c r="E110" s="231">
        <f>SUM(E107:E109)</f>
        <v>36.870000000000005</v>
      </c>
      <c r="F110" s="232"/>
      <c r="G110" s="232"/>
      <c r="H110" s="232"/>
      <c r="I110" s="232"/>
      <c r="J110" s="233">
        <f>SUM(J107:J109)</f>
        <v>161.76312949999999</v>
      </c>
      <c r="K110" s="44"/>
    </row>
    <row r="111" spans="1:11">
      <c r="A111" s="235"/>
      <c r="B111" s="232"/>
      <c r="C111" s="232"/>
      <c r="D111" s="232"/>
      <c r="E111" s="232"/>
      <c r="F111" s="232"/>
      <c r="G111" s="232"/>
      <c r="H111" s="232"/>
      <c r="I111" s="232"/>
      <c r="J111" s="232"/>
      <c r="K111" s="44"/>
    </row>
    <row r="112" spans="1:11" ht="17.399999999999999">
      <c r="A112" s="235">
        <v>3.2</v>
      </c>
      <c r="B112" s="231" t="s">
        <v>314</v>
      </c>
      <c r="C112" s="232" t="s">
        <v>339</v>
      </c>
      <c r="D112" s="232">
        <v>1</v>
      </c>
      <c r="E112" s="232">
        <f>E103</f>
        <v>36.870000000000005</v>
      </c>
      <c r="F112" s="232">
        <v>1.1000000000000001</v>
      </c>
      <c r="G112" s="232">
        <v>0.08</v>
      </c>
      <c r="H112" s="232"/>
      <c r="I112" s="232"/>
      <c r="J112" s="233">
        <f>D112*E112*F112*G112</f>
        <v>3.2445600000000008</v>
      </c>
      <c r="K112" s="44"/>
    </row>
    <row r="113" spans="1:11">
      <c r="A113" s="235"/>
      <c r="B113" s="232"/>
      <c r="C113" s="232"/>
      <c r="D113" s="232"/>
      <c r="E113" s="232"/>
      <c r="F113" s="232"/>
      <c r="G113" s="232"/>
      <c r="H113" s="232"/>
      <c r="I113" s="232"/>
      <c r="J113" s="232"/>
      <c r="K113" s="44"/>
    </row>
    <row r="114" spans="1:11" ht="17.399999999999999">
      <c r="A114" s="235">
        <v>3.3</v>
      </c>
      <c r="B114" s="231" t="s">
        <v>315</v>
      </c>
      <c r="C114" s="232" t="s">
        <v>339</v>
      </c>
      <c r="D114" s="232"/>
      <c r="E114" s="232"/>
      <c r="F114" s="232"/>
      <c r="G114" s="232"/>
      <c r="H114" s="232"/>
      <c r="I114" s="232"/>
      <c r="J114" s="232"/>
      <c r="K114" s="44"/>
    </row>
    <row r="115" spans="1:11">
      <c r="A115" s="235"/>
      <c r="B115" s="232" t="s">
        <v>392</v>
      </c>
      <c r="C115" s="232"/>
      <c r="D115" s="232">
        <v>1</v>
      </c>
      <c r="E115" s="232">
        <f>E103</f>
        <v>36.870000000000005</v>
      </c>
      <c r="F115" s="232">
        <v>1.1000000000000001</v>
      </c>
      <c r="G115" s="232">
        <v>0.25</v>
      </c>
      <c r="H115" s="232"/>
      <c r="I115" s="232"/>
      <c r="J115" s="241">
        <f>D115*E115*F115*G115</f>
        <v>10.139250000000002</v>
      </c>
      <c r="K115" s="44"/>
    </row>
    <row r="116" spans="1:11">
      <c r="A116" s="235"/>
      <c r="B116" s="232" t="s">
        <v>403</v>
      </c>
      <c r="C116" s="232"/>
      <c r="D116" s="232">
        <v>2</v>
      </c>
      <c r="E116" s="232">
        <f>E103</f>
        <v>36.870000000000005</v>
      </c>
      <c r="F116" s="232">
        <v>0.25</v>
      </c>
      <c r="G116" s="232">
        <v>0.8</v>
      </c>
      <c r="H116" s="232"/>
      <c r="I116" s="232"/>
      <c r="J116" s="241">
        <f>D116*E116*F116*G116</f>
        <v>14.748000000000003</v>
      </c>
      <c r="K116" s="44"/>
    </row>
    <row r="117" spans="1:11">
      <c r="A117" s="235"/>
      <c r="B117" s="232"/>
      <c r="C117" s="232"/>
      <c r="D117" s="232"/>
      <c r="E117" s="232"/>
      <c r="F117" s="232"/>
      <c r="G117" s="232"/>
      <c r="H117" s="232"/>
      <c r="I117" s="232"/>
      <c r="J117" s="233">
        <f>SUM(J115:J116)</f>
        <v>24.887250000000005</v>
      </c>
      <c r="K117" s="44"/>
    </row>
    <row r="118" spans="1:11">
      <c r="A118" s="235"/>
      <c r="B118" s="232"/>
      <c r="C118" s="232"/>
      <c r="D118" s="232"/>
      <c r="E118" s="232"/>
      <c r="F118" s="232"/>
      <c r="G118" s="232"/>
      <c r="H118" s="232"/>
      <c r="I118" s="232"/>
      <c r="J118" s="232"/>
      <c r="K118" s="44"/>
    </row>
    <row r="119" spans="1:11" ht="17.399999999999999">
      <c r="A119" s="235">
        <v>3.4</v>
      </c>
      <c r="B119" s="231" t="s">
        <v>101</v>
      </c>
      <c r="C119" s="232" t="s">
        <v>420</v>
      </c>
      <c r="D119" s="232"/>
      <c r="E119" s="232"/>
      <c r="F119" s="232"/>
      <c r="G119" s="232"/>
      <c r="H119" s="232"/>
      <c r="I119" s="232"/>
      <c r="J119" s="232"/>
      <c r="K119" s="44"/>
    </row>
    <row r="120" spans="1:11">
      <c r="A120" s="235"/>
      <c r="B120" s="232" t="s">
        <v>384</v>
      </c>
      <c r="C120" s="232"/>
      <c r="D120" s="232">
        <v>2</v>
      </c>
      <c r="E120" s="232">
        <f>E115</f>
        <v>36.870000000000005</v>
      </c>
      <c r="F120" s="232"/>
      <c r="G120" s="232">
        <v>0.25</v>
      </c>
      <c r="H120" s="232"/>
      <c r="I120" s="232"/>
      <c r="J120" s="241">
        <f>D120*E120*G120</f>
        <v>18.435000000000002</v>
      </c>
      <c r="K120" s="44"/>
    </row>
    <row r="121" spans="1:11">
      <c r="A121" s="235"/>
      <c r="B121" s="232"/>
      <c r="C121" s="232"/>
      <c r="D121" s="232">
        <v>2</v>
      </c>
      <c r="E121" s="232"/>
      <c r="F121" s="232">
        <v>1.1000000000000001</v>
      </c>
      <c r="G121" s="232">
        <v>0.25</v>
      </c>
      <c r="H121" s="232"/>
      <c r="I121" s="232"/>
      <c r="J121" s="232">
        <f>D121*F121*G121</f>
        <v>0.55000000000000004</v>
      </c>
      <c r="K121" s="44"/>
    </row>
    <row r="122" spans="1:11">
      <c r="A122" s="235"/>
      <c r="B122" s="232" t="s">
        <v>404</v>
      </c>
      <c r="C122" s="232"/>
      <c r="D122" s="232">
        <f>(2*2)</f>
        <v>4</v>
      </c>
      <c r="E122" s="232">
        <f>E116</f>
        <v>36.870000000000005</v>
      </c>
      <c r="F122" s="232"/>
      <c r="G122" s="232">
        <v>0.8</v>
      </c>
      <c r="H122" s="232"/>
      <c r="I122" s="232"/>
      <c r="J122" s="241">
        <f>D122*E122*G122</f>
        <v>117.98400000000002</v>
      </c>
      <c r="K122" s="44"/>
    </row>
    <row r="123" spans="1:11">
      <c r="A123" s="235"/>
      <c r="B123" s="232"/>
      <c r="C123" s="232"/>
      <c r="D123" s="232">
        <f>2*2</f>
        <v>4</v>
      </c>
      <c r="E123" s="232"/>
      <c r="F123" s="232">
        <v>0.25</v>
      </c>
      <c r="G123" s="232">
        <v>0.8</v>
      </c>
      <c r="H123" s="232"/>
      <c r="I123" s="232"/>
      <c r="J123" s="232">
        <f>D123*F123*G123</f>
        <v>0.8</v>
      </c>
      <c r="K123" s="44"/>
    </row>
    <row r="124" spans="1:11">
      <c r="A124" s="235"/>
      <c r="B124" s="232"/>
      <c r="C124" s="232"/>
      <c r="D124" s="232"/>
      <c r="E124" s="232"/>
      <c r="F124" s="232"/>
      <c r="G124" s="232"/>
      <c r="H124" s="232"/>
      <c r="I124" s="232"/>
      <c r="J124" s="233">
        <f>SUM(J120:J123)</f>
        <v>137.76900000000003</v>
      </c>
      <c r="K124" s="44"/>
    </row>
    <row r="125" spans="1:11">
      <c r="A125" s="235"/>
      <c r="B125" s="232"/>
      <c r="C125" s="232"/>
      <c r="D125" s="232"/>
      <c r="E125" s="232"/>
      <c r="F125" s="232"/>
      <c r="G125" s="232"/>
      <c r="H125" s="232"/>
      <c r="I125" s="232"/>
      <c r="J125" s="232"/>
      <c r="K125" s="44"/>
    </row>
    <row r="126" spans="1:11">
      <c r="A126" s="235"/>
      <c r="B126" s="232"/>
      <c r="C126" s="232"/>
      <c r="D126" s="232"/>
      <c r="E126" s="232"/>
      <c r="F126" s="232"/>
      <c r="G126" s="232"/>
      <c r="H126" s="232"/>
      <c r="I126" s="232"/>
      <c r="J126" s="232"/>
      <c r="K126" s="44"/>
    </row>
    <row r="127" spans="1:11">
      <c r="A127" s="235">
        <v>3.5</v>
      </c>
      <c r="B127" s="231" t="s">
        <v>24</v>
      </c>
      <c r="C127" s="232" t="s">
        <v>25</v>
      </c>
      <c r="D127" s="234"/>
      <c r="E127" s="232"/>
      <c r="F127" s="232"/>
      <c r="G127" s="232"/>
      <c r="H127" s="234" t="s">
        <v>405</v>
      </c>
      <c r="I127" s="232"/>
      <c r="J127" s="233">
        <f>(0.8%*J117*7850)/1000</f>
        <v>1.5629193000000006</v>
      </c>
      <c r="K127" s="44"/>
    </row>
    <row r="128" spans="1:11">
      <c r="A128" s="280"/>
      <c r="B128" s="276"/>
      <c r="C128" s="276"/>
      <c r="D128" s="276"/>
      <c r="E128" s="276"/>
      <c r="F128" s="276"/>
      <c r="G128" s="276"/>
      <c r="H128" s="276"/>
      <c r="I128" s="276"/>
      <c r="J128" s="276"/>
      <c r="K128" s="276"/>
    </row>
    <row r="129" spans="1:11">
      <c r="A129" s="281"/>
      <c r="B129" s="275"/>
      <c r="C129" s="275"/>
      <c r="D129" s="275"/>
      <c r="E129" s="275"/>
      <c r="F129" s="275"/>
      <c r="G129" s="275"/>
      <c r="H129" s="275"/>
      <c r="I129" s="275"/>
      <c r="J129" s="275"/>
    </row>
    <row r="130" spans="1:11">
      <c r="A130" s="235">
        <v>4</v>
      </c>
      <c r="B130" s="231" t="s">
        <v>406</v>
      </c>
      <c r="C130" s="232"/>
      <c r="D130" s="232"/>
      <c r="E130" s="232"/>
      <c r="F130" s="232"/>
      <c r="G130" s="232"/>
      <c r="H130" s="232"/>
      <c r="I130" s="232"/>
      <c r="J130" s="232"/>
      <c r="K130" s="44"/>
    </row>
    <row r="131" spans="1:11" ht="17.399999999999999">
      <c r="A131" s="235">
        <v>4.0999999999999996</v>
      </c>
      <c r="B131" s="231" t="s">
        <v>313</v>
      </c>
      <c r="C131" s="232" t="s">
        <v>339</v>
      </c>
      <c r="D131" s="232"/>
      <c r="E131" s="232"/>
      <c r="F131" s="232"/>
      <c r="G131" s="232"/>
      <c r="H131" s="232"/>
      <c r="I131" s="232"/>
      <c r="J131" s="232"/>
      <c r="K131" s="44"/>
    </row>
    <row r="132" spans="1:11">
      <c r="A132" s="235"/>
      <c r="B132" s="232" t="s">
        <v>407</v>
      </c>
      <c r="C132" s="232"/>
      <c r="D132" s="232">
        <v>1</v>
      </c>
      <c r="E132" s="232">
        <v>5.57</v>
      </c>
      <c r="F132" s="232"/>
      <c r="G132" s="232"/>
      <c r="H132" s="232">
        <v>0</v>
      </c>
      <c r="I132" s="232"/>
      <c r="J132" s="241">
        <f>D132*E132*H132</f>
        <v>0</v>
      </c>
      <c r="K132" s="44"/>
    </row>
    <row r="133" spans="1:11">
      <c r="A133" s="235"/>
      <c r="B133" s="232" t="s">
        <v>383</v>
      </c>
      <c r="C133" s="232"/>
      <c r="D133" s="232">
        <v>1</v>
      </c>
      <c r="E133" s="232">
        <v>15.5</v>
      </c>
      <c r="F133" s="232"/>
      <c r="G133" s="232"/>
      <c r="H133" s="241">
        <v>0.127</v>
      </c>
      <c r="I133" s="232"/>
      <c r="J133" s="241">
        <f>D133*E133*H133</f>
        <v>1.9685000000000001</v>
      </c>
      <c r="K133" s="44"/>
    </row>
    <row r="134" spans="1:11">
      <c r="A134" s="235"/>
      <c r="B134" s="232" t="s">
        <v>408</v>
      </c>
      <c r="C134" s="232"/>
      <c r="D134" s="232">
        <v>1</v>
      </c>
      <c r="E134" s="232">
        <v>6</v>
      </c>
      <c r="F134" s="232"/>
      <c r="G134" s="232"/>
      <c r="H134" s="241">
        <v>0.80030000000000001</v>
      </c>
      <c r="I134" s="232"/>
      <c r="J134" s="241">
        <f>D134*E134*H134</f>
        <v>4.8018000000000001</v>
      </c>
      <c r="K134" s="44"/>
    </row>
    <row r="135" spans="1:11">
      <c r="A135" s="235"/>
      <c r="B135" s="232" t="s">
        <v>409</v>
      </c>
      <c r="C135" s="232"/>
      <c r="D135" s="232">
        <v>1</v>
      </c>
      <c r="E135" s="232">
        <v>16.420000000000002</v>
      </c>
      <c r="F135" s="232"/>
      <c r="G135" s="232"/>
      <c r="H135" s="241">
        <v>2.8729</v>
      </c>
      <c r="I135" s="232"/>
      <c r="J135" s="241">
        <f>D135*E135*H135</f>
        <v>47.173018000000006</v>
      </c>
      <c r="K135" s="44"/>
    </row>
    <row r="136" spans="1:11">
      <c r="A136" s="235"/>
      <c r="B136" s="232"/>
      <c r="C136" s="232"/>
      <c r="D136" s="232"/>
      <c r="E136" s="232"/>
      <c r="F136" s="232"/>
      <c r="G136" s="232"/>
      <c r="H136" s="232"/>
      <c r="I136" s="232"/>
      <c r="J136" s="233">
        <f>SUM(J132:J135)</f>
        <v>53.943318000000005</v>
      </c>
      <c r="K136" s="44"/>
    </row>
    <row r="137" spans="1:11">
      <c r="A137" s="235"/>
      <c r="B137" s="232"/>
      <c r="C137" s="232"/>
      <c r="D137" s="232"/>
      <c r="E137" s="232"/>
      <c r="F137" s="232"/>
      <c r="G137" s="232"/>
      <c r="H137" s="232"/>
      <c r="I137" s="232"/>
      <c r="J137" s="233"/>
      <c r="K137" s="44"/>
    </row>
    <row r="138" spans="1:11" ht="17.399999999999999">
      <c r="A138" s="235">
        <v>4.2</v>
      </c>
      <c r="B138" s="231" t="s">
        <v>31</v>
      </c>
      <c r="C138" s="232" t="s">
        <v>339</v>
      </c>
      <c r="D138" s="232"/>
      <c r="E138" s="232"/>
      <c r="F138" s="232"/>
      <c r="G138" s="232"/>
      <c r="H138" s="232"/>
      <c r="I138" s="232"/>
      <c r="J138" s="233"/>
      <c r="K138" s="44"/>
    </row>
    <row r="139" spans="1:11">
      <c r="A139" s="235"/>
      <c r="B139" s="232" t="s">
        <v>407</v>
      </c>
      <c r="C139" s="232"/>
      <c r="D139" s="232">
        <v>1</v>
      </c>
      <c r="E139" s="232">
        <f>E132</f>
        <v>5.57</v>
      </c>
      <c r="F139" s="232"/>
      <c r="G139" s="232"/>
      <c r="H139" s="241">
        <v>13.359299999999999</v>
      </c>
      <c r="I139" s="232"/>
      <c r="J139" s="241">
        <f>D139*E139*H139</f>
        <v>74.411300999999995</v>
      </c>
      <c r="K139" s="44"/>
    </row>
    <row r="140" spans="1:11">
      <c r="A140" s="235"/>
      <c r="B140" s="232" t="s">
        <v>383</v>
      </c>
      <c r="C140" s="232"/>
      <c r="D140" s="232">
        <v>1</v>
      </c>
      <c r="E140" s="232">
        <f>E133</f>
        <v>15.5</v>
      </c>
      <c r="F140" s="232"/>
      <c r="G140" s="232"/>
      <c r="H140" s="232">
        <v>15.23</v>
      </c>
      <c r="I140" s="232"/>
      <c r="J140" s="241">
        <f>D140*E140*H140</f>
        <v>236.065</v>
      </c>
      <c r="K140" s="44"/>
    </row>
    <row r="141" spans="1:11">
      <c r="A141" s="235"/>
      <c r="B141" s="232" t="s">
        <v>408</v>
      </c>
      <c r="C141" s="232"/>
      <c r="D141" s="232">
        <v>1</v>
      </c>
      <c r="E141" s="232">
        <f>E134</f>
        <v>6</v>
      </c>
      <c r="F141" s="232"/>
      <c r="G141" s="232"/>
      <c r="H141" s="241">
        <v>15.9931</v>
      </c>
      <c r="I141" s="232"/>
      <c r="J141" s="241">
        <f>D141*E141*H141</f>
        <v>95.958600000000004</v>
      </c>
      <c r="K141" s="44"/>
    </row>
    <row r="142" spans="1:11">
      <c r="A142" s="235"/>
      <c r="B142" s="232" t="s">
        <v>409</v>
      </c>
      <c r="C142" s="232"/>
      <c r="D142" s="232">
        <v>1</v>
      </c>
      <c r="E142" s="232">
        <f>E135</f>
        <v>16.420000000000002</v>
      </c>
      <c r="F142" s="232"/>
      <c r="G142" s="232"/>
      <c r="H142" s="241">
        <v>1.2350000000000001</v>
      </c>
      <c r="I142" s="232"/>
      <c r="J142" s="241">
        <f>D142*E142*H142</f>
        <v>20.278700000000004</v>
      </c>
      <c r="K142" s="44"/>
    </row>
    <row r="143" spans="1:11">
      <c r="A143" s="235"/>
      <c r="B143" s="232"/>
      <c r="C143" s="232"/>
      <c r="D143" s="232"/>
      <c r="E143" s="232"/>
      <c r="F143" s="232"/>
      <c r="G143" s="232"/>
      <c r="H143" s="232"/>
      <c r="I143" s="232"/>
      <c r="J143" s="233">
        <f>SUM(J139:J142)</f>
        <v>426.71360099999998</v>
      </c>
      <c r="K143" s="44"/>
    </row>
    <row r="144" spans="1:11">
      <c r="A144" s="235"/>
      <c r="B144" s="232"/>
      <c r="C144" s="232"/>
      <c r="D144" s="232"/>
      <c r="E144" s="232"/>
      <c r="F144" s="232"/>
      <c r="G144" s="232"/>
      <c r="H144" s="232"/>
      <c r="I144" s="232"/>
      <c r="J144" s="233"/>
      <c r="K144" s="44"/>
    </row>
    <row r="145" spans="1:11" ht="17.399999999999999">
      <c r="A145" s="235">
        <v>4.2</v>
      </c>
      <c r="B145" s="231" t="s">
        <v>314</v>
      </c>
      <c r="C145" s="232" t="s">
        <v>339</v>
      </c>
      <c r="D145" s="232"/>
      <c r="E145" s="232"/>
      <c r="F145" s="232"/>
      <c r="G145" s="232"/>
      <c r="H145" s="232"/>
      <c r="I145" s="232"/>
      <c r="J145" s="232"/>
      <c r="K145" s="44"/>
    </row>
    <row r="146" spans="1:11">
      <c r="A146" s="235"/>
      <c r="B146" s="232" t="s">
        <v>407</v>
      </c>
      <c r="C146" s="232"/>
      <c r="D146" s="232">
        <v>1</v>
      </c>
      <c r="E146" s="232">
        <f>E132</f>
        <v>5.57</v>
      </c>
      <c r="F146" s="232">
        <v>2.2200000000000002</v>
      </c>
      <c r="G146" s="232">
        <v>0.08</v>
      </c>
      <c r="H146" s="232"/>
      <c r="I146" s="232"/>
      <c r="J146" s="241">
        <f>D146*E146*F146*G146</f>
        <v>0.98923200000000011</v>
      </c>
      <c r="K146" s="44"/>
    </row>
    <row r="147" spans="1:11">
      <c r="A147" s="235"/>
      <c r="B147" s="232" t="s">
        <v>383</v>
      </c>
      <c r="C147" s="232"/>
      <c r="D147" s="232">
        <v>1</v>
      </c>
      <c r="E147" s="232">
        <f>E133</f>
        <v>15.5</v>
      </c>
      <c r="F147" s="232">
        <v>3.5</v>
      </c>
      <c r="G147" s="232">
        <v>0.08</v>
      </c>
      <c r="H147" s="232"/>
      <c r="I147" s="232"/>
      <c r="J147" s="232">
        <f>D147*E147*F147*G147</f>
        <v>4.34</v>
      </c>
      <c r="K147" s="44"/>
    </row>
    <row r="148" spans="1:11">
      <c r="A148" s="235"/>
      <c r="B148" s="232" t="s">
        <v>408</v>
      </c>
      <c r="C148" s="232"/>
      <c r="D148" s="232">
        <v>1</v>
      </c>
      <c r="E148" s="232">
        <f>E134</f>
        <v>6</v>
      </c>
      <c r="F148" s="232">
        <v>3</v>
      </c>
      <c r="G148" s="232">
        <v>0.08</v>
      </c>
      <c r="H148" s="232"/>
      <c r="I148" s="232"/>
      <c r="J148" s="241">
        <f>D148*E148*F148*G148</f>
        <v>1.44</v>
      </c>
      <c r="K148" s="44"/>
    </row>
    <row r="149" spans="1:11">
      <c r="A149" s="235"/>
      <c r="B149" s="232" t="s">
        <v>410</v>
      </c>
      <c r="C149" s="232"/>
      <c r="D149" s="232">
        <v>1</v>
      </c>
      <c r="E149" s="232">
        <v>0.5</v>
      </c>
      <c r="F149" s="232">
        <v>2.5</v>
      </c>
      <c r="G149" s="232">
        <v>0.08</v>
      </c>
      <c r="H149" s="232"/>
      <c r="I149" s="232"/>
      <c r="J149" s="241">
        <f>D149*E149*F149*G149</f>
        <v>0.1</v>
      </c>
      <c r="K149" s="44"/>
    </row>
    <row r="150" spans="1:11">
      <c r="A150" s="235"/>
      <c r="B150" s="232" t="s">
        <v>409</v>
      </c>
      <c r="C150" s="232"/>
      <c r="D150" s="232">
        <v>1</v>
      </c>
      <c r="E150" s="232">
        <f>E135</f>
        <v>16.420000000000002</v>
      </c>
      <c r="F150" s="232">
        <v>0.6</v>
      </c>
      <c r="G150" s="232">
        <v>0.08</v>
      </c>
      <c r="H150" s="232"/>
      <c r="I150" s="232"/>
      <c r="J150" s="241">
        <f>D150*E150*F150*G150</f>
        <v>0.78816000000000008</v>
      </c>
      <c r="K150" s="44"/>
    </row>
    <row r="151" spans="1:11">
      <c r="A151" s="235"/>
      <c r="B151" s="232"/>
      <c r="C151" s="232"/>
      <c r="D151" s="232"/>
      <c r="E151" s="232"/>
      <c r="F151" s="232"/>
      <c r="G151" s="232"/>
      <c r="H151" s="232"/>
      <c r="I151" s="232"/>
      <c r="J151" s="233">
        <f>SUM(J146:J150)</f>
        <v>7.6573920000000006</v>
      </c>
      <c r="K151" s="44"/>
    </row>
    <row r="152" spans="1:11" ht="17.399999999999999">
      <c r="A152" s="235">
        <v>4.3</v>
      </c>
      <c r="B152" s="231" t="s">
        <v>315</v>
      </c>
      <c r="C152" s="232" t="s">
        <v>339</v>
      </c>
      <c r="D152" s="232"/>
      <c r="E152" s="232"/>
      <c r="F152" s="232"/>
      <c r="G152" s="232"/>
      <c r="H152" s="232"/>
      <c r="I152" s="232"/>
      <c r="J152" s="232"/>
      <c r="K152" s="44"/>
    </row>
    <row r="153" spans="1:11">
      <c r="A153" s="235"/>
      <c r="B153" s="232" t="s">
        <v>407</v>
      </c>
      <c r="C153" s="232"/>
      <c r="D153" s="232"/>
      <c r="E153" s="232"/>
      <c r="F153" s="232"/>
      <c r="G153" s="232"/>
      <c r="H153" s="232"/>
      <c r="I153" s="232"/>
      <c r="J153" s="232"/>
      <c r="K153" s="44"/>
    </row>
    <row r="154" spans="1:11">
      <c r="A154" s="235"/>
      <c r="B154" s="232" t="s">
        <v>384</v>
      </c>
      <c r="C154" s="232"/>
      <c r="D154" s="232">
        <v>1</v>
      </c>
      <c r="E154" s="232">
        <f>E132</f>
        <v>5.57</v>
      </c>
      <c r="F154" s="232">
        <f>F146</f>
        <v>2.2200000000000002</v>
      </c>
      <c r="G154" s="232">
        <v>0.25</v>
      </c>
      <c r="H154" s="232"/>
      <c r="I154" s="232"/>
      <c r="J154" s="241">
        <f>D154*E154*F154*G154</f>
        <v>3.0913500000000003</v>
      </c>
      <c r="K154" s="44"/>
    </row>
    <row r="155" spans="1:11">
      <c r="A155" s="235"/>
      <c r="B155" s="232" t="s">
        <v>385</v>
      </c>
      <c r="C155" s="232"/>
      <c r="D155" s="232">
        <v>2</v>
      </c>
      <c r="E155" s="232">
        <f>E132</f>
        <v>5.57</v>
      </c>
      <c r="F155" s="232"/>
      <c r="G155" s="232"/>
      <c r="H155" s="232">
        <v>0.72160000000000002</v>
      </c>
      <c r="I155" s="232"/>
      <c r="J155" s="241">
        <f>D155*E155*H155</f>
        <v>8.0386240000000004</v>
      </c>
      <c r="K155" s="44"/>
    </row>
    <row r="156" spans="1:11">
      <c r="A156" s="235"/>
      <c r="B156" s="232"/>
      <c r="C156" s="232"/>
      <c r="D156" s="232"/>
      <c r="E156" s="232"/>
      <c r="F156" s="232"/>
      <c r="G156" s="232"/>
      <c r="H156" s="232"/>
      <c r="I156" s="232"/>
      <c r="J156" s="241">
        <f>SUM(J154:J155)</f>
        <v>11.129974000000001</v>
      </c>
      <c r="K156" s="44"/>
    </row>
    <row r="157" spans="1:11">
      <c r="A157" s="235"/>
      <c r="B157" s="232" t="s">
        <v>383</v>
      </c>
      <c r="C157" s="232"/>
      <c r="D157" s="232"/>
      <c r="E157" s="232"/>
      <c r="F157" s="232"/>
      <c r="G157" s="232"/>
      <c r="H157" s="232"/>
      <c r="I157" s="232"/>
      <c r="J157" s="232"/>
      <c r="K157" s="44"/>
    </row>
    <row r="158" spans="1:11">
      <c r="A158" s="235"/>
      <c r="B158" s="232" t="s">
        <v>384</v>
      </c>
      <c r="C158" s="232"/>
      <c r="D158" s="232">
        <v>1</v>
      </c>
      <c r="E158" s="232">
        <f>E147</f>
        <v>15.5</v>
      </c>
      <c r="F158" s="232">
        <f>F147</f>
        <v>3.5</v>
      </c>
      <c r="G158" s="232">
        <v>0.25</v>
      </c>
      <c r="H158" s="232"/>
      <c r="I158" s="232"/>
      <c r="J158" s="241">
        <f>D158*E158*F158*G158</f>
        <v>13.5625</v>
      </c>
      <c r="K158" s="44"/>
    </row>
    <row r="159" spans="1:11">
      <c r="A159" s="235"/>
      <c r="B159" s="232" t="s">
        <v>385</v>
      </c>
      <c r="C159" s="232"/>
      <c r="D159" s="232">
        <v>2</v>
      </c>
      <c r="E159" s="232">
        <f>E147</f>
        <v>15.5</v>
      </c>
      <c r="F159" s="232"/>
      <c r="G159" s="232"/>
      <c r="H159" s="241">
        <v>0.94679999999999997</v>
      </c>
      <c r="I159" s="232"/>
      <c r="J159" s="241">
        <f>D159*E159*H159</f>
        <v>29.3508</v>
      </c>
      <c r="K159" s="44"/>
    </row>
    <row r="160" spans="1:11">
      <c r="A160" s="235"/>
      <c r="B160" s="232"/>
      <c r="C160" s="232"/>
      <c r="D160" s="232"/>
      <c r="E160" s="232"/>
      <c r="F160" s="232"/>
      <c r="G160" s="232"/>
      <c r="H160" s="232"/>
      <c r="I160" s="232"/>
      <c r="J160" s="241">
        <f>SUM(J158:J159)</f>
        <v>42.9133</v>
      </c>
      <c r="K160" s="44"/>
    </row>
    <row r="161" spans="1:11">
      <c r="A161" s="235"/>
      <c r="B161" s="232" t="s">
        <v>408</v>
      </c>
      <c r="C161" s="232"/>
      <c r="D161" s="232"/>
      <c r="E161" s="232"/>
      <c r="F161" s="232"/>
      <c r="G161" s="232"/>
      <c r="H161" s="232"/>
      <c r="I161" s="232"/>
      <c r="J161" s="232"/>
      <c r="K161" s="44"/>
    </row>
    <row r="162" spans="1:11">
      <c r="A162" s="235"/>
      <c r="B162" s="232" t="s">
        <v>384</v>
      </c>
      <c r="C162" s="232"/>
      <c r="D162" s="232">
        <v>1</v>
      </c>
      <c r="E162" s="232">
        <f>E148</f>
        <v>6</v>
      </c>
      <c r="F162" s="232">
        <f>F148</f>
        <v>3</v>
      </c>
      <c r="G162" s="232">
        <v>0.25</v>
      </c>
      <c r="H162" s="232"/>
      <c r="I162" s="232"/>
      <c r="J162" s="232">
        <f>D162*E162*F162*G162</f>
        <v>4.5</v>
      </c>
      <c r="K162" s="44"/>
    </row>
    <row r="163" spans="1:11">
      <c r="A163" s="235"/>
      <c r="B163" s="232" t="s">
        <v>385</v>
      </c>
      <c r="C163" s="232"/>
      <c r="D163" s="232">
        <v>2</v>
      </c>
      <c r="E163" s="232">
        <f>E148</f>
        <v>6</v>
      </c>
      <c r="F163" s="232"/>
      <c r="G163" s="232"/>
      <c r="H163" s="241">
        <v>0.78500000000000003</v>
      </c>
      <c r="I163" s="232"/>
      <c r="J163" s="232">
        <f>D163*E163*H163</f>
        <v>9.42</v>
      </c>
      <c r="K163" s="44"/>
    </row>
    <row r="164" spans="1:11">
      <c r="A164" s="235"/>
      <c r="B164" s="232" t="s">
        <v>411</v>
      </c>
      <c r="C164" s="232"/>
      <c r="D164" s="232">
        <v>1</v>
      </c>
      <c r="E164" s="232">
        <v>0.5</v>
      </c>
      <c r="F164" s="232">
        <v>2.5</v>
      </c>
      <c r="G164" s="241">
        <v>2.6419000000000001</v>
      </c>
      <c r="H164" s="232"/>
      <c r="I164" s="232"/>
      <c r="J164" s="241">
        <f>D164*E164*F164*G164</f>
        <v>3.3023750000000001</v>
      </c>
      <c r="K164" s="44"/>
    </row>
    <row r="165" spans="1:11">
      <c r="A165" s="235"/>
      <c r="B165" s="232"/>
      <c r="C165" s="232"/>
      <c r="D165" s="232"/>
      <c r="E165" s="232"/>
      <c r="F165" s="232"/>
      <c r="G165" s="232"/>
      <c r="H165" s="232"/>
      <c r="I165" s="232"/>
      <c r="J165" s="241">
        <f>SUM(J162:J164)</f>
        <v>17.222375</v>
      </c>
      <c r="K165" s="44"/>
    </row>
    <row r="166" spans="1:11">
      <c r="A166" s="235"/>
      <c r="B166" s="232" t="s">
        <v>412</v>
      </c>
      <c r="C166" s="232"/>
      <c r="D166" s="232"/>
      <c r="E166" s="232"/>
      <c r="F166" s="232"/>
      <c r="G166" s="232"/>
      <c r="H166" s="232"/>
      <c r="I166" s="232"/>
      <c r="J166" s="241"/>
      <c r="K166" s="44"/>
    </row>
    <row r="167" spans="1:11">
      <c r="A167" s="235"/>
      <c r="B167" s="232" t="s">
        <v>102</v>
      </c>
      <c r="C167" s="232"/>
      <c r="D167" s="232">
        <v>2</v>
      </c>
      <c r="E167" s="232">
        <v>2</v>
      </c>
      <c r="F167" s="232"/>
      <c r="G167" s="232"/>
      <c r="H167" s="241">
        <v>0.52070000000000005</v>
      </c>
      <c r="I167" s="232"/>
      <c r="J167" s="241">
        <f>D167*E167*H167</f>
        <v>2.0828000000000002</v>
      </c>
      <c r="K167" s="44"/>
    </row>
    <row r="168" spans="1:11">
      <c r="A168" s="235"/>
      <c r="B168" s="232" t="s">
        <v>388</v>
      </c>
      <c r="C168" s="232"/>
      <c r="D168" s="232">
        <v>1</v>
      </c>
      <c r="E168" s="232">
        <v>2</v>
      </c>
      <c r="F168" s="232">
        <v>3</v>
      </c>
      <c r="G168" s="232">
        <v>0.3</v>
      </c>
      <c r="H168" s="232"/>
      <c r="I168" s="232"/>
      <c r="J168" s="241">
        <f>D168*E168*F168*G168</f>
        <v>1.7999999999999998</v>
      </c>
      <c r="K168" s="44"/>
    </row>
    <row r="169" spans="1:11">
      <c r="A169" s="235"/>
      <c r="B169" s="232"/>
      <c r="C169" s="232"/>
      <c r="D169" s="232"/>
      <c r="E169" s="232"/>
      <c r="F169" s="232"/>
      <c r="G169" s="232"/>
      <c r="H169" s="232"/>
      <c r="I169" s="232"/>
      <c r="J169" s="241">
        <f>SUM(J167:J168)</f>
        <v>3.8828</v>
      </c>
      <c r="K169" s="44"/>
    </row>
    <row r="170" spans="1:11">
      <c r="A170" s="235"/>
      <c r="B170" s="232"/>
      <c r="C170" s="232"/>
      <c r="D170" s="232"/>
      <c r="E170" s="232"/>
      <c r="F170" s="232"/>
      <c r="G170" s="232"/>
      <c r="H170" s="232"/>
      <c r="I170" s="232"/>
      <c r="J170" s="241"/>
      <c r="K170" s="44"/>
    </row>
    <row r="171" spans="1:11">
      <c r="A171" s="235"/>
      <c r="B171" s="232" t="s">
        <v>409</v>
      </c>
      <c r="C171" s="232"/>
      <c r="D171" s="232"/>
      <c r="E171" s="232"/>
      <c r="F171" s="232"/>
      <c r="G171" s="232"/>
      <c r="H171" s="232"/>
      <c r="I171" s="232"/>
      <c r="J171" s="241"/>
      <c r="K171" s="44"/>
    </row>
    <row r="172" spans="1:11">
      <c r="A172" s="235"/>
      <c r="B172" s="232" t="s">
        <v>384</v>
      </c>
      <c r="C172" s="232"/>
      <c r="D172" s="232">
        <v>1</v>
      </c>
      <c r="E172" s="232">
        <f>E135</f>
        <v>16.420000000000002</v>
      </c>
      <c r="F172" s="232">
        <v>0.6</v>
      </c>
      <c r="G172" s="232">
        <v>0.25</v>
      </c>
      <c r="H172" s="232"/>
      <c r="I172" s="232"/>
      <c r="J172" s="241">
        <f>D172*E172*F172*G172</f>
        <v>2.4630000000000001</v>
      </c>
      <c r="K172" s="44"/>
    </row>
    <row r="173" spans="1:11">
      <c r="A173" s="235"/>
      <c r="B173" s="232" t="s">
        <v>385</v>
      </c>
      <c r="C173" s="232"/>
      <c r="D173" s="232">
        <v>2</v>
      </c>
      <c r="E173" s="232">
        <f>E135</f>
        <v>16.420000000000002</v>
      </c>
      <c r="F173" s="232">
        <v>0.15</v>
      </c>
      <c r="G173" s="232">
        <v>0.3</v>
      </c>
      <c r="H173" s="232"/>
      <c r="I173" s="232"/>
      <c r="J173" s="241">
        <f>D173*E173*F173*G173</f>
        <v>1.4778</v>
      </c>
      <c r="K173" s="44"/>
    </row>
    <row r="174" spans="1:11">
      <c r="A174" s="235"/>
      <c r="B174" s="232"/>
      <c r="C174" s="232"/>
      <c r="D174" s="232"/>
      <c r="E174" s="232"/>
      <c r="F174" s="232"/>
      <c r="G174" s="232"/>
      <c r="H174" s="232"/>
      <c r="I174" s="232"/>
      <c r="J174" s="241">
        <f>SUM(J172:J173)</f>
        <v>3.9408000000000003</v>
      </c>
      <c r="K174" s="44"/>
    </row>
    <row r="175" spans="1:11">
      <c r="A175" s="235"/>
      <c r="B175" s="232"/>
      <c r="C175" s="232"/>
      <c r="D175" s="232"/>
      <c r="E175" s="232"/>
      <c r="F175" s="232"/>
      <c r="G175" s="232"/>
      <c r="H175" s="232"/>
      <c r="I175" s="232"/>
      <c r="J175" s="233">
        <f>J156+J160+J165+J169+J174</f>
        <v>79.089248999999995</v>
      </c>
      <c r="K175" s="44"/>
    </row>
    <row r="176" spans="1:11">
      <c r="A176" s="235"/>
      <c r="B176" s="232"/>
      <c r="C176" s="232"/>
      <c r="D176" s="232"/>
      <c r="E176" s="232"/>
      <c r="F176" s="232"/>
      <c r="G176" s="232"/>
      <c r="H176" s="232"/>
      <c r="I176" s="232"/>
      <c r="J176" s="232"/>
      <c r="K176" s="44"/>
    </row>
    <row r="177" spans="1:11" ht="17.399999999999999">
      <c r="A177" s="235">
        <v>4.4000000000000004</v>
      </c>
      <c r="B177" s="231" t="s">
        <v>101</v>
      </c>
      <c r="C177" s="232" t="s">
        <v>420</v>
      </c>
      <c r="D177" s="232"/>
      <c r="E177" s="232"/>
      <c r="F177" s="232"/>
      <c r="G177" s="232"/>
      <c r="H177" s="232"/>
      <c r="I177" s="232"/>
      <c r="J177" s="232"/>
      <c r="K177" s="44"/>
    </row>
    <row r="178" spans="1:11">
      <c r="A178" s="235"/>
      <c r="B178" s="232" t="s">
        <v>407</v>
      </c>
      <c r="C178" s="232"/>
      <c r="D178" s="232"/>
      <c r="E178" s="232"/>
      <c r="F178" s="232"/>
      <c r="G178" s="232"/>
      <c r="H178" s="232"/>
      <c r="I178" s="232"/>
      <c r="J178" s="232"/>
      <c r="K178" s="44"/>
    </row>
    <row r="179" spans="1:11">
      <c r="A179" s="235"/>
      <c r="B179" s="232" t="s">
        <v>384</v>
      </c>
      <c r="C179" s="232"/>
      <c r="D179" s="232">
        <v>2</v>
      </c>
      <c r="E179" s="232">
        <f>E154</f>
        <v>5.57</v>
      </c>
      <c r="F179" s="232"/>
      <c r="G179" s="232">
        <v>0.25</v>
      </c>
      <c r="H179" s="232"/>
      <c r="I179" s="232"/>
      <c r="J179" s="232">
        <f>D179*E179*G179</f>
        <v>2.7850000000000001</v>
      </c>
      <c r="K179" s="44"/>
    </row>
    <row r="180" spans="1:11">
      <c r="A180" s="235"/>
      <c r="B180" s="232"/>
      <c r="C180" s="232"/>
      <c r="D180" s="232">
        <v>2</v>
      </c>
      <c r="E180" s="232"/>
      <c r="F180" s="232">
        <f>F154</f>
        <v>2.2200000000000002</v>
      </c>
      <c r="G180" s="232">
        <v>0.25</v>
      </c>
      <c r="H180" s="232"/>
      <c r="I180" s="232"/>
      <c r="J180" s="232">
        <f>D180*F180*G180</f>
        <v>1.1100000000000001</v>
      </c>
      <c r="K180" s="44"/>
    </row>
    <row r="181" spans="1:11">
      <c r="A181" s="235"/>
      <c r="B181" s="232" t="s">
        <v>385</v>
      </c>
      <c r="C181" s="232"/>
      <c r="D181" s="232">
        <f>2*2</f>
        <v>4</v>
      </c>
      <c r="E181" s="232">
        <f>E155</f>
        <v>5.57</v>
      </c>
      <c r="F181" s="232"/>
      <c r="G181" s="232"/>
      <c r="H181" s="232"/>
      <c r="I181" s="241">
        <v>6.0046999999999997</v>
      </c>
      <c r="J181" s="241">
        <f>D181*E181*I181</f>
        <v>133.784716</v>
      </c>
      <c r="K181" s="44"/>
    </row>
    <row r="182" spans="1:11">
      <c r="A182" s="235"/>
      <c r="B182" s="232"/>
      <c r="C182" s="232"/>
      <c r="D182" s="232">
        <f>2*2</f>
        <v>4</v>
      </c>
      <c r="E182" s="232"/>
      <c r="F182" s="232"/>
      <c r="G182" s="232"/>
      <c r="H182" s="241">
        <f>H155</f>
        <v>0.72160000000000002</v>
      </c>
      <c r="I182" s="232"/>
      <c r="J182" s="241">
        <f>D182*H182</f>
        <v>2.8864000000000001</v>
      </c>
      <c r="K182" s="44"/>
    </row>
    <row r="183" spans="1:11">
      <c r="A183" s="235"/>
      <c r="B183" s="232"/>
      <c r="C183" s="232"/>
      <c r="D183" s="232"/>
      <c r="E183" s="232"/>
      <c r="F183" s="232"/>
      <c r="G183" s="232"/>
      <c r="H183" s="232"/>
      <c r="I183" s="232"/>
      <c r="J183" s="241">
        <f>SUM(J179:J182)</f>
        <v>140.56611600000002</v>
      </c>
      <c r="K183" s="44"/>
    </row>
    <row r="184" spans="1:11">
      <c r="A184" s="235"/>
      <c r="B184" s="232"/>
      <c r="C184" s="232"/>
      <c r="D184" s="232"/>
      <c r="E184" s="232"/>
      <c r="F184" s="232"/>
      <c r="G184" s="232"/>
      <c r="H184" s="232"/>
      <c r="I184" s="232"/>
      <c r="J184" s="232"/>
      <c r="K184" s="44"/>
    </row>
    <row r="185" spans="1:11">
      <c r="A185" s="235"/>
      <c r="B185" s="232" t="s">
        <v>383</v>
      </c>
      <c r="C185" s="232"/>
      <c r="D185" s="232"/>
      <c r="E185" s="232"/>
      <c r="F185" s="232"/>
      <c r="G185" s="232"/>
      <c r="H185" s="232"/>
      <c r="I185" s="232"/>
      <c r="J185" s="232"/>
      <c r="K185" s="44"/>
    </row>
    <row r="186" spans="1:11">
      <c r="A186" s="235"/>
      <c r="B186" s="232" t="s">
        <v>384</v>
      </c>
      <c r="C186" s="232"/>
      <c r="D186" s="232">
        <v>2</v>
      </c>
      <c r="E186" s="232">
        <f>E158</f>
        <v>15.5</v>
      </c>
      <c r="F186" s="232"/>
      <c r="G186" s="232">
        <f>G158</f>
        <v>0.25</v>
      </c>
      <c r="H186" s="232"/>
      <c r="I186" s="232"/>
      <c r="J186" s="232">
        <f>D186*E186*G186</f>
        <v>7.75</v>
      </c>
      <c r="K186" s="44"/>
    </row>
    <row r="187" spans="1:11">
      <c r="A187" s="235"/>
      <c r="B187" s="232"/>
      <c r="C187" s="232"/>
      <c r="D187" s="232">
        <v>2</v>
      </c>
      <c r="E187" s="232"/>
      <c r="F187" s="232">
        <f>F158</f>
        <v>3.5</v>
      </c>
      <c r="G187" s="232">
        <f>G158</f>
        <v>0.25</v>
      </c>
      <c r="H187" s="232"/>
      <c r="I187" s="232"/>
      <c r="J187" s="232">
        <f>D187*F187*G187</f>
        <v>1.75</v>
      </c>
      <c r="K187" s="44"/>
    </row>
    <row r="188" spans="1:11">
      <c r="A188" s="235"/>
      <c r="B188" s="232" t="s">
        <v>385</v>
      </c>
      <c r="C188" s="232"/>
      <c r="D188" s="232">
        <f>2*2</f>
        <v>4</v>
      </c>
      <c r="E188" s="232">
        <v>15.5</v>
      </c>
      <c r="F188" s="232"/>
      <c r="G188" s="232"/>
      <c r="H188" s="232"/>
      <c r="I188" s="241">
        <v>7.1261999999999999</v>
      </c>
      <c r="J188" s="241">
        <f>D188*E188*I188</f>
        <v>441.82439999999997</v>
      </c>
      <c r="K188" s="44"/>
    </row>
    <row r="189" spans="1:11">
      <c r="A189" s="235"/>
      <c r="B189" s="232"/>
      <c r="C189" s="232"/>
      <c r="D189" s="232">
        <f>2*2</f>
        <v>4</v>
      </c>
      <c r="E189" s="232"/>
      <c r="F189" s="232"/>
      <c r="G189" s="232"/>
      <c r="H189" s="241">
        <f>H159</f>
        <v>0.94679999999999997</v>
      </c>
      <c r="I189" s="232"/>
      <c r="J189" s="241">
        <f>D189*H189</f>
        <v>3.7871999999999999</v>
      </c>
      <c r="K189" s="44"/>
    </row>
    <row r="190" spans="1:11">
      <c r="A190" s="235"/>
      <c r="B190" s="232"/>
      <c r="C190" s="232"/>
      <c r="D190" s="232"/>
      <c r="E190" s="232"/>
      <c r="F190" s="232"/>
      <c r="G190" s="232"/>
      <c r="H190" s="232"/>
      <c r="I190" s="232"/>
      <c r="J190" s="241">
        <f>SUM(J186:J189)</f>
        <v>455.11159999999995</v>
      </c>
      <c r="K190" s="44"/>
    </row>
    <row r="191" spans="1:11">
      <c r="A191" s="235"/>
      <c r="B191" s="232"/>
      <c r="C191" s="232"/>
      <c r="D191" s="232"/>
      <c r="E191" s="232"/>
      <c r="F191" s="232"/>
      <c r="G191" s="232"/>
      <c r="H191" s="232"/>
      <c r="I191" s="232"/>
      <c r="J191" s="232"/>
      <c r="K191" s="44"/>
    </row>
    <row r="192" spans="1:11">
      <c r="A192" s="235"/>
      <c r="B192" s="232" t="s">
        <v>408</v>
      </c>
      <c r="C192" s="232"/>
      <c r="D192" s="232"/>
      <c r="E192" s="232"/>
      <c r="F192" s="232"/>
      <c r="G192" s="232"/>
      <c r="H192" s="232"/>
      <c r="I192" s="232"/>
      <c r="J192" s="232"/>
      <c r="K192" s="44"/>
    </row>
    <row r="193" spans="1:11">
      <c r="A193" s="235"/>
      <c r="B193" s="232" t="s">
        <v>384</v>
      </c>
      <c r="C193" s="232"/>
      <c r="D193" s="232">
        <v>2</v>
      </c>
      <c r="E193" s="232">
        <f>E162</f>
        <v>6</v>
      </c>
      <c r="F193" s="232"/>
      <c r="G193" s="232">
        <f>G162</f>
        <v>0.25</v>
      </c>
      <c r="H193" s="232"/>
      <c r="I193" s="232"/>
      <c r="J193" s="232">
        <f>D193*E193*G193</f>
        <v>3</v>
      </c>
      <c r="K193" s="44"/>
    </row>
    <row r="194" spans="1:11">
      <c r="A194" s="235"/>
      <c r="B194" s="232"/>
      <c r="C194" s="232"/>
      <c r="D194" s="232">
        <v>2</v>
      </c>
      <c r="E194" s="232"/>
      <c r="F194" s="232">
        <f>F162</f>
        <v>3</v>
      </c>
      <c r="G194" s="232">
        <f>G162</f>
        <v>0.25</v>
      </c>
      <c r="H194" s="232"/>
      <c r="I194" s="232"/>
      <c r="J194" s="232">
        <f>D194*F194*G194</f>
        <v>1.5</v>
      </c>
      <c r="K194" s="44"/>
    </row>
    <row r="195" spans="1:11">
      <c r="A195" s="235"/>
      <c r="B195" s="232" t="s">
        <v>385</v>
      </c>
      <c r="C195" s="232"/>
      <c r="D195" s="232">
        <f>2*2</f>
        <v>4</v>
      </c>
      <c r="E195" s="232">
        <f>E163</f>
        <v>6</v>
      </c>
      <c r="F195" s="232"/>
      <c r="G195" s="232">
        <v>3.14</v>
      </c>
      <c r="H195" s="232"/>
      <c r="I195" s="232"/>
      <c r="J195" s="232">
        <f>D195*E195*G195</f>
        <v>75.36</v>
      </c>
      <c r="K195" s="44"/>
    </row>
    <row r="196" spans="1:11">
      <c r="A196" s="235"/>
      <c r="B196" s="232"/>
      <c r="C196" s="232"/>
      <c r="D196" s="232">
        <f>2*2</f>
        <v>4</v>
      </c>
      <c r="E196" s="232"/>
      <c r="F196" s="232"/>
      <c r="G196" s="232"/>
      <c r="H196" s="232">
        <f>H163</f>
        <v>0.78500000000000003</v>
      </c>
      <c r="I196" s="232"/>
      <c r="J196" s="232">
        <f>D196*H196</f>
        <v>3.14</v>
      </c>
      <c r="K196" s="44"/>
    </row>
    <row r="197" spans="1:11">
      <c r="A197" s="235"/>
      <c r="B197" s="232" t="s">
        <v>410</v>
      </c>
      <c r="C197" s="232"/>
      <c r="D197" s="232">
        <v>2</v>
      </c>
      <c r="E197" s="232">
        <v>0.5</v>
      </c>
      <c r="F197" s="232"/>
      <c r="G197" s="241">
        <v>2.6419000000000001</v>
      </c>
      <c r="H197" s="232"/>
      <c r="I197" s="232"/>
      <c r="J197" s="241">
        <f>D197*E197*G197</f>
        <v>2.6419000000000001</v>
      </c>
      <c r="K197" s="44"/>
    </row>
    <row r="198" spans="1:11">
      <c r="A198" s="235"/>
      <c r="B198" s="232"/>
      <c r="C198" s="232"/>
      <c r="D198" s="232">
        <v>2</v>
      </c>
      <c r="E198" s="232"/>
      <c r="F198" s="232">
        <v>2.5</v>
      </c>
      <c r="G198" s="241">
        <v>2.6419000000000001</v>
      </c>
      <c r="H198" s="232"/>
      <c r="I198" s="232"/>
      <c r="J198" s="241">
        <f>D198*F198*G198</f>
        <v>13.2095</v>
      </c>
      <c r="K198" s="44"/>
    </row>
    <row r="199" spans="1:11">
      <c r="A199" s="235"/>
      <c r="B199" s="232"/>
      <c r="C199" s="232"/>
      <c r="D199" s="232"/>
      <c r="E199" s="232"/>
      <c r="F199" s="232"/>
      <c r="G199" s="232"/>
      <c r="H199" s="232"/>
      <c r="I199" s="232"/>
      <c r="J199" s="241">
        <f>SUM(J193:J198)</f>
        <v>98.851400000000012</v>
      </c>
      <c r="K199" s="44"/>
    </row>
    <row r="200" spans="1:11">
      <c r="A200" s="235"/>
      <c r="B200" s="232"/>
      <c r="C200" s="232"/>
      <c r="D200" s="232"/>
      <c r="E200" s="232"/>
      <c r="F200" s="232"/>
      <c r="G200" s="232"/>
      <c r="H200" s="232"/>
      <c r="I200" s="232"/>
      <c r="J200" s="241"/>
      <c r="K200" s="44"/>
    </row>
    <row r="201" spans="1:11">
      <c r="A201" s="235"/>
      <c r="B201" s="232" t="s">
        <v>412</v>
      </c>
      <c r="C201" s="232"/>
      <c r="D201" s="232"/>
      <c r="E201" s="232"/>
      <c r="F201" s="232"/>
      <c r="G201" s="232"/>
      <c r="H201" s="232"/>
      <c r="I201" s="232"/>
      <c r="J201" s="241"/>
      <c r="K201" s="44"/>
    </row>
    <row r="202" spans="1:11">
      <c r="A202" s="235"/>
      <c r="B202" s="232" t="s">
        <v>102</v>
      </c>
      <c r="C202" s="232"/>
      <c r="D202" s="232">
        <f>2*2</f>
        <v>4</v>
      </c>
      <c r="E202" s="232"/>
      <c r="F202" s="232"/>
      <c r="G202" s="232"/>
      <c r="H202" s="241">
        <v>0.52070000000000005</v>
      </c>
      <c r="I202" s="232"/>
      <c r="J202" s="241">
        <f>D202*H202</f>
        <v>2.0828000000000002</v>
      </c>
      <c r="K202" s="44"/>
    </row>
    <row r="203" spans="1:11">
      <c r="A203" s="235"/>
      <c r="B203" s="232"/>
      <c r="C203" s="232"/>
      <c r="D203" s="232">
        <f>2*2</f>
        <v>4</v>
      </c>
      <c r="E203" s="232">
        <v>2</v>
      </c>
      <c r="F203" s="232"/>
      <c r="G203" s="232"/>
      <c r="H203" s="232"/>
      <c r="I203" s="241">
        <v>5.6475999999999997</v>
      </c>
      <c r="J203" s="241">
        <f>D203*E203*I203</f>
        <v>45.180799999999998</v>
      </c>
      <c r="K203" s="44"/>
    </row>
    <row r="204" spans="1:11">
      <c r="A204" s="235"/>
      <c r="B204" s="232" t="s">
        <v>388</v>
      </c>
      <c r="C204" s="232"/>
      <c r="D204" s="232">
        <v>2</v>
      </c>
      <c r="E204" s="232">
        <v>2</v>
      </c>
      <c r="F204" s="232"/>
      <c r="G204" s="232">
        <v>0.3</v>
      </c>
      <c r="H204" s="232"/>
      <c r="I204" s="232"/>
      <c r="J204" s="241">
        <f>D204*E204*G204</f>
        <v>1.2</v>
      </c>
      <c r="K204" s="44"/>
    </row>
    <row r="205" spans="1:11">
      <c r="A205" s="235"/>
      <c r="B205" s="232"/>
      <c r="C205" s="232"/>
      <c r="D205" s="232">
        <v>2</v>
      </c>
      <c r="E205" s="232"/>
      <c r="F205" s="232">
        <v>3</v>
      </c>
      <c r="G205" s="232">
        <v>0.3</v>
      </c>
      <c r="H205" s="232"/>
      <c r="I205" s="232"/>
      <c r="J205" s="241">
        <f>D205*F205*G205</f>
        <v>1.7999999999999998</v>
      </c>
      <c r="K205" s="44"/>
    </row>
    <row r="206" spans="1:11">
      <c r="A206" s="235"/>
      <c r="B206" s="232"/>
      <c r="C206" s="232"/>
      <c r="D206" s="232"/>
      <c r="E206" s="232"/>
      <c r="F206" s="232"/>
      <c r="G206" s="232"/>
      <c r="H206" s="232"/>
      <c r="I206" s="232"/>
      <c r="J206" s="241">
        <f>SUM(J202:J205)</f>
        <v>50.263599999999997</v>
      </c>
      <c r="K206" s="44"/>
    </row>
    <row r="207" spans="1:11">
      <c r="A207" s="235"/>
      <c r="B207" s="232"/>
      <c r="C207" s="232"/>
      <c r="D207" s="232"/>
      <c r="E207" s="232"/>
      <c r="F207" s="232"/>
      <c r="G207" s="232"/>
      <c r="H207" s="232"/>
      <c r="I207" s="232"/>
      <c r="J207" s="241"/>
      <c r="K207" s="44"/>
    </row>
    <row r="208" spans="1:11">
      <c r="A208" s="235"/>
      <c r="B208" s="232" t="s">
        <v>409</v>
      </c>
      <c r="C208" s="232"/>
      <c r="D208" s="232"/>
      <c r="E208" s="232"/>
      <c r="F208" s="232"/>
      <c r="G208" s="232"/>
      <c r="H208" s="232"/>
      <c r="I208" s="232"/>
      <c r="J208" s="241"/>
      <c r="K208" s="44"/>
    </row>
    <row r="209" spans="1:11">
      <c r="A209" s="235"/>
      <c r="B209" s="232" t="s">
        <v>384</v>
      </c>
      <c r="C209" s="232"/>
      <c r="D209" s="232">
        <v>2</v>
      </c>
      <c r="E209" s="232">
        <f>E172</f>
        <v>16.420000000000002</v>
      </c>
      <c r="F209" s="232"/>
      <c r="G209" s="232">
        <v>0.25</v>
      </c>
      <c r="H209" s="232"/>
      <c r="I209" s="232"/>
      <c r="J209" s="241">
        <f>D209*E209*G209</f>
        <v>8.2100000000000009</v>
      </c>
      <c r="K209" s="44"/>
    </row>
    <row r="210" spans="1:11">
      <c r="A210" s="235"/>
      <c r="B210" s="232"/>
      <c r="C210" s="232"/>
      <c r="D210" s="232">
        <v>2</v>
      </c>
      <c r="E210" s="232"/>
      <c r="F210" s="232">
        <v>0.6</v>
      </c>
      <c r="G210" s="232">
        <v>0.25</v>
      </c>
      <c r="H210" s="232"/>
      <c r="I210" s="232"/>
      <c r="J210" s="241">
        <f>D210*F210*G210</f>
        <v>0.3</v>
      </c>
      <c r="K210" s="44"/>
    </row>
    <row r="211" spans="1:11">
      <c r="A211" s="235"/>
      <c r="B211" s="232" t="s">
        <v>385</v>
      </c>
      <c r="C211" s="232"/>
      <c r="D211" s="232">
        <f>2*2</f>
        <v>4</v>
      </c>
      <c r="E211" s="232">
        <f>E209</f>
        <v>16.420000000000002</v>
      </c>
      <c r="F211" s="232"/>
      <c r="G211" s="232">
        <v>0.3</v>
      </c>
      <c r="H211" s="232"/>
      <c r="I211" s="232"/>
      <c r="J211" s="241">
        <f>D211*E211*G211</f>
        <v>19.704000000000001</v>
      </c>
      <c r="K211" s="44"/>
    </row>
    <row r="212" spans="1:11">
      <c r="A212" s="235"/>
      <c r="B212" s="232"/>
      <c r="C212" s="232"/>
      <c r="D212" s="232">
        <f>2*2</f>
        <v>4</v>
      </c>
      <c r="E212" s="232"/>
      <c r="F212" s="232">
        <v>0.15</v>
      </c>
      <c r="G212" s="232">
        <v>0.3</v>
      </c>
      <c r="H212" s="232"/>
      <c r="I212" s="232"/>
      <c r="J212" s="241">
        <f>D212*F212*G212</f>
        <v>0.18</v>
      </c>
      <c r="K212" s="44"/>
    </row>
    <row r="213" spans="1:11">
      <c r="A213" s="235"/>
      <c r="B213" s="232"/>
      <c r="C213" s="232"/>
      <c r="D213" s="232"/>
      <c r="E213" s="232"/>
      <c r="F213" s="232"/>
      <c r="G213" s="232"/>
      <c r="H213" s="232"/>
      <c r="I213" s="232"/>
      <c r="J213" s="241">
        <f>SUM(J209:J212)</f>
        <v>28.394000000000002</v>
      </c>
      <c r="K213" s="44"/>
    </row>
    <row r="214" spans="1:11">
      <c r="A214" s="235"/>
      <c r="B214" s="232"/>
      <c r="C214" s="232"/>
      <c r="D214" s="232"/>
      <c r="E214" s="232"/>
      <c r="F214" s="232"/>
      <c r="G214" s="232"/>
      <c r="H214" s="232"/>
      <c r="I214" s="232"/>
      <c r="J214" s="241"/>
      <c r="K214" s="44"/>
    </row>
    <row r="215" spans="1:11">
      <c r="A215" s="235"/>
      <c r="B215" s="232"/>
      <c r="C215" s="232"/>
      <c r="D215" s="232"/>
      <c r="E215" s="232"/>
      <c r="F215" s="232"/>
      <c r="G215" s="232"/>
      <c r="H215" s="232"/>
      <c r="I215" s="232"/>
      <c r="J215" s="233">
        <f>J183+J190+J199+J206+J213</f>
        <v>773.18671599999993</v>
      </c>
      <c r="K215" s="44"/>
    </row>
    <row r="216" spans="1:11">
      <c r="A216" s="235"/>
      <c r="B216" s="232"/>
      <c r="C216" s="232"/>
      <c r="D216" s="232"/>
      <c r="E216" s="232"/>
      <c r="F216" s="232"/>
      <c r="G216" s="232"/>
      <c r="H216" s="232"/>
      <c r="I216" s="232"/>
      <c r="J216" s="232"/>
      <c r="K216" s="44"/>
    </row>
    <row r="217" spans="1:11">
      <c r="A217" s="235"/>
      <c r="B217" s="232"/>
      <c r="C217" s="232"/>
      <c r="D217" s="232"/>
      <c r="E217" s="232"/>
      <c r="F217" s="232"/>
      <c r="G217" s="232"/>
      <c r="H217" s="232"/>
      <c r="I217" s="232"/>
      <c r="J217" s="232"/>
      <c r="K217" s="44"/>
    </row>
    <row r="218" spans="1:11">
      <c r="A218" s="235">
        <v>4.5</v>
      </c>
      <c r="B218" s="231" t="s">
        <v>24</v>
      </c>
      <c r="C218" s="232" t="s">
        <v>25</v>
      </c>
      <c r="D218" s="232"/>
      <c r="E218" s="232"/>
      <c r="F218" s="232"/>
      <c r="G218" s="232"/>
      <c r="H218" s="234" t="s">
        <v>334</v>
      </c>
      <c r="I218" s="232"/>
      <c r="J218" s="233">
        <f>(1%*J175*7850)/1000</f>
        <v>6.2085060464999993</v>
      </c>
      <c r="K218" s="44"/>
    </row>
    <row r="219" spans="1:11">
      <c r="A219" s="280"/>
      <c r="B219" s="276"/>
      <c r="C219" s="276"/>
      <c r="D219" s="276"/>
      <c r="E219" s="276"/>
      <c r="F219" s="276"/>
      <c r="G219" s="276"/>
      <c r="H219" s="276"/>
      <c r="I219" s="276"/>
      <c r="J219" s="276"/>
      <c r="K219" s="276"/>
    </row>
    <row r="220" spans="1:11">
      <c r="A220" s="281"/>
      <c r="B220" s="275"/>
      <c r="C220" s="275"/>
      <c r="D220" s="275"/>
      <c r="E220" s="275"/>
      <c r="F220" s="275"/>
      <c r="G220" s="275"/>
      <c r="H220" s="275"/>
      <c r="I220" s="275"/>
      <c r="J220" s="275"/>
    </row>
    <row r="221" spans="1:11">
      <c r="A221" s="235">
        <v>5</v>
      </c>
      <c r="B221" s="231" t="s">
        <v>321</v>
      </c>
      <c r="C221" s="232"/>
      <c r="D221" s="232"/>
      <c r="E221" s="232"/>
      <c r="F221" s="232"/>
      <c r="G221" s="232"/>
      <c r="H221" s="232"/>
      <c r="I221" s="232"/>
      <c r="J221" s="232"/>
      <c r="K221" s="44"/>
    </row>
    <row r="222" spans="1:11" ht="17.399999999999999">
      <c r="A222" s="235">
        <v>5.0999999999999996</v>
      </c>
      <c r="B222" s="231" t="s">
        <v>313</v>
      </c>
      <c r="C222" s="232" t="s">
        <v>339</v>
      </c>
      <c r="D222" s="232"/>
      <c r="E222" s="232"/>
      <c r="F222" s="232"/>
      <c r="G222" s="232"/>
      <c r="H222" s="232"/>
      <c r="I222" s="232"/>
      <c r="J222" s="232"/>
      <c r="K222" s="44"/>
    </row>
    <row r="223" spans="1:11">
      <c r="A223" s="235"/>
      <c r="B223" s="232" t="s">
        <v>413</v>
      </c>
      <c r="C223" s="232"/>
      <c r="D223" s="232"/>
      <c r="E223" s="232"/>
      <c r="F223" s="232"/>
      <c r="G223" s="232"/>
      <c r="H223" s="232"/>
      <c r="I223" s="232"/>
      <c r="J223" s="232"/>
      <c r="K223" s="44"/>
    </row>
    <row r="224" spans="1:11">
      <c r="A224" s="235"/>
      <c r="B224" s="232" t="s">
        <v>414</v>
      </c>
      <c r="C224" s="232"/>
      <c r="D224" s="232">
        <v>1</v>
      </c>
      <c r="E224" s="232">
        <v>12.8</v>
      </c>
      <c r="F224" s="232"/>
      <c r="G224" s="232"/>
      <c r="H224" s="241">
        <f>(0+0.5215)/2</f>
        <v>0.26074999999999998</v>
      </c>
      <c r="I224" s="232"/>
      <c r="J224" s="241">
        <f>D224*E224*H224</f>
        <v>3.3376000000000001</v>
      </c>
      <c r="K224" s="44"/>
    </row>
    <row r="225" spans="1:11">
      <c r="A225" s="235"/>
      <c r="B225" s="232" t="s">
        <v>415</v>
      </c>
      <c r="C225" s="232"/>
      <c r="D225" s="232">
        <v>1</v>
      </c>
      <c r="E225" s="232">
        <v>14.16</v>
      </c>
      <c r="F225" s="232"/>
      <c r="G225" s="232"/>
      <c r="H225" s="241">
        <f>(0.5215+0)/2</f>
        <v>0.26074999999999998</v>
      </c>
      <c r="I225" s="232"/>
      <c r="J225" s="241">
        <f>D225*E225*H225</f>
        <v>3.6922199999999998</v>
      </c>
      <c r="K225" s="44"/>
    </row>
    <row r="226" spans="1:11">
      <c r="A226" s="235"/>
      <c r="B226" s="232"/>
      <c r="C226" s="232"/>
      <c r="D226" s="232"/>
      <c r="E226" s="231">
        <f>SUM(E224:E225)</f>
        <v>26.96</v>
      </c>
      <c r="F226" s="232"/>
      <c r="G226" s="232"/>
      <c r="H226" s="232"/>
      <c r="I226" s="232"/>
      <c r="J226" s="233">
        <f>SUM(J224:J225)</f>
        <v>7.02982</v>
      </c>
      <c r="K226" s="44"/>
    </row>
    <row r="227" spans="1:11">
      <c r="A227" s="235"/>
      <c r="B227" s="232"/>
      <c r="C227" s="232"/>
      <c r="D227" s="232"/>
      <c r="E227" s="231"/>
      <c r="F227" s="232"/>
      <c r="G227" s="232"/>
      <c r="H227" s="232"/>
      <c r="I227" s="232"/>
      <c r="J227" s="233"/>
      <c r="K227" s="44"/>
    </row>
    <row r="228" spans="1:11" ht="17.399999999999999">
      <c r="A228" s="235">
        <v>5.2</v>
      </c>
      <c r="B228" s="231" t="s">
        <v>31</v>
      </c>
      <c r="C228" s="232" t="s">
        <v>339</v>
      </c>
      <c r="D228" s="232"/>
      <c r="E228" s="231"/>
      <c r="F228" s="232"/>
      <c r="G228" s="232"/>
      <c r="H228" s="232"/>
      <c r="I228" s="232"/>
      <c r="J228" s="233"/>
      <c r="K228" s="44"/>
    </row>
    <row r="229" spans="1:11">
      <c r="A229" s="235"/>
      <c r="B229" s="232" t="s">
        <v>413</v>
      </c>
      <c r="C229" s="232"/>
      <c r="D229" s="232"/>
      <c r="E229" s="231"/>
      <c r="F229" s="232"/>
      <c r="G229" s="232"/>
      <c r="H229" s="232"/>
      <c r="I229" s="232"/>
      <c r="J229" s="233"/>
      <c r="K229" s="44"/>
    </row>
    <row r="230" spans="1:11">
      <c r="A230" s="235"/>
      <c r="B230" s="232" t="s">
        <v>414</v>
      </c>
      <c r="C230" s="232"/>
      <c r="D230" s="232">
        <v>1</v>
      </c>
      <c r="E230" s="232">
        <f>E224</f>
        <v>12.8</v>
      </c>
      <c r="F230" s="232"/>
      <c r="G230" s="232"/>
      <c r="H230" s="241">
        <f>(3.866+0)/2</f>
        <v>1.9330000000000001</v>
      </c>
      <c r="I230" s="232"/>
      <c r="J230" s="241">
        <f>D230*E230*H230</f>
        <v>24.742400000000004</v>
      </c>
      <c r="K230" s="44"/>
    </row>
    <row r="231" spans="1:11">
      <c r="A231" s="235"/>
      <c r="B231" s="232" t="s">
        <v>415</v>
      </c>
      <c r="C231" s="232"/>
      <c r="D231" s="232">
        <v>1</v>
      </c>
      <c r="E231" s="232">
        <f>E225</f>
        <v>14.16</v>
      </c>
      <c r="F231" s="232"/>
      <c r="G231" s="232"/>
      <c r="H231" s="241">
        <f>(0+2.2407)/2</f>
        <v>1.12035</v>
      </c>
      <c r="I231" s="232"/>
      <c r="J231" s="241">
        <f>D231*E231*H231</f>
        <v>15.864155999999999</v>
      </c>
      <c r="K231" s="44"/>
    </row>
    <row r="232" spans="1:11">
      <c r="A232" s="235"/>
      <c r="B232" s="232"/>
      <c r="C232" s="232"/>
      <c r="D232" s="232"/>
      <c r="E232" s="231">
        <f>SUM(E230:E231)</f>
        <v>26.96</v>
      </c>
      <c r="F232" s="232"/>
      <c r="G232" s="232"/>
      <c r="H232" s="232"/>
      <c r="I232" s="232"/>
      <c r="J232" s="233">
        <f>SUM(J230:J231)</f>
        <v>40.606556000000005</v>
      </c>
      <c r="K232" s="44"/>
    </row>
    <row r="233" spans="1:11">
      <c r="A233" s="235"/>
      <c r="B233" s="232"/>
      <c r="C233" s="232"/>
      <c r="D233" s="232"/>
      <c r="E233" s="232"/>
      <c r="F233" s="232"/>
      <c r="G233" s="232"/>
      <c r="H233" s="232"/>
      <c r="I233" s="232"/>
      <c r="J233" s="233"/>
      <c r="K233" s="44"/>
    </row>
    <row r="234" spans="1:11" ht="17.399999999999999">
      <c r="A234" s="235">
        <v>5.3</v>
      </c>
      <c r="B234" s="231" t="s">
        <v>314</v>
      </c>
      <c r="C234" s="232" t="s">
        <v>339</v>
      </c>
      <c r="D234" s="232">
        <v>1</v>
      </c>
      <c r="E234" s="232">
        <f>E226</f>
        <v>26.96</v>
      </c>
      <c r="F234" s="232">
        <v>1.5</v>
      </c>
      <c r="G234" s="232">
        <v>0.08</v>
      </c>
      <c r="H234" s="232"/>
      <c r="I234" s="232"/>
      <c r="J234" s="233">
        <f>D234*E234*F234*G234</f>
        <v>3.2351999999999999</v>
      </c>
      <c r="K234" s="44"/>
    </row>
    <row r="235" spans="1:11">
      <c r="A235" s="235"/>
      <c r="B235" s="232"/>
      <c r="C235" s="232"/>
      <c r="D235" s="232"/>
      <c r="E235" s="232"/>
      <c r="F235" s="232"/>
      <c r="G235" s="232"/>
      <c r="H235" s="232"/>
      <c r="I235" s="232"/>
      <c r="J235" s="231"/>
      <c r="K235" s="44"/>
    </row>
    <row r="236" spans="1:11">
      <c r="A236" s="235">
        <v>5.4</v>
      </c>
      <c r="B236" s="231" t="s">
        <v>324</v>
      </c>
      <c r="C236" s="232" t="s">
        <v>25</v>
      </c>
      <c r="D236" s="232">
        <v>1</v>
      </c>
      <c r="E236" s="232">
        <f>E234</f>
        <v>26.96</v>
      </c>
      <c r="F236" s="232"/>
      <c r="G236" s="232"/>
      <c r="H236" s="241">
        <f>(PI()*(0.5+(8/1000))*(8/1000))</f>
        <v>1.276743254418892E-2</v>
      </c>
      <c r="I236" s="232"/>
      <c r="J236" s="233">
        <f>(D236*E236*H236*7850)/1000</f>
        <v>2.7020483539219664</v>
      </c>
      <c r="K236" s="44"/>
    </row>
    <row r="237" spans="1:11">
      <c r="A237" s="235"/>
      <c r="B237" s="232"/>
      <c r="C237" s="232"/>
      <c r="D237" s="232"/>
      <c r="E237" s="232"/>
      <c r="F237" s="232"/>
      <c r="G237" s="232"/>
      <c r="H237" s="232"/>
      <c r="I237" s="232"/>
      <c r="J237" s="231"/>
      <c r="K237" s="44"/>
    </row>
    <row r="238" spans="1:11">
      <c r="A238" s="280"/>
      <c r="B238" s="276"/>
      <c r="C238" s="276"/>
      <c r="D238" s="276"/>
      <c r="E238" s="276"/>
      <c r="F238" s="276"/>
      <c r="G238" s="276"/>
      <c r="H238" s="276"/>
      <c r="I238" s="276"/>
      <c r="J238" s="276"/>
      <c r="K238" s="276"/>
    </row>
    <row r="239" spans="1:11">
      <c r="A239" s="281"/>
      <c r="B239" s="275"/>
      <c r="C239" s="275"/>
      <c r="D239" s="275"/>
      <c r="E239" s="275"/>
      <c r="F239" s="275"/>
      <c r="G239" s="275"/>
      <c r="H239" s="275"/>
      <c r="I239" s="275"/>
      <c r="J239" s="275"/>
    </row>
    <row r="240" spans="1:11">
      <c r="A240" s="235">
        <v>6</v>
      </c>
      <c r="B240" s="231" t="s">
        <v>416</v>
      </c>
      <c r="C240" s="232"/>
      <c r="D240" s="232"/>
      <c r="E240" s="232"/>
      <c r="F240" s="232"/>
      <c r="G240" s="232"/>
      <c r="H240" s="232"/>
      <c r="I240" s="232"/>
      <c r="J240" s="232"/>
      <c r="K240" s="44"/>
    </row>
    <row r="241" spans="1:11" ht="17.399999999999999">
      <c r="A241" s="235">
        <v>6.1</v>
      </c>
      <c r="B241" s="232" t="s">
        <v>313</v>
      </c>
      <c r="C241" s="232" t="s">
        <v>339</v>
      </c>
      <c r="D241" s="232">
        <v>1</v>
      </c>
      <c r="E241" s="232">
        <v>2.5299999999999998</v>
      </c>
      <c r="F241" s="232"/>
      <c r="G241" s="232"/>
      <c r="H241" s="241">
        <v>47.816000000000003</v>
      </c>
      <c r="I241" s="232"/>
      <c r="J241" s="233">
        <f>D241*E241*H241</f>
        <v>120.97448</v>
      </c>
      <c r="K241" s="44"/>
    </row>
    <row r="242" spans="1:11">
      <c r="A242" s="235"/>
      <c r="B242" s="232"/>
      <c r="C242" s="232"/>
      <c r="D242" s="232"/>
      <c r="E242" s="232"/>
      <c r="F242" s="232"/>
      <c r="G242" s="232"/>
      <c r="H242" s="241"/>
      <c r="I242" s="232"/>
      <c r="J242" s="241"/>
      <c r="K242" s="44"/>
    </row>
    <row r="243" spans="1:11" ht="17.399999999999999">
      <c r="A243" s="235">
        <v>6.2</v>
      </c>
      <c r="B243" s="232" t="s">
        <v>31</v>
      </c>
      <c r="C243" s="232" t="s">
        <v>339</v>
      </c>
      <c r="D243" s="232">
        <v>1</v>
      </c>
      <c r="E243" s="232">
        <v>2.5299999999999998</v>
      </c>
      <c r="F243" s="232"/>
      <c r="G243" s="232"/>
      <c r="H243" s="241">
        <v>9.1327999999999996</v>
      </c>
      <c r="I243" s="232"/>
      <c r="J243" s="233">
        <f>D243*E243*H243</f>
        <v>23.105983999999996</v>
      </c>
      <c r="K243" s="44"/>
    </row>
    <row r="244" spans="1:11">
      <c r="A244" s="235"/>
      <c r="B244" s="232"/>
      <c r="C244" s="232"/>
      <c r="D244" s="232"/>
      <c r="E244" s="232"/>
      <c r="F244" s="232"/>
      <c r="G244" s="232"/>
      <c r="H244" s="232"/>
      <c r="I244" s="232"/>
      <c r="J244" s="241"/>
      <c r="K244" s="44"/>
    </row>
    <row r="245" spans="1:11" ht="17.399999999999999">
      <c r="A245" s="235">
        <v>6.3</v>
      </c>
      <c r="B245" s="232" t="s">
        <v>314</v>
      </c>
      <c r="C245" s="232" t="s">
        <v>339</v>
      </c>
      <c r="D245" s="232">
        <v>6</v>
      </c>
      <c r="E245" s="232">
        <v>2.5299999999999998</v>
      </c>
      <c r="F245" s="232">
        <v>5.3</v>
      </c>
      <c r="G245" s="232">
        <v>0.08</v>
      </c>
      <c r="H245" s="232"/>
      <c r="I245" s="232"/>
      <c r="J245" s="233">
        <f>D245*E245*F245*G245</f>
        <v>6.4363199999999994</v>
      </c>
      <c r="K245" s="44"/>
    </row>
    <row r="246" spans="1:11">
      <c r="A246" s="235"/>
      <c r="B246" s="232"/>
      <c r="C246" s="232"/>
      <c r="D246" s="232"/>
      <c r="E246" s="232"/>
      <c r="F246" s="232"/>
      <c r="G246" s="232"/>
      <c r="H246" s="232"/>
      <c r="I246" s="232"/>
      <c r="J246" s="241"/>
      <c r="K246" s="44"/>
    </row>
    <row r="247" spans="1:11" ht="17.399999999999999">
      <c r="A247" s="235">
        <v>6.4</v>
      </c>
      <c r="B247" s="232" t="s">
        <v>315</v>
      </c>
      <c r="C247" s="232" t="s">
        <v>339</v>
      </c>
      <c r="D247" s="232">
        <v>6</v>
      </c>
      <c r="E247" s="232">
        <v>2.5299999999999998</v>
      </c>
      <c r="F247" s="232"/>
      <c r="G247" s="232"/>
      <c r="H247" s="232">
        <v>2.19</v>
      </c>
      <c r="I247" s="232"/>
      <c r="J247" s="233">
        <f>D247*E247*H247</f>
        <v>33.244199999999999</v>
      </c>
      <c r="K247" s="44"/>
    </row>
    <row r="248" spans="1:11">
      <c r="A248" s="235"/>
      <c r="B248" s="232"/>
      <c r="C248" s="232"/>
      <c r="D248" s="232"/>
      <c r="E248" s="232"/>
      <c r="F248" s="232"/>
      <c r="G248" s="232"/>
      <c r="H248" s="232"/>
      <c r="I248" s="232"/>
      <c r="J248" s="232"/>
      <c r="K248" s="44"/>
    </row>
    <row r="249" spans="1:11" ht="17.399999999999999">
      <c r="A249" s="235">
        <v>6.5</v>
      </c>
      <c r="B249" s="232" t="s">
        <v>309</v>
      </c>
      <c r="C249" s="232" t="s">
        <v>420</v>
      </c>
      <c r="D249" s="232"/>
      <c r="E249" s="232"/>
      <c r="F249" s="232"/>
      <c r="G249" s="232"/>
      <c r="H249" s="232"/>
      <c r="I249" s="232"/>
      <c r="J249" s="232"/>
      <c r="K249" s="44"/>
    </row>
    <row r="250" spans="1:11">
      <c r="A250" s="235"/>
      <c r="B250" s="232"/>
      <c r="C250" s="232"/>
      <c r="D250" s="232">
        <v>2</v>
      </c>
      <c r="E250" s="232"/>
      <c r="F250" s="232"/>
      <c r="G250" s="232"/>
      <c r="H250" s="232">
        <v>2.19</v>
      </c>
      <c r="I250" s="232"/>
      <c r="J250" s="232">
        <f>D250*H250</f>
        <v>4.38</v>
      </c>
      <c r="K250" s="44"/>
    </row>
    <row r="251" spans="1:11">
      <c r="A251" s="235"/>
      <c r="B251" s="232"/>
      <c r="C251" s="232"/>
      <c r="D251" s="232">
        <v>2</v>
      </c>
      <c r="E251" s="232">
        <v>2.5299999999999998</v>
      </c>
      <c r="F251" s="232"/>
      <c r="G251" s="232">
        <v>2.2999999999999998</v>
      </c>
      <c r="H251" s="232"/>
      <c r="I251" s="232"/>
      <c r="J251" s="241">
        <f>D251*E251*G251</f>
        <v>11.637999999999998</v>
      </c>
      <c r="K251" s="44"/>
    </row>
    <row r="252" spans="1:11">
      <c r="A252" s="235"/>
      <c r="B252" s="232"/>
      <c r="C252" s="232"/>
      <c r="D252" s="232"/>
      <c r="E252" s="232"/>
      <c r="F252" s="232"/>
      <c r="G252" s="232"/>
      <c r="H252" s="232"/>
      <c r="I252" s="232"/>
      <c r="J252" s="233">
        <f>SUM(J250:J251)</f>
        <v>16.017999999999997</v>
      </c>
      <c r="K252" s="44"/>
    </row>
    <row r="253" spans="1:11">
      <c r="A253" s="235"/>
      <c r="B253" s="232"/>
      <c r="C253" s="232"/>
      <c r="D253" s="232"/>
      <c r="E253" s="232"/>
      <c r="F253" s="232"/>
      <c r="G253" s="232"/>
      <c r="H253" s="232"/>
      <c r="I253" s="232"/>
      <c r="J253" s="232"/>
      <c r="K253" s="44"/>
    </row>
    <row r="254" spans="1:11">
      <c r="A254" s="235">
        <v>6.6</v>
      </c>
      <c r="B254" s="232" t="s">
        <v>24</v>
      </c>
      <c r="C254" s="232" t="s">
        <v>25</v>
      </c>
      <c r="D254" s="232"/>
      <c r="E254" s="232"/>
      <c r="F254" s="232"/>
      <c r="G254" s="232"/>
      <c r="H254" s="234" t="s">
        <v>405</v>
      </c>
      <c r="I254" s="232"/>
      <c r="J254" s="233">
        <f>(0.8%*J247*7850)/1000</f>
        <v>2.0877357600000002</v>
      </c>
      <c r="K254" s="44"/>
    </row>
    <row r="255" spans="1:11">
      <c r="A255" s="280"/>
      <c r="B255" s="276"/>
      <c r="C255" s="276"/>
      <c r="D255" s="276"/>
      <c r="E255" s="276"/>
      <c r="F255" s="276"/>
      <c r="G255" s="276"/>
      <c r="H255" s="276"/>
      <c r="I255" s="276"/>
      <c r="J255" s="276"/>
      <c r="K255" s="276"/>
    </row>
    <row r="256" spans="1:11">
      <c r="A256" s="281"/>
      <c r="B256" s="275"/>
      <c r="C256" s="275"/>
      <c r="D256" s="275"/>
      <c r="E256" s="275"/>
      <c r="F256" s="275"/>
      <c r="G256" s="275"/>
      <c r="H256" s="275"/>
      <c r="I256" s="275"/>
      <c r="J256" s="275"/>
    </row>
    <row r="257" spans="1:11">
      <c r="A257" s="235">
        <v>6</v>
      </c>
      <c r="B257" s="231" t="s">
        <v>417</v>
      </c>
      <c r="C257" s="232"/>
      <c r="D257" s="232"/>
      <c r="E257" s="232"/>
      <c r="F257" s="232"/>
      <c r="G257" s="232"/>
      <c r="H257" s="232"/>
      <c r="I257" s="232"/>
      <c r="J257" s="232"/>
      <c r="K257" s="44"/>
    </row>
    <row r="258" spans="1:11" ht="17.399999999999999">
      <c r="A258" s="235">
        <v>6.1</v>
      </c>
      <c r="B258" s="231" t="s">
        <v>313</v>
      </c>
      <c r="C258" s="232" t="s">
        <v>339</v>
      </c>
      <c r="D258" s="232"/>
      <c r="E258" s="232"/>
      <c r="F258" s="232"/>
      <c r="G258" s="232"/>
      <c r="H258" s="232"/>
      <c r="I258" s="232"/>
      <c r="J258" s="232"/>
      <c r="K258" s="44"/>
    </row>
    <row r="259" spans="1:11">
      <c r="A259" s="235"/>
      <c r="B259" s="232" t="s">
        <v>418</v>
      </c>
      <c r="C259" s="232"/>
      <c r="D259" s="232">
        <v>1</v>
      </c>
      <c r="E259" s="232">
        <v>1</v>
      </c>
      <c r="F259" s="232"/>
      <c r="G259" s="232"/>
      <c r="H259" s="232">
        <v>0</v>
      </c>
      <c r="I259" s="232"/>
      <c r="J259" s="241">
        <f>D259*E259*H259</f>
        <v>0</v>
      </c>
      <c r="K259" s="44"/>
    </row>
    <row r="260" spans="1:11">
      <c r="A260" s="235"/>
      <c r="B260" s="232" t="s">
        <v>419</v>
      </c>
      <c r="C260" s="232"/>
      <c r="D260" s="232">
        <v>1</v>
      </c>
      <c r="E260" s="232">
        <v>1</v>
      </c>
      <c r="F260" s="232"/>
      <c r="G260" s="232"/>
      <c r="H260" s="241">
        <v>0.16819999999999999</v>
      </c>
      <c r="I260" s="232"/>
      <c r="J260" s="241">
        <f>D260*E260*H260</f>
        <v>0.16819999999999999</v>
      </c>
      <c r="K260" s="44"/>
    </row>
    <row r="261" spans="1:11">
      <c r="A261" s="235"/>
      <c r="B261" s="231"/>
      <c r="C261" s="232"/>
      <c r="D261" s="232"/>
      <c r="E261" s="232"/>
      <c r="F261" s="232"/>
      <c r="G261" s="232"/>
      <c r="H261" s="232"/>
      <c r="I261" s="232"/>
      <c r="J261" s="233">
        <f>SUM(J259:J260)</f>
        <v>0.16819999999999999</v>
      </c>
      <c r="K261" s="44"/>
    </row>
    <row r="262" spans="1:11">
      <c r="A262" s="235"/>
      <c r="B262" s="231"/>
      <c r="C262" s="232"/>
      <c r="D262" s="232"/>
      <c r="E262" s="232"/>
      <c r="F262" s="232"/>
      <c r="G262" s="232"/>
      <c r="H262" s="232"/>
      <c r="I262" s="232"/>
      <c r="J262" s="233"/>
      <c r="K262" s="44"/>
    </row>
    <row r="263" spans="1:11" ht="17.399999999999999">
      <c r="A263" s="235">
        <v>6.2</v>
      </c>
      <c r="B263" s="231" t="s">
        <v>31</v>
      </c>
      <c r="C263" s="232" t="s">
        <v>339</v>
      </c>
      <c r="D263" s="232"/>
      <c r="E263" s="232"/>
      <c r="F263" s="232"/>
      <c r="G263" s="232"/>
      <c r="H263" s="232"/>
      <c r="I263" s="232"/>
      <c r="J263" s="233"/>
      <c r="K263" s="44"/>
    </row>
    <row r="264" spans="1:11">
      <c r="A264" s="235"/>
      <c r="B264" s="232" t="s">
        <v>418</v>
      </c>
      <c r="C264" s="232"/>
      <c r="D264" s="232">
        <v>1</v>
      </c>
      <c r="E264" s="232">
        <v>1</v>
      </c>
      <c r="F264" s="232"/>
      <c r="G264" s="232"/>
      <c r="H264" s="241">
        <v>1.4582999999999999</v>
      </c>
      <c r="I264" s="232"/>
      <c r="J264" s="241">
        <f>D264*E264*H264</f>
        <v>1.4582999999999999</v>
      </c>
      <c r="K264" s="44"/>
    </row>
    <row r="265" spans="1:11">
      <c r="A265" s="235"/>
      <c r="B265" s="232" t="s">
        <v>419</v>
      </c>
      <c r="C265" s="232"/>
      <c r="D265" s="232">
        <v>1</v>
      </c>
      <c r="E265" s="232">
        <v>1</v>
      </c>
      <c r="F265" s="232"/>
      <c r="G265" s="232"/>
      <c r="H265" s="241">
        <v>0.3483</v>
      </c>
      <c r="I265" s="232"/>
      <c r="J265" s="241">
        <f>D265*E265*H265</f>
        <v>0.3483</v>
      </c>
      <c r="K265" s="44"/>
    </row>
    <row r="266" spans="1:11">
      <c r="A266" s="235"/>
      <c r="B266" s="231"/>
      <c r="C266" s="232"/>
      <c r="D266" s="232"/>
      <c r="E266" s="232"/>
      <c r="F266" s="232"/>
      <c r="G266" s="232"/>
      <c r="H266" s="232"/>
      <c r="I266" s="232"/>
      <c r="J266" s="233">
        <f>SUM(J264:J265)</f>
        <v>1.8066</v>
      </c>
      <c r="K266" s="44"/>
    </row>
    <row r="267" spans="1:11">
      <c r="A267" s="235"/>
      <c r="B267" s="232"/>
      <c r="C267" s="232"/>
      <c r="D267" s="232"/>
      <c r="E267" s="232"/>
      <c r="F267" s="232"/>
      <c r="G267" s="232"/>
      <c r="H267" s="232"/>
      <c r="I267" s="232"/>
      <c r="J267" s="232"/>
      <c r="K267" s="44"/>
    </row>
    <row r="268" spans="1:11" ht="17.399999999999999">
      <c r="A268" s="235">
        <v>6.3</v>
      </c>
      <c r="B268" s="231" t="s">
        <v>314</v>
      </c>
      <c r="C268" s="232" t="s">
        <v>339</v>
      </c>
      <c r="D268" s="232"/>
      <c r="E268" s="232"/>
      <c r="F268" s="232"/>
      <c r="G268" s="232"/>
      <c r="H268" s="232"/>
      <c r="I268" s="232"/>
      <c r="J268" s="232"/>
      <c r="K268" s="44"/>
    </row>
    <row r="269" spans="1:11">
      <c r="A269" s="235"/>
      <c r="B269" s="232" t="s">
        <v>418</v>
      </c>
      <c r="C269" s="232"/>
      <c r="D269" s="232">
        <v>1</v>
      </c>
      <c r="E269" s="232">
        <v>1</v>
      </c>
      <c r="F269" s="232">
        <v>1.3</v>
      </c>
      <c r="G269" s="232">
        <v>0.08</v>
      </c>
      <c r="H269" s="232"/>
      <c r="I269" s="232"/>
      <c r="J269" s="241">
        <f>D269*E269*F269*G269</f>
        <v>0.10400000000000001</v>
      </c>
      <c r="K269" s="44"/>
    </row>
    <row r="270" spans="1:11">
      <c r="A270" s="235"/>
      <c r="B270" s="232" t="s">
        <v>419</v>
      </c>
      <c r="C270" s="232"/>
      <c r="D270" s="232">
        <v>1</v>
      </c>
      <c r="E270" s="232">
        <v>1</v>
      </c>
      <c r="F270" s="232">
        <v>1.3</v>
      </c>
      <c r="G270" s="232">
        <v>0.08</v>
      </c>
      <c r="H270" s="232"/>
      <c r="I270" s="232"/>
      <c r="J270" s="241">
        <f>D270*E270*F270*G270</f>
        <v>0.10400000000000001</v>
      </c>
      <c r="K270" s="44"/>
    </row>
    <row r="271" spans="1:11">
      <c r="A271" s="235"/>
      <c r="B271" s="231"/>
      <c r="C271" s="232"/>
      <c r="D271" s="232"/>
      <c r="E271" s="232"/>
      <c r="F271" s="232"/>
      <c r="G271" s="232"/>
      <c r="H271" s="232"/>
      <c r="I271" s="232"/>
      <c r="J271" s="233">
        <f>SUM(J269:J270)</f>
        <v>0.20800000000000002</v>
      </c>
      <c r="K271" s="44"/>
    </row>
    <row r="272" spans="1:11">
      <c r="A272" s="235"/>
      <c r="B272" s="232"/>
      <c r="C272" s="232"/>
      <c r="D272" s="232"/>
      <c r="E272" s="232"/>
      <c r="F272" s="232"/>
      <c r="G272" s="232"/>
      <c r="H272" s="232"/>
      <c r="I272" s="232"/>
      <c r="J272" s="232"/>
      <c r="K272" s="44"/>
    </row>
    <row r="273" spans="1:11" ht="17.399999999999999">
      <c r="A273" s="235">
        <v>6.4</v>
      </c>
      <c r="B273" s="231" t="s">
        <v>315</v>
      </c>
      <c r="C273" s="232" t="s">
        <v>339</v>
      </c>
      <c r="D273" s="232"/>
      <c r="E273" s="232"/>
      <c r="F273" s="232"/>
      <c r="G273" s="232"/>
      <c r="H273" s="232"/>
      <c r="I273" s="232"/>
      <c r="J273" s="232"/>
      <c r="K273" s="44"/>
    </row>
    <row r="274" spans="1:11">
      <c r="A274" s="235"/>
      <c r="B274" s="232" t="s">
        <v>418</v>
      </c>
      <c r="C274" s="232"/>
      <c r="D274" s="232">
        <v>1</v>
      </c>
      <c r="E274" s="232">
        <v>1</v>
      </c>
      <c r="F274" s="232"/>
      <c r="G274" s="232"/>
      <c r="H274" s="241">
        <f>(1.21-0.19635)</f>
        <v>1.0136499999999999</v>
      </c>
      <c r="I274" s="232"/>
      <c r="J274" s="241">
        <f>D274*E274*H274</f>
        <v>1.0136499999999999</v>
      </c>
      <c r="K274" s="44"/>
    </row>
    <row r="275" spans="1:11">
      <c r="A275" s="235"/>
      <c r="B275" s="232" t="s">
        <v>419</v>
      </c>
      <c r="C275" s="232"/>
      <c r="D275" s="232">
        <v>1</v>
      </c>
      <c r="E275" s="232">
        <v>1</v>
      </c>
      <c r="F275" s="232"/>
      <c r="G275" s="232"/>
      <c r="H275" s="241">
        <f>(1.21-0.19635)</f>
        <v>1.0136499999999999</v>
      </c>
      <c r="I275" s="232"/>
      <c r="J275" s="241">
        <f>D275*E275*H275</f>
        <v>1.0136499999999999</v>
      </c>
      <c r="K275" s="44"/>
    </row>
    <row r="276" spans="1:11">
      <c r="A276" s="235"/>
      <c r="B276" s="231"/>
      <c r="C276" s="232"/>
      <c r="D276" s="232"/>
      <c r="E276" s="232"/>
      <c r="F276" s="232"/>
      <c r="G276" s="232"/>
      <c r="H276" s="232"/>
      <c r="I276" s="232"/>
      <c r="J276" s="233">
        <f>SUM(J274:J275)</f>
        <v>2.0272999999999999</v>
      </c>
      <c r="K276" s="44"/>
    </row>
    <row r="277" spans="1:11">
      <c r="A277" s="235"/>
      <c r="B277" s="232"/>
      <c r="C277" s="232"/>
      <c r="D277" s="232"/>
      <c r="E277" s="232"/>
      <c r="F277" s="232"/>
      <c r="G277" s="232"/>
      <c r="H277" s="232"/>
      <c r="I277" s="232"/>
      <c r="J277" s="232"/>
      <c r="K277" s="44"/>
    </row>
    <row r="278" spans="1:11" ht="17.399999999999999">
      <c r="A278" s="235">
        <v>6.5</v>
      </c>
      <c r="B278" s="231" t="s">
        <v>309</v>
      </c>
      <c r="C278" s="232" t="s">
        <v>420</v>
      </c>
      <c r="D278" s="232"/>
      <c r="E278" s="232"/>
      <c r="F278" s="232"/>
      <c r="G278" s="232"/>
      <c r="H278" s="232"/>
      <c r="I278" s="232"/>
      <c r="J278" s="232"/>
      <c r="K278" s="44"/>
    </row>
    <row r="279" spans="1:11">
      <c r="A279" s="235"/>
      <c r="B279" s="232" t="s">
        <v>418</v>
      </c>
      <c r="C279" s="232"/>
      <c r="D279" s="232">
        <v>2</v>
      </c>
      <c r="E279" s="232">
        <v>1</v>
      </c>
      <c r="F279" s="232"/>
      <c r="G279" s="232">
        <v>1.1000000000000001</v>
      </c>
      <c r="H279" s="232"/>
      <c r="I279" s="232"/>
      <c r="J279" s="232">
        <f>D279*E279*G279</f>
        <v>2.2000000000000002</v>
      </c>
      <c r="K279" s="44"/>
    </row>
    <row r="280" spans="1:11">
      <c r="A280" s="235"/>
      <c r="B280" s="231"/>
      <c r="C280" s="232"/>
      <c r="D280" s="232">
        <v>2</v>
      </c>
      <c r="E280" s="232"/>
      <c r="F280" s="232"/>
      <c r="G280" s="232"/>
      <c r="H280" s="232">
        <f>H274</f>
        <v>1.0136499999999999</v>
      </c>
      <c r="I280" s="232"/>
      <c r="J280" s="241">
        <f>D280*H280</f>
        <v>2.0272999999999999</v>
      </c>
      <c r="K280" s="44"/>
    </row>
    <row r="281" spans="1:11">
      <c r="A281" s="235"/>
      <c r="B281" s="232" t="s">
        <v>419</v>
      </c>
      <c r="C281" s="232"/>
      <c r="D281" s="232">
        <v>2</v>
      </c>
      <c r="E281" s="232">
        <v>1</v>
      </c>
      <c r="F281" s="232"/>
      <c r="G281" s="232">
        <v>1.1000000000000001</v>
      </c>
      <c r="H281" s="232"/>
      <c r="I281" s="232"/>
      <c r="J281" s="232">
        <f>D281*E281*G281</f>
        <v>2.2000000000000002</v>
      </c>
      <c r="K281" s="44"/>
    </row>
    <row r="282" spans="1:11">
      <c r="A282" s="235"/>
      <c r="B282" s="231"/>
      <c r="C282" s="232"/>
      <c r="D282" s="232">
        <v>2</v>
      </c>
      <c r="E282" s="232"/>
      <c r="F282" s="232"/>
      <c r="G282" s="232"/>
      <c r="H282" s="232">
        <f>H275</f>
        <v>1.0136499999999999</v>
      </c>
      <c r="I282" s="232"/>
      <c r="J282" s="241">
        <f>D282*H282</f>
        <v>2.0272999999999999</v>
      </c>
      <c r="K282" s="44"/>
    </row>
    <row r="283" spans="1:11">
      <c r="A283" s="235"/>
      <c r="B283" s="231"/>
      <c r="C283" s="232"/>
      <c r="D283" s="232"/>
      <c r="E283" s="232"/>
      <c r="F283" s="232"/>
      <c r="G283" s="232"/>
      <c r="H283" s="232"/>
      <c r="I283" s="232"/>
      <c r="J283" s="233">
        <f>SUM(J279:J282)</f>
        <v>8.4545999999999992</v>
      </c>
      <c r="K283" s="44"/>
    </row>
    <row r="284" spans="1:11">
      <c r="A284" s="235"/>
      <c r="B284" s="231"/>
      <c r="C284" s="232"/>
      <c r="D284" s="232"/>
      <c r="E284" s="232"/>
      <c r="F284" s="232"/>
      <c r="G284" s="232"/>
      <c r="H284" s="232"/>
      <c r="I284" s="232"/>
      <c r="J284" s="232"/>
      <c r="K284" s="44"/>
    </row>
    <row r="285" spans="1:11">
      <c r="A285" s="235"/>
      <c r="B285" s="232"/>
      <c r="C285" s="232"/>
      <c r="D285" s="232"/>
      <c r="E285" s="232"/>
      <c r="F285" s="232"/>
      <c r="G285" s="232"/>
      <c r="H285" s="232"/>
      <c r="I285" s="232"/>
      <c r="J285" s="232"/>
      <c r="K285" s="44"/>
    </row>
    <row r="286" spans="1:11">
      <c r="A286" s="235">
        <v>6.6</v>
      </c>
      <c r="B286" s="231" t="s">
        <v>24</v>
      </c>
      <c r="C286" s="232" t="s">
        <v>25</v>
      </c>
      <c r="D286" s="232"/>
      <c r="E286" s="232"/>
      <c r="F286" s="232"/>
      <c r="G286" s="232"/>
      <c r="H286" s="234" t="s">
        <v>445</v>
      </c>
      <c r="I286" s="232"/>
      <c r="J286" s="233">
        <f>(0.5%*J276*7850)/1000</f>
        <v>7.957152499999999E-2</v>
      </c>
      <c r="K286" s="44"/>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7"/>
  <dimension ref="A1:Q61"/>
  <sheetViews>
    <sheetView workbookViewId="0"/>
  </sheetViews>
  <sheetFormatPr defaultColWidth="9.109375" defaultRowHeight="16.8"/>
  <cols>
    <col min="1" max="1" width="12.109375" style="1" customWidth="1"/>
    <col min="2" max="2" width="39" style="1" bestFit="1" customWidth="1"/>
    <col min="3" max="4" width="9.109375" style="1"/>
    <col min="5" max="5" width="11" style="1" customWidth="1"/>
    <col min="6" max="6" width="10.44140625" style="1" customWidth="1"/>
    <col min="7" max="8" width="9.109375" style="1"/>
    <col min="9" max="9" width="14.109375" style="1" customWidth="1"/>
    <col min="10" max="10" width="13.33203125" style="1" customWidth="1"/>
    <col min="11" max="11" width="14.109375" style="1" customWidth="1"/>
    <col min="12" max="14" width="9.109375" style="1"/>
    <col min="15" max="15" width="15.109375" style="1" customWidth="1"/>
    <col min="16" max="16" width="17.5546875" style="1" bestFit="1" customWidth="1"/>
    <col min="17" max="17" width="17.44140625" style="1" bestFit="1" customWidth="1"/>
    <col min="18" max="16384" width="9.109375" style="1"/>
  </cols>
  <sheetData>
    <row r="1" spans="1:17">
      <c r="A1" s="226" t="s">
        <v>0</v>
      </c>
      <c r="B1" s="1" t="s">
        <v>292</v>
      </c>
    </row>
    <row r="2" spans="1:17">
      <c r="A2" s="119" t="s">
        <v>1</v>
      </c>
      <c r="B2" s="228">
        <v>930076</v>
      </c>
    </row>
    <row r="3" spans="1:17">
      <c r="A3" s="119" t="s">
        <v>2</v>
      </c>
      <c r="B3" s="227" t="s">
        <v>331</v>
      </c>
    </row>
    <row r="4" spans="1:17">
      <c r="A4" s="119" t="s">
        <v>3</v>
      </c>
      <c r="B4" s="1" t="s">
        <v>377</v>
      </c>
    </row>
    <row r="5" spans="1:17">
      <c r="A5" s="119" t="s">
        <v>4</v>
      </c>
    </row>
    <row r="6" spans="1:17">
      <c r="A6" s="230" t="s">
        <v>332</v>
      </c>
      <c r="B6" s="230" t="s">
        <v>8</v>
      </c>
      <c r="C6" s="230" t="s">
        <v>9</v>
      </c>
      <c r="D6" s="230" t="s">
        <v>333</v>
      </c>
      <c r="E6" s="230" t="s">
        <v>11</v>
      </c>
      <c r="F6" s="230" t="s">
        <v>12</v>
      </c>
      <c r="G6" s="230" t="s">
        <v>13</v>
      </c>
      <c r="H6" s="230" t="s">
        <v>15</v>
      </c>
      <c r="I6" s="230" t="s">
        <v>14</v>
      </c>
      <c r="J6" s="230" t="s">
        <v>16</v>
      </c>
      <c r="K6" s="230" t="s">
        <v>17</v>
      </c>
    </row>
    <row r="7" spans="1:17">
      <c r="A7" s="230"/>
      <c r="B7" s="329" t="s">
        <v>664</v>
      </c>
      <c r="C7" s="230"/>
      <c r="D7" s="230"/>
      <c r="E7" s="230"/>
      <c r="F7" s="230"/>
      <c r="G7" s="230"/>
      <c r="H7" s="230"/>
      <c r="I7" s="230"/>
      <c r="J7" s="230"/>
      <c r="K7" s="230"/>
    </row>
    <row r="8" spans="1:17" s="227" customFormat="1">
      <c r="A8" s="238">
        <v>1</v>
      </c>
      <c r="B8" s="239" t="s">
        <v>422</v>
      </c>
      <c r="C8" s="239" t="s">
        <v>21</v>
      </c>
      <c r="D8" s="239"/>
      <c r="E8" s="239"/>
      <c r="F8" s="239"/>
      <c r="G8" s="239"/>
      <c r="H8" s="239"/>
      <c r="I8" s="239"/>
      <c r="J8" s="239"/>
      <c r="K8" s="239"/>
    </row>
    <row r="9" spans="1:17">
      <c r="A9" s="240"/>
      <c r="B9" s="324" t="s">
        <v>527</v>
      </c>
      <c r="C9" s="44"/>
      <c r="D9" s="44">
        <v>1</v>
      </c>
      <c r="E9" s="44">
        <v>35</v>
      </c>
      <c r="F9" s="44"/>
      <c r="G9" s="44"/>
      <c r="H9" s="44">
        <v>10</v>
      </c>
      <c r="I9" s="44"/>
      <c r="J9" s="299">
        <f>D9*E9*H9</f>
        <v>350</v>
      </c>
      <c r="K9" s="44"/>
      <c r="Q9" s="298"/>
    </row>
    <row r="10" spans="1:17">
      <c r="A10" s="240"/>
      <c r="B10" s="324" t="s">
        <v>528</v>
      </c>
      <c r="C10" s="44"/>
      <c r="D10" s="44">
        <v>1</v>
      </c>
      <c r="E10" s="44">
        <f>140-E9-E11</f>
        <v>56</v>
      </c>
      <c r="F10" s="44"/>
      <c r="G10" s="44"/>
      <c r="H10" s="44">
        <v>43.5</v>
      </c>
      <c r="I10" s="44"/>
      <c r="J10" s="299">
        <f>D10*E10*H10</f>
        <v>2436</v>
      </c>
      <c r="K10" s="44"/>
      <c r="Q10" s="298"/>
    </row>
    <row r="11" spans="1:17">
      <c r="A11" s="240"/>
      <c r="B11" s="324" t="s">
        <v>529</v>
      </c>
      <c r="C11" s="44"/>
      <c r="D11" s="44">
        <v>1</v>
      </c>
      <c r="E11" s="44">
        <v>49</v>
      </c>
      <c r="F11" s="44"/>
      <c r="G11" s="44"/>
      <c r="H11" s="44">
        <v>32</v>
      </c>
      <c r="I11" s="44"/>
      <c r="J11" s="299">
        <f>D11*E11*H11</f>
        <v>1568</v>
      </c>
      <c r="K11" s="44"/>
      <c r="Q11" s="298"/>
    </row>
    <row r="12" spans="1:17" s="227" customFormat="1">
      <c r="A12" s="238"/>
      <c r="B12" s="238" t="s">
        <v>439</v>
      </c>
      <c r="C12" s="239"/>
      <c r="D12" s="239"/>
      <c r="E12" s="239">
        <f>SUM(E9:E11)</f>
        <v>140</v>
      </c>
      <c r="F12" s="239"/>
      <c r="G12" s="239"/>
      <c r="H12" s="239"/>
      <c r="I12" s="239"/>
      <c r="J12" s="271">
        <f>SUM(J9:J11)</f>
        <v>4354</v>
      </c>
      <c r="K12" s="239"/>
    </row>
    <row r="13" spans="1:17" s="227" customFormat="1">
      <c r="A13" s="238">
        <v>2</v>
      </c>
      <c r="B13" s="239" t="s">
        <v>523</v>
      </c>
      <c r="C13" s="239" t="s">
        <v>21</v>
      </c>
      <c r="D13" s="239"/>
      <c r="E13" s="239"/>
      <c r="F13" s="239"/>
      <c r="G13" s="239"/>
      <c r="H13" s="239"/>
      <c r="I13" s="239"/>
      <c r="J13" s="239"/>
      <c r="K13" s="239"/>
    </row>
    <row r="14" spans="1:17">
      <c r="A14" s="240"/>
      <c r="B14" s="324" t="s">
        <v>651</v>
      </c>
      <c r="C14" s="44"/>
      <c r="D14" s="44">
        <v>1</v>
      </c>
      <c r="E14" s="325">
        <f>+E10+E11</f>
        <v>105</v>
      </c>
      <c r="F14" s="44">
        <f>+(2+1)/2</f>
        <v>1.5</v>
      </c>
      <c r="G14" s="44">
        <v>1</v>
      </c>
      <c r="H14" s="44"/>
      <c r="I14" s="44"/>
      <c r="J14" s="299">
        <f>D14*E14*F14*G14</f>
        <v>157.5</v>
      </c>
      <c r="K14" s="44"/>
    </row>
    <row r="15" spans="1:17" s="227" customFormat="1">
      <c r="A15" s="238"/>
      <c r="B15" s="238" t="s">
        <v>439</v>
      </c>
      <c r="C15" s="239"/>
      <c r="D15" s="239"/>
      <c r="E15" s="239"/>
      <c r="F15" s="239"/>
      <c r="G15" s="239"/>
      <c r="H15" s="239"/>
      <c r="I15" s="239"/>
      <c r="J15" s="271">
        <f>SUM(J14:J14)</f>
        <v>157.5</v>
      </c>
      <c r="K15" s="239"/>
    </row>
    <row r="16" spans="1:17" s="227" customFormat="1">
      <c r="A16" s="238">
        <v>3</v>
      </c>
      <c r="B16" s="239" t="s">
        <v>524</v>
      </c>
      <c r="C16" s="239" t="s">
        <v>19</v>
      </c>
      <c r="D16" s="239"/>
      <c r="E16" s="239"/>
      <c r="F16" s="239"/>
      <c r="G16" s="239"/>
      <c r="H16" s="239"/>
      <c r="I16" s="239"/>
      <c r="J16" s="239"/>
      <c r="K16" s="239"/>
    </row>
    <row r="17" spans="1:11">
      <c r="A17" s="240"/>
      <c r="B17" s="44" t="s">
        <v>525</v>
      </c>
      <c r="C17" s="44"/>
      <c r="D17" s="44">
        <v>1</v>
      </c>
      <c r="E17" s="325">
        <f>E10</f>
        <v>56</v>
      </c>
      <c r="F17" s="44">
        <v>3.5</v>
      </c>
      <c r="G17" s="44"/>
      <c r="H17" s="44"/>
      <c r="I17" s="44"/>
      <c r="J17" s="44">
        <f>D17*E17*F17</f>
        <v>196</v>
      </c>
      <c r="K17" s="44"/>
    </row>
    <row r="18" spans="1:11">
      <c r="A18" s="240"/>
      <c r="B18" s="44" t="s">
        <v>526</v>
      </c>
      <c r="C18" s="44"/>
      <c r="D18" s="44">
        <v>1</v>
      </c>
      <c r="E18" s="44">
        <f>E10+E11</f>
        <v>105</v>
      </c>
      <c r="F18" s="44"/>
      <c r="G18" s="44">
        <v>12.5</v>
      </c>
      <c r="H18" s="44"/>
      <c r="I18" s="44"/>
      <c r="J18" s="44">
        <f>D18*E18*G18</f>
        <v>1312.5</v>
      </c>
      <c r="K18" s="44"/>
    </row>
    <row r="19" spans="1:11">
      <c r="A19" s="236"/>
    </row>
    <row r="20" spans="1:11">
      <c r="B20" s="327" t="s">
        <v>656</v>
      </c>
    </row>
    <row r="21" spans="1:11">
      <c r="A21" s="238">
        <v>1</v>
      </c>
      <c r="B21" s="239" t="s">
        <v>313</v>
      </c>
      <c r="C21" s="239" t="s">
        <v>21</v>
      </c>
      <c r="D21" s="44"/>
      <c r="E21" s="44"/>
      <c r="F21" s="44"/>
      <c r="G21" s="44"/>
      <c r="H21" s="44"/>
      <c r="I21" s="44"/>
      <c r="J21" s="44"/>
    </row>
    <row r="22" spans="1:11">
      <c r="A22" s="238"/>
      <c r="B22" s="324" t="s">
        <v>521</v>
      </c>
      <c r="C22" s="239"/>
      <c r="D22" s="44">
        <v>1</v>
      </c>
      <c r="E22" s="325">
        <f>E28</f>
        <v>53</v>
      </c>
      <c r="F22" s="44"/>
      <c r="G22" s="44"/>
      <c r="H22" s="44">
        <v>94</v>
      </c>
      <c r="I22" s="44"/>
      <c r="J22" s="44">
        <f>D22*E22*H22</f>
        <v>4982</v>
      </c>
    </row>
    <row r="23" spans="1:11">
      <c r="A23" s="238"/>
      <c r="B23" s="324" t="s">
        <v>520</v>
      </c>
      <c r="C23" s="239"/>
      <c r="D23" s="44">
        <v>1</v>
      </c>
      <c r="E23" s="325">
        <f>E29</f>
        <v>39</v>
      </c>
      <c r="F23" s="44"/>
      <c r="G23" s="44"/>
      <c r="H23" s="44">
        <v>4.4000000000000004</v>
      </c>
      <c r="I23" s="44"/>
      <c r="J23" s="44">
        <f>D23*E23*H23</f>
        <v>171.60000000000002</v>
      </c>
    </row>
    <row r="24" spans="1:11">
      <c r="A24" s="238"/>
      <c r="B24" s="324" t="s">
        <v>519</v>
      </c>
      <c r="C24" s="239"/>
      <c r="D24" s="44">
        <v>1</v>
      </c>
      <c r="E24" s="325">
        <f>E30</f>
        <v>46</v>
      </c>
      <c r="F24" s="44"/>
      <c r="G24" s="44"/>
      <c r="H24" s="44">
        <v>42.6</v>
      </c>
      <c r="I24" s="44"/>
      <c r="J24" s="44">
        <f>D24*E24*H24</f>
        <v>1959.6000000000001</v>
      </c>
    </row>
    <row r="25" spans="1:11">
      <c r="A25" s="238"/>
      <c r="B25" s="324"/>
      <c r="C25" s="239"/>
      <c r="D25" s="44"/>
      <c r="E25" s="44"/>
      <c r="F25" s="44"/>
      <c r="G25" s="44"/>
      <c r="H25" s="44"/>
      <c r="I25" s="238" t="s">
        <v>439</v>
      </c>
      <c r="J25" s="239">
        <f>ROUND(SUM(J22:J24),0)</f>
        <v>7113</v>
      </c>
    </row>
    <row r="26" spans="1:11">
      <c r="A26" s="238"/>
      <c r="B26" s="239"/>
      <c r="C26" s="239"/>
      <c r="D26" s="44"/>
      <c r="E26" s="44"/>
      <c r="F26" s="44"/>
      <c r="G26" s="44"/>
      <c r="H26" s="44"/>
      <c r="I26" s="44"/>
      <c r="J26" s="44"/>
    </row>
    <row r="27" spans="1:11">
      <c r="A27" s="238">
        <v>2</v>
      </c>
      <c r="B27" s="239" t="s">
        <v>422</v>
      </c>
      <c r="C27" s="239" t="s">
        <v>21</v>
      </c>
      <c r="D27" s="239"/>
      <c r="E27" s="239"/>
      <c r="F27" s="239"/>
      <c r="G27" s="239"/>
      <c r="H27" s="239"/>
      <c r="I27" s="239"/>
      <c r="J27" s="239"/>
    </row>
    <row r="28" spans="1:11">
      <c r="A28" s="240"/>
      <c r="B28" s="324" t="s">
        <v>521</v>
      </c>
      <c r="C28" s="44"/>
      <c r="D28" s="44">
        <v>1</v>
      </c>
      <c r="E28" s="44">
        <v>53</v>
      </c>
      <c r="F28" s="44"/>
      <c r="G28" s="44"/>
      <c r="H28" s="44">
        <v>163.77000000000001</v>
      </c>
      <c r="I28" s="44"/>
      <c r="J28" s="299">
        <f>D28*E28*H28</f>
        <v>8679.8100000000013</v>
      </c>
    </row>
    <row r="29" spans="1:11">
      <c r="A29" s="240"/>
      <c r="B29" s="324" t="s">
        <v>520</v>
      </c>
      <c r="C29" s="44"/>
      <c r="D29" s="44">
        <v>1</v>
      </c>
      <c r="E29" s="44">
        <v>39</v>
      </c>
      <c r="F29" s="44"/>
      <c r="G29" s="44"/>
      <c r="H29" s="44">
        <v>81.38</v>
      </c>
      <c r="I29" s="44"/>
      <c r="J29" s="299">
        <f>D29*E29*H29</f>
        <v>3173.8199999999997</v>
      </c>
    </row>
    <row r="30" spans="1:11">
      <c r="A30" s="240"/>
      <c r="B30" s="324" t="s">
        <v>519</v>
      </c>
      <c r="C30" s="44"/>
      <c r="D30" s="44">
        <v>1</v>
      </c>
      <c r="E30" s="44">
        <v>46</v>
      </c>
      <c r="F30" s="44"/>
      <c r="G30" s="44"/>
      <c r="H30" s="44">
        <v>107.5</v>
      </c>
      <c r="I30" s="44"/>
      <c r="J30" s="299">
        <f>D30*E30*H30</f>
        <v>4945</v>
      </c>
    </row>
    <row r="31" spans="1:11">
      <c r="A31" s="238"/>
      <c r="B31" s="238"/>
      <c r="C31" s="239"/>
      <c r="D31" s="239"/>
      <c r="E31" s="239"/>
      <c r="F31" s="239"/>
      <c r="G31" s="239"/>
      <c r="H31" s="239"/>
      <c r="I31" s="239" t="s">
        <v>20</v>
      </c>
      <c r="J31" s="271">
        <f>SUM(J28:J30)</f>
        <v>16798.63</v>
      </c>
    </row>
    <row r="32" spans="1:11">
      <c r="A32" s="238">
        <v>3</v>
      </c>
      <c r="B32" s="239" t="s">
        <v>663</v>
      </c>
      <c r="C32" s="239" t="s">
        <v>21</v>
      </c>
      <c r="D32" s="239"/>
      <c r="E32" s="239"/>
      <c r="F32" s="239"/>
      <c r="G32" s="239"/>
      <c r="H32" s="239"/>
      <c r="I32" s="239"/>
      <c r="J32" s="239"/>
    </row>
    <row r="33" spans="1:10">
      <c r="A33" s="240"/>
      <c r="B33" s="324" t="s">
        <v>658</v>
      </c>
      <c r="C33" s="44"/>
      <c r="D33" s="44">
        <v>1</v>
      </c>
      <c r="E33" s="325">
        <v>40.5</v>
      </c>
      <c r="F33" s="44"/>
      <c r="G33" s="44"/>
      <c r="H33" s="44">
        <v>1.61</v>
      </c>
      <c r="I33" s="44"/>
      <c r="J33" s="299">
        <f>D33*E33*H33</f>
        <v>65.204999999999998</v>
      </c>
    </row>
    <row r="34" spans="1:10">
      <c r="A34" s="240"/>
      <c r="B34" s="324" t="s">
        <v>659</v>
      </c>
      <c r="C34" s="44"/>
      <c r="D34" s="44">
        <v>1</v>
      </c>
      <c r="E34" s="325">
        <v>98.5</v>
      </c>
      <c r="F34" s="44"/>
      <c r="G34" s="44"/>
      <c r="H34" s="44">
        <v>16</v>
      </c>
      <c r="I34" s="44"/>
      <c r="J34" s="299">
        <f>D34*E34*H34</f>
        <v>1576</v>
      </c>
    </row>
    <row r="35" spans="1:10">
      <c r="A35" s="240"/>
      <c r="B35" s="324" t="s">
        <v>660</v>
      </c>
      <c r="C35" s="44"/>
      <c r="D35" s="44">
        <f>ROUND(E34/3,0)</f>
        <v>33</v>
      </c>
      <c r="E35" s="325">
        <v>0.4</v>
      </c>
      <c r="F35" s="44"/>
      <c r="G35" s="44"/>
      <c r="H35" s="44">
        <v>17</v>
      </c>
      <c r="I35" s="44"/>
      <c r="J35" s="299">
        <f>D35*E35*H35</f>
        <v>224.4</v>
      </c>
    </row>
    <row r="36" spans="1:10">
      <c r="A36" s="238"/>
      <c r="B36" s="238" t="s">
        <v>439</v>
      </c>
      <c r="C36" s="239"/>
      <c r="D36" s="239"/>
      <c r="E36" s="239"/>
      <c r="F36" s="239"/>
      <c r="G36" s="239"/>
      <c r="H36" s="239"/>
      <c r="I36" s="239" t="s">
        <v>20</v>
      </c>
      <c r="J36" s="271">
        <f>SUM(J33:J35)</f>
        <v>1865.605</v>
      </c>
    </row>
    <row r="37" spans="1:10">
      <c r="A37" s="238"/>
      <c r="B37" s="238"/>
      <c r="C37" s="239"/>
      <c r="D37" s="239"/>
      <c r="E37" s="239"/>
      <c r="F37" s="239"/>
      <c r="G37" s="239"/>
      <c r="H37" s="239"/>
      <c r="I37" s="239"/>
      <c r="J37" s="271"/>
    </row>
    <row r="38" spans="1:10">
      <c r="A38" s="238">
        <v>4</v>
      </c>
      <c r="B38" s="328" t="s">
        <v>24</v>
      </c>
      <c r="C38" s="239" t="s">
        <v>308</v>
      </c>
      <c r="D38" s="239"/>
      <c r="E38" s="239"/>
      <c r="F38" s="239"/>
      <c r="G38" s="239"/>
      <c r="H38" s="239"/>
      <c r="I38" s="239"/>
      <c r="J38" s="271">
        <f>0.2%*J36*7.85</f>
        <v>29.289998499999999</v>
      </c>
    </row>
    <row r="39" spans="1:10">
      <c r="A39" s="238"/>
      <c r="B39" s="238"/>
      <c r="C39" s="239"/>
      <c r="D39" s="239"/>
      <c r="E39" s="239"/>
      <c r="F39" s="239"/>
      <c r="G39" s="239"/>
      <c r="H39" s="239"/>
      <c r="I39" s="239"/>
      <c r="J39" s="271"/>
    </row>
    <row r="40" spans="1:10">
      <c r="A40" s="238">
        <v>5</v>
      </c>
      <c r="B40" s="328" t="s">
        <v>101</v>
      </c>
      <c r="C40" s="239" t="s">
        <v>19</v>
      </c>
      <c r="D40" s="239"/>
      <c r="E40" s="239"/>
      <c r="F40" s="239"/>
      <c r="G40" s="239"/>
      <c r="H40" s="239"/>
      <c r="I40" s="239"/>
      <c r="J40" s="271"/>
    </row>
    <row r="41" spans="1:10">
      <c r="A41" s="238"/>
      <c r="B41" s="324" t="s">
        <v>658</v>
      </c>
      <c r="C41" s="239"/>
      <c r="D41" s="44"/>
      <c r="E41" s="239"/>
      <c r="F41" s="239"/>
      <c r="G41" s="239"/>
      <c r="H41" s="239"/>
      <c r="I41" s="239"/>
      <c r="J41" s="271"/>
    </row>
    <row r="42" spans="1:10">
      <c r="A42" s="238"/>
      <c r="B42" s="324" t="s">
        <v>661</v>
      </c>
      <c r="C42" s="239"/>
      <c r="D42" s="44">
        <v>2</v>
      </c>
      <c r="E42" s="325">
        <f>E33</f>
        <v>40.5</v>
      </c>
      <c r="F42" s="44"/>
      <c r="G42" s="44">
        <v>2.85</v>
      </c>
      <c r="H42" s="44"/>
      <c r="I42" s="44"/>
      <c r="J42" s="299">
        <f>D42*E42*G42</f>
        <v>230.85</v>
      </c>
    </row>
    <row r="43" spans="1:10">
      <c r="A43" s="238"/>
      <c r="B43" s="324" t="s">
        <v>606</v>
      </c>
      <c r="C43" s="239"/>
      <c r="D43" s="44">
        <v>2</v>
      </c>
      <c r="E43" s="325">
        <f>E42</f>
        <v>40.5</v>
      </c>
      <c r="F43" s="44"/>
      <c r="G43" s="44">
        <v>0.45</v>
      </c>
      <c r="H43" s="44"/>
      <c r="I43" s="44"/>
      <c r="J43" s="299">
        <f>D43*E43*G43</f>
        <v>36.450000000000003</v>
      </c>
    </row>
    <row r="44" spans="1:10">
      <c r="A44" s="238"/>
      <c r="B44" s="324" t="s">
        <v>662</v>
      </c>
      <c r="C44" s="239"/>
      <c r="D44" s="44"/>
      <c r="E44" s="44"/>
      <c r="F44" s="44"/>
      <c r="G44" s="44"/>
      <c r="H44" s="44"/>
      <c r="I44" s="44"/>
      <c r="J44" s="299"/>
    </row>
    <row r="45" spans="1:10">
      <c r="A45" s="238"/>
      <c r="B45" s="324" t="s">
        <v>661</v>
      </c>
      <c r="C45" s="239"/>
      <c r="D45" s="44">
        <v>2</v>
      </c>
      <c r="E45" s="325">
        <f>E34</f>
        <v>98.5</v>
      </c>
      <c r="F45" s="44"/>
      <c r="G45" s="44">
        <v>1</v>
      </c>
      <c r="H45" s="44"/>
      <c r="I45" s="44"/>
      <c r="J45" s="299">
        <f>D45*E45*G45</f>
        <v>197</v>
      </c>
    </row>
    <row r="46" spans="1:10">
      <c r="A46" s="238"/>
      <c r="B46" s="324" t="s">
        <v>606</v>
      </c>
      <c r="C46" s="239"/>
      <c r="D46" s="44">
        <v>2</v>
      </c>
      <c r="E46" s="325">
        <f>E45</f>
        <v>98.5</v>
      </c>
      <c r="F46" s="44"/>
      <c r="G46" s="44">
        <v>1</v>
      </c>
      <c r="H46" s="44"/>
      <c r="I46" s="44"/>
      <c r="J46" s="299">
        <f>D46*E46*G46</f>
        <v>197</v>
      </c>
    </row>
    <row r="47" spans="1:10">
      <c r="A47" s="238"/>
      <c r="B47" s="324" t="s">
        <v>660</v>
      </c>
      <c r="C47" s="239"/>
      <c r="D47" s="44">
        <f>2*D35</f>
        <v>66</v>
      </c>
      <c r="E47" s="44"/>
      <c r="F47" s="44"/>
      <c r="G47" s="44"/>
      <c r="H47" s="44">
        <f>H35</f>
        <v>17</v>
      </c>
      <c r="I47" s="44"/>
      <c r="J47" s="299">
        <f>D47*H47</f>
        <v>1122</v>
      </c>
    </row>
    <row r="48" spans="1:10">
      <c r="A48" s="238"/>
      <c r="B48" s="238"/>
      <c r="C48" s="239"/>
      <c r="D48" s="239"/>
      <c r="E48" s="44"/>
      <c r="F48" s="44"/>
      <c r="G48" s="44"/>
      <c r="H48" s="44"/>
      <c r="I48" s="239" t="s">
        <v>20</v>
      </c>
      <c r="J48" s="271">
        <f>SUM(J45:J47)</f>
        <v>1516</v>
      </c>
    </row>
    <row r="49" spans="1:10">
      <c r="A49" s="238"/>
      <c r="B49" s="238"/>
      <c r="C49" s="239"/>
      <c r="D49" s="239"/>
      <c r="E49" s="239"/>
      <c r="F49" s="239"/>
      <c r="G49" s="239"/>
      <c r="H49" s="239"/>
      <c r="I49" s="239"/>
      <c r="J49" s="271"/>
    </row>
    <row r="50" spans="1:10">
      <c r="A50" s="238">
        <v>6</v>
      </c>
      <c r="B50" s="239" t="s">
        <v>524</v>
      </c>
      <c r="C50" s="239" t="s">
        <v>19</v>
      </c>
      <c r="D50" s="239"/>
      <c r="E50" s="239"/>
      <c r="F50" s="239"/>
      <c r="G50" s="239"/>
      <c r="H50" s="239"/>
      <c r="I50" s="239"/>
      <c r="J50" s="239"/>
    </row>
    <row r="51" spans="1:10">
      <c r="A51" s="240"/>
      <c r="B51" s="44" t="s">
        <v>657</v>
      </c>
      <c r="C51" s="44"/>
      <c r="D51" s="44">
        <v>1</v>
      </c>
      <c r="E51" s="44">
        <f>E28+E29+E30</f>
        <v>138</v>
      </c>
      <c r="F51" s="44"/>
      <c r="G51" s="44">
        <v>5</v>
      </c>
      <c r="H51" s="44"/>
      <c r="I51" s="44"/>
      <c r="J51" s="239">
        <f>D51*E51*G51</f>
        <v>690</v>
      </c>
    </row>
    <row r="52" spans="1:10">
      <c r="A52" s="236"/>
    </row>
    <row r="53" spans="1:10">
      <c r="A53" s="236"/>
    </row>
    <row r="54" spans="1:10">
      <c r="A54" s="236"/>
    </row>
    <row r="55" spans="1:10">
      <c r="A55" s="236"/>
    </row>
    <row r="56" spans="1:10">
      <c r="A56" s="236"/>
    </row>
    <row r="57" spans="1:10">
      <c r="A57" s="236"/>
    </row>
    <row r="58" spans="1:10">
      <c r="A58" s="236"/>
    </row>
    <row r="59" spans="1:10">
      <c r="A59" s="236"/>
    </row>
    <row r="60" spans="1:10">
      <c r="A60" s="236"/>
    </row>
    <row r="61" spans="1:10">
      <c r="A61" s="236"/>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8"/>
  <dimension ref="A2:K248"/>
  <sheetViews>
    <sheetView workbookViewId="0"/>
  </sheetViews>
  <sheetFormatPr defaultColWidth="9.109375" defaultRowHeight="16.8"/>
  <cols>
    <col min="1" max="1" width="12.109375" style="1" customWidth="1"/>
    <col min="2" max="2" width="27.5546875" style="1" customWidth="1"/>
    <col min="3" max="4" width="9.109375" style="1"/>
    <col min="5" max="5" width="11" style="1" customWidth="1"/>
    <col min="6" max="6" width="11.44140625" style="1" customWidth="1"/>
    <col min="7" max="7" width="10.5546875" style="1" customWidth="1"/>
    <col min="8" max="8" width="9.109375" style="1"/>
    <col min="9" max="9" width="12.44140625" style="1" customWidth="1"/>
    <col min="10" max="10" width="12.6640625" style="1" customWidth="1"/>
    <col min="11" max="11" width="18.6640625" style="1" customWidth="1"/>
    <col min="12" max="16384" width="9.109375" style="1"/>
  </cols>
  <sheetData>
    <row r="2" spans="1:11">
      <c r="A2" s="226" t="s">
        <v>0</v>
      </c>
      <c r="B2" s="1" t="s">
        <v>292</v>
      </c>
    </row>
    <row r="3" spans="1:11">
      <c r="A3" s="119" t="s">
        <v>1</v>
      </c>
      <c r="B3" s="228">
        <v>930076</v>
      </c>
    </row>
    <row r="4" spans="1:11">
      <c r="A4" s="119" t="s">
        <v>2</v>
      </c>
      <c r="B4" s="227" t="s">
        <v>331</v>
      </c>
    </row>
    <row r="5" spans="1:11">
      <c r="A5" s="119" t="s">
        <v>3</v>
      </c>
      <c r="B5" s="1" t="s">
        <v>376</v>
      </c>
    </row>
    <row r="6" spans="1:11">
      <c r="A6" s="119" t="s">
        <v>4</v>
      </c>
    </row>
    <row r="8" spans="1:11">
      <c r="A8" s="239" t="s">
        <v>332</v>
      </c>
      <c r="B8" s="239" t="s">
        <v>8</v>
      </c>
      <c r="C8" s="239" t="s">
        <v>9</v>
      </c>
      <c r="D8" s="239" t="s">
        <v>333</v>
      </c>
      <c r="E8" s="239" t="s">
        <v>11</v>
      </c>
      <c r="F8" s="239" t="s">
        <v>12</v>
      </c>
      <c r="G8" s="239" t="s">
        <v>13</v>
      </c>
      <c r="H8" s="239" t="s">
        <v>15</v>
      </c>
      <c r="I8" s="239" t="s">
        <v>14</v>
      </c>
      <c r="J8" s="239" t="s">
        <v>16</v>
      </c>
      <c r="K8" s="239" t="s">
        <v>17</v>
      </c>
    </row>
    <row r="9" spans="1:11">
      <c r="A9" s="44">
        <v>1</v>
      </c>
      <c r="B9" s="44" t="s">
        <v>380</v>
      </c>
      <c r="C9" s="44"/>
      <c r="D9" s="44"/>
      <c r="E9" s="44"/>
      <c r="F9" s="44"/>
      <c r="G9" s="44"/>
      <c r="H9" s="44"/>
      <c r="I9" s="44"/>
      <c r="J9" s="44"/>
      <c r="K9" s="44"/>
    </row>
    <row r="10" spans="1:11">
      <c r="A10" s="44">
        <v>1.1000000000000001</v>
      </c>
      <c r="B10" s="44" t="s">
        <v>313</v>
      </c>
      <c r="C10" s="44" t="s">
        <v>306</v>
      </c>
      <c r="D10" s="44"/>
      <c r="E10" s="44"/>
      <c r="F10" s="44"/>
      <c r="G10" s="44"/>
      <c r="H10" s="44"/>
      <c r="I10" s="44"/>
      <c r="J10" s="44">
        <f>AVERAGE(J11:J12)</f>
        <v>42.945300000000003</v>
      </c>
      <c r="K10" s="44"/>
    </row>
    <row r="11" spans="1:11">
      <c r="A11" s="44"/>
      <c r="B11" s="44"/>
      <c r="C11" s="44"/>
      <c r="D11" s="44">
        <v>1</v>
      </c>
      <c r="E11" s="44">
        <v>6.16</v>
      </c>
      <c r="F11" s="44"/>
      <c r="G11" s="44"/>
      <c r="H11" s="44">
        <v>7.16</v>
      </c>
      <c r="I11" s="44"/>
      <c r="J11" s="44">
        <f>D11*E11*H11</f>
        <v>44.105600000000003</v>
      </c>
      <c r="K11" s="44" t="s">
        <v>519</v>
      </c>
    </row>
    <row r="12" spans="1:11">
      <c r="A12" s="44"/>
      <c r="B12" s="44"/>
      <c r="C12" s="44"/>
      <c r="D12" s="44">
        <v>1</v>
      </c>
      <c r="E12" s="44"/>
      <c r="F12" s="44">
        <v>6.1</v>
      </c>
      <c r="G12" s="44"/>
      <c r="H12" s="44">
        <v>6.85</v>
      </c>
      <c r="I12" s="44"/>
      <c r="J12" s="44">
        <f>D12*F12*H12</f>
        <v>41.784999999999997</v>
      </c>
      <c r="K12" s="44" t="s">
        <v>520</v>
      </c>
    </row>
    <row r="13" spans="1:11">
      <c r="A13" s="44"/>
      <c r="B13" s="44"/>
      <c r="C13" s="44"/>
      <c r="D13" s="44"/>
      <c r="E13" s="44"/>
      <c r="F13" s="44"/>
      <c r="G13" s="44"/>
      <c r="H13" s="44"/>
      <c r="I13" s="44"/>
      <c r="J13" s="44"/>
      <c r="K13" s="44"/>
    </row>
    <row r="14" spans="1:11">
      <c r="A14" s="44">
        <v>1.2</v>
      </c>
      <c r="B14" s="44" t="s">
        <v>314</v>
      </c>
      <c r="C14" s="44" t="s">
        <v>306</v>
      </c>
      <c r="D14" s="44">
        <v>1</v>
      </c>
      <c r="E14" s="44">
        <v>6.8</v>
      </c>
      <c r="F14" s="44">
        <v>7</v>
      </c>
      <c r="G14" s="44">
        <v>7.4999999999999997E-2</v>
      </c>
      <c r="H14" s="44"/>
      <c r="I14" s="44"/>
      <c r="J14" s="44">
        <f>D14*E14*F14*G14</f>
        <v>3.57</v>
      </c>
      <c r="K14" s="44"/>
    </row>
    <row r="15" spans="1:11">
      <c r="A15" s="44"/>
      <c r="B15" s="44"/>
      <c r="C15" s="44"/>
      <c r="D15" s="44"/>
      <c r="E15" s="44"/>
      <c r="F15" s="44"/>
      <c r="G15" s="44"/>
      <c r="H15" s="44"/>
      <c r="I15" s="44"/>
      <c r="J15" s="44"/>
      <c r="K15" s="44"/>
    </row>
    <row r="16" spans="1:11">
      <c r="A16" s="44">
        <v>1.3</v>
      </c>
      <c r="B16" s="44" t="s">
        <v>315</v>
      </c>
      <c r="C16" s="44" t="s">
        <v>306</v>
      </c>
      <c r="D16" s="44"/>
      <c r="E16" s="44"/>
      <c r="F16" s="44"/>
      <c r="G16" s="44"/>
      <c r="H16" s="44"/>
      <c r="I16" s="44"/>
      <c r="J16" s="44"/>
      <c r="K16" s="44"/>
    </row>
    <row r="17" spans="1:11">
      <c r="A17" s="44"/>
      <c r="B17" s="44" t="s">
        <v>530</v>
      </c>
      <c r="C17" s="44"/>
      <c r="D17" s="44"/>
      <c r="E17" s="44"/>
      <c r="F17" s="44"/>
      <c r="G17" s="44"/>
      <c r="H17" s="44"/>
      <c r="I17" s="44"/>
      <c r="J17" s="44"/>
      <c r="K17" s="44"/>
    </row>
    <row r="18" spans="1:11">
      <c r="A18" s="44"/>
      <c r="B18" s="44" t="s">
        <v>545</v>
      </c>
      <c r="C18" s="44"/>
      <c r="D18" s="44">
        <v>1</v>
      </c>
      <c r="E18" s="44">
        <v>2.29</v>
      </c>
      <c r="F18" s="44"/>
      <c r="G18" s="44"/>
      <c r="H18" s="44">
        <v>1.98</v>
      </c>
      <c r="I18" s="44"/>
      <c r="J18" s="44">
        <f>D18*E18*H18</f>
        <v>4.5342000000000002</v>
      </c>
      <c r="K18" s="44" t="s">
        <v>531</v>
      </c>
    </row>
    <row r="19" spans="1:11">
      <c r="A19" s="44"/>
      <c r="B19" s="44" t="s">
        <v>546</v>
      </c>
      <c r="C19" s="44"/>
      <c r="D19" s="44">
        <v>1</v>
      </c>
      <c r="E19" s="44">
        <v>3.86</v>
      </c>
      <c r="F19" s="44"/>
      <c r="G19" s="44"/>
      <c r="H19" s="44">
        <v>3.16</v>
      </c>
      <c r="I19" s="44"/>
      <c r="J19" s="44">
        <f>D19*E19*H19</f>
        <v>12.1976</v>
      </c>
      <c r="K19" s="44"/>
    </row>
    <row r="20" spans="1:11">
      <c r="A20" s="44"/>
      <c r="B20" s="44" t="s">
        <v>547</v>
      </c>
      <c r="C20" s="44"/>
      <c r="D20" s="44">
        <v>1</v>
      </c>
      <c r="E20" s="44">
        <v>4.5199999999999996</v>
      </c>
      <c r="F20" s="44"/>
      <c r="G20" s="44"/>
      <c r="H20" s="44">
        <v>2.59</v>
      </c>
      <c r="I20" s="44"/>
      <c r="J20" s="44">
        <f>D20*E20*H20</f>
        <v>11.706799999999998</v>
      </c>
      <c r="K20" s="44"/>
    </row>
    <row r="21" spans="1:11">
      <c r="A21" s="44"/>
      <c r="B21" s="44" t="s">
        <v>336</v>
      </c>
      <c r="C21" s="44"/>
      <c r="D21" s="44">
        <v>1</v>
      </c>
      <c r="E21" s="44"/>
      <c r="F21" s="44">
        <v>5.5</v>
      </c>
      <c r="G21" s="44"/>
      <c r="H21" s="44">
        <v>4.9000000000000004</v>
      </c>
      <c r="I21" s="44"/>
      <c r="J21" s="44">
        <f>D21*F21*H21</f>
        <v>26.950000000000003</v>
      </c>
      <c r="K21" s="44" t="s">
        <v>532</v>
      </c>
    </row>
    <row r="22" spans="1:11">
      <c r="A22" s="44"/>
      <c r="B22" s="44" t="s">
        <v>533</v>
      </c>
      <c r="C22" s="44"/>
      <c r="D22" s="44">
        <v>1</v>
      </c>
      <c r="E22" s="44">
        <v>2.2000000000000002</v>
      </c>
      <c r="F22" s="44"/>
      <c r="G22" s="44"/>
      <c r="H22" s="44">
        <v>0.16</v>
      </c>
      <c r="I22" s="44"/>
      <c r="J22" s="44">
        <f>D22*E22*H22</f>
        <v>0.35200000000000004</v>
      </c>
      <c r="K22" s="44"/>
    </row>
    <row r="23" spans="1:11">
      <c r="A23" s="44"/>
      <c r="B23" s="44"/>
      <c r="C23" s="44"/>
      <c r="D23" s="44"/>
      <c r="E23" s="44"/>
      <c r="F23" s="44"/>
      <c r="G23" s="44"/>
      <c r="H23" s="44"/>
      <c r="I23" s="44"/>
      <c r="J23" s="44">
        <f>SUM(J18:J22)</f>
        <v>55.740599999999993</v>
      </c>
      <c r="K23" s="44"/>
    </row>
    <row r="24" spans="1:11">
      <c r="A24" s="44"/>
      <c r="B24" s="44"/>
      <c r="C24" s="44"/>
      <c r="D24" s="44"/>
      <c r="E24" s="44"/>
      <c r="F24" s="44"/>
      <c r="G24" s="44"/>
      <c r="H24" s="44"/>
      <c r="I24" s="44"/>
      <c r="J24" s="44"/>
      <c r="K24" s="44"/>
    </row>
    <row r="25" spans="1:11">
      <c r="A25" s="44">
        <v>1.4</v>
      </c>
      <c r="B25" s="44" t="s">
        <v>389</v>
      </c>
      <c r="C25" s="44" t="s">
        <v>306</v>
      </c>
      <c r="D25" s="44">
        <v>1</v>
      </c>
      <c r="E25" s="44">
        <v>5.5</v>
      </c>
      <c r="F25" s="44"/>
      <c r="G25" s="44"/>
      <c r="H25" s="44">
        <v>2.74</v>
      </c>
      <c r="I25" s="44"/>
      <c r="J25" s="44">
        <f>D25*E25*H25</f>
        <v>15.07</v>
      </c>
      <c r="K25" s="44" t="s">
        <v>537</v>
      </c>
    </row>
    <row r="26" spans="1:11">
      <c r="A26" s="44"/>
      <c r="B26" s="44"/>
      <c r="C26" s="44"/>
      <c r="D26" s="44"/>
      <c r="E26" s="44"/>
      <c r="F26" s="44"/>
      <c r="G26" s="44"/>
      <c r="H26" s="44"/>
      <c r="I26" s="44"/>
      <c r="J26" s="44"/>
      <c r="K26" s="44"/>
    </row>
    <row r="27" spans="1:11">
      <c r="A27" s="44">
        <v>1.5</v>
      </c>
      <c r="B27" s="44" t="s">
        <v>101</v>
      </c>
      <c r="C27" s="44" t="s">
        <v>85</v>
      </c>
      <c r="D27" s="44"/>
      <c r="E27" s="44"/>
      <c r="F27" s="44"/>
      <c r="G27" s="44"/>
      <c r="H27" s="44"/>
      <c r="I27" s="44"/>
      <c r="J27" s="44"/>
      <c r="K27" s="44"/>
    </row>
    <row r="28" spans="1:11">
      <c r="A28" s="44"/>
      <c r="B28" s="44" t="s">
        <v>544</v>
      </c>
      <c r="C28" s="44"/>
      <c r="D28" s="44"/>
      <c r="E28" s="44"/>
      <c r="F28" s="44"/>
      <c r="G28" s="44"/>
      <c r="H28" s="44"/>
      <c r="I28" s="44"/>
      <c r="J28" s="44"/>
      <c r="K28" s="44"/>
    </row>
    <row r="29" spans="1:11">
      <c r="A29" s="44"/>
      <c r="B29" s="44" t="s">
        <v>548</v>
      </c>
      <c r="C29" s="44"/>
      <c r="D29" s="44">
        <v>2</v>
      </c>
      <c r="E29" s="44">
        <v>10.67</v>
      </c>
      <c r="F29" s="44"/>
      <c r="G29" s="44">
        <v>4.5999999999999996</v>
      </c>
      <c r="H29" s="44"/>
      <c r="I29" s="44"/>
      <c r="J29" s="44">
        <f>D29*E29*G29</f>
        <v>98.163999999999987</v>
      </c>
      <c r="K29" s="44"/>
    </row>
    <row r="30" spans="1:11">
      <c r="A30" s="44"/>
      <c r="B30" s="44" t="s">
        <v>549</v>
      </c>
      <c r="C30" s="44"/>
      <c r="D30" s="44">
        <v>2</v>
      </c>
      <c r="E30" s="44"/>
      <c r="F30" s="44"/>
      <c r="G30" s="44"/>
      <c r="H30" s="44">
        <v>3.16</v>
      </c>
      <c r="I30" s="44"/>
      <c r="J30" s="44">
        <f>D30*H30</f>
        <v>6.32</v>
      </c>
      <c r="K30" s="44"/>
    </row>
    <row r="31" spans="1:11">
      <c r="A31" s="44"/>
      <c r="B31" s="44" t="s">
        <v>538</v>
      </c>
      <c r="C31" s="44"/>
      <c r="D31" s="44">
        <v>1</v>
      </c>
      <c r="E31" s="44">
        <f>E25</f>
        <v>5.5</v>
      </c>
      <c r="F31" s="44"/>
      <c r="G31" s="44">
        <v>1.25</v>
      </c>
      <c r="H31" s="44"/>
      <c r="I31" s="44"/>
      <c r="J31" s="44">
        <f>D31*E31*G31</f>
        <v>6.875</v>
      </c>
      <c r="K31" s="44" t="s">
        <v>550</v>
      </c>
    </row>
    <row r="32" spans="1:11">
      <c r="A32" s="44"/>
      <c r="B32" s="44" t="s">
        <v>383</v>
      </c>
      <c r="C32" s="44"/>
      <c r="D32" s="44">
        <v>2</v>
      </c>
      <c r="E32" s="44"/>
      <c r="F32" s="44"/>
      <c r="G32" s="44"/>
      <c r="H32" s="44">
        <v>7.65</v>
      </c>
      <c r="I32" s="44"/>
      <c r="J32" s="44">
        <f>D32*H32</f>
        <v>15.3</v>
      </c>
      <c r="K32" s="44" t="s">
        <v>537</v>
      </c>
    </row>
    <row r="33" spans="1:11">
      <c r="A33" s="44"/>
      <c r="B33" s="44" t="s">
        <v>539</v>
      </c>
      <c r="C33" s="44"/>
      <c r="D33" s="44">
        <v>1</v>
      </c>
      <c r="E33" s="44">
        <f>E31</f>
        <v>5.5</v>
      </c>
      <c r="F33" s="44"/>
      <c r="G33" s="44">
        <v>1</v>
      </c>
      <c r="H33" s="44"/>
      <c r="I33" s="44"/>
      <c r="J33" s="44">
        <f>D33*E33*G33</f>
        <v>5.5</v>
      </c>
      <c r="K33" s="44" t="s">
        <v>540</v>
      </c>
    </row>
    <row r="34" spans="1:11">
      <c r="A34" s="44"/>
      <c r="B34" s="44" t="s">
        <v>533</v>
      </c>
      <c r="C34" s="44"/>
      <c r="D34" s="44">
        <v>1</v>
      </c>
      <c r="E34" s="44">
        <f>E22</f>
        <v>2.2000000000000002</v>
      </c>
      <c r="F34" s="44"/>
      <c r="G34" s="44">
        <v>0.81</v>
      </c>
      <c r="H34" s="44"/>
      <c r="I34" s="44"/>
      <c r="J34" s="44">
        <f>D34*E34*G34</f>
        <v>1.7820000000000003</v>
      </c>
      <c r="K34" s="44"/>
    </row>
    <row r="35" spans="1:11">
      <c r="A35" s="44"/>
      <c r="B35" s="44" t="s">
        <v>541</v>
      </c>
      <c r="C35" s="44"/>
      <c r="D35" s="44"/>
      <c r="E35" s="44"/>
      <c r="F35" s="44"/>
      <c r="G35" s="44"/>
      <c r="H35" s="44"/>
      <c r="I35" s="44"/>
      <c r="J35" s="44"/>
      <c r="K35" s="44"/>
    </row>
    <row r="36" spans="1:11">
      <c r="A36" s="44"/>
      <c r="B36" s="44" t="s">
        <v>542</v>
      </c>
      <c r="C36" s="44"/>
      <c r="D36" s="44">
        <v>2</v>
      </c>
      <c r="E36" s="44"/>
      <c r="F36" s="44"/>
      <c r="G36" s="44"/>
      <c r="H36" s="44">
        <v>2.74</v>
      </c>
      <c r="I36" s="44"/>
      <c r="J36" s="44">
        <f>D36*H36</f>
        <v>5.48</v>
      </c>
      <c r="K36" s="44" t="s">
        <v>537</v>
      </c>
    </row>
    <row r="37" spans="1:11">
      <c r="A37" s="44"/>
      <c r="B37" s="44" t="s">
        <v>543</v>
      </c>
      <c r="C37" s="44"/>
      <c r="D37" s="44">
        <v>2</v>
      </c>
      <c r="E37" s="44">
        <f>+E33-(2*0.3)</f>
        <v>4.9000000000000004</v>
      </c>
      <c r="F37" s="44"/>
      <c r="G37" s="44">
        <v>0.3</v>
      </c>
      <c r="H37" s="44"/>
      <c r="I37" s="44"/>
      <c r="J37" s="44">
        <f>D37*E37*G37</f>
        <v>2.94</v>
      </c>
      <c r="K37" s="44"/>
    </row>
    <row r="38" spans="1:11">
      <c r="A38" s="44"/>
      <c r="B38" s="44"/>
      <c r="C38" s="44"/>
      <c r="D38" s="44"/>
      <c r="E38" s="44"/>
      <c r="F38" s="44"/>
      <c r="G38" s="44"/>
      <c r="H38" s="44"/>
      <c r="I38" s="44"/>
      <c r="J38" s="44"/>
      <c r="K38" s="44"/>
    </row>
    <row r="39" spans="1:11">
      <c r="A39" s="44"/>
      <c r="B39" s="44"/>
      <c r="C39" s="44"/>
      <c r="D39" s="44"/>
      <c r="E39" s="44"/>
      <c r="F39" s="44"/>
      <c r="G39" s="44"/>
      <c r="H39" s="44"/>
      <c r="I39" s="44"/>
      <c r="J39" s="44">
        <f>SUM(J29:J38)</f>
        <v>142.36099999999999</v>
      </c>
      <c r="K39" s="44"/>
    </row>
    <row r="40" spans="1:11">
      <c r="A40" s="44"/>
      <c r="B40" s="44"/>
      <c r="C40" s="44"/>
      <c r="D40" s="44"/>
      <c r="E40" s="44"/>
      <c r="F40" s="44"/>
      <c r="G40" s="44"/>
      <c r="H40" s="44"/>
      <c r="I40" s="44"/>
      <c r="J40" s="44"/>
      <c r="K40" s="44"/>
    </row>
    <row r="41" spans="1:11">
      <c r="A41" s="44">
        <v>1.6</v>
      </c>
      <c r="B41" s="44" t="s">
        <v>24</v>
      </c>
      <c r="C41" s="44" t="s">
        <v>25</v>
      </c>
      <c r="D41" s="44"/>
      <c r="E41" s="44"/>
      <c r="F41" s="44"/>
      <c r="G41" s="44"/>
      <c r="H41" s="44" t="s">
        <v>627</v>
      </c>
      <c r="I41" s="44"/>
      <c r="J41" s="44">
        <f>((0.5/100)*J23*7850)/1000</f>
        <v>2.1878185499999998</v>
      </c>
      <c r="K41" s="44"/>
    </row>
    <row r="42" spans="1:11">
      <c r="A42" s="44"/>
      <c r="B42" s="44"/>
      <c r="C42" s="44"/>
      <c r="D42" s="44"/>
      <c r="E42" s="44"/>
      <c r="F42" s="44"/>
      <c r="G42" s="44"/>
      <c r="H42" s="44"/>
      <c r="I42" s="44"/>
      <c r="J42" s="44"/>
      <c r="K42" s="44"/>
    </row>
    <row r="43" spans="1:11">
      <c r="A43" s="44"/>
      <c r="B43" s="44"/>
      <c r="C43" s="44"/>
      <c r="D43" s="44"/>
      <c r="E43" s="44"/>
      <c r="F43" s="44"/>
      <c r="G43" s="44"/>
      <c r="H43" s="44"/>
      <c r="I43" s="44"/>
      <c r="J43" s="44"/>
      <c r="K43" s="44"/>
    </row>
    <row r="44" spans="1:11">
      <c r="A44" s="44">
        <v>2</v>
      </c>
      <c r="B44" s="239" t="s">
        <v>551</v>
      </c>
      <c r="C44" s="44"/>
      <c r="D44" s="44"/>
      <c r="E44" s="44"/>
      <c r="F44" s="44"/>
      <c r="G44" s="44"/>
      <c r="H44" s="44"/>
      <c r="I44" s="44"/>
      <c r="J44" s="44"/>
      <c r="K44" s="44"/>
    </row>
    <row r="45" spans="1:11">
      <c r="A45" s="44">
        <v>2.1</v>
      </c>
      <c r="B45" s="44" t="s">
        <v>313</v>
      </c>
      <c r="C45" s="44" t="s">
        <v>306</v>
      </c>
      <c r="D45" s="44">
        <v>1</v>
      </c>
      <c r="E45" s="44"/>
      <c r="F45" s="44">
        <v>1.7</v>
      </c>
      <c r="G45" s="44"/>
      <c r="H45" s="44">
        <v>3.58</v>
      </c>
      <c r="I45" s="44"/>
      <c r="J45" s="44">
        <f>D45*F45*H45</f>
        <v>6.0860000000000003</v>
      </c>
      <c r="K45" s="44" t="s">
        <v>552</v>
      </c>
    </row>
    <row r="46" spans="1:11">
      <c r="A46" s="44"/>
      <c r="B46" s="44"/>
      <c r="C46" s="44"/>
      <c r="D46" s="44"/>
      <c r="E46" s="44"/>
      <c r="F46" s="44"/>
      <c r="G46" s="44"/>
      <c r="H46" s="44"/>
      <c r="I46" s="44"/>
      <c r="J46" s="44"/>
      <c r="K46" s="44"/>
    </row>
    <row r="47" spans="1:11">
      <c r="A47" s="44">
        <v>2.2000000000000002</v>
      </c>
      <c r="B47" s="44" t="s">
        <v>314</v>
      </c>
      <c r="C47" s="44" t="s">
        <v>306</v>
      </c>
      <c r="D47" s="44">
        <v>1</v>
      </c>
      <c r="E47" s="44">
        <f>2.83+2.7+0.3</f>
        <v>5.83</v>
      </c>
      <c r="F47" s="44">
        <f>F45</f>
        <v>1.7</v>
      </c>
      <c r="G47" s="44">
        <v>7.4999999999999997E-2</v>
      </c>
      <c r="H47" s="44"/>
      <c r="I47" s="44"/>
      <c r="J47" s="44">
        <f>D47*E47*F47*G47</f>
        <v>0.7433249999999999</v>
      </c>
      <c r="K47" s="44" t="s">
        <v>552</v>
      </c>
    </row>
    <row r="48" spans="1:11">
      <c r="A48" s="44"/>
      <c r="B48" s="44"/>
      <c r="C48" s="44"/>
      <c r="D48" s="44"/>
      <c r="E48" s="44"/>
      <c r="F48" s="44"/>
      <c r="G48" s="44"/>
      <c r="H48" s="44"/>
      <c r="I48" s="44"/>
      <c r="J48" s="44"/>
      <c r="K48" s="44"/>
    </row>
    <row r="49" spans="1:11">
      <c r="A49" s="44">
        <v>2.2999999999999998</v>
      </c>
      <c r="B49" s="44" t="s">
        <v>315</v>
      </c>
      <c r="C49" s="44" t="s">
        <v>306</v>
      </c>
      <c r="D49" s="44"/>
      <c r="E49" s="44"/>
      <c r="F49" s="44"/>
      <c r="G49" s="44"/>
      <c r="H49" s="44"/>
      <c r="I49" s="44"/>
      <c r="J49" s="44"/>
      <c r="K49" s="44"/>
    </row>
    <row r="50" spans="1:11">
      <c r="A50" s="44"/>
      <c r="B50" s="44" t="s">
        <v>553</v>
      </c>
      <c r="C50" s="44"/>
      <c r="D50" s="44">
        <v>1</v>
      </c>
      <c r="E50" s="44"/>
      <c r="F50" s="44">
        <f>AVERAGE(2.68,1)</f>
        <v>1.84</v>
      </c>
      <c r="G50" s="44"/>
      <c r="H50" s="44">
        <v>0.56999999999999995</v>
      </c>
      <c r="I50" s="44"/>
      <c r="J50" s="44">
        <f>D50*F50*H50</f>
        <v>1.0488</v>
      </c>
      <c r="K50" s="44" t="s">
        <v>552</v>
      </c>
    </row>
    <row r="51" spans="1:11">
      <c r="A51" s="44"/>
      <c r="B51" s="44" t="s">
        <v>392</v>
      </c>
      <c r="C51" s="44"/>
      <c r="D51" s="44">
        <v>1</v>
      </c>
      <c r="E51" s="44"/>
      <c r="F51" s="44">
        <v>1</v>
      </c>
      <c r="G51" s="44"/>
      <c r="H51" s="44">
        <v>1.37</v>
      </c>
      <c r="I51" s="44"/>
      <c r="J51" s="44">
        <f>D51*F51*H51</f>
        <v>1.37</v>
      </c>
      <c r="K51" s="44"/>
    </row>
    <row r="52" spans="1:11">
      <c r="A52" s="44"/>
      <c r="B52" s="44" t="s">
        <v>554</v>
      </c>
      <c r="C52" s="44"/>
      <c r="D52" s="44">
        <v>2</v>
      </c>
      <c r="E52" s="44"/>
      <c r="F52" s="44"/>
      <c r="G52" s="44"/>
      <c r="H52" s="44"/>
      <c r="I52" s="44"/>
      <c r="J52" s="44"/>
      <c r="K52" s="44"/>
    </row>
    <row r="53" spans="1:11">
      <c r="A53" s="44"/>
      <c r="B53" s="44" t="s">
        <v>555</v>
      </c>
      <c r="C53" s="44"/>
      <c r="D53" s="44">
        <v>2</v>
      </c>
      <c r="E53" s="44">
        <v>1.5</v>
      </c>
      <c r="F53" s="44">
        <v>0.35</v>
      </c>
      <c r="G53" s="44">
        <v>4.68</v>
      </c>
      <c r="H53" s="44"/>
      <c r="I53" s="44"/>
      <c r="J53" s="44">
        <f>D53*E53*F53*G53</f>
        <v>4.9139999999999988</v>
      </c>
      <c r="K53" s="44" t="s">
        <v>556</v>
      </c>
    </row>
    <row r="54" spans="1:11">
      <c r="A54" s="44"/>
      <c r="B54" s="44" t="s">
        <v>557</v>
      </c>
      <c r="C54" s="44"/>
      <c r="D54" s="44">
        <v>2</v>
      </c>
      <c r="E54" s="44">
        <v>2.2999999999999998</v>
      </c>
      <c r="F54" s="44">
        <f>F53</f>
        <v>0.35</v>
      </c>
      <c r="G54" s="44">
        <v>2.6</v>
      </c>
      <c r="H54" s="44"/>
      <c r="I54" s="44"/>
      <c r="J54" s="44">
        <f>D54*E54*F54*G54</f>
        <v>4.1859999999999999</v>
      </c>
      <c r="K54" s="44"/>
    </row>
    <row r="55" spans="1:11">
      <c r="A55" s="44"/>
      <c r="B55" s="44" t="s">
        <v>558</v>
      </c>
      <c r="C55" s="44"/>
      <c r="D55" s="44">
        <v>1</v>
      </c>
      <c r="E55" s="44"/>
      <c r="F55" s="44">
        <v>1</v>
      </c>
      <c r="G55" s="44"/>
      <c r="H55" s="44">
        <v>0.75</v>
      </c>
      <c r="I55" s="44"/>
      <c r="J55" s="44">
        <f>D55*F55*H55</f>
        <v>0.75</v>
      </c>
      <c r="K55" s="44" t="s">
        <v>552</v>
      </c>
    </row>
    <row r="56" spans="1:11">
      <c r="A56" s="44"/>
      <c r="B56" s="44"/>
      <c r="C56" s="44"/>
      <c r="D56" s="44"/>
      <c r="E56" s="44"/>
      <c r="F56" s="44"/>
      <c r="G56" s="44"/>
      <c r="H56" s="44"/>
      <c r="I56" s="44"/>
      <c r="J56" s="44"/>
      <c r="K56" s="44"/>
    </row>
    <row r="57" spans="1:11">
      <c r="A57" s="44"/>
      <c r="B57" s="44"/>
      <c r="C57" s="44"/>
      <c r="D57" s="44"/>
      <c r="E57" s="44"/>
      <c r="F57" s="44"/>
      <c r="G57" s="44"/>
      <c r="H57" s="44"/>
      <c r="I57" s="44"/>
      <c r="J57" s="44">
        <f>SUM(J50:J55)</f>
        <v>12.268799999999999</v>
      </c>
      <c r="K57" s="44"/>
    </row>
    <row r="58" spans="1:11">
      <c r="A58" s="44">
        <v>2.4</v>
      </c>
      <c r="B58" s="44" t="s">
        <v>101</v>
      </c>
      <c r="C58" s="44" t="s">
        <v>85</v>
      </c>
      <c r="D58" s="44"/>
      <c r="E58" s="44"/>
      <c r="F58" s="44"/>
      <c r="G58" s="44"/>
      <c r="H58" s="44"/>
      <c r="I58" s="44"/>
      <c r="J58" s="44"/>
      <c r="K58" s="44"/>
    </row>
    <row r="59" spans="1:11">
      <c r="A59" s="44"/>
      <c r="B59" s="44" t="s">
        <v>553</v>
      </c>
      <c r="C59" s="44"/>
      <c r="D59" s="44">
        <v>1</v>
      </c>
      <c r="E59" s="44">
        <v>2.84</v>
      </c>
      <c r="F59" s="44"/>
      <c r="G59" s="44">
        <v>0.2</v>
      </c>
      <c r="H59" s="44"/>
      <c r="I59" s="44"/>
      <c r="J59" s="44">
        <f>D59*E59*G59</f>
        <v>0.56799999999999995</v>
      </c>
      <c r="K59" s="44"/>
    </row>
    <row r="60" spans="1:11">
      <c r="A60" s="44"/>
      <c r="B60" s="44" t="s">
        <v>392</v>
      </c>
      <c r="C60" s="44"/>
      <c r="D60" s="44">
        <v>2</v>
      </c>
      <c r="E60" s="44"/>
      <c r="F60" s="44"/>
      <c r="G60" s="44"/>
      <c r="H60" s="44">
        <f>H51</f>
        <v>1.37</v>
      </c>
      <c r="I60" s="44"/>
      <c r="J60" s="44">
        <f>D60*H60</f>
        <v>2.74</v>
      </c>
      <c r="K60" s="44"/>
    </row>
    <row r="61" spans="1:11">
      <c r="A61" s="44"/>
      <c r="B61" s="44" t="s">
        <v>554</v>
      </c>
      <c r="C61" s="44"/>
      <c r="D61" s="44"/>
      <c r="E61" s="44"/>
      <c r="F61" s="44"/>
      <c r="G61" s="44"/>
      <c r="H61" s="44"/>
      <c r="I61" s="44"/>
      <c r="J61" s="44"/>
      <c r="K61" s="44"/>
    </row>
    <row r="62" spans="1:11">
      <c r="A62" s="44"/>
      <c r="B62" s="44" t="s">
        <v>555</v>
      </c>
      <c r="C62" s="44"/>
      <c r="D62" s="44">
        <v>2</v>
      </c>
      <c r="E62" s="44">
        <f>E53</f>
        <v>1.5</v>
      </c>
      <c r="F62" s="44"/>
      <c r="G62" s="44">
        <f>G53</f>
        <v>4.68</v>
      </c>
      <c r="H62" s="44"/>
      <c r="I62" s="44"/>
      <c r="J62" s="44">
        <f>D62*E62*G62</f>
        <v>14.04</v>
      </c>
      <c r="K62" s="44" t="s">
        <v>556</v>
      </c>
    </row>
    <row r="63" spans="1:11">
      <c r="A63" s="44"/>
      <c r="B63" s="44"/>
      <c r="C63" s="44"/>
      <c r="D63" s="44">
        <v>2</v>
      </c>
      <c r="E63" s="44">
        <f>E62</f>
        <v>1.5</v>
      </c>
      <c r="F63" s="44"/>
      <c r="G63" s="44">
        <v>4.13</v>
      </c>
      <c r="H63" s="44"/>
      <c r="I63" s="44"/>
      <c r="J63" s="44">
        <f>D63*E63*G63</f>
        <v>12.39</v>
      </c>
      <c r="K63" s="44"/>
    </row>
    <row r="64" spans="1:11">
      <c r="A64" s="44"/>
      <c r="B64" s="44" t="s">
        <v>557</v>
      </c>
      <c r="C64" s="44"/>
      <c r="D64" s="44">
        <v>2</v>
      </c>
      <c r="E64" s="44">
        <f>E54</f>
        <v>2.2999999999999998</v>
      </c>
      <c r="F64" s="44"/>
      <c r="G64" s="44">
        <f>G54</f>
        <v>2.6</v>
      </c>
      <c r="H64" s="44"/>
      <c r="I64" s="44"/>
      <c r="J64" s="44">
        <f>D64*E64*G64</f>
        <v>11.959999999999999</v>
      </c>
      <c r="K64" s="44"/>
    </row>
    <row r="65" spans="1:11">
      <c r="A65" s="44"/>
      <c r="B65" s="44"/>
      <c r="C65" s="44"/>
      <c r="D65" s="44">
        <v>2</v>
      </c>
      <c r="E65" s="44">
        <f>E64</f>
        <v>2.2999999999999998</v>
      </c>
      <c r="F65" s="44"/>
      <c r="G65" s="44">
        <f>G64-0.2-0.35</f>
        <v>2.0499999999999998</v>
      </c>
      <c r="H65" s="44"/>
      <c r="I65" s="44"/>
      <c r="J65" s="44">
        <f>D65*E65*G65</f>
        <v>9.4299999999999979</v>
      </c>
      <c r="K65" s="44"/>
    </row>
    <row r="66" spans="1:11">
      <c r="A66" s="44"/>
      <c r="B66" s="44" t="s">
        <v>388</v>
      </c>
      <c r="C66" s="44"/>
      <c r="D66" s="44">
        <v>1</v>
      </c>
      <c r="E66" s="44">
        <f>E62</f>
        <v>1.5</v>
      </c>
      <c r="F66" s="44">
        <v>1</v>
      </c>
      <c r="G66" s="44"/>
      <c r="H66" s="44"/>
      <c r="I66" s="44"/>
      <c r="J66" s="44">
        <f>D66*E66*F66</f>
        <v>1.5</v>
      </c>
      <c r="K66" s="44" t="s">
        <v>556</v>
      </c>
    </row>
    <row r="67" spans="1:11">
      <c r="A67" s="44"/>
      <c r="B67" s="44" t="s">
        <v>559</v>
      </c>
      <c r="C67" s="44"/>
      <c r="D67" s="44">
        <v>2</v>
      </c>
      <c r="E67" s="44"/>
      <c r="F67" s="44">
        <f>F55</f>
        <v>1</v>
      </c>
      <c r="G67" s="44">
        <v>2.98</v>
      </c>
      <c r="H67" s="44"/>
      <c r="I67" s="44"/>
      <c r="J67" s="44">
        <f>D67*F67*G67</f>
        <v>5.96</v>
      </c>
      <c r="K67" s="44" t="s">
        <v>552</v>
      </c>
    </row>
    <row r="68" spans="1:11">
      <c r="A68" s="44"/>
      <c r="B68" s="44"/>
      <c r="C68" s="44"/>
      <c r="D68" s="44"/>
      <c r="E68" s="44"/>
      <c r="F68" s="44"/>
      <c r="G68" s="44"/>
      <c r="H68" s="44"/>
      <c r="I68" s="44"/>
      <c r="J68" s="44">
        <f>SUM(J59:J67)</f>
        <v>58.588000000000001</v>
      </c>
      <c r="K68" s="44"/>
    </row>
    <row r="69" spans="1:11">
      <c r="A69" s="44"/>
      <c r="B69" s="44"/>
      <c r="C69" s="44"/>
      <c r="D69" s="44"/>
      <c r="E69" s="44"/>
      <c r="F69" s="44"/>
      <c r="G69" s="44"/>
      <c r="H69" s="44"/>
      <c r="I69" s="44"/>
      <c r="J69" s="44"/>
      <c r="K69" s="44"/>
    </row>
    <row r="70" spans="1:11">
      <c r="A70" s="44">
        <v>2.5</v>
      </c>
      <c r="B70" s="44" t="s">
        <v>24</v>
      </c>
      <c r="C70" s="44" t="s">
        <v>25</v>
      </c>
      <c r="D70" s="44"/>
      <c r="E70" s="44"/>
      <c r="F70" s="44"/>
      <c r="G70" s="44"/>
      <c r="H70" s="44" t="s">
        <v>628</v>
      </c>
      <c r="I70" s="44"/>
      <c r="J70" s="44">
        <f>(0.8%*J57*7850)/1000</f>
        <v>0.77048063999999994</v>
      </c>
      <c r="K70" s="44"/>
    </row>
    <row r="71" spans="1:11">
      <c r="A71" s="44"/>
      <c r="B71" s="44"/>
      <c r="C71" s="44"/>
      <c r="D71" s="44"/>
      <c r="E71" s="44"/>
      <c r="F71" s="44"/>
      <c r="G71" s="44"/>
      <c r="H71" s="44"/>
      <c r="I71" s="44"/>
      <c r="J71" s="44"/>
      <c r="K71" s="44"/>
    </row>
    <row r="72" spans="1:11">
      <c r="A72" s="44">
        <f>A44+1</f>
        <v>3</v>
      </c>
      <c r="B72" s="239" t="s">
        <v>560</v>
      </c>
      <c r="C72" s="44"/>
      <c r="D72" s="44"/>
      <c r="E72" s="44"/>
      <c r="F72" s="44"/>
      <c r="G72" s="44"/>
      <c r="H72" s="44"/>
      <c r="I72" s="44"/>
      <c r="J72" s="44"/>
      <c r="K72" s="44"/>
    </row>
    <row r="73" spans="1:11">
      <c r="A73" s="44">
        <v>3.1</v>
      </c>
      <c r="B73" s="44" t="s">
        <v>313</v>
      </c>
      <c r="C73" s="44" t="s">
        <v>306</v>
      </c>
      <c r="D73" s="44">
        <v>1</v>
      </c>
      <c r="E73" s="44"/>
      <c r="F73" s="44">
        <v>2</v>
      </c>
      <c r="G73" s="44"/>
      <c r="H73" s="44">
        <v>3.33</v>
      </c>
      <c r="I73" s="44"/>
      <c r="J73" s="44">
        <f>D73*F73*H73</f>
        <v>6.66</v>
      </c>
      <c r="K73" s="44" t="s">
        <v>561</v>
      </c>
    </row>
    <row r="74" spans="1:11">
      <c r="A74" s="44"/>
      <c r="B74" s="44"/>
      <c r="C74" s="44"/>
      <c r="D74" s="44">
        <v>1</v>
      </c>
      <c r="E74" s="44">
        <v>2.5</v>
      </c>
      <c r="F74" s="44"/>
      <c r="G74" s="44"/>
      <c r="H74" s="44">
        <v>9.43</v>
      </c>
      <c r="I74" s="44"/>
      <c r="J74" s="44">
        <f>D74*E74*H74</f>
        <v>23.574999999999999</v>
      </c>
      <c r="K74" s="44" t="s">
        <v>556</v>
      </c>
    </row>
    <row r="75" spans="1:11">
      <c r="A75" s="44"/>
      <c r="B75" s="44"/>
      <c r="C75" s="44"/>
      <c r="D75" s="44"/>
      <c r="E75" s="44"/>
      <c r="F75" s="44"/>
      <c r="G75" s="44"/>
      <c r="H75" s="44"/>
      <c r="I75" s="44"/>
      <c r="J75" s="44">
        <f>AVERAGE(J73:J74)</f>
        <v>15.1175</v>
      </c>
      <c r="K75" s="44"/>
    </row>
    <row r="76" spans="1:11">
      <c r="A76" s="44"/>
      <c r="B76" s="44"/>
      <c r="C76" s="44"/>
      <c r="D76" s="44"/>
      <c r="E76" s="44"/>
      <c r="F76" s="44"/>
      <c r="G76" s="44"/>
      <c r="H76" s="44"/>
      <c r="I76" s="44"/>
      <c r="J76" s="44"/>
      <c r="K76" s="44"/>
    </row>
    <row r="77" spans="1:11">
      <c r="A77" s="44">
        <v>3.2</v>
      </c>
      <c r="B77" s="44" t="s">
        <v>314</v>
      </c>
      <c r="C77" s="44" t="s">
        <v>306</v>
      </c>
      <c r="D77" s="44">
        <v>1</v>
      </c>
      <c r="E77" s="44">
        <v>3.4</v>
      </c>
      <c r="F77" s="44">
        <f>F73</f>
        <v>2</v>
      </c>
      <c r="G77" s="44">
        <v>7.4999999999999997E-2</v>
      </c>
      <c r="H77" s="44"/>
      <c r="I77" s="44"/>
      <c r="J77" s="44">
        <f>D77*E77*F77*G77</f>
        <v>0.51</v>
      </c>
      <c r="K77" s="44" t="s">
        <v>552</v>
      </c>
    </row>
    <row r="78" spans="1:11">
      <c r="A78" s="44"/>
      <c r="B78" s="44"/>
      <c r="C78" s="44"/>
      <c r="D78" s="44"/>
      <c r="E78" s="44"/>
      <c r="F78" s="44"/>
      <c r="G78" s="44"/>
      <c r="H78" s="44"/>
      <c r="I78" s="44"/>
      <c r="J78" s="44"/>
      <c r="K78" s="44"/>
    </row>
    <row r="79" spans="1:11">
      <c r="A79" s="44">
        <v>3.3</v>
      </c>
      <c r="B79" s="44" t="s">
        <v>315</v>
      </c>
      <c r="C79" s="44" t="s">
        <v>306</v>
      </c>
      <c r="D79" s="44"/>
      <c r="E79" s="44"/>
      <c r="F79" s="44"/>
      <c r="G79" s="44"/>
      <c r="H79" s="44"/>
      <c r="I79" s="44"/>
      <c r="J79" s="44"/>
      <c r="K79" s="44"/>
    </row>
    <row r="80" spans="1:11">
      <c r="A80" s="44"/>
      <c r="B80" s="44" t="s">
        <v>562</v>
      </c>
      <c r="C80" s="44"/>
      <c r="D80" s="44">
        <v>1</v>
      </c>
      <c r="E80" s="44"/>
      <c r="F80" s="44">
        <v>1.45</v>
      </c>
      <c r="G80" s="44"/>
      <c r="H80" s="44">
        <v>0.84</v>
      </c>
      <c r="I80" s="44"/>
      <c r="J80" s="44">
        <f>D80*F80*H80</f>
        <v>1.218</v>
      </c>
      <c r="K80" s="44" t="s">
        <v>561</v>
      </c>
    </row>
    <row r="81" spans="1:11">
      <c r="A81" s="44"/>
      <c r="B81" s="44" t="s">
        <v>563</v>
      </c>
      <c r="C81" s="44"/>
      <c r="D81" s="44">
        <v>1</v>
      </c>
      <c r="E81" s="44">
        <v>0.63</v>
      </c>
      <c r="F81" s="44">
        <v>0.3</v>
      </c>
      <c r="G81" s="44">
        <v>4.75</v>
      </c>
      <c r="H81" s="44"/>
      <c r="I81" s="44"/>
      <c r="J81" s="44">
        <f>D81*E81*F81*G81</f>
        <v>0.89775000000000005</v>
      </c>
      <c r="K81" s="44"/>
    </row>
    <row r="82" spans="1:11">
      <c r="A82" s="44"/>
      <c r="B82" s="44" t="s">
        <v>564</v>
      </c>
      <c r="C82" s="44"/>
      <c r="D82" s="44">
        <v>1</v>
      </c>
      <c r="E82" s="44"/>
      <c r="F82" s="44">
        <v>1.2</v>
      </c>
      <c r="G82" s="44"/>
      <c r="H82" s="44">
        <v>0.495</v>
      </c>
      <c r="I82" s="44"/>
      <c r="J82" s="44">
        <f>D82*F82*H82</f>
        <v>0.59399999999999997</v>
      </c>
      <c r="K82" s="44"/>
    </row>
    <row r="83" spans="1:11">
      <c r="A83" s="44"/>
      <c r="B83" s="44" t="s">
        <v>565</v>
      </c>
      <c r="C83" s="44"/>
      <c r="D83" s="44">
        <v>1</v>
      </c>
      <c r="E83" s="44">
        <v>2.2000000000000002</v>
      </c>
      <c r="F83" s="44">
        <v>0.3</v>
      </c>
      <c r="G83" s="44">
        <v>2.5499999999999998</v>
      </c>
      <c r="H83" s="44"/>
      <c r="I83" s="44"/>
      <c r="J83" s="44">
        <f>D83*E83*F83*G83</f>
        <v>1.6830000000000001</v>
      </c>
      <c r="K83" s="44"/>
    </row>
    <row r="84" spans="1:11">
      <c r="A84" s="44"/>
      <c r="B84" s="44" t="s">
        <v>566</v>
      </c>
      <c r="C84" s="44"/>
      <c r="D84" s="44">
        <v>1</v>
      </c>
      <c r="E84" s="44">
        <v>2.2999999999999998</v>
      </c>
      <c r="F84" s="44"/>
      <c r="G84" s="44"/>
      <c r="H84" s="44">
        <v>2.15</v>
      </c>
      <c r="I84" s="44"/>
      <c r="J84" s="44">
        <f>D84*E84*H84</f>
        <v>4.9449999999999994</v>
      </c>
      <c r="K84" s="44"/>
    </row>
    <row r="85" spans="1:11">
      <c r="A85" s="44"/>
      <c r="B85" s="44" t="s">
        <v>567</v>
      </c>
      <c r="C85" s="44"/>
      <c r="D85" s="44"/>
      <c r="E85" s="44"/>
      <c r="F85" s="44"/>
      <c r="G85" s="44"/>
      <c r="H85" s="44"/>
      <c r="I85" s="44"/>
      <c r="J85" s="44"/>
      <c r="K85" s="44"/>
    </row>
    <row r="86" spans="1:11">
      <c r="A86" s="44"/>
      <c r="B86" s="44" t="s">
        <v>568</v>
      </c>
      <c r="C86" s="44"/>
      <c r="D86" s="44">
        <v>1</v>
      </c>
      <c r="E86" s="44"/>
      <c r="F86" s="44">
        <v>0.3</v>
      </c>
      <c r="G86" s="44"/>
      <c r="H86" s="44">
        <v>0.4</v>
      </c>
      <c r="I86" s="44"/>
      <c r="J86" s="44">
        <f>D86*F86*H86</f>
        <v>0.12</v>
      </c>
      <c r="K86" s="44"/>
    </row>
    <row r="87" spans="1:11">
      <c r="A87" s="44"/>
      <c r="B87" s="44" t="s">
        <v>569</v>
      </c>
      <c r="C87" s="44"/>
      <c r="D87" s="44">
        <v>1</v>
      </c>
      <c r="E87" s="44"/>
      <c r="F87" s="44">
        <v>0.3</v>
      </c>
      <c r="G87" s="44"/>
      <c r="H87" s="44">
        <v>0.57999999999999996</v>
      </c>
      <c r="I87" s="44"/>
      <c r="J87" s="44">
        <f>D87*F87*H87</f>
        <v>0.17399999999999999</v>
      </c>
      <c r="K87" s="44"/>
    </row>
    <row r="88" spans="1:11">
      <c r="A88" s="44"/>
      <c r="B88" s="44" t="s">
        <v>570</v>
      </c>
      <c r="C88" s="44"/>
      <c r="D88" s="44">
        <v>1</v>
      </c>
      <c r="E88" s="44">
        <v>1.5</v>
      </c>
      <c r="F88" s="44">
        <v>0.3</v>
      </c>
      <c r="G88" s="44">
        <v>0.15</v>
      </c>
      <c r="H88" s="44"/>
      <c r="I88" s="44"/>
      <c r="J88" s="44">
        <f>D88*E88*F88*G88</f>
        <v>6.7499999999999991E-2</v>
      </c>
      <c r="K88" s="44"/>
    </row>
    <row r="89" spans="1:11">
      <c r="A89" s="44"/>
      <c r="B89" s="44" t="s">
        <v>571</v>
      </c>
      <c r="C89" s="44"/>
      <c r="D89" s="44">
        <v>2</v>
      </c>
      <c r="E89" s="44">
        <f>E88</f>
        <v>1.5</v>
      </c>
      <c r="F89" s="44">
        <v>0.15</v>
      </c>
      <c r="G89" s="44">
        <v>0.3</v>
      </c>
      <c r="H89" s="44"/>
      <c r="I89" s="44"/>
      <c r="J89" s="44">
        <f>D89*E89*F89*G89</f>
        <v>0.13499999999999998</v>
      </c>
      <c r="K89" s="44"/>
    </row>
    <row r="90" spans="1:11">
      <c r="A90" s="44"/>
      <c r="B90" s="44"/>
      <c r="C90" s="44"/>
      <c r="D90" s="44"/>
      <c r="E90" s="44"/>
      <c r="F90" s="44"/>
      <c r="G90" s="44"/>
      <c r="H90" s="44"/>
      <c r="I90" s="44"/>
      <c r="J90" s="44">
        <f>SUM(J80:J89)</f>
        <v>9.834249999999999</v>
      </c>
      <c r="K90" s="44"/>
    </row>
    <row r="91" spans="1:11">
      <c r="A91" s="44">
        <v>3.4</v>
      </c>
      <c r="B91" s="44" t="s">
        <v>101</v>
      </c>
      <c r="C91" s="44" t="s">
        <v>85</v>
      </c>
      <c r="D91" s="44"/>
      <c r="E91" s="44"/>
      <c r="F91" s="44"/>
      <c r="G91" s="44"/>
      <c r="H91" s="44"/>
      <c r="I91" s="44"/>
      <c r="J91" s="44"/>
      <c r="K91" s="44"/>
    </row>
    <row r="92" spans="1:11">
      <c r="A92" s="44"/>
      <c r="B92" s="44" t="s">
        <v>562</v>
      </c>
      <c r="C92" s="44"/>
      <c r="D92" s="44"/>
      <c r="E92" s="44"/>
      <c r="F92" s="44"/>
      <c r="G92" s="44"/>
      <c r="H92" s="44"/>
      <c r="I92" s="44"/>
      <c r="J92" s="44"/>
      <c r="K92" s="44"/>
    </row>
    <row r="93" spans="1:11">
      <c r="A93" s="44"/>
      <c r="B93" s="44" t="s">
        <v>543</v>
      </c>
      <c r="C93" s="44"/>
      <c r="D93" s="44">
        <v>2</v>
      </c>
      <c r="E93" s="44"/>
      <c r="F93" s="44"/>
      <c r="G93" s="44"/>
      <c r="H93" s="44">
        <v>0.84</v>
      </c>
      <c r="I93" s="44"/>
      <c r="J93" s="44">
        <f>D93*H93</f>
        <v>1.68</v>
      </c>
      <c r="K93" s="44" t="s">
        <v>561</v>
      </c>
    </row>
    <row r="94" spans="1:11">
      <c r="A94" s="44"/>
      <c r="B94" s="44" t="s">
        <v>572</v>
      </c>
      <c r="C94" s="44"/>
      <c r="D94" s="44">
        <v>1</v>
      </c>
      <c r="E94" s="44"/>
      <c r="F94" s="44">
        <v>1.2</v>
      </c>
      <c r="G94" s="44">
        <v>0.7</v>
      </c>
      <c r="H94" s="44"/>
      <c r="I94" s="44"/>
      <c r="J94" s="44">
        <f>D94*F94*G94</f>
        <v>0.84</v>
      </c>
      <c r="K94" s="44"/>
    </row>
    <row r="95" spans="1:11">
      <c r="A95" s="44"/>
      <c r="B95" s="44" t="s">
        <v>563</v>
      </c>
      <c r="C95" s="44"/>
      <c r="D95" s="44">
        <v>2</v>
      </c>
      <c r="E95" s="44">
        <f>E81</f>
        <v>0.63</v>
      </c>
      <c r="F95" s="44"/>
      <c r="G95" s="44">
        <f>G81</f>
        <v>4.75</v>
      </c>
      <c r="H95" s="44"/>
      <c r="I95" s="44"/>
      <c r="J95" s="44">
        <f>D95*E95*G95</f>
        <v>5.9850000000000003</v>
      </c>
      <c r="K95" s="44"/>
    </row>
    <row r="96" spans="1:11">
      <c r="A96" s="44"/>
      <c r="B96" s="44" t="s">
        <v>565</v>
      </c>
      <c r="C96" s="44"/>
      <c r="D96" s="44">
        <v>2</v>
      </c>
      <c r="E96" s="44">
        <f>E83</f>
        <v>2.2000000000000002</v>
      </c>
      <c r="F96" s="44"/>
      <c r="G96" s="44">
        <f>G83</f>
        <v>2.5499999999999998</v>
      </c>
      <c r="H96" s="44"/>
      <c r="I96" s="44"/>
      <c r="J96" s="44">
        <f>D96*E96*G96</f>
        <v>11.22</v>
      </c>
      <c r="K96" s="44"/>
    </row>
    <row r="97" spans="1:11">
      <c r="A97" s="44"/>
      <c r="B97" s="44" t="s">
        <v>573</v>
      </c>
      <c r="C97" s="44"/>
      <c r="D97" s="44">
        <v>2</v>
      </c>
      <c r="E97" s="44"/>
      <c r="F97" s="44">
        <f>F94</f>
        <v>1.2</v>
      </c>
      <c r="G97" s="44">
        <v>2.2000000000000002</v>
      </c>
      <c r="H97" s="44"/>
      <c r="I97" s="44"/>
      <c r="J97" s="44">
        <f>D97*F97*G97</f>
        <v>5.28</v>
      </c>
      <c r="K97" s="44"/>
    </row>
    <row r="98" spans="1:11">
      <c r="A98" s="44"/>
      <c r="B98" s="44" t="s">
        <v>566</v>
      </c>
      <c r="C98" s="44"/>
      <c r="D98" s="44"/>
      <c r="E98" s="44"/>
      <c r="F98" s="44"/>
      <c r="G98" s="44"/>
      <c r="H98" s="44"/>
      <c r="I98" s="44"/>
      <c r="J98" s="44"/>
      <c r="K98" s="44" t="s">
        <v>556</v>
      </c>
    </row>
    <row r="99" spans="1:11">
      <c r="A99" s="44"/>
      <c r="B99" s="44" t="s">
        <v>574</v>
      </c>
      <c r="C99" s="44"/>
      <c r="D99" s="44">
        <v>2</v>
      </c>
      <c r="E99" s="44"/>
      <c r="F99" s="44"/>
      <c r="G99" s="44"/>
      <c r="H99" s="44">
        <f>H84</f>
        <v>2.15</v>
      </c>
      <c r="I99" s="44"/>
      <c r="J99" s="44">
        <f>D99*H99</f>
        <v>4.3</v>
      </c>
      <c r="K99" s="44"/>
    </row>
    <row r="100" spans="1:11">
      <c r="A100" s="44"/>
      <c r="B100" s="44" t="s">
        <v>575</v>
      </c>
      <c r="C100" s="44"/>
      <c r="D100" s="44">
        <v>2</v>
      </c>
      <c r="E100" s="44">
        <f>E84</f>
        <v>2.2999999999999998</v>
      </c>
      <c r="F100" s="44"/>
      <c r="G100" s="44">
        <v>2.52</v>
      </c>
      <c r="H100" s="44"/>
      <c r="I100" s="44"/>
      <c r="J100" s="44">
        <f>D100*E100*G100</f>
        <v>11.591999999999999</v>
      </c>
      <c r="K100" s="44"/>
    </row>
    <row r="101" spans="1:11">
      <c r="A101" s="44"/>
      <c r="B101" s="44" t="s">
        <v>576</v>
      </c>
      <c r="C101" s="44"/>
      <c r="D101" s="44">
        <v>2</v>
      </c>
      <c r="E101" s="44">
        <f>E84</f>
        <v>2.2999999999999998</v>
      </c>
      <c r="F101" s="44"/>
      <c r="G101" s="44">
        <v>1.82</v>
      </c>
      <c r="H101" s="44"/>
      <c r="I101" s="44"/>
      <c r="J101" s="44">
        <f>D101*E101*G101</f>
        <v>8.3719999999999999</v>
      </c>
      <c r="K101" s="44"/>
    </row>
    <row r="102" spans="1:11">
      <c r="A102" s="44"/>
      <c r="B102" s="44" t="s">
        <v>567</v>
      </c>
      <c r="C102" s="44"/>
      <c r="D102" s="44"/>
      <c r="E102" s="44"/>
      <c r="F102" s="44"/>
      <c r="G102" s="44"/>
      <c r="H102" s="44"/>
      <c r="I102" s="44"/>
      <c r="J102" s="44"/>
      <c r="K102" s="44"/>
    </row>
    <row r="103" spans="1:11">
      <c r="A103" s="44"/>
      <c r="B103" s="44" t="s">
        <v>559</v>
      </c>
      <c r="C103" s="44"/>
      <c r="D103" s="44">
        <v>2</v>
      </c>
      <c r="E103" s="44"/>
      <c r="F103" s="44">
        <f>F86</f>
        <v>0.3</v>
      </c>
      <c r="G103" s="44">
        <v>1.7</v>
      </c>
      <c r="H103" s="44"/>
      <c r="I103" s="44"/>
      <c r="J103" s="44">
        <f>D103*F103*G103</f>
        <v>1.02</v>
      </c>
      <c r="K103" s="44"/>
    </row>
    <row r="104" spans="1:11">
      <c r="A104" s="44"/>
      <c r="B104" s="44" t="s">
        <v>384</v>
      </c>
      <c r="C104" s="44"/>
      <c r="D104" s="44">
        <v>2</v>
      </c>
      <c r="E104" s="44"/>
      <c r="F104" s="44"/>
      <c r="G104" s="44"/>
      <c r="H104" s="44">
        <f>H87</f>
        <v>0.57999999999999996</v>
      </c>
      <c r="I104" s="44"/>
      <c r="J104" s="44">
        <f>D104*H104</f>
        <v>1.1599999999999999</v>
      </c>
      <c r="K104" s="44"/>
    </row>
    <row r="105" spans="1:11">
      <c r="A105" s="44"/>
      <c r="B105" s="44" t="s">
        <v>577</v>
      </c>
      <c r="C105" s="44"/>
      <c r="D105" s="44">
        <v>4</v>
      </c>
      <c r="E105" s="44">
        <f>E89</f>
        <v>1.5</v>
      </c>
      <c r="F105" s="44"/>
      <c r="G105" s="44">
        <v>0.45</v>
      </c>
      <c r="H105" s="44"/>
      <c r="I105" s="44"/>
      <c r="J105" s="44">
        <f>D105*E105*G105</f>
        <v>2.7</v>
      </c>
      <c r="K105" s="44"/>
    </row>
    <row r="106" spans="1:11">
      <c r="A106" s="44"/>
      <c r="B106" s="44" t="s">
        <v>578</v>
      </c>
      <c r="C106" s="44"/>
      <c r="D106" s="44">
        <v>1</v>
      </c>
      <c r="E106" s="44">
        <f>E105</f>
        <v>1.5</v>
      </c>
      <c r="F106" s="44">
        <v>0.3</v>
      </c>
      <c r="G106" s="44"/>
      <c r="H106" s="44"/>
      <c r="I106" s="44"/>
      <c r="J106" s="44">
        <f>D106*E106*F106</f>
        <v>0.44999999999999996</v>
      </c>
      <c r="K106" s="44"/>
    </row>
    <row r="107" spans="1:11">
      <c r="A107" s="44"/>
      <c r="B107" s="44"/>
      <c r="C107" s="44"/>
      <c r="D107" s="44"/>
      <c r="E107" s="44"/>
      <c r="F107" s="44"/>
      <c r="G107" s="44"/>
      <c r="H107" s="44"/>
      <c r="I107" s="44"/>
      <c r="J107" s="44">
        <f>SUM(J93:J106)</f>
        <v>54.599000000000011</v>
      </c>
      <c r="K107" s="44"/>
    </row>
    <row r="108" spans="1:11">
      <c r="A108" s="44"/>
      <c r="B108" s="44"/>
      <c r="C108" s="44"/>
      <c r="D108" s="44"/>
      <c r="E108" s="44"/>
      <c r="F108" s="44"/>
      <c r="G108" s="44"/>
      <c r="H108" s="44"/>
      <c r="I108" s="44"/>
      <c r="J108" s="44"/>
      <c r="K108" s="44"/>
    </row>
    <row r="109" spans="1:11">
      <c r="A109" s="44">
        <v>3.5</v>
      </c>
      <c r="B109" s="44" t="s">
        <v>24</v>
      </c>
      <c r="C109" s="44" t="s">
        <v>25</v>
      </c>
      <c r="D109" s="44"/>
      <c r="E109" s="44"/>
      <c r="F109" s="44"/>
      <c r="G109" s="44"/>
      <c r="H109" s="44" t="s">
        <v>628</v>
      </c>
      <c r="I109" s="44"/>
      <c r="J109" s="44">
        <f>(0.8%*J90*7850)/1000</f>
        <v>0.61759089999999994</v>
      </c>
      <c r="K109" s="44"/>
    </row>
    <row r="110" spans="1:11">
      <c r="A110" s="44"/>
      <c r="B110" s="44"/>
      <c r="C110" s="44"/>
      <c r="D110" s="44"/>
      <c r="E110" s="44"/>
      <c r="F110" s="44"/>
      <c r="G110" s="44"/>
      <c r="H110" s="44"/>
      <c r="I110" s="44"/>
      <c r="J110" s="44"/>
      <c r="K110" s="44"/>
    </row>
    <row r="111" spans="1:11">
      <c r="A111" s="44">
        <v>4</v>
      </c>
      <c r="B111" s="239" t="s">
        <v>137</v>
      </c>
      <c r="C111" s="44"/>
      <c r="D111" s="44"/>
      <c r="E111" s="44"/>
      <c r="F111" s="44"/>
      <c r="G111" s="44"/>
      <c r="H111" s="44"/>
      <c r="I111" s="44"/>
      <c r="J111" s="44"/>
      <c r="K111" s="44"/>
    </row>
    <row r="112" spans="1:11">
      <c r="A112" s="44">
        <v>4.0999999999999996</v>
      </c>
      <c r="B112" s="44" t="s">
        <v>313</v>
      </c>
      <c r="C112" s="44" t="s">
        <v>306</v>
      </c>
      <c r="D112" s="44"/>
      <c r="E112" s="44"/>
      <c r="F112" s="44"/>
      <c r="G112" s="44"/>
      <c r="H112" s="44"/>
      <c r="I112" s="44"/>
      <c r="J112" s="44"/>
      <c r="K112" s="44"/>
    </row>
    <row r="113" spans="1:11">
      <c r="A113" s="44"/>
      <c r="B113" s="44"/>
      <c r="C113" s="44"/>
      <c r="D113" s="44">
        <v>1</v>
      </c>
      <c r="E113" s="44"/>
      <c r="F113" s="44">
        <v>1.2</v>
      </c>
      <c r="G113" s="44"/>
      <c r="H113" s="44">
        <v>27.87</v>
      </c>
      <c r="I113" s="44"/>
      <c r="J113" s="44">
        <f>D113*F113*H113</f>
        <v>33.444000000000003</v>
      </c>
      <c r="K113" s="44" t="s">
        <v>561</v>
      </c>
    </row>
    <row r="114" spans="1:11">
      <c r="A114" s="44"/>
      <c r="B114" s="44"/>
      <c r="C114" s="44"/>
      <c r="D114" s="44">
        <v>1</v>
      </c>
      <c r="E114" s="44">
        <v>26</v>
      </c>
      <c r="F114" s="44"/>
      <c r="G114" s="44"/>
      <c r="H114" s="44">
        <v>2.62</v>
      </c>
      <c r="I114" s="44"/>
      <c r="J114" s="44">
        <f>D114*E114*H114</f>
        <v>68.12</v>
      </c>
      <c r="K114" s="44" t="s">
        <v>579</v>
      </c>
    </row>
    <row r="115" spans="1:11">
      <c r="A115" s="44"/>
      <c r="B115" s="44"/>
      <c r="C115" s="44"/>
      <c r="D115" s="44"/>
      <c r="E115" s="44"/>
      <c r="F115" s="44"/>
      <c r="G115" s="44"/>
      <c r="H115" s="44"/>
      <c r="I115" s="44"/>
      <c r="J115" s="44">
        <f>AVERAGE(J113:J114)</f>
        <v>50.782000000000004</v>
      </c>
      <c r="K115" s="44"/>
    </row>
    <row r="116" spans="1:11">
      <c r="A116" s="44">
        <v>4.2</v>
      </c>
      <c r="B116" s="44" t="s">
        <v>31</v>
      </c>
      <c r="C116" s="44" t="s">
        <v>306</v>
      </c>
      <c r="D116" s="44"/>
      <c r="E116" s="44"/>
      <c r="F116" s="44"/>
      <c r="G116" s="44"/>
      <c r="H116" s="44"/>
      <c r="I116" s="44"/>
      <c r="J116" s="44"/>
      <c r="K116" s="44"/>
    </row>
    <row r="117" spans="1:11">
      <c r="A117" s="44"/>
      <c r="B117" s="44"/>
      <c r="C117" s="44"/>
      <c r="D117" s="44">
        <v>1</v>
      </c>
      <c r="E117" s="44">
        <f>E114</f>
        <v>26</v>
      </c>
      <c r="F117" s="44"/>
      <c r="G117" s="44"/>
      <c r="H117" s="44">
        <v>1.06</v>
      </c>
      <c r="I117" s="44"/>
      <c r="J117" s="44">
        <f>D117*E117*H117</f>
        <v>27.560000000000002</v>
      </c>
      <c r="K117" s="44" t="s">
        <v>579</v>
      </c>
    </row>
    <row r="118" spans="1:11">
      <c r="A118" s="44"/>
      <c r="B118" s="44"/>
      <c r="C118" s="44"/>
      <c r="D118" s="44"/>
      <c r="E118" s="44"/>
      <c r="F118" s="44"/>
      <c r="G118" s="44"/>
      <c r="H118" s="44"/>
      <c r="I118" s="44"/>
      <c r="J118" s="44"/>
      <c r="K118" s="44"/>
    </row>
    <row r="119" spans="1:11">
      <c r="A119" s="44">
        <v>4.3</v>
      </c>
      <c r="B119" s="44" t="s">
        <v>314</v>
      </c>
      <c r="C119" s="44" t="s">
        <v>306</v>
      </c>
      <c r="D119" s="44">
        <v>1</v>
      </c>
      <c r="E119" s="44">
        <f>E117</f>
        <v>26</v>
      </c>
      <c r="F119" s="44">
        <f>F113</f>
        <v>1.2</v>
      </c>
      <c r="G119" s="44">
        <v>7.4999999999999997E-2</v>
      </c>
      <c r="H119" s="44"/>
      <c r="I119" s="44"/>
      <c r="J119" s="44">
        <f>D119*E119*F119*G119</f>
        <v>2.34</v>
      </c>
      <c r="K119" s="44"/>
    </row>
    <row r="120" spans="1:11">
      <c r="A120" s="44"/>
      <c r="B120" s="44"/>
      <c r="C120" s="44"/>
      <c r="D120" s="44"/>
      <c r="E120" s="44"/>
      <c r="F120" s="44"/>
      <c r="G120" s="44"/>
      <c r="H120" s="44"/>
      <c r="I120" s="44"/>
      <c r="J120" s="44"/>
      <c r="K120" s="44"/>
    </row>
    <row r="121" spans="1:11">
      <c r="A121" s="44">
        <v>4.4000000000000004</v>
      </c>
      <c r="B121" s="44" t="s">
        <v>315</v>
      </c>
      <c r="C121" s="44" t="s">
        <v>306</v>
      </c>
      <c r="D121" s="44"/>
      <c r="E121" s="44"/>
      <c r="F121" s="44"/>
      <c r="G121" s="44"/>
      <c r="H121" s="44"/>
      <c r="I121" s="44"/>
      <c r="J121" s="44"/>
      <c r="K121" s="44"/>
    </row>
    <row r="122" spans="1:11">
      <c r="A122" s="44"/>
      <c r="B122" s="44" t="s">
        <v>392</v>
      </c>
      <c r="C122" s="44"/>
      <c r="D122" s="44">
        <v>1</v>
      </c>
      <c r="E122" s="44">
        <f>E119</f>
        <v>26</v>
      </c>
      <c r="F122" s="44">
        <v>0.8</v>
      </c>
      <c r="G122" s="44">
        <v>0.2</v>
      </c>
      <c r="H122" s="44"/>
      <c r="I122" s="44"/>
      <c r="J122" s="44">
        <f>D122*E122*F122*G122</f>
        <v>4.16</v>
      </c>
      <c r="K122" s="44"/>
    </row>
    <row r="123" spans="1:11">
      <c r="A123" s="44"/>
      <c r="B123" s="44" t="s">
        <v>403</v>
      </c>
      <c r="C123" s="44"/>
      <c r="D123" s="44">
        <v>2</v>
      </c>
      <c r="E123" s="44">
        <f>E122</f>
        <v>26</v>
      </c>
      <c r="F123" s="44">
        <v>0.2</v>
      </c>
      <c r="G123" s="44">
        <v>1.2</v>
      </c>
      <c r="H123" s="44"/>
      <c r="I123" s="44"/>
      <c r="J123" s="44">
        <f>D123*E123*F123*G123</f>
        <v>12.48</v>
      </c>
      <c r="K123" s="44"/>
    </row>
    <row r="124" spans="1:11">
      <c r="A124" s="44"/>
      <c r="B124" s="44" t="s">
        <v>580</v>
      </c>
      <c r="C124" s="44"/>
      <c r="D124" s="44">
        <v>1</v>
      </c>
      <c r="E124" s="44">
        <v>6</v>
      </c>
      <c r="F124" s="44">
        <v>1.2</v>
      </c>
      <c r="G124" s="44">
        <v>0.4</v>
      </c>
      <c r="H124" s="44"/>
      <c r="I124" s="44"/>
      <c r="J124" s="44">
        <f>D124*E124*F124*G124</f>
        <v>2.88</v>
      </c>
      <c r="K124" s="44" t="s">
        <v>561</v>
      </c>
    </row>
    <row r="125" spans="1:11">
      <c r="A125" s="44"/>
      <c r="B125" s="44"/>
      <c r="C125" s="44"/>
      <c r="D125" s="44"/>
      <c r="E125" s="44"/>
      <c r="F125" s="44"/>
      <c r="G125" s="44"/>
      <c r="H125" s="44"/>
      <c r="I125" s="44"/>
      <c r="J125" s="44">
        <f>SUM(J122:J124)</f>
        <v>19.52</v>
      </c>
      <c r="K125" s="44"/>
    </row>
    <row r="126" spans="1:11">
      <c r="A126" s="44"/>
      <c r="B126" s="44"/>
      <c r="C126" s="44"/>
      <c r="D126" s="44"/>
      <c r="E126" s="44"/>
      <c r="F126" s="44"/>
      <c r="G126" s="44"/>
      <c r="H126" s="44"/>
      <c r="I126" s="44"/>
      <c r="J126" s="44"/>
      <c r="K126" s="44"/>
    </row>
    <row r="127" spans="1:11">
      <c r="A127" s="44">
        <v>4.5</v>
      </c>
      <c r="B127" s="44" t="s">
        <v>101</v>
      </c>
      <c r="C127" s="44" t="s">
        <v>85</v>
      </c>
      <c r="D127" s="44"/>
      <c r="E127" s="44"/>
      <c r="F127" s="44"/>
      <c r="G127" s="44"/>
      <c r="H127" s="44"/>
      <c r="I127" s="44"/>
      <c r="J127" s="44"/>
      <c r="K127" s="44"/>
    </row>
    <row r="128" spans="1:11">
      <c r="A128" s="44"/>
      <c r="B128" s="44" t="s">
        <v>581</v>
      </c>
      <c r="C128" s="44"/>
      <c r="D128" s="44">
        <v>2</v>
      </c>
      <c r="E128" s="44">
        <f>E123</f>
        <v>26</v>
      </c>
      <c r="F128" s="44"/>
      <c r="G128" s="44">
        <f>G123</f>
        <v>1.2</v>
      </c>
      <c r="H128" s="44"/>
      <c r="I128" s="44"/>
      <c r="J128" s="44">
        <f>D128*E128*G128</f>
        <v>62.4</v>
      </c>
      <c r="K128" s="44"/>
    </row>
    <row r="129" spans="1:11">
      <c r="A129" s="44"/>
      <c r="B129" s="44"/>
      <c r="C129" s="44"/>
      <c r="D129" s="44">
        <v>2</v>
      </c>
      <c r="E129" s="44">
        <f>E128</f>
        <v>26</v>
      </c>
      <c r="F129" s="44"/>
      <c r="G129" s="44">
        <v>1</v>
      </c>
      <c r="H129" s="44"/>
      <c r="I129" s="44"/>
      <c r="J129" s="44">
        <f>D129*E129*G129</f>
        <v>52</v>
      </c>
      <c r="K129" s="44"/>
    </row>
    <row r="130" spans="1:11">
      <c r="A130" s="44"/>
      <c r="B130" s="44" t="s">
        <v>580</v>
      </c>
      <c r="C130" s="44"/>
      <c r="D130" s="44">
        <v>1</v>
      </c>
      <c r="E130" s="44">
        <f>E124</f>
        <v>6</v>
      </c>
      <c r="F130" s="44">
        <v>0.8</v>
      </c>
      <c r="G130" s="44"/>
      <c r="H130" s="44"/>
      <c r="I130" s="44"/>
      <c r="J130" s="44">
        <f>D130*E130*F130</f>
        <v>4.8000000000000007</v>
      </c>
      <c r="K130" s="44"/>
    </row>
    <row r="131" spans="1:11">
      <c r="A131" s="44"/>
      <c r="B131" s="44"/>
      <c r="C131" s="44"/>
      <c r="D131" s="44"/>
      <c r="E131" s="44"/>
      <c r="F131" s="44"/>
      <c r="G131" s="44"/>
      <c r="H131" s="44"/>
      <c r="I131" s="44"/>
      <c r="J131" s="44">
        <f>SUM(J128:J130)</f>
        <v>119.2</v>
      </c>
      <c r="K131" s="44"/>
    </row>
    <row r="132" spans="1:11">
      <c r="A132" s="44"/>
      <c r="B132" s="44"/>
      <c r="C132" s="44"/>
      <c r="D132" s="44"/>
      <c r="E132" s="44"/>
      <c r="F132" s="44"/>
      <c r="G132" s="44"/>
      <c r="H132" s="44"/>
      <c r="I132" s="44"/>
      <c r="J132" s="44"/>
      <c r="K132" s="44"/>
    </row>
    <row r="133" spans="1:11">
      <c r="A133" s="44">
        <v>4.5999999999999996</v>
      </c>
      <c r="B133" s="44" t="s">
        <v>24</v>
      </c>
      <c r="C133" s="44" t="s">
        <v>25</v>
      </c>
      <c r="D133" s="44"/>
      <c r="E133" s="44"/>
      <c r="F133" s="44"/>
      <c r="G133" s="44"/>
      <c r="H133" s="44" t="s">
        <v>445</v>
      </c>
      <c r="I133" s="44"/>
      <c r="J133" s="44">
        <f>(0.5%*J125*7850)/1000</f>
        <v>0.76616000000000006</v>
      </c>
      <c r="K133" s="44"/>
    </row>
    <row r="134" spans="1:11">
      <c r="A134" s="44"/>
      <c r="B134" s="44"/>
      <c r="C134" s="44"/>
      <c r="D134" s="44"/>
      <c r="E134" s="44"/>
      <c r="F134" s="44"/>
      <c r="G134" s="44"/>
      <c r="H134" s="44"/>
      <c r="I134" s="44"/>
      <c r="J134" s="44"/>
      <c r="K134" s="44"/>
    </row>
    <row r="135" spans="1:11">
      <c r="A135" s="44"/>
      <c r="B135" s="44"/>
      <c r="C135" s="44"/>
      <c r="D135" s="44"/>
      <c r="E135" s="44"/>
      <c r="F135" s="44"/>
      <c r="G135" s="44"/>
      <c r="H135" s="44"/>
      <c r="I135" s="44"/>
      <c r="J135" s="44"/>
      <c r="K135" s="44"/>
    </row>
    <row r="136" spans="1:11">
      <c r="A136" s="44">
        <v>5</v>
      </c>
      <c r="B136" s="239" t="s">
        <v>406</v>
      </c>
      <c r="C136" s="44"/>
      <c r="D136" s="44"/>
      <c r="E136" s="44"/>
      <c r="F136" s="44"/>
      <c r="G136" s="44"/>
      <c r="H136" s="44"/>
      <c r="I136" s="44"/>
      <c r="J136" s="44"/>
      <c r="K136" s="44"/>
    </row>
    <row r="137" spans="1:11">
      <c r="A137" s="44">
        <v>5.0999999999999996</v>
      </c>
      <c r="B137" s="44" t="s">
        <v>313</v>
      </c>
      <c r="C137" s="44" t="s">
        <v>306</v>
      </c>
      <c r="D137" s="44"/>
      <c r="E137" s="44"/>
      <c r="F137" s="44"/>
      <c r="G137" s="44"/>
      <c r="H137" s="44"/>
      <c r="I137" s="44"/>
      <c r="J137" s="44"/>
      <c r="K137" s="44"/>
    </row>
    <row r="138" spans="1:11">
      <c r="A138" s="44"/>
      <c r="B138" s="44" t="s">
        <v>582</v>
      </c>
      <c r="C138" s="44"/>
      <c r="D138" s="44">
        <v>1</v>
      </c>
      <c r="E138" s="44"/>
      <c r="F138" s="44">
        <v>1.75</v>
      </c>
      <c r="G138" s="44"/>
      <c r="H138" s="44">
        <v>0.79</v>
      </c>
      <c r="I138" s="44"/>
      <c r="J138" s="44">
        <f>D138*F138*H138</f>
        <v>1.3825000000000001</v>
      </c>
      <c r="K138" s="44"/>
    </row>
    <row r="139" spans="1:11">
      <c r="A139" s="44"/>
      <c r="B139" s="44" t="s">
        <v>407</v>
      </c>
      <c r="C139" s="44"/>
      <c r="D139" s="44">
        <v>1</v>
      </c>
      <c r="E139" s="44"/>
      <c r="F139" s="44">
        <f>AVERAGE(5.75,1.75)</f>
        <v>3.75</v>
      </c>
      <c r="G139" s="44"/>
      <c r="H139" s="44">
        <v>5.14</v>
      </c>
      <c r="I139" s="44"/>
      <c r="J139" s="44">
        <f>D139*F139*H139</f>
        <v>19.274999999999999</v>
      </c>
      <c r="K139" s="44"/>
    </row>
    <row r="140" spans="1:11">
      <c r="A140" s="44"/>
      <c r="B140" s="44" t="s">
        <v>583</v>
      </c>
      <c r="C140" s="44"/>
      <c r="D140" s="44">
        <v>1</v>
      </c>
      <c r="E140" s="44"/>
      <c r="F140" s="44">
        <v>5.75</v>
      </c>
      <c r="G140" s="44"/>
      <c r="H140" s="44">
        <v>16.898</v>
      </c>
      <c r="I140" s="44"/>
      <c r="J140" s="44">
        <f>D140*F140*H140</f>
        <v>97.163499999999999</v>
      </c>
      <c r="K140" s="44" t="s">
        <v>561</v>
      </c>
    </row>
    <row r="141" spans="1:11">
      <c r="A141" s="44"/>
      <c r="B141" s="44" t="s">
        <v>408</v>
      </c>
      <c r="C141" s="44"/>
      <c r="D141" s="44">
        <v>1</v>
      </c>
      <c r="E141" s="44"/>
      <c r="F141" s="44">
        <v>5.25</v>
      </c>
      <c r="G141" s="44"/>
      <c r="H141" s="44">
        <v>4.7699999999999996</v>
      </c>
      <c r="I141" s="44"/>
      <c r="J141" s="44">
        <f>D141*F141*H141</f>
        <v>25.042499999999997</v>
      </c>
      <c r="K141" s="44"/>
    </row>
    <row r="142" spans="1:11">
      <c r="A142" s="44"/>
      <c r="B142" s="44" t="s">
        <v>409</v>
      </c>
      <c r="C142" s="44"/>
      <c r="D142" s="44">
        <v>1</v>
      </c>
      <c r="E142" s="44"/>
      <c r="F142" s="44">
        <v>0.5</v>
      </c>
      <c r="G142" s="44"/>
      <c r="H142" s="44">
        <v>10.88</v>
      </c>
      <c r="I142" s="44"/>
      <c r="J142" s="44">
        <f>D142*F142*H142</f>
        <v>5.44</v>
      </c>
      <c r="K142" s="44"/>
    </row>
    <row r="143" spans="1:11">
      <c r="A143" s="44"/>
      <c r="B143" s="44"/>
      <c r="C143" s="44"/>
      <c r="D143" s="44"/>
      <c r="E143" s="44"/>
      <c r="F143" s="44"/>
      <c r="G143" s="44"/>
      <c r="H143" s="44"/>
      <c r="I143" s="44"/>
      <c r="J143" s="44">
        <f>SUM(J138:J142)</f>
        <v>148.30349999999999</v>
      </c>
      <c r="K143" s="44"/>
    </row>
    <row r="144" spans="1:11">
      <c r="A144" s="44"/>
      <c r="B144" s="44"/>
      <c r="C144" s="44"/>
      <c r="D144" s="44"/>
      <c r="E144" s="44"/>
      <c r="F144" s="44"/>
      <c r="G144" s="44"/>
      <c r="H144" s="44"/>
      <c r="I144" s="44"/>
      <c r="J144" s="44"/>
      <c r="K144" s="44"/>
    </row>
    <row r="145" spans="1:11">
      <c r="A145" s="44">
        <v>5.2</v>
      </c>
      <c r="B145" s="44" t="s">
        <v>31</v>
      </c>
      <c r="C145" s="44" t="s">
        <v>306</v>
      </c>
      <c r="D145" s="44"/>
      <c r="E145" s="44"/>
      <c r="F145" s="44"/>
      <c r="G145" s="44"/>
      <c r="H145" s="44"/>
      <c r="I145" s="44"/>
      <c r="J145" s="44"/>
      <c r="K145" s="44"/>
    </row>
    <row r="146" spans="1:11">
      <c r="A146" s="44"/>
      <c r="B146" s="44" t="s">
        <v>583</v>
      </c>
      <c r="C146" s="44"/>
      <c r="D146" s="44">
        <v>1</v>
      </c>
      <c r="E146" s="44">
        <v>15</v>
      </c>
      <c r="F146" s="44"/>
      <c r="G146" s="44"/>
      <c r="H146" s="44">
        <v>6.51</v>
      </c>
      <c r="I146" s="44"/>
      <c r="J146" s="44">
        <f>D146*E146*H146</f>
        <v>97.649999999999991</v>
      </c>
      <c r="K146" s="44"/>
    </row>
    <row r="147" spans="1:11">
      <c r="A147" s="44"/>
      <c r="B147" s="44" t="s">
        <v>408</v>
      </c>
      <c r="C147" s="44"/>
      <c r="D147" s="44">
        <v>1</v>
      </c>
      <c r="E147" s="44">
        <v>3</v>
      </c>
      <c r="F147" s="44"/>
      <c r="G147" s="44"/>
      <c r="H147" s="44">
        <v>7.4</v>
      </c>
      <c r="I147" s="44"/>
      <c r="J147" s="44">
        <f>D147*E147*H147</f>
        <v>22.200000000000003</v>
      </c>
      <c r="K147" s="44"/>
    </row>
    <row r="148" spans="1:11">
      <c r="A148" s="44"/>
      <c r="B148" s="44"/>
      <c r="C148" s="44"/>
      <c r="D148" s="44"/>
      <c r="E148" s="44"/>
      <c r="F148" s="44"/>
      <c r="G148" s="44"/>
      <c r="H148" s="44"/>
      <c r="I148" s="44"/>
      <c r="J148" s="44">
        <f>SUM(J146:J147)</f>
        <v>119.85</v>
      </c>
      <c r="K148" s="44"/>
    </row>
    <row r="149" spans="1:11">
      <c r="A149" s="44"/>
      <c r="B149" s="44"/>
      <c r="C149" s="44"/>
      <c r="D149" s="44"/>
      <c r="E149" s="44"/>
      <c r="F149" s="44"/>
      <c r="G149" s="44"/>
      <c r="H149" s="44"/>
      <c r="I149" s="44"/>
      <c r="J149" s="44"/>
      <c r="K149" s="44"/>
    </row>
    <row r="150" spans="1:11">
      <c r="A150" s="44">
        <v>5.3</v>
      </c>
      <c r="B150" s="44" t="s">
        <v>314</v>
      </c>
      <c r="C150" s="44" t="s">
        <v>306</v>
      </c>
      <c r="D150" s="44"/>
      <c r="E150" s="44"/>
      <c r="F150" s="44"/>
      <c r="G150" s="44"/>
      <c r="H150" s="44"/>
      <c r="I150" s="44"/>
      <c r="J150" s="44"/>
      <c r="K150" s="44"/>
    </row>
    <row r="151" spans="1:11">
      <c r="A151" s="44"/>
      <c r="B151" s="44" t="s">
        <v>407</v>
      </c>
      <c r="C151" s="44"/>
      <c r="D151" s="44">
        <v>1</v>
      </c>
      <c r="E151" s="44">
        <v>9.6199999999999992</v>
      </c>
      <c r="F151" s="44">
        <f>AVERAGE(1.75,5.75)</f>
        <v>3.75</v>
      </c>
      <c r="G151" s="44">
        <v>7.4999999999999997E-2</v>
      </c>
      <c r="H151" s="44"/>
      <c r="I151" s="44"/>
      <c r="J151" s="44">
        <f>D151*E151*F151*G151</f>
        <v>2.7056249999999995</v>
      </c>
      <c r="K151" s="44"/>
    </row>
    <row r="152" spans="1:11">
      <c r="A152" s="44"/>
      <c r="B152" s="44" t="s">
        <v>383</v>
      </c>
      <c r="C152" s="44"/>
      <c r="D152" s="44">
        <v>1</v>
      </c>
      <c r="E152" s="44">
        <v>15</v>
      </c>
      <c r="F152" s="44">
        <v>5.75</v>
      </c>
      <c r="G152" s="44">
        <f>G151</f>
        <v>7.4999999999999997E-2</v>
      </c>
      <c r="H152" s="44"/>
      <c r="I152" s="44"/>
      <c r="J152" s="44">
        <f>D152*E152*F152*G152</f>
        <v>6.46875</v>
      </c>
      <c r="K152" s="44"/>
    </row>
    <row r="153" spans="1:11">
      <c r="A153" s="44"/>
      <c r="B153" s="44" t="s">
        <v>408</v>
      </c>
      <c r="C153" s="44"/>
      <c r="D153" s="44">
        <v>1</v>
      </c>
      <c r="E153" s="44"/>
      <c r="F153" s="44"/>
      <c r="G153" s="44">
        <f>G152</f>
        <v>7.4999999999999997E-2</v>
      </c>
      <c r="H153" s="44">
        <v>13.3</v>
      </c>
      <c r="I153" s="44"/>
      <c r="J153" s="44">
        <f>D153*G153*H153</f>
        <v>0.99750000000000005</v>
      </c>
      <c r="K153" s="44" t="s">
        <v>584</v>
      </c>
    </row>
    <row r="154" spans="1:11">
      <c r="A154" s="44"/>
      <c r="B154" s="44"/>
      <c r="C154" s="44"/>
      <c r="D154" s="44"/>
      <c r="E154" s="44"/>
      <c r="F154" s="44"/>
      <c r="G154" s="44"/>
      <c r="H154" s="44"/>
      <c r="I154" s="44"/>
      <c r="J154" s="44">
        <f>SUM(J151:J153)</f>
        <v>10.171875</v>
      </c>
      <c r="K154" s="44"/>
    </row>
    <row r="155" spans="1:11">
      <c r="A155" s="44">
        <v>5.4</v>
      </c>
      <c r="B155" s="44" t="s">
        <v>315</v>
      </c>
      <c r="C155" s="44" t="s">
        <v>306</v>
      </c>
      <c r="D155" s="44"/>
      <c r="E155" s="44"/>
      <c r="F155" s="44"/>
      <c r="G155" s="44"/>
      <c r="H155" s="44"/>
      <c r="I155" s="44"/>
      <c r="J155" s="44"/>
      <c r="K155" s="44"/>
    </row>
    <row r="156" spans="1:11">
      <c r="A156" s="44"/>
      <c r="B156" s="44" t="s">
        <v>582</v>
      </c>
      <c r="C156" s="44"/>
      <c r="D156" s="44"/>
      <c r="E156" s="44"/>
      <c r="F156" s="44"/>
      <c r="G156" s="44"/>
      <c r="H156" s="44"/>
      <c r="I156" s="44"/>
      <c r="J156" s="44"/>
      <c r="K156" s="44"/>
    </row>
    <row r="157" spans="1:11">
      <c r="A157" s="44"/>
      <c r="B157" s="44" t="s">
        <v>384</v>
      </c>
      <c r="C157" s="44"/>
      <c r="D157" s="44">
        <v>1</v>
      </c>
      <c r="E157" s="44"/>
      <c r="F157" s="44">
        <v>1.75</v>
      </c>
      <c r="G157" s="44"/>
      <c r="H157" s="44">
        <v>0.52</v>
      </c>
      <c r="I157" s="44"/>
      <c r="J157" s="44">
        <f>D157*F157*H157</f>
        <v>0.91</v>
      </c>
      <c r="K157" s="44"/>
    </row>
    <row r="158" spans="1:11">
      <c r="A158" s="44"/>
      <c r="B158" s="44" t="s">
        <v>571</v>
      </c>
      <c r="C158" s="44"/>
      <c r="D158" s="44">
        <v>2</v>
      </c>
      <c r="E158" s="44"/>
      <c r="F158" s="44"/>
      <c r="G158" s="44">
        <v>1</v>
      </c>
      <c r="H158" s="44">
        <v>0.44</v>
      </c>
      <c r="I158" s="44"/>
      <c r="J158" s="44">
        <f>D158*G158*H158</f>
        <v>0.88</v>
      </c>
      <c r="K158" s="44"/>
    </row>
    <row r="159" spans="1:11">
      <c r="A159" s="44"/>
      <c r="B159" s="44" t="s">
        <v>585</v>
      </c>
      <c r="C159" s="44"/>
      <c r="D159" s="44">
        <v>1</v>
      </c>
      <c r="E159" s="44">
        <v>1</v>
      </c>
      <c r="F159" s="44">
        <v>0.25</v>
      </c>
      <c r="G159" s="44">
        <v>1</v>
      </c>
      <c r="H159" s="44"/>
      <c r="I159" s="44"/>
      <c r="J159" s="44">
        <f>D159*E159*F159*G159</f>
        <v>0.25</v>
      </c>
      <c r="K159" s="44"/>
    </row>
    <row r="160" spans="1:11">
      <c r="A160" s="44"/>
      <c r="B160" s="44" t="s">
        <v>568</v>
      </c>
      <c r="C160" s="44"/>
      <c r="D160" s="44">
        <v>2</v>
      </c>
      <c r="E160" s="44"/>
      <c r="F160" s="44">
        <v>0.5</v>
      </c>
      <c r="G160" s="44"/>
      <c r="H160" s="44">
        <v>0.5</v>
      </c>
      <c r="I160" s="44"/>
      <c r="J160" s="44">
        <f>D160*F160*H160</f>
        <v>0.5</v>
      </c>
      <c r="K160" s="44"/>
    </row>
    <row r="161" spans="1:11">
      <c r="A161" s="44"/>
      <c r="B161" s="44" t="s">
        <v>407</v>
      </c>
      <c r="C161" s="44"/>
      <c r="D161" s="44"/>
      <c r="E161" s="44"/>
      <c r="F161" s="44"/>
      <c r="G161" s="44"/>
      <c r="H161" s="44"/>
      <c r="I161" s="44"/>
      <c r="J161" s="44"/>
      <c r="K161" s="44"/>
    </row>
    <row r="162" spans="1:11">
      <c r="A162" s="44"/>
      <c r="B162" s="44" t="s">
        <v>384</v>
      </c>
      <c r="C162" s="44"/>
      <c r="D162" s="44">
        <v>1</v>
      </c>
      <c r="E162" s="44"/>
      <c r="F162" s="44"/>
      <c r="G162" s="44">
        <v>0.35</v>
      </c>
      <c r="H162" s="44">
        <v>29.96</v>
      </c>
      <c r="I162" s="44"/>
      <c r="J162" s="44">
        <f>D162*G162*H162</f>
        <v>10.485999999999999</v>
      </c>
      <c r="K162" s="44" t="s">
        <v>531</v>
      </c>
    </row>
    <row r="163" spans="1:11">
      <c r="A163" s="44"/>
      <c r="B163" s="44" t="s">
        <v>385</v>
      </c>
      <c r="C163" s="44"/>
      <c r="D163" s="44">
        <v>2</v>
      </c>
      <c r="E163" s="44">
        <v>8.1999999999999993</v>
      </c>
      <c r="F163" s="44">
        <v>0.25</v>
      </c>
      <c r="G163" s="44">
        <f>AVERAGE(2.23,1.19)</f>
        <v>1.71</v>
      </c>
      <c r="H163" s="44"/>
      <c r="I163" s="44"/>
      <c r="J163" s="44">
        <f>D163*E163*F163*G163</f>
        <v>7.0109999999999992</v>
      </c>
      <c r="K163" s="44"/>
    </row>
    <row r="164" spans="1:11">
      <c r="A164" s="44"/>
      <c r="B164" s="44" t="s">
        <v>586</v>
      </c>
      <c r="C164" s="44"/>
      <c r="D164" s="44">
        <v>1</v>
      </c>
      <c r="E164" s="44">
        <f>E146</f>
        <v>15</v>
      </c>
      <c r="F164" s="44"/>
      <c r="G164" s="44"/>
      <c r="H164" s="44">
        <v>5.54</v>
      </c>
      <c r="I164" s="44"/>
      <c r="J164" s="44">
        <f>D164*E164*H164</f>
        <v>83.1</v>
      </c>
      <c r="K164" s="44" t="s">
        <v>537</v>
      </c>
    </row>
    <row r="165" spans="1:11">
      <c r="A165" s="44"/>
      <c r="B165" s="44" t="s">
        <v>587</v>
      </c>
      <c r="C165" s="44"/>
      <c r="D165" s="44"/>
      <c r="E165" s="44"/>
      <c r="F165" s="44"/>
      <c r="G165" s="44"/>
      <c r="H165" s="44"/>
      <c r="I165" s="44"/>
      <c r="J165" s="44"/>
      <c r="K165" s="44"/>
    </row>
    <row r="166" spans="1:11">
      <c r="A166" s="44"/>
      <c r="B166" s="44" t="s">
        <v>571</v>
      </c>
      <c r="C166" s="44"/>
      <c r="D166" s="44">
        <v>1</v>
      </c>
      <c r="E166" s="44"/>
      <c r="F166" s="44"/>
      <c r="G166" s="44">
        <v>2.38</v>
      </c>
      <c r="H166" s="44">
        <f>(0.2775*2)+(0.2325*4)+0.805</f>
        <v>2.29</v>
      </c>
      <c r="I166" s="44"/>
      <c r="J166" s="44">
        <f>D166*G166*H166</f>
        <v>5.4501999999999997</v>
      </c>
      <c r="K166" s="44"/>
    </row>
    <row r="167" spans="1:11">
      <c r="A167" s="44"/>
      <c r="B167" s="44" t="s">
        <v>384</v>
      </c>
      <c r="C167" s="44"/>
      <c r="D167" s="44">
        <v>1</v>
      </c>
      <c r="E167" s="44">
        <v>1</v>
      </c>
      <c r="F167" s="44">
        <v>5.75</v>
      </c>
      <c r="G167" s="44">
        <v>0.35</v>
      </c>
      <c r="H167" s="44"/>
      <c r="I167" s="44"/>
      <c r="J167" s="44">
        <f>D167*E167*F167*G167</f>
        <v>2.0124999999999997</v>
      </c>
      <c r="K167" s="44"/>
    </row>
    <row r="168" spans="1:11">
      <c r="A168" s="44"/>
      <c r="B168" s="44" t="s">
        <v>559</v>
      </c>
      <c r="C168" s="44"/>
      <c r="D168" s="44">
        <v>2</v>
      </c>
      <c r="E168" s="44"/>
      <c r="F168" s="44">
        <v>0.3</v>
      </c>
      <c r="G168" s="44"/>
      <c r="H168" s="44">
        <v>0.64</v>
      </c>
      <c r="I168" s="44"/>
      <c r="J168" s="44">
        <f>D168*F168*H168</f>
        <v>0.38400000000000001</v>
      </c>
      <c r="K168" s="44"/>
    </row>
    <row r="169" spans="1:11">
      <c r="A169" s="44"/>
      <c r="B169" s="44"/>
      <c r="C169" s="44"/>
      <c r="D169" s="44">
        <v>4</v>
      </c>
      <c r="E169" s="44"/>
      <c r="F169" s="44">
        <v>0.5</v>
      </c>
      <c r="G169" s="44"/>
      <c r="H169" s="44">
        <v>0.37</v>
      </c>
      <c r="I169" s="44"/>
      <c r="J169" s="44">
        <f>D169*F169*H169</f>
        <v>0.74</v>
      </c>
      <c r="K169" s="44"/>
    </row>
    <row r="170" spans="1:11">
      <c r="A170" s="44"/>
      <c r="B170" s="44" t="s">
        <v>588</v>
      </c>
      <c r="C170" s="44"/>
      <c r="D170" s="44"/>
      <c r="E170" s="44"/>
      <c r="F170" s="44"/>
      <c r="G170" s="44"/>
      <c r="H170" s="44"/>
      <c r="I170" s="44"/>
      <c r="J170" s="44"/>
      <c r="K170" s="44"/>
    </row>
    <row r="171" spans="1:11">
      <c r="A171" s="44"/>
      <c r="B171" s="44" t="s">
        <v>384</v>
      </c>
      <c r="C171" s="44"/>
      <c r="D171" s="44">
        <v>1</v>
      </c>
      <c r="E171" s="44"/>
      <c r="F171" s="44"/>
      <c r="G171" s="44">
        <v>0.35</v>
      </c>
      <c r="H171" s="44">
        <v>7.52</v>
      </c>
      <c r="I171" s="44"/>
      <c r="J171" s="44">
        <f>D171*G171*H171</f>
        <v>2.6319999999999997</v>
      </c>
      <c r="K171" s="44"/>
    </row>
    <row r="172" spans="1:11">
      <c r="A172" s="44"/>
      <c r="B172" s="44" t="s">
        <v>385</v>
      </c>
      <c r="C172" s="44"/>
      <c r="D172" s="44">
        <v>2</v>
      </c>
      <c r="E172" s="44">
        <v>3.2</v>
      </c>
      <c r="F172" s="44">
        <v>0.25</v>
      </c>
      <c r="G172" s="44">
        <v>2.68</v>
      </c>
      <c r="H172" s="44"/>
      <c r="I172" s="44"/>
      <c r="J172" s="44">
        <f>D172*E172*F172*G172</f>
        <v>4.2880000000000003</v>
      </c>
      <c r="K172" s="44"/>
    </row>
    <row r="173" spans="1:11">
      <c r="A173" s="44"/>
      <c r="B173" s="44" t="s">
        <v>589</v>
      </c>
      <c r="C173" s="44"/>
      <c r="D173" s="44"/>
      <c r="E173" s="44"/>
      <c r="F173" s="44"/>
      <c r="G173" s="44"/>
      <c r="H173" s="44"/>
      <c r="I173" s="44"/>
      <c r="J173" s="44"/>
      <c r="K173" s="44" t="s">
        <v>552</v>
      </c>
    </row>
    <row r="174" spans="1:11">
      <c r="A174" s="44"/>
      <c r="B174" s="44" t="s">
        <v>590</v>
      </c>
      <c r="C174" s="44"/>
      <c r="D174" s="44">
        <v>1</v>
      </c>
      <c r="E174" s="44"/>
      <c r="F174" s="44">
        <v>1</v>
      </c>
      <c r="G174" s="44"/>
      <c r="H174" s="44">
        <v>0.85</v>
      </c>
      <c r="I174" s="44"/>
      <c r="J174" s="44">
        <f>D174*F174*H174</f>
        <v>0.85</v>
      </c>
      <c r="K174" s="44"/>
    </row>
    <row r="175" spans="1:11">
      <c r="A175" s="44"/>
      <c r="B175" s="44" t="s">
        <v>591</v>
      </c>
      <c r="C175" s="44"/>
      <c r="D175" s="44">
        <v>1</v>
      </c>
      <c r="E175" s="44"/>
      <c r="F175" s="44">
        <v>0.5</v>
      </c>
      <c r="G175" s="44"/>
      <c r="H175" s="44">
        <v>0.80800000000000005</v>
      </c>
      <c r="I175" s="44"/>
      <c r="J175" s="44">
        <f>D175*F175*H175</f>
        <v>0.40400000000000003</v>
      </c>
      <c r="K175" s="44"/>
    </row>
    <row r="176" spans="1:11">
      <c r="A176" s="44"/>
      <c r="B176" s="44"/>
      <c r="C176" s="44"/>
      <c r="D176" s="44"/>
      <c r="E176" s="44"/>
      <c r="F176" s="44"/>
      <c r="G176" s="44"/>
      <c r="H176" s="44"/>
      <c r="I176" s="44"/>
      <c r="J176" s="44">
        <f>SUM(J157:J175)</f>
        <v>119.89769999999999</v>
      </c>
      <c r="K176" s="44"/>
    </row>
    <row r="177" spans="1:11">
      <c r="A177" s="44"/>
      <c r="B177" s="44"/>
      <c r="C177" s="44"/>
      <c r="D177" s="44"/>
      <c r="E177" s="44"/>
      <c r="F177" s="44"/>
      <c r="G177" s="44"/>
      <c r="H177" s="44"/>
      <c r="I177" s="44"/>
      <c r="J177" s="44"/>
      <c r="K177" s="44"/>
    </row>
    <row r="178" spans="1:11">
      <c r="A178" s="44">
        <v>5.5</v>
      </c>
      <c r="B178" s="44" t="s">
        <v>101</v>
      </c>
      <c r="C178" s="44" t="s">
        <v>85</v>
      </c>
      <c r="D178" s="44"/>
      <c r="E178" s="44"/>
      <c r="F178" s="44"/>
      <c r="G178" s="44"/>
      <c r="H178" s="44"/>
      <c r="I178" s="44"/>
      <c r="J178" s="44"/>
      <c r="K178" s="44"/>
    </row>
    <row r="179" spans="1:11">
      <c r="A179" s="44"/>
      <c r="B179" s="44" t="s">
        <v>592</v>
      </c>
      <c r="C179" s="44"/>
      <c r="D179" s="44"/>
      <c r="E179" s="44"/>
      <c r="F179" s="44"/>
      <c r="G179" s="44"/>
      <c r="H179" s="44"/>
      <c r="I179" s="44"/>
      <c r="J179" s="44"/>
      <c r="K179" s="44" t="s">
        <v>561</v>
      </c>
    </row>
    <row r="180" spans="1:11">
      <c r="A180" s="44"/>
      <c r="B180" s="44" t="s">
        <v>571</v>
      </c>
      <c r="C180" s="44"/>
      <c r="D180" s="44">
        <v>2</v>
      </c>
      <c r="E180" s="44">
        <v>1.5</v>
      </c>
      <c r="F180" s="44"/>
      <c r="G180" s="44">
        <f>1.35+1</f>
        <v>2.35</v>
      </c>
      <c r="H180" s="44"/>
      <c r="I180" s="44"/>
      <c r="J180" s="44">
        <f>D180*E180*G180</f>
        <v>7.0500000000000007</v>
      </c>
      <c r="K180" s="44"/>
    </row>
    <row r="181" spans="1:11">
      <c r="A181" s="44"/>
      <c r="B181" s="44" t="s">
        <v>593</v>
      </c>
      <c r="C181" s="44"/>
      <c r="D181" s="44">
        <v>1</v>
      </c>
      <c r="E181" s="44"/>
      <c r="F181" s="44">
        <v>1.4750000000000001</v>
      </c>
      <c r="G181" s="44">
        <f>G180</f>
        <v>2.35</v>
      </c>
      <c r="H181" s="44"/>
      <c r="I181" s="44"/>
      <c r="J181" s="44">
        <f>D181*F181*G181</f>
        <v>3.4662500000000005</v>
      </c>
      <c r="K181" s="44"/>
    </row>
    <row r="182" spans="1:11">
      <c r="A182" s="44"/>
      <c r="B182" s="44" t="s">
        <v>559</v>
      </c>
      <c r="C182" s="44"/>
      <c r="D182" s="44">
        <v>2</v>
      </c>
      <c r="E182" s="44"/>
      <c r="F182" s="44">
        <v>0.5</v>
      </c>
      <c r="G182" s="44">
        <f>1.4+1</f>
        <v>2.4</v>
      </c>
      <c r="H182" s="44"/>
      <c r="I182" s="44"/>
      <c r="J182" s="44">
        <f>D182*F182*G182</f>
        <v>2.4</v>
      </c>
      <c r="K182" s="44"/>
    </row>
    <row r="183" spans="1:11">
      <c r="A183" s="44"/>
      <c r="B183" s="44"/>
      <c r="C183" s="44"/>
      <c r="D183" s="44">
        <v>2</v>
      </c>
      <c r="E183" s="44">
        <v>0.7</v>
      </c>
      <c r="F183" s="44">
        <v>0.5</v>
      </c>
      <c r="G183" s="44"/>
      <c r="H183" s="44"/>
      <c r="I183" s="44"/>
      <c r="J183" s="44">
        <f>D183*E183*F183</f>
        <v>0.7</v>
      </c>
      <c r="K183" s="44"/>
    </row>
    <row r="184" spans="1:11">
      <c r="A184" s="44"/>
      <c r="B184" s="44" t="s">
        <v>585</v>
      </c>
      <c r="C184" s="44"/>
      <c r="D184" s="44">
        <v>2</v>
      </c>
      <c r="E184" s="44">
        <f>E159</f>
        <v>1</v>
      </c>
      <c r="F184" s="44"/>
      <c r="G184" s="44">
        <f>G159</f>
        <v>1</v>
      </c>
      <c r="H184" s="44"/>
      <c r="I184" s="44"/>
      <c r="J184" s="44">
        <f>D184*E184*G184</f>
        <v>2</v>
      </c>
      <c r="K184" s="44"/>
    </row>
    <row r="185" spans="1:11">
      <c r="A185" s="44"/>
      <c r="B185" s="44" t="s">
        <v>407</v>
      </c>
      <c r="C185" s="44"/>
      <c r="D185" s="44"/>
      <c r="E185" s="44"/>
      <c r="F185" s="44"/>
      <c r="G185" s="44"/>
      <c r="H185" s="44"/>
      <c r="I185" s="44"/>
      <c r="J185" s="44"/>
      <c r="K185" s="44"/>
    </row>
    <row r="186" spans="1:11">
      <c r="A186" s="44"/>
      <c r="B186" s="44" t="s">
        <v>577</v>
      </c>
      <c r="C186" s="44"/>
      <c r="D186" s="44">
        <v>2</v>
      </c>
      <c r="E186" s="44"/>
      <c r="F186" s="44"/>
      <c r="G186" s="44"/>
      <c r="H186" s="44">
        <f>16.84+14.02</f>
        <v>30.86</v>
      </c>
      <c r="I186" s="44"/>
      <c r="J186" s="44">
        <f>D186*H186</f>
        <v>61.72</v>
      </c>
      <c r="K186" s="44" t="s">
        <v>561</v>
      </c>
    </row>
    <row r="187" spans="1:11">
      <c r="A187" s="44"/>
      <c r="B187" s="44" t="s">
        <v>585</v>
      </c>
      <c r="C187" s="44"/>
      <c r="D187" s="44">
        <v>2</v>
      </c>
      <c r="E187" s="44">
        <v>8</v>
      </c>
      <c r="F187" s="44"/>
      <c r="G187" s="44">
        <f>AVERAGE(2.3,1.2)</f>
        <v>1.75</v>
      </c>
      <c r="H187" s="44"/>
      <c r="I187" s="44"/>
      <c r="J187" s="44">
        <f>D187*E187*G187</f>
        <v>28</v>
      </c>
      <c r="K187" s="44"/>
    </row>
    <row r="188" spans="1:11">
      <c r="A188" s="44"/>
      <c r="B188" s="44" t="s">
        <v>583</v>
      </c>
      <c r="C188" s="44"/>
      <c r="D188" s="44"/>
      <c r="E188" s="44"/>
      <c r="F188" s="44"/>
      <c r="G188" s="44"/>
      <c r="H188" s="44"/>
      <c r="I188" s="44"/>
      <c r="J188" s="44"/>
      <c r="K188" s="44"/>
    </row>
    <row r="189" spans="1:11">
      <c r="A189" s="44"/>
      <c r="B189" s="44" t="s">
        <v>594</v>
      </c>
      <c r="C189" s="44"/>
      <c r="D189" s="44">
        <v>2</v>
      </c>
      <c r="E189" s="44">
        <v>15</v>
      </c>
      <c r="F189" s="44"/>
      <c r="G189" s="44">
        <f>AVERAGE(3.03,2.65)</f>
        <v>2.84</v>
      </c>
      <c r="H189" s="44"/>
      <c r="I189" s="44"/>
      <c r="J189" s="44">
        <f>D189*E189*G189</f>
        <v>85.199999999999989</v>
      </c>
      <c r="K189" s="44"/>
    </row>
    <row r="190" spans="1:11">
      <c r="A190" s="44"/>
      <c r="B190" s="44" t="s">
        <v>595</v>
      </c>
      <c r="C190" s="44"/>
      <c r="D190" s="44">
        <v>2</v>
      </c>
      <c r="E190" s="44">
        <f>E189</f>
        <v>15</v>
      </c>
      <c r="F190" s="44"/>
      <c r="G190" s="44">
        <f>G189-0.35</f>
        <v>2.4899999999999998</v>
      </c>
      <c r="H190" s="44"/>
      <c r="I190" s="44"/>
      <c r="J190" s="44">
        <f>D190*E190*G190</f>
        <v>74.699999999999989</v>
      </c>
      <c r="K190" s="44"/>
    </row>
    <row r="191" spans="1:11">
      <c r="A191" s="44"/>
      <c r="B191" s="44" t="s">
        <v>585</v>
      </c>
      <c r="C191" s="44"/>
      <c r="D191" s="44">
        <v>2</v>
      </c>
      <c r="E191" s="44">
        <f>E190</f>
        <v>15</v>
      </c>
      <c r="F191" s="44"/>
      <c r="G191" s="44">
        <f>AVERAGE(2.2,1.8)</f>
        <v>2</v>
      </c>
      <c r="H191" s="44"/>
      <c r="I191" s="44"/>
      <c r="J191" s="44">
        <f>D191*E191*G191</f>
        <v>60</v>
      </c>
      <c r="K191" s="44"/>
    </row>
    <row r="192" spans="1:11">
      <c r="A192" s="44"/>
      <c r="B192" s="44" t="s">
        <v>587</v>
      </c>
      <c r="C192" s="44"/>
      <c r="D192" s="44"/>
      <c r="E192" s="44"/>
      <c r="F192" s="44"/>
      <c r="G192" s="44"/>
      <c r="H192" s="44"/>
      <c r="I192" s="44"/>
      <c r="J192" s="44"/>
      <c r="K192" s="44"/>
    </row>
    <row r="193" spans="1:11">
      <c r="A193" s="44"/>
      <c r="B193" s="44" t="s">
        <v>571</v>
      </c>
      <c r="C193" s="44"/>
      <c r="D193" s="44">
        <v>2</v>
      </c>
      <c r="E193" s="44">
        <v>1</v>
      </c>
      <c r="F193" s="44"/>
      <c r="G193" s="44">
        <f>3.03+2.68</f>
        <v>5.71</v>
      </c>
      <c r="H193" s="44"/>
      <c r="I193" s="44"/>
      <c r="J193" s="44">
        <f>D193*E193*G193</f>
        <v>11.42</v>
      </c>
      <c r="K193" s="44"/>
    </row>
    <row r="194" spans="1:11">
      <c r="A194" s="44"/>
      <c r="B194" s="44" t="s">
        <v>596</v>
      </c>
      <c r="C194" s="44"/>
      <c r="D194" s="44">
        <v>2</v>
      </c>
      <c r="E194" s="44"/>
      <c r="F194" s="44">
        <v>5.75</v>
      </c>
      <c r="G194" s="44">
        <v>3.03</v>
      </c>
      <c r="H194" s="44"/>
      <c r="I194" s="44"/>
      <c r="J194" s="44">
        <f>D194*F194*G194</f>
        <v>34.844999999999999</v>
      </c>
      <c r="K194" s="44"/>
    </row>
    <row r="195" spans="1:11">
      <c r="A195" s="44"/>
      <c r="B195" s="44" t="s">
        <v>597</v>
      </c>
      <c r="C195" s="44"/>
      <c r="D195" s="44"/>
      <c r="E195" s="44"/>
      <c r="F195" s="44"/>
      <c r="G195" s="44"/>
      <c r="H195" s="44"/>
      <c r="I195" s="44"/>
      <c r="J195" s="44"/>
      <c r="K195" s="44"/>
    </row>
    <row r="196" spans="1:11">
      <c r="A196" s="44"/>
      <c r="B196" s="44" t="s">
        <v>571</v>
      </c>
      <c r="C196" s="44"/>
      <c r="D196" s="44">
        <v>2</v>
      </c>
      <c r="E196" s="44">
        <v>3.2</v>
      </c>
      <c r="F196" s="44"/>
      <c r="G196" s="44">
        <f>3.03+2.68</f>
        <v>5.71</v>
      </c>
      <c r="H196" s="44"/>
      <c r="I196" s="44"/>
      <c r="J196" s="44">
        <f>D196*E196*G196</f>
        <v>36.544000000000004</v>
      </c>
      <c r="K196" s="44"/>
    </row>
    <row r="197" spans="1:11">
      <c r="A197" s="44"/>
      <c r="B197" s="44" t="s">
        <v>598</v>
      </c>
      <c r="C197" s="44"/>
      <c r="D197" s="44">
        <v>2</v>
      </c>
      <c r="E197" s="44"/>
      <c r="F197" s="44">
        <v>1</v>
      </c>
      <c r="G197" s="44">
        <v>1.68</v>
      </c>
      <c r="H197" s="44"/>
      <c r="I197" s="44"/>
      <c r="J197" s="44">
        <f>D197*F197*G197</f>
        <v>3.36</v>
      </c>
      <c r="K197" s="44"/>
    </row>
    <row r="198" spans="1:11">
      <c r="A198" s="44"/>
      <c r="B198" s="44"/>
      <c r="C198" s="44"/>
      <c r="D198" s="44"/>
      <c r="E198" s="44"/>
      <c r="F198" s="44"/>
      <c r="G198" s="44"/>
      <c r="H198" s="44"/>
      <c r="I198" s="44"/>
      <c r="J198" s="44">
        <f>SUM(J179:J197)</f>
        <v>411.40525000000002</v>
      </c>
      <c r="K198" s="44"/>
    </row>
    <row r="199" spans="1:11">
      <c r="A199" s="44"/>
      <c r="B199" s="44"/>
      <c r="C199" s="44"/>
      <c r="D199" s="44"/>
      <c r="E199" s="44"/>
      <c r="F199" s="44"/>
      <c r="G199" s="44"/>
      <c r="H199" s="44"/>
      <c r="I199" s="44"/>
      <c r="J199" s="44"/>
      <c r="K199" s="44"/>
    </row>
    <row r="200" spans="1:11">
      <c r="A200" s="44">
        <v>5.6</v>
      </c>
      <c r="B200" s="44" t="s">
        <v>24</v>
      </c>
      <c r="C200" s="44" t="s">
        <v>25</v>
      </c>
      <c r="D200" s="44"/>
      <c r="E200" s="44"/>
      <c r="F200" s="44"/>
      <c r="G200" s="44"/>
      <c r="H200" s="44" t="s">
        <v>405</v>
      </c>
      <c r="I200" s="44"/>
      <c r="J200" s="44">
        <f>(0.8%*J176*7850)/1000</f>
        <v>7.5295755599999996</v>
      </c>
      <c r="K200" s="44"/>
    </row>
    <row r="201" spans="1:11">
      <c r="A201" s="44"/>
      <c r="B201" s="44"/>
      <c r="C201" s="44"/>
      <c r="D201" s="44"/>
      <c r="E201" s="44"/>
      <c r="F201" s="44"/>
      <c r="G201" s="44"/>
      <c r="H201" s="44"/>
      <c r="I201" s="44"/>
      <c r="J201" s="44"/>
      <c r="K201" s="44"/>
    </row>
    <row r="202" spans="1:11">
      <c r="A202" s="44">
        <v>6</v>
      </c>
      <c r="B202" s="239" t="s">
        <v>321</v>
      </c>
      <c r="C202" s="44"/>
      <c r="D202" s="44"/>
      <c r="E202" s="44"/>
      <c r="F202" s="44"/>
      <c r="G202" s="44"/>
      <c r="H202" s="44"/>
      <c r="I202" s="44"/>
      <c r="J202" s="44"/>
      <c r="K202" s="44"/>
    </row>
    <row r="203" spans="1:11">
      <c r="A203" s="44">
        <v>6.1</v>
      </c>
      <c r="B203" s="44" t="s">
        <v>313</v>
      </c>
      <c r="C203" s="44" t="s">
        <v>306</v>
      </c>
      <c r="D203" s="44"/>
      <c r="E203" s="44"/>
      <c r="F203" s="44"/>
      <c r="G203" s="44"/>
      <c r="H203" s="44"/>
      <c r="I203" s="44"/>
      <c r="J203" s="44"/>
      <c r="K203" s="44"/>
    </row>
    <row r="204" spans="1:11">
      <c r="A204" s="44"/>
      <c r="B204" s="44"/>
      <c r="C204" s="44"/>
      <c r="D204" s="44">
        <v>1</v>
      </c>
      <c r="E204" s="44"/>
      <c r="F204" s="44">
        <v>2.2999999999999998</v>
      </c>
      <c r="G204" s="44"/>
      <c r="H204" s="44">
        <v>128.83000000000001</v>
      </c>
      <c r="I204" s="44"/>
      <c r="J204" s="44">
        <f>D204*F204*H204</f>
        <v>296.30900000000003</v>
      </c>
      <c r="K204" s="44" t="s">
        <v>561</v>
      </c>
    </row>
    <row r="205" spans="1:11">
      <c r="A205" s="44">
        <v>6.2</v>
      </c>
      <c r="B205" s="44" t="s">
        <v>31</v>
      </c>
      <c r="C205" s="44" t="s">
        <v>306</v>
      </c>
      <c r="D205" s="44"/>
      <c r="E205" s="44"/>
      <c r="F205" s="44"/>
      <c r="G205" s="44"/>
      <c r="H205" s="44"/>
      <c r="I205" s="44"/>
      <c r="J205" s="44"/>
      <c r="K205" s="44"/>
    </row>
    <row r="206" spans="1:11">
      <c r="A206" s="44"/>
      <c r="B206" s="44"/>
      <c r="C206" s="44"/>
      <c r="D206" s="44">
        <v>1</v>
      </c>
      <c r="E206" s="44"/>
      <c r="F206" s="44">
        <f>F204</f>
        <v>2.2999999999999998</v>
      </c>
      <c r="G206" s="44"/>
      <c r="H206" s="44">
        <v>37.078000000000003</v>
      </c>
      <c r="I206" s="44"/>
      <c r="J206" s="44">
        <f>D206*F206*H206</f>
        <v>85.279399999999995</v>
      </c>
      <c r="K206" s="44" t="s">
        <v>561</v>
      </c>
    </row>
    <row r="207" spans="1:11">
      <c r="A207" s="44"/>
      <c r="B207" s="44"/>
      <c r="C207" s="44"/>
      <c r="D207" s="44"/>
      <c r="E207" s="44"/>
      <c r="F207" s="44"/>
      <c r="G207" s="44"/>
      <c r="H207" s="44"/>
      <c r="I207" s="44"/>
      <c r="J207" s="44"/>
      <c r="K207" s="44"/>
    </row>
    <row r="208" spans="1:11">
      <c r="A208" s="44">
        <v>6.3</v>
      </c>
      <c r="B208" s="44" t="s">
        <v>314</v>
      </c>
      <c r="C208" s="44" t="s">
        <v>306</v>
      </c>
      <c r="D208" s="44">
        <v>1</v>
      </c>
      <c r="E208" s="44">
        <v>47</v>
      </c>
      <c r="F208" s="44">
        <v>1</v>
      </c>
      <c r="G208" s="44">
        <v>7.4999999999999997E-2</v>
      </c>
      <c r="H208" s="44"/>
      <c r="I208" s="44"/>
      <c r="J208" s="44">
        <f>D208*E208*F208*G208</f>
        <v>3.5249999999999999</v>
      </c>
      <c r="K208" s="44"/>
    </row>
    <row r="209" spans="1:11">
      <c r="A209" s="44"/>
      <c r="B209" s="44"/>
      <c r="C209" s="44"/>
      <c r="D209" s="44"/>
      <c r="E209" s="44"/>
      <c r="F209" s="44"/>
      <c r="G209" s="44"/>
      <c r="H209" s="44"/>
      <c r="I209" s="44"/>
      <c r="J209" s="44"/>
      <c r="K209" s="44"/>
    </row>
    <row r="210" spans="1:11">
      <c r="A210" s="44">
        <f>A208+0.1</f>
        <v>6.3999999999999995</v>
      </c>
      <c r="B210" s="44" t="s">
        <v>324</v>
      </c>
      <c r="C210" s="44" t="s">
        <v>25</v>
      </c>
      <c r="D210" s="44">
        <v>1</v>
      </c>
      <c r="E210" s="44">
        <f>E208</f>
        <v>47</v>
      </c>
      <c r="F210" s="44"/>
      <c r="G210" s="44"/>
      <c r="H210" s="44">
        <f>(PI()*(0.5+(8/1000))*(8/1000))</f>
        <v>1.276743254418892E-2</v>
      </c>
      <c r="I210" s="44"/>
      <c r="J210" s="44">
        <f>(D210*E210*H210*7850)/1000</f>
        <v>4.7105442371785022</v>
      </c>
      <c r="K210" s="44"/>
    </row>
    <row r="211" spans="1:11">
      <c r="A211" s="44"/>
      <c r="B211" s="44"/>
      <c r="C211" s="44"/>
      <c r="D211" s="44"/>
      <c r="E211" s="44"/>
      <c r="F211" s="44"/>
      <c r="G211" s="44"/>
      <c r="H211" s="44"/>
      <c r="I211" s="44"/>
      <c r="J211" s="44"/>
      <c r="K211" s="44"/>
    </row>
    <row r="212" spans="1:11">
      <c r="A212" s="44"/>
      <c r="B212" s="44"/>
      <c r="C212" s="44"/>
      <c r="D212" s="44"/>
      <c r="E212" s="44"/>
      <c r="F212" s="44"/>
      <c r="G212" s="44"/>
      <c r="H212" s="44"/>
      <c r="I212" s="44"/>
      <c r="J212" s="44"/>
      <c r="K212" s="44"/>
    </row>
    <row r="213" spans="1:11">
      <c r="A213" s="44">
        <v>7</v>
      </c>
      <c r="B213" s="239" t="s">
        <v>599</v>
      </c>
      <c r="C213" s="44"/>
      <c r="D213" s="44"/>
      <c r="E213" s="44"/>
      <c r="F213" s="44"/>
      <c r="G213" s="44"/>
      <c r="H213" s="44"/>
      <c r="I213" s="44"/>
      <c r="J213" s="44"/>
      <c r="K213" s="44"/>
    </row>
    <row r="214" spans="1:11">
      <c r="A214" s="44">
        <v>7.1</v>
      </c>
      <c r="B214" s="44" t="s">
        <v>313</v>
      </c>
      <c r="C214" s="44" t="s">
        <v>306</v>
      </c>
      <c r="D214" s="44">
        <v>1</v>
      </c>
      <c r="E214" s="44"/>
      <c r="F214" s="44">
        <v>3.13</v>
      </c>
      <c r="G214" s="44"/>
      <c r="H214" s="44">
        <v>68</v>
      </c>
      <c r="I214" s="44"/>
      <c r="J214" s="44">
        <f>D214*F214*H214</f>
        <v>212.84</v>
      </c>
      <c r="K214" s="44"/>
    </row>
    <row r="215" spans="1:11">
      <c r="A215" s="44"/>
      <c r="B215" s="44"/>
      <c r="C215" s="44"/>
      <c r="D215" s="44"/>
      <c r="E215" s="44"/>
      <c r="F215" s="44"/>
      <c r="G215" s="44"/>
      <c r="H215" s="44"/>
      <c r="I215" s="44"/>
      <c r="J215" s="44"/>
      <c r="K215" s="44"/>
    </row>
    <row r="216" spans="1:11">
      <c r="A216" s="44">
        <v>7.2</v>
      </c>
      <c r="B216" s="44" t="s">
        <v>31</v>
      </c>
      <c r="C216" s="44" t="s">
        <v>306</v>
      </c>
      <c r="D216" s="44">
        <v>1</v>
      </c>
      <c r="E216" s="44">
        <v>20</v>
      </c>
      <c r="F216" s="44"/>
      <c r="G216" s="44"/>
      <c r="H216" s="44">
        <v>1.86</v>
      </c>
      <c r="I216" s="44"/>
      <c r="J216" s="44">
        <f>D216*E216*H216</f>
        <v>37.200000000000003</v>
      </c>
      <c r="K216" s="44"/>
    </row>
    <row r="217" spans="1:11">
      <c r="A217" s="44"/>
      <c r="B217" s="44"/>
      <c r="C217" s="44"/>
      <c r="D217" s="44"/>
      <c r="E217" s="44"/>
      <c r="F217" s="44"/>
      <c r="G217" s="44"/>
      <c r="H217" s="44"/>
      <c r="I217" s="44"/>
      <c r="J217" s="44"/>
      <c r="K217" s="44"/>
    </row>
    <row r="218" spans="1:11">
      <c r="A218" s="44">
        <f>A216+0.1</f>
        <v>7.3</v>
      </c>
      <c r="B218" s="44" t="s">
        <v>314</v>
      </c>
      <c r="C218" s="44" t="s">
        <v>306</v>
      </c>
      <c r="D218" s="44">
        <v>1</v>
      </c>
      <c r="E218" s="44">
        <f>6.4+(5.3*4)+4</f>
        <v>31.6</v>
      </c>
      <c r="F218" s="44"/>
      <c r="G218" s="44">
        <v>7.4999999999999997E-2</v>
      </c>
      <c r="H218" s="44"/>
      <c r="I218" s="44"/>
      <c r="J218" s="44">
        <f>D218*E218*G218</f>
        <v>2.37</v>
      </c>
      <c r="K218" s="44"/>
    </row>
    <row r="219" spans="1:11">
      <c r="A219" s="44"/>
      <c r="B219" s="44"/>
      <c r="C219" s="44"/>
      <c r="D219" s="44"/>
      <c r="E219" s="44"/>
      <c r="F219" s="44"/>
      <c r="G219" s="44"/>
      <c r="H219" s="44"/>
      <c r="I219" s="44"/>
      <c r="J219" s="44"/>
      <c r="K219" s="44"/>
    </row>
    <row r="220" spans="1:11">
      <c r="A220" s="44">
        <f>A218+0.1</f>
        <v>7.3999999999999995</v>
      </c>
      <c r="B220" s="44" t="s">
        <v>315</v>
      </c>
      <c r="C220" s="44" t="s">
        <v>306</v>
      </c>
      <c r="D220" s="44"/>
      <c r="E220" s="44"/>
      <c r="F220" s="44"/>
      <c r="G220" s="44"/>
      <c r="H220" s="44"/>
      <c r="I220" s="44"/>
      <c r="J220" s="44"/>
      <c r="K220" s="44"/>
    </row>
    <row r="221" spans="1:11">
      <c r="A221" s="44"/>
      <c r="B221" s="44" t="s">
        <v>600</v>
      </c>
      <c r="C221" s="44"/>
      <c r="D221" s="44"/>
      <c r="E221" s="44"/>
      <c r="F221" s="44"/>
      <c r="G221" s="44"/>
      <c r="H221" s="44"/>
      <c r="I221" s="44"/>
      <c r="J221" s="44"/>
      <c r="K221" s="44"/>
    </row>
    <row r="222" spans="1:11">
      <c r="A222" s="44"/>
      <c r="B222" s="44" t="s">
        <v>601</v>
      </c>
      <c r="C222" s="44"/>
      <c r="D222" s="44">
        <v>1</v>
      </c>
      <c r="E222" s="44">
        <v>5.8</v>
      </c>
      <c r="F222" s="44"/>
      <c r="G222" s="44"/>
      <c r="H222" s="44">
        <v>4.8</v>
      </c>
      <c r="I222" s="44"/>
      <c r="J222" s="44">
        <f>D222*E222*H222</f>
        <v>27.84</v>
      </c>
      <c r="K222" s="44"/>
    </row>
    <row r="223" spans="1:11">
      <c r="A223" s="44"/>
      <c r="B223" s="44" t="s">
        <v>602</v>
      </c>
      <c r="C223" s="44"/>
      <c r="D223" s="44">
        <v>1</v>
      </c>
      <c r="E223" s="44">
        <v>2.6</v>
      </c>
      <c r="F223" s="44">
        <v>2</v>
      </c>
      <c r="G223" s="44">
        <v>0.4</v>
      </c>
      <c r="H223" s="44"/>
      <c r="I223" s="44"/>
      <c r="J223" s="44">
        <f>D223*E223*F223*G223</f>
        <v>2.08</v>
      </c>
      <c r="K223" s="44"/>
    </row>
    <row r="224" spans="1:11">
      <c r="A224" s="44"/>
      <c r="B224" s="44" t="s">
        <v>603</v>
      </c>
      <c r="C224" s="44"/>
      <c r="D224" s="44">
        <v>1</v>
      </c>
      <c r="E224" s="44"/>
      <c r="F224" s="44">
        <f>F223</f>
        <v>2</v>
      </c>
      <c r="G224" s="44"/>
      <c r="H224" s="44">
        <v>0.45</v>
      </c>
      <c r="I224" s="44"/>
      <c r="J224" s="44">
        <f>D224*F224*H224</f>
        <v>0.9</v>
      </c>
      <c r="K224" s="44"/>
    </row>
    <row r="225" spans="1:11">
      <c r="A225" s="44"/>
      <c r="B225" s="44" t="s">
        <v>604</v>
      </c>
      <c r="C225" s="44"/>
      <c r="D225" s="44">
        <v>4</v>
      </c>
      <c r="E225" s="44">
        <v>5</v>
      </c>
      <c r="F225" s="44"/>
      <c r="G225" s="44"/>
      <c r="H225" s="44">
        <v>1.38</v>
      </c>
      <c r="I225" s="44"/>
      <c r="J225" s="44">
        <f>D225*E225*H225</f>
        <v>27.599999999999998</v>
      </c>
      <c r="K225" s="44"/>
    </row>
    <row r="226" spans="1:11">
      <c r="A226" s="44"/>
      <c r="B226" s="44" t="s">
        <v>605</v>
      </c>
      <c r="C226" s="44"/>
      <c r="D226" s="44"/>
      <c r="E226" s="44"/>
      <c r="F226" s="44"/>
      <c r="G226" s="44"/>
      <c r="H226" s="44"/>
      <c r="I226" s="44"/>
      <c r="J226" s="44"/>
      <c r="K226" s="44"/>
    </row>
    <row r="227" spans="1:11">
      <c r="A227" s="44"/>
      <c r="B227" s="44" t="s">
        <v>606</v>
      </c>
      <c r="C227" s="44"/>
      <c r="D227" s="44">
        <v>1</v>
      </c>
      <c r="E227" s="44"/>
      <c r="F227" s="44"/>
      <c r="G227" s="44">
        <v>0.3</v>
      </c>
      <c r="H227" s="44">
        <v>32.700000000000003</v>
      </c>
      <c r="I227" s="44"/>
      <c r="J227" s="44">
        <f>D227*G227*H227</f>
        <v>9.81</v>
      </c>
      <c r="K227" s="44"/>
    </row>
    <row r="228" spans="1:11">
      <c r="A228" s="44"/>
      <c r="B228" s="44" t="s">
        <v>571</v>
      </c>
      <c r="C228" s="44"/>
      <c r="D228" s="44">
        <v>2</v>
      </c>
      <c r="E228" s="44">
        <v>6.5</v>
      </c>
      <c r="F228" s="44">
        <v>0.3</v>
      </c>
      <c r="G228" s="44">
        <v>1</v>
      </c>
      <c r="H228" s="44"/>
      <c r="I228" s="44"/>
      <c r="J228" s="44">
        <f>D228*E228*F228*G228</f>
        <v>3.9</v>
      </c>
      <c r="K228" s="44"/>
    </row>
    <row r="229" spans="1:11">
      <c r="A229" s="44"/>
      <c r="B229" s="44"/>
      <c r="C229" s="44"/>
      <c r="D229" s="44"/>
      <c r="E229" s="44"/>
      <c r="F229" s="44"/>
      <c r="G229" s="44"/>
      <c r="H229" s="44"/>
      <c r="I229" s="44"/>
      <c r="J229" s="44">
        <f>SUM(J222:J228)</f>
        <v>72.13000000000001</v>
      </c>
      <c r="K229" s="44"/>
    </row>
    <row r="230" spans="1:11">
      <c r="A230" s="44">
        <f>A220+0.1</f>
        <v>7.4999999999999991</v>
      </c>
      <c r="B230" s="44" t="s">
        <v>309</v>
      </c>
      <c r="C230" s="44" t="s">
        <v>85</v>
      </c>
      <c r="D230" s="44"/>
      <c r="E230" s="44"/>
      <c r="F230" s="44"/>
      <c r="G230" s="44"/>
      <c r="H230" s="44"/>
      <c r="I230" s="44"/>
      <c r="J230" s="44"/>
      <c r="K230" s="44"/>
    </row>
    <row r="231" spans="1:11">
      <c r="A231" s="44"/>
      <c r="B231" s="44" t="s">
        <v>600</v>
      </c>
      <c r="C231" s="44"/>
      <c r="D231" s="44"/>
      <c r="E231" s="44"/>
      <c r="F231" s="44"/>
      <c r="G231" s="44"/>
      <c r="H231" s="44"/>
      <c r="I231" s="44"/>
      <c r="J231" s="44"/>
      <c r="K231" s="44"/>
    </row>
    <row r="232" spans="1:11">
      <c r="A232" s="44"/>
      <c r="B232" s="44" t="s">
        <v>607</v>
      </c>
      <c r="C232" s="44"/>
      <c r="D232" s="44">
        <v>2</v>
      </c>
      <c r="E232" s="44">
        <f>E222</f>
        <v>5.8</v>
      </c>
      <c r="F232" s="44"/>
      <c r="G232" s="44">
        <f>3+2.4</f>
        <v>5.4</v>
      </c>
      <c r="H232" s="44"/>
      <c r="I232" s="44"/>
      <c r="J232" s="44">
        <f>D232*E232*G232</f>
        <v>62.64</v>
      </c>
      <c r="K232" s="44" t="s">
        <v>608</v>
      </c>
    </row>
    <row r="233" spans="1:11">
      <c r="A233" s="44"/>
      <c r="B233" s="44"/>
      <c r="C233" s="44"/>
      <c r="D233" s="44">
        <v>1</v>
      </c>
      <c r="E233" s="44"/>
      <c r="F233" s="44">
        <f>3.2+2</f>
        <v>5.2</v>
      </c>
      <c r="G233" s="44">
        <f>3+2</f>
        <v>5</v>
      </c>
      <c r="H233" s="44"/>
      <c r="I233" s="44"/>
      <c r="J233" s="44">
        <f>D233*F233*G233</f>
        <v>26</v>
      </c>
      <c r="K233" s="44"/>
    </row>
    <row r="234" spans="1:11">
      <c r="A234" s="44"/>
      <c r="B234" s="44" t="s">
        <v>602</v>
      </c>
      <c r="C234" s="44"/>
      <c r="D234" s="44">
        <v>1</v>
      </c>
      <c r="E234" s="44">
        <f>E223</f>
        <v>2.6</v>
      </c>
      <c r="F234" s="44">
        <f>F223</f>
        <v>2</v>
      </c>
      <c r="G234" s="44"/>
      <c r="H234" s="44"/>
      <c r="I234" s="44"/>
      <c r="J234" s="44">
        <f>D234*E234*F234</f>
        <v>5.2</v>
      </c>
      <c r="K234" s="44"/>
    </row>
    <row r="235" spans="1:11">
      <c r="A235" s="44"/>
      <c r="B235" s="44" t="s">
        <v>603</v>
      </c>
      <c r="C235" s="44"/>
      <c r="D235" s="44">
        <v>1</v>
      </c>
      <c r="E235" s="44">
        <v>2.8</v>
      </c>
      <c r="F235" s="44">
        <f>F224</f>
        <v>2</v>
      </c>
      <c r="G235" s="44"/>
      <c r="H235" s="44"/>
      <c r="I235" s="44"/>
      <c r="J235" s="44">
        <f>D235*E235*F235</f>
        <v>5.6</v>
      </c>
      <c r="K235" s="44"/>
    </row>
    <row r="236" spans="1:11">
      <c r="A236" s="44"/>
      <c r="B236" s="44" t="s">
        <v>609</v>
      </c>
      <c r="C236" s="44"/>
      <c r="D236" s="44">
        <f>D225</f>
        <v>4</v>
      </c>
      <c r="E236" s="44">
        <f>E225</f>
        <v>5</v>
      </c>
      <c r="F236" s="44"/>
      <c r="G236" s="44">
        <f>1.3+1</f>
        <v>2.2999999999999998</v>
      </c>
      <c r="H236" s="44"/>
      <c r="I236" s="44"/>
      <c r="J236" s="44">
        <f>D236*E236*G236</f>
        <v>46</v>
      </c>
      <c r="K236" s="44"/>
    </row>
    <row r="237" spans="1:11">
      <c r="A237" s="44"/>
      <c r="B237" s="44" t="s">
        <v>610</v>
      </c>
      <c r="C237" s="44"/>
      <c r="D237" s="44">
        <v>4</v>
      </c>
      <c r="E237" s="44"/>
      <c r="F237" s="44">
        <v>2.6</v>
      </c>
      <c r="G237" s="44">
        <v>2</v>
      </c>
      <c r="H237" s="44"/>
      <c r="I237" s="44"/>
      <c r="J237" s="44">
        <f>D237*F237*G237</f>
        <v>20.8</v>
      </c>
      <c r="K237" s="44"/>
    </row>
    <row r="238" spans="1:11">
      <c r="A238" s="44"/>
      <c r="B238" s="44" t="s">
        <v>605</v>
      </c>
      <c r="C238" s="44"/>
      <c r="D238" s="44"/>
      <c r="E238" s="44"/>
      <c r="F238" s="44"/>
      <c r="G238" s="44"/>
      <c r="H238" s="44"/>
      <c r="I238" s="44"/>
      <c r="J238" s="44"/>
      <c r="K238" s="44"/>
    </row>
    <row r="239" spans="1:11">
      <c r="A239" s="44"/>
      <c r="B239" s="44" t="s">
        <v>610</v>
      </c>
      <c r="C239" s="44"/>
      <c r="D239" s="44">
        <v>1</v>
      </c>
      <c r="E239" s="44"/>
      <c r="F239" s="44">
        <v>4.2</v>
      </c>
      <c r="G239" s="44">
        <f>2</f>
        <v>2</v>
      </c>
      <c r="H239" s="44"/>
      <c r="I239" s="44"/>
      <c r="J239" s="44">
        <f>D239*F239*G239</f>
        <v>8.4</v>
      </c>
      <c r="K239" s="44"/>
    </row>
    <row r="240" spans="1:11">
      <c r="A240" s="44"/>
      <c r="B240" s="44" t="s">
        <v>611</v>
      </c>
      <c r="C240" s="44"/>
      <c r="D240" s="44">
        <v>2</v>
      </c>
      <c r="E240" s="44">
        <f>E228</f>
        <v>6.5</v>
      </c>
      <c r="F240" s="44"/>
      <c r="G240" s="44">
        <f>1.3+1</f>
        <v>2.2999999999999998</v>
      </c>
      <c r="H240" s="44"/>
      <c r="I240" s="44"/>
      <c r="J240" s="44">
        <f>D240*E240*G240</f>
        <v>29.9</v>
      </c>
      <c r="K240" s="44"/>
    </row>
    <row r="241" spans="1:11">
      <c r="A241" s="44"/>
      <c r="B241" s="44"/>
      <c r="C241" s="44"/>
      <c r="D241" s="44"/>
      <c r="E241" s="44"/>
      <c r="F241" s="44"/>
      <c r="G241" s="44"/>
      <c r="H241" s="44"/>
      <c r="I241" s="44"/>
      <c r="J241" s="44">
        <f>SUM(J231:J240)</f>
        <v>204.54000000000002</v>
      </c>
      <c r="K241" s="44"/>
    </row>
    <row r="242" spans="1:11">
      <c r="A242" s="44"/>
      <c r="B242" s="44"/>
      <c r="C242" s="44"/>
      <c r="D242" s="44"/>
      <c r="E242" s="44"/>
      <c r="F242" s="44"/>
      <c r="G242" s="44"/>
      <c r="H242" s="44"/>
      <c r="I242" s="44"/>
      <c r="J242" s="44"/>
      <c r="K242" s="44"/>
    </row>
    <row r="243" spans="1:11">
      <c r="A243" s="44">
        <f>A230+0.1</f>
        <v>7.5999999999999988</v>
      </c>
      <c r="B243" s="44" t="s">
        <v>24</v>
      </c>
      <c r="C243" s="44" t="s">
        <v>25</v>
      </c>
      <c r="D243" s="44"/>
      <c r="E243" s="44"/>
      <c r="F243" s="44"/>
      <c r="G243" s="44"/>
      <c r="H243" s="44" t="s">
        <v>445</v>
      </c>
      <c r="I243" s="44"/>
      <c r="J243" s="44">
        <f>(0.5%*J229*7850)/1000</f>
        <v>2.8311025000000005</v>
      </c>
      <c r="K243" s="44"/>
    </row>
    <row r="244" spans="1:11">
      <c r="A244" s="44"/>
      <c r="B244" s="44"/>
      <c r="C244" s="44"/>
      <c r="D244" s="44"/>
      <c r="E244" s="44"/>
      <c r="F244" s="44"/>
      <c r="G244" s="44"/>
      <c r="H244" s="44"/>
      <c r="I244" s="44"/>
      <c r="J244" s="44"/>
      <c r="K244" s="44"/>
    </row>
    <row r="245" spans="1:11">
      <c r="A245" s="44"/>
      <c r="B245" s="44"/>
      <c r="C245" s="44"/>
      <c r="D245" s="44"/>
      <c r="E245" s="44"/>
      <c r="F245" s="44"/>
      <c r="G245" s="44"/>
      <c r="H245" s="44"/>
      <c r="I245" s="44"/>
      <c r="J245" s="44"/>
      <c r="K245" s="44"/>
    </row>
    <row r="246" spans="1:11">
      <c r="A246" s="44">
        <v>8</v>
      </c>
      <c r="B246" s="239" t="s">
        <v>612</v>
      </c>
      <c r="C246" s="44"/>
      <c r="D246" s="44"/>
      <c r="E246" s="44"/>
      <c r="F246" s="44"/>
      <c r="G246" s="44"/>
      <c r="H246" s="44"/>
      <c r="I246" s="44"/>
      <c r="J246" s="44"/>
      <c r="K246" s="44"/>
    </row>
    <row r="247" spans="1:11">
      <c r="A247" s="44"/>
      <c r="B247" s="44" t="s">
        <v>613</v>
      </c>
      <c r="C247" s="44"/>
      <c r="D247" s="44">
        <v>5</v>
      </c>
      <c r="E247" s="44"/>
      <c r="F247" s="44"/>
      <c r="G247" s="44"/>
      <c r="H247" s="44">
        <v>2.48</v>
      </c>
      <c r="I247" s="44"/>
      <c r="J247" s="44"/>
      <c r="K247" s="44"/>
    </row>
    <row r="248" spans="1:11">
      <c r="A248" s="44"/>
      <c r="B248" s="44"/>
      <c r="C248" s="44"/>
      <c r="D248" s="44"/>
      <c r="E248" s="44"/>
      <c r="F248" s="44"/>
      <c r="G248" s="44"/>
      <c r="H248" s="44"/>
      <c r="I248" s="44"/>
      <c r="J248" s="44"/>
      <c r="K248" s="44"/>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9"/>
  <dimension ref="A1:D5"/>
  <sheetViews>
    <sheetView workbookViewId="0"/>
  </sheetViews>
  <sheetFormatPr defaultRowHeight="13.2"/>
  <cols>
    <col min="1" max="1" width="17" customWidth="1"/>
    <col min="2" max="2" width="32.44140625" customWidth="1"/>
    <col min="3" max="3" width="17.5546875" customWidth="1"/>
    <col min="4" max="4" width="14.5546875" customWidth="1"/>
  </cols>
  <sheetData>
    <row r="1" spans="1:4">
      <c r="A1" s="316" t="s">
        <v>487</v>
      </c>
      <c r="B1" s="316" t="s">
        <v>534</v>
      </c>
      <c r="C1" s="316" t="s">
        <v>535</v>
      </c>
      <c r="D1" s="316" t="s">
        <v>536</v>
      </c>
    </row>
    <row r="2" spans="1:4">
      <c r="A2" s="317"/>
      <c r="B2" s="316" t="s">
        <v>304</v>
      </c>
      <c r="C2" s="316" t="s">
        <v>304</v>
      </c>
      <c r="D2" s="317"/>
    </row>
    <row r="3" spans="1:4">
      <c r="A3" s="317"/>
      <c r="B3" s="318" t="e">
        <f>#REF!+#REF!</f>
        <v>#REF!</v>
      </c>
      <c r="C3" s="317" t="e">
        <f>#REF!*260</f>
        <v>#REF!</v>
      </c>
      <c r="D3" s="318" t="e">
        <f>C3-B3</f>
        <v>#REF!</v>
      </c>
    </row>
    <row r="4" spans="1:4">
      <c r="A4" s="317"/>
      <c r="B4" s="317"/>
      <c r="C4" s="317"/>
      <c r="D4" s="317"/>
    </row>
    <row r="5" spans="1:4">
      <c r="A5" s="317"/>
      <c r="B5" s="317"/>
      <c r="C5" s="317"/>
      <c r="D5" s="319" t="e">
        <f>D3/(B3)</f>
        <v>#REF!</v>
      </c>
    </row>
  </sheetData>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40"/>
  <dimension ref="A1:K31"/>
  <sheetViews>
    <sheetView workbookViewId="0"/>
  </sheetViews>
  <sheetFormatPr defaultColWidth="14.44140625" defaultRowHeight="13.2"/>
  <cols>
    <col min="2" max="2" width="32.44140625" customWidth="1"/>
    <col min="3" max="3" width="6.44140625" customWidth="1"/>
    <col min="4" max="4" width="6" customWidth="1"/>
    <col min="5" max="5" width="8.88671875" customWidth="1"/>
    <col min="6" max="6" width="9.6640625" customWidth="1"/>
    <col min="7" max="7" width="9" customWidth="1"/>
    <col min="8" max="8" width="8" customWidth="1"/>
    <col min="9" max="9" width="11.5546875" customWidth="1"/>
    <col min="10" max="10" width="9.6640625" customWidth="1"/>
    <col min="11" max="11" width="12.109375" customWidth="1"/>
  </cols>
  <sheetData>
    <row r="1" spans="1:11" ht="18">
      <c r="A1" s="320" t="s">
        <v>0</v>
      </c>
      <c r="B1" s="217" t="s">
        <v>292</v>
      </c>
    </row>
    <row r="2" spans="1:11" ht="18">
      <c r="A2" s="321" t="s">
        <v>1</v>
      </c>
      <c r="B2" s="322">
        <v>930076</v>
      </c>
    </row>
    <row r="3" spans="1:11" ht="18">
      <c r="A3" s="321" t="s">
        <v>2</v>
      </c>
      <c r="B3" s="315" t="s">
        <v>331</v>
      </c>
    </row>
    <row r="4" spans="1:11" ht="18">
      <c r="A4" s="321" t="s">
        <v>3</v>
      </c>
      <c r="B4" s="217" t="s">
        <v>626</v>
      </c>
    </row>
    <row r="5" spans="1:11" ht="18">
      <c r="A5" s="321" t="s">
        <v>4</v>
      </c>
      <c r="B5" s="217"/>
    </row>
    <row r="7" spans="1:11" ht="18">
      <c r="A7" s="313" t="s">
        <v>332</v>
      </c>
      <c r="B7" s="313" t="s">
        <v>487</v>
      </c>
      <c r="C7" s="313" t="s">
        <v>311</v>
      </c>
      <c r="D7" s="313" t="s">
        <v>172</v>
      </c>
      <c r="E7" s="313" t="s">
        <v>300</v>
      </c>
      <c r="F7" s="313" t="s">
        <v>488</v>
      </c>
      <c r="G7" s="313" t="s">
        <v>489</v>
      </c>
      <c r="H7" s="313" t="s">
        <v>490</v>
      </c>
      <c r="I7" s="313" t="s">
        <v>486</v>
      </c>
      <c r="J7" s="313" t="s">
        <v>491</v>
      </c>
      <c r="K7" s="313" t="s">
        <v>116</v>
      </c>
    </row>
    <row r="8" spans="1:11" ht="18">
      <c r="A8" s="220"/>
      <c r="B8" s="220" t="s">
        <v>615</v>
      </c>
      <c r="C8" s="220"/>
      <c r="D8" s="220"/>
      <c r="E8" s="220"/>
      <c r="F8" s="220"/>
      <c r="G8" s="220"/>
      <c r="H8" s="220"/>
      <c r="I8" s="220"/>
      <c r="J8" s="220"/>
      <c r="K8" s="220"/>
    </row>
    <row r="9" spans="1:11" ht="18">
      <c r="A9" s="220" t="s">
        <v>173</v>
      </c>
      <c r="B9" s="220" t="s">
        <v>535</v>
      </c>
      <c r="C9" s="220"/>
      <c r="D9" s="220"/>
      <c r="E9" s="220"/>
      <c r="F9" s="220"/>
      <c r="G9" s="220"/>
      <c r="H9" s="220"/>
      <c r="I9" s="220"/>
      <c r="J9" s="220"/>
      <c r="K9" s="220"/>
    </row>
    <row r="10" spans="1:11" ht="18">
      <c r="A10" s="220">
        <v>1</v>
      </c>
      <c r="B10" s="220" t="s">
        <v>310</v>
      </c>
      <c r="C10" s="220">
        <v>1</v>
      </c>
      <c r="D10" s="220" t="s">
        <v>306</v>
      </c>
      <c r="E10" s="220">
        <v>246</v>
      </c>
      <c r="F10" s="220"/>
      <c r="G10" s="220"/>
      <c r="H10" s="220">
        <v>15.08</v>
      </c>
      <c r="I10" s="220"/>
      <c r="J10" s="220">
        <f>H10*E10</f>
        <v>3709.68</v>
      </c>
      <c r="K10" s="220">
        <f>J10*C10</f>
        <v>3709.68</v>
      </c>
    </row>
    <row r="11" spans="1:11" ht="18">
      <c r="A11" s="220"/>
      <c r="B11" s="220"/>
      <c r="C11" s="220"/>
      <c r="D11" s="220"/>
      <c r="E11" s="220"/>
      <c r="F11" s="220"/>
      <c r="G11" s="220"/>
      <c r="H11" s="220"/>
      <c r="I11" s="220"/>
      <c r="J11" s="220"/>
      <c r="K11" s="220"/>
    </row>
    <row r="12" spans="1:11" ht="18">
      <c r="A12" s="220">
        <v>2</v>
      </c>
      <c r="B12" s="220" t="s">
        <v>616</v>
      </c>
      <c r="C12" s="220"/>
      <c r="D12" s="220"/>
      <c r="E12" s="220"/>
      <c r="F12" s="220"/>
      <c r="G12" s="220"/>
      <c r="H12" s="220"/>
      <c r="I12" s="220"/>
      <c r="J12" s="220"/>
      <c r="K12" s="220"/>
    </row>
    <row r="13" spans="1:11" ht="18">
      <c r="A13" s="220"/>
      <c r="B13" s="220" t="s">
        <v>617</v>
      </c>
      <c r="C13" s="220">
        <v>6</v>
      </c>
      <c r="D13" s="220" t="s">
        <v>307</v>
      </c>
      <c r="E13" s="220">
        <f>E10/1.6</f>
        <v>153.75</v>
      </c>
      <c r="F13" s="220"/>
      <c r="G13" s="220"/>
      <c r="H13" s="220"/>
      <c r="I13" s="220"/>
      <c r="J13" s="220"/>
      <c r="K13" s="220">
        <f>ROUNDUP(E13*C13,0)</f>
        <v>923</v>
      </c>
    </row>
    <row r="14" spans="1:11" ht="18">
      <c r="A14" s="220"/>
      <c r="B14" s="220"/>
      <c r="C14" s="220"/>
      <c r="D14" s="220"/>
      <c r="E14" s="220"/>
      <c r="F14" s="220"/>
      <c r="G14" s="220"/>
      <c r="H14" s="220"/>
      <c r="I14" s="220"/>
      <c r="J14" s="220"/>
      <c r="K14" s="220"/>
    </row>
    <row r="15" spans="1:11" ht="18">
      <c r="A15" s="220">
        <v>3</v>
      </c>
      <c r="B15" s="220" t="s">
        <v>618</v>
      </c>
      <c r="C15" s="220"/>
      <c r="D15" s="220" t="s">
        <v>306</v>
      </c>
      <c r="E15" s="220"/>
      <c r="F15" s="220"/>
      <c r="G15" s="220"/>
      <c r="H15" s="220"/>
      <c r="I15" s="220"/>
      <c r="J15" s="220"/>
      <c r="K15" s="220"/>
    </row>
    <row r="16" spans="1:11" ht="18">
      <c r="A16" s="220"/>
      <c r="B16" s="220" t="s">
        <v>619</v>
      </c>
      <c r="C16" s="220">
        <v>1</v>
      </c>
      <c r="D16" s="220"/>
      <c r="E16" s="220">
        <f>E10</f>
        <v>246</v>
      </c>
      <c r="F16" s="220"/>
      <c r="G16" s="220"/>
      <c r="H16" s="220"/>
      <c r="I16" s="220">
        <v>6.28</v>
      </c>
      <c r="J16" s="220"/>
      <c r="K16" s="220">
        <f>I16*E16</f>
        <v>1544.88</v>
      </c>
    </row>
    <row r="17" spans="1:11" ht="18">
      <c r="A17" s="220"/>
      <c r="B17" s="220" t="s">
        <v>620</v>
      </c>
      <c r="C17" s="220">
        <v>1</v>
      </c>
      <c r="D17" s="220"/>
      <c r="E17" s="220">
        <f>E16</f>
        <v>246</v>
      </c>
      <c r="F17" s="220"/>
      <c r="G17" s="220"/>
      <c r="H17" s="220"/>
      <c r="I17" s="220">
        <v>4.4000000000000004</v>
      </c>
      <c r="J17" s="220"/>
      <c r="K17" s="220">
        <f>I17*E17</f>
        <v>1082.4000000000001</v>
      </c>
    </row>
    <row r="18" spans="1:11" ht="18">
      <c r="A18" s="220"/>
      <c r="B18" s="220"/>
      <c r="C18" s="220"/>
      <c r="D18" s="220"/>
      <c r="E18" s="220"/>
      <c r="F18" s="220"/>
      <c r="G18" s="220"/>
      <c r="H18" s="220"/>
      <c r="I18" s="220"/>
      <c r="J18" s="220"/>
      <c r="K18" s="220"/>
    </row>
    <row r="19" spans="1:11" ht="18">
      <c r="A19" s="220">
        <v>4</v>
      </c>
      <c r="B19" s="220" t="s">
        <v>351</v>
      </c>
      <c r="C19" s="220">
        <v>5</v>
      </c>
      <c r="D19" s="220" t="s">
        <v>621</v>
      </c>
      <c r="E19" s="220"/>
      <c r="F19" s="220"/>
      <c r="G19" s="220"/>
      <c r="H19" s="220"/>
      <c r="I19" s="220"/>
      <c r="J19" s="220"/>
      <c r="K19" s="220">
        <f>C19</f>
        <v>5</v>
      </c>
    </row>
    <row r="20" spans="1:11" ht="18">
      <c r="A20" s="220"/>
      <c r="B20" s="220"/>
      <c r="C20" s="220"/>
      <c r="D20" s="220"/>
      <c r="E20" s="220"/>
      <c r="F20" s="220"/>
      <c r="G20" s="220"/>
      <c r="H20" s="220"/>
      <c r="I20" s="220"/>
      <c r="J20" s="220"/>
      <c r="K20" s="220"/>
    </row>
    <row r="21" spans="1:11" ht="18">
      <c r="A21" s="220">
        <v>5</v>
      </c>
      <c r="B21" s="220" t="s">
        <v>622</v>
      </c>
      <c r="C21" s="220">
        <v>1</v>
      </c>
      <c r="D21" s="220" t="s">
        <v>306</v>
      </c>
      <c r="E21" s="220">
        <v>5</v>
      </c>
      <c r="F21" s="220"/>
      <c r="G21" s="220"/>
      <c r="H21" s="220">
        <v>2.79</v>
      </c>
      <c r="I21" s="220"/>
      <c r="J21" s="220">
        <f>H21*E21</f>
        <v>13.95</v>
      </c>
      <c r="K21" s="220">
        <f>J21*C21</f>
        <v>13.95</v>
      </c>
    </row>
    <row r="22" spans="1:11" ht="18">
      <c r="A22" s="220"/>
      <c r="B22" s="220"/>
      <c r="C22" s="220"/>
      <c r="D22" s="220"/>
      <c r="E22" s="220"/>
      <c r="F22" s="220"/>
      <c r="G22" s="220"/>
      <c r="H22" s="220"/>
      <c r="I22" s="220"/>
      <c r="J22" s="220"/>
      <c r="K22" s="220"/>
    </row>
    <row r="23" spans="1:11" ht="18">
      <c r="A23" s="220" t="s">
        <v>243</v>
      </c>
      <c r="B23" s="220" t="s">
        <v>623</v>
      </c>
      <c r="C23" s="220"/>
      <c r="D23" s="220"/>
      <c r="E23" s="220"/>
      <c r="F23" s="220"/>
      <c r="G23" s="220"/>
      <c r="H23" s="220"/>
      <c r="I23" s="220"/>
      <c r="J23" s="220"/>
      <c r="K23" s="220"/>
    </row>
    <row r="24" spans="1:11" ht="18">
      <c r="A24" s="220">
        <v>1</v>
      </c>
      <c r="B24" s="220" t="s">
        <v>310</v>
      </c>
      <c r="C24" s="220">
        <v>1</v>
      </c>
      <c r="D24" s="220" t="s">
        <v>306</v>
      </c>
      <c r="E24" s="220"/>
      <c r="F24" s="220">
        <v>10</v>
      </c>
      <c r="G24" s="220"/>
      <c r="H24" s="220">
        <v>98.53</v>
      </c>
      <c r="I24" s="220"/>
      <c r="J24" s="220">
        <f>H24*F24</f>
        <v>985.3</v>
      </c>
      <c r="K24" s="220">
        <f>J24*C24</f>
        <v>985.3</v>
      </c>
    </row>
    <row r="25" spans="1:11" ht="18">
      <c r="A25" s="220"/>
      <c r="B25" s="220"/>
      <c r="C25" s="220"/>
      <c r="D25" s="220"/>
      <c r="E25" s="220"/>
      <c r="F25" s="220"/>
      <c r="G25" s="220"/>
      <c r="H25" s="220"/>
      <c r="I25" s="220"/>
      <c r="J25" s="220"/>
      <c r="K25" s="220"/>
    </row>
    <row r="26" spans="1:11" ht="18">
      <c r="A26" s="220">
        <v>2</v>
      </c>
      <c r="B26" s="220" t="s">
        <v>624</v>
      </c>
      <c r="C26" s="220">
        <v>1</v>
      </c>
      <c r="D26" s="220" t="s">
        <v>85</v>
      </c>
      <c r="E26" s="220"/>
      <c r="F26" s="220"/>
      <c r="G26" s="220"/>
      <c r="H26" s="220">
        <v>386.21</v>
      </c>
      <c r="I26" s="220"/>
      <c r="J26" s="220"/>
      <c r="K26" s="220">
        <f>H26*C26</f>
        <v>386.21</v>
      </c>
    </row>
    <row r="27" spans="1:11" ht="18">
      <c r="A27" s="220"/>
      <c r="B27" s="220"/>
      <c r="C27" s="220"/>
      <c r="D27" s="220"/>
      <c r="E27" s="220"/>
      <c r="F27" s="220"/>
      <c r="G27" s="220"/>
      <c r="H27" s="220"/>
      <c r="I27" s="220"/>
      <c r="J27" s="220"/>
      <c r="K27" s="220"/>
    </row>
    <row r="28" spans="1:11" ht="18">
      <c r="A28" s="220">
        <v>3</v>
      </c>
      <c r="B28" s="220" t="s">
        <v>366</v>
      </c>
      <c r="C28" s="220"/>
      <c r="D28" s="220"/>
      <c r="E28" s="220"/>
      <c r="F28" s="220"/>
      <c r="G28" s="220"/>
      <c r="H28" s="220"/>
      <c r="I28" s="220"/>
      <c r="J28" s="220"/>
      <c r="K28" s="220"/>
    </row>
    <row r="29" spans="1:11" ht="18">
      <c r="A29" s="220"/>
      <c r="B29" s="220" t="s">
        <v>625</v>
      </c>
      <c r="C29" s="220">
        <v>68</v>
      </c>
      <c r="D29" s="220" t="s">
        <v>307</v>
      </c>
      <c r="E29" s="220"/>
      <c r="F29" s="220"/>
      <c r="G29" s="220"/>
      <c r="H29" s="220"/>
      <c r="I29" s="220"/>
      <c r="J29" s="220"/>
      <c r="K29" s="220">
        <f>C29</f>
        <v>68</v>
      </c>
    </row>
    <row r="30" spans="1:11" ht="18">
      <c r="A30" s="220"/>
      <c r="B30" s="220"/>
      <c r="C30" s="220"/>
      <c r="D30" s="220"/>
      <c r="E30" s="220"/>
      <c r="F30" s="220"/>
      <c r="G30" s="220"/>
      <c r="H30" s="220"/>
      <c r="I30" s="220"/>
      <c r="J30" s="220"/>
      <c r="K30" s="220"/>
    </row>
    <row r="31" spans="1:11" ht="18">
      <c r="A31" s="220"/>
      <c r="B31" s="220"/>
      <c r="C31" s="220"/>
      <c r="D31" s="220"/>
      <c r="E31" s="220"/>
      <c r="F31" s="220"/>
      <c r="G31" s="220"/>
      <c r="H31" s="220"/>
      <c r="I31" s="220"/>
      <c r="J31" s="220"/>
      <c r="K31" s="2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115</vt:i4>
      </vt:variant>
    </vt:vector>
  </HeadingPairs>
  <TitlesOfParts>
    <vt:vector size="196" baseType="lpstr">
      <vt:lpstr>Rate (2)</vt:lpstr>
      <vt:lpstr>4.Approach culvcert RIYAZ</vt:lpstr>
      <vt:lpstr>civil cost</vt:lpstr>
      <vt:lpstr>Steel Cost</vt:lpstr>
      <vt:lpstr>1.BoQ Summary_  for Tender</vt:lpstr>
      <vt:lpstr>BOQ description _Final</vt:lpstr>
      <vt:lpstr>General Items</vt:lpstr>
      <vt:lpstr>2.BOQ with cost</vt:lpstr>
      <vt:lpstr>2.BOQ_ for Tender</vt:lpstr>
      <vt:lpstr>3.Dayworks schedule for Tender</vt:lpstr>
      <vt:lpstr>BoQ Summary_with cost </vt:lpstr>
      <vt:lpstr>BOQ quantities with rate</vt:lpstr>
      <vt:lpstr>Myagdi Diversion</vt:lpstr>
      <vt:lpstr>M. Headworks river protection</vt:lpstr>
      <vt:lpstr>M. Weir &amp; Stillingbasin</vt:lpstr>
      <vt:lpstr>M. Undersluice trashpassage</vt:lpstr>
      <vt:lpstr>M. Intake Gtrap</vt:lpstr>
      <vt:lpstr>Connecting Tunnel</vt:lpstr>
      <vt:lpstr>Inlet Portal Connecting Tunnel</vt:lpstr>
      <vt:lpstr>Outlet Portal Connecting Tunnel</vt:lpstr>
      <vt:lpstr>HRT Adit Portal 1</vt:lpstr>
      <vt:lpstr>HRT Adit Portal 2</vt:lpstr>
      <vt:lpstr>Syphon and Culvert</vt:lpstr>
      <vt:lpstr>BoQ_formated for tender_2</vt:lpstr>
      <vt:lpstr>Access Road</vt:lpstr>
      <vt:lpstr>Kunaban Diversion</vt:lpstr>
      <vt:lpstr>K.Headworks river protection</vt:lpstr>
      <vt:lpstr>Boulder Weir (Kunban Updated)</vt:lpstr>
      <vt:lpstr>Undersluice, T.passage,Fish (Up</vt:lpstr>
      <vt:lpstr>Intake, Gravel Trap and C.  (Up</vt:lpstr>
      <vt:lpstr>S.basin,HP&amp;Spillway</vt:lpstr>
      <vt:lpstr>HM_Pipe Cost</vt:lpstr>
      <vt:lpstr>Headrace Pipe </vt:lpstr>
      <vt:lpstr>Inlet Portal</vt:lpstr>
      <vt:lpstr>Outlet Portal Final</vt:lpstr>
      <vt:lpstr>Adit Tunnel</vt:lpstr>
      <vt:lpstr>HRT  (Alt.)</vt:lpstr>
      <vt:lpstr>Aeration tunnel (Alt.)</vt:lpstr>
      <vt:lpstr>Surge </vt:lpstr>
      <vt:lpstr>DS1</vt:lpstr>
      <vt:lpstr>DS2</vt:lpstr>
      <vt:lpstr>DS 3</vt:lpstr>
      <vt:lpstr>Vertical Shaft</vt:lpstr>
      <vt:lpstr>Horizontal Shaft Tunnel-I</vt:lpstr>
      <vt:lpstr>Horizontal Shaft Tunnel-II</vt:lpstr>
      <vt:lpstr>Horizontal Shaft Tunnel-III</vt:lpstr>
      <vt:lpstr>Horizontal Shaft Tunnel-IV</vt:lpstr>
      <vt:lpstr>Culvert (Connecting Tunnel Alt)</vt:lpstr>
      <vt:lpstr>Connecting Canal</vt:lpstr>
      <vt:lpstr>Provisional Sum</vt:lpstr>
      <vt:lpstr>Daywork Schedule</vt:lpstr>
      <vt:lpstr>Summary</vt:lpstr>
      <vt:lpstr>Rate_Surface</vt:lpstr>
      <vt:lpstr>cost per unit length</vt:lpstr>
      <vt:lpstr>Cost comparision prefeasibility</vt:lpstr>
      <vt:lpstr>Project Cost NRS</vt:lpstr>
      <vt:lpstr>Approach Canal(opt. 2)</vt:lpstr>
      <vt:lpstr>Audit tunnel Portal</vt:lpstr>
      <vt:lpstr>Portals</vt:lpstr>
      <vt:lpstr>5. Portals</vt:lpstr>
      <vt:lpstr>6. Headrace Tunnel</vt:lpstr>
      <vt:lpstr>Surface Penstock</vt:lpstr>
      <vt:lpstr>8. Ventilation Tunnel</vt:lpstr>
      <vt:lpstr>10. Vertical Penstock Shaft</vt:lpstr>
      <vt:lpstr>11. Inclined Penstock Tunnel</vt:lpstr>
      <vt:lpstr>Valve House</vt:lpstr>
      <vt:lpstr>Valve House Access Portal</vt:lpstr>
      <vt:lpstr>Valve house Access Tunnel</vt:lpstr>
      <vt:lpstr>Powrhouse Adit Portal</vt:lpstr>
      <vt:lpstr>Powerhouse Adit Tunnel</vt:lpstr>
      <vt:lpstr>Powerhouse</vt:lpstr>
      <vt:lpstr>Switchyard </vt:lpstr>
      <vt:lpstr>Tailrace Culvert</vt:lpstr>
      <vt:lpstr>Rivertraining at Powerhouse</vt:lpstr>
      <vt:lpstr>12. Powerhouse &amp; Control Buildi</vt:lpstr>
      <vt:lpstr>13. Tailrace Canal</vt:lpstr>
      <vt:lpstr>15. Ghatte Khola Diversion</vt:lpstr>
      <vt:lpstr>14. Protection Work at PH Site</vt:lpstr>
      <vt:lpstr>15. Ghatte Khola Diversion_new</vt:lpstr>
      <vt:lpstr>Sheet1</vt:lpstr>
      <vt:lpstr>Surge Tunnel+Portal</vt:lpstr>
      <vt:lpstr>'1.BoQ Summary_  for Tender'!Print_Area</vt:lpstr>
      <vt:lpstr>'12. Powerhouse &amp; Control Buildi'!Print_Area</vt:lpstr>
      <vt:lpstr>'2.BOQ with cost'!Print_Area</vt:lpstr>
      <vt:lpstr>'2.BOQ_ for Tender'!Print_Area</vt:lpstr>
      <vt:lpstr>'Access Road'!Print_Area</vt:lpstr>
      <vt:lpstr>'Adit Tunnel'!Print_Area</vt:lpstr>
      <vt:lpstr>'Aeration tunnel (Alt.)'!Print_Area</vt:lpstr>
      <vt:lpstr>'Approach Canal(opt. 2)'!Print_Area</vt:lpstr>
      <vt:lpstr>'Audit tunnel Portal'!Print_Area</vt:lpstr>
      <vt:lpstr>'BOQ description _Final'!Print_Area</vt:lpstr>
      <vt:lpstr>'BoQ Summary_with cost '!Print_Area</vt:lpstr>
      <vt:lpstr>'BoQ_formated for tender_2'!Print_Area</vt:lpstr>
      <vt:lpstr>'Boulder Weir (Kunban Updated)'!Print_Area</vt:lpstr>
      <vt:lpstr>'Connecting Canal'!Print_Area</vt:lpstr>
      <vt:lpstr>'Connecting Tunnel'!Print_Area</vt:lpstr>
      <vt:lpstr>'cost per unit length'!Print_Area</vt:lpstr>
      <vt:lpstr>'Culvert (Connecting Tunnel Alt)'!Print_Area</vt:lpstr>
      <vt:lpstr>'Daywork Schedule'!Print_Area</vt:lpstr>
      <vt:lpstr>'DS 3'!Print_Area</vt:lpstr>
      <vt:lpstr>'DS1'!Print_Area</vt:lpstr>
      <vt:lpstr>'DS2'!Print_Area</vt:lpstr>
      <vt:lpstr>'General Items'!Print_Area</vt:lpstr>
      <vt:lpstr>'Headrace Pipe '!Print_Area</vt:lpstr>
      <vt:lpstr>'HM_Pipe Cost'!Print_Area</vt:lpstr>
      <vt:lpstr>'Horizontal Shaft Tunnel-I'!Print_Area</vt:lpstr>
      <vt:lpstr>'Horizontal Shaft Tunnel-II'!Print_Area</vt:lpstr>
      <vt:lpstr>'Horizontal Shaft Tunnel-III'!Print_Area</vt:lpstr>
      <vt:lpstr>'Horizontal Shaft Tunnel-IV'!Print_Area</vt:lpstr>
      <vt:lpstr>'HRT  (Alt.)'!Print_Area</vt:lpstr>
      <vt:lpstr>'HRT Adit Portal 1'!Print_Area</vt:lpstr>
      <vt:lpstr>'HRT Adit Portal 2'!Print_Area</vt:lpstr>
      <vt:lpstr>'Inlet Portal'!Print_Area</vt:lpstr>
      <vt:lpstr>'Inlet Portal Connecting Tunnel'!Print_Area</vt:lpstr>
      <vt:lpstr>'Intake, Gravel Trap and C.  (Up'!Print_Area</vt:lpstr>
      <vt:lpstr>'K.Headworks river protection'!Print_Area</vt:lpstr>
      <vt:lpstr>'Kunaban Diversion'!Print_Area</vt:lpstr>
      <vt:lpstr>'M. Headworks river protection'!Print_Area</vt:lpstr>
      <vt:lpstr>'M. Intake Gtrap'!Print_Area</vt:lpstr>
      <vt:lpstr>'M. Undersluice trashpassage'!Print_Area</vt:lpstr>
      <vt:lpstr>'M. Weir &amp; Stillingbasin'!Print_Area</vt:lpstr>
      <vt:lpstr>'Myagdi Diversion'!Print_Area</vt:lpstr>
      <vt:lpstr>'Outlet Portal Connecting Tunnel'!Print_Area</vt:lpstr>
      <vt:lpstr>'Outlet Portal Final'!Print_Area</vt:lpstr>
      <vt:lpstr>Powerhouse!Print_Area</vt:lpstr>
      <vt:lpstr>'Powerhouse Adit Tunnel'!Print_Area</vt:lpstr>
      <vt:lpstr>'Powrhouse Adit Portal'!Print_Area</vt:lpstr>
      <vt:lpstr>'Project Cost NRS'!Print_Area</vt:lpstr>
      <vt:lpstr>'Provisional Sum'!Print_Area</vt:lpstr>
      <vt:lpstr>Rate_Surface!Print_Area</vt:lpstr>
      <vt:lpstr>'Rivertraining at Powerhouse'!Print_Area</vt:lpstr>
      <vt:lpstr>'S.basin,HP&amp;Spillway'!Print_Area</vt:lpstr>
      <vt:lpstr>'Surge '!Print_Area</vt:lpstr>
      <vt:lpstr>'Switchyard '!Print_Area</vt:lpstr>
      <vt:lpstr>'Syphon and Culvert'!Print_Area</vt:lpstr>
      <vt:lpstr>'Tailrace Culvert'!Print_Area</vt:lpstr>
      <vt:lpstr>'Undersluice, T.passage,Fish (Up'!Print_Area</vt:lpstr>
      <vt:lpstr>'Valve House'!Print_Area</vt:lpstr>
      <vt:lpstr>'Valve House Access Portal'!Print_Area</vt:lpstr>
      <vt:lpstr>'Valve house Access Tunnel'!Print_Area</vt:lpstr>
      <vt:lpstr>'Vertical Shaft'!Print_Area</vt:lpstr>
      <vt:lpstr>'2.BOQ with cost'!Print_Titles</vt:lpstr>
      <vt:lpstr>'2.BOQ_ for Tender'!Print_Titles</vt:lpstr>
      <vt:lpstr>'3.Dayworks schedule for Tender'!Print_Titles</vt:lpstr>
      <vt:lpstr>'Access Road'!Print_Titles</vt:lpstr>
      <vt:lpstr>'Adit Tunnel'!Print_Titles</vt:lpstr>
      <vt:lpstr>'Aeration tunnel (Alt.)'!Print_Titles</vt:lpstr>
      <vt:lpstr>'Approach Canal(opt. 2)'!Print_Titles</vt:lpstr>
      <vt:lpstr>'BOQ description _Final'!Print_Titles</vt:lpstr>
      <vt:lpstr>'BoQ_formated for tender_2'!Print_Titles</vt:lpstr>
      <vt:lpstr>'Boulder Weir (Kunban Updated)'!Print_Titles</vt:lpstr>
      <vt:lpstr>'Connecting Canal'!Print_Titles</vt:lpstr>
      <vt:lpstr>'Connecting Tunnel'!Print_Titles</vt:lpstr>
      <vt:lpstr>'Culvert (Connecting Tunnel Alt)'!Print_Titles</vt:lpstr>
      <vt:lpstr>'Daywork Schedule'!Print_Titles</vt:lpstr>
      <vt:lpstr>'DS 3'!Print_Titles</vt:lpstr>
      <vt:lpstr>'DS1'!Print_Titles</vt:lpstr>
      <vt:lpstr>'DS2'!Print_Titles</vt:lpstr>
      <vt:lpstr>'General Items'!Print_Titles</vt:lpstr>
      <vt:lpstr>'Headrace Pipe '!Print_Titles</vt:lpstr>
      <vt:lpstr>'HM_Pipe Cost'!Print_Titles</vt:lpstr>
      <vt:lpstr>'Horizontal Shaft Tunnel-I'!Print_Titles</vt:lpstr>
      <vt:lpstr>'Horizontal Shaft Tunnel-II'!Print_Titles</vt:lpstr>
      <vt:lpstr>'Horizontal Shaft Tunnel-III'!Print_Titles</vt:lpstr>
      <vt:lpstr>'Horizontal Shaft Tunnel-IV'!Print_Titles</vt:lpstr>
      <vt:lpstr>'HRT  (Alt.)'!Print_Titles</vt:lpstr>
      <vt:lpstr>'HRT Adit Portal 1'!Print_Titles</vt:lpstr>
      <vt:lpstr>'HRT Adit Portal 2'!Print_Titles</vt:lpstr>
      <vt:lpstr>'Inlet Portal'!Print_Titles</vt:lpstr>
      <vt:lpstr>'Inlet Portal Connecting Tunnel'!Print_Titles</vt:lpstr>
      <vt:lpstr>'Intake, Gravel Trap and C.  (Up'!Print_Titles</vt:lpstr>
      <vt:lpstr>'K.Headworks river protection'!Print_Titles</vt:lpstr>
      <vt:lpstr>'Kunaban Diversion'!Print_Titles</vt:lpstr>
      <vt:lpstr>'M. Headworks river protection'!Print_Titles</vt:lpstr>
      <vt:lpstr>'M. Intake Gtrap'!Print_Titles</vt:lpstr>
      <vt:lpstr>'M. Undersluice trashpassage'!Print_Titles</vt:lpstr>
      <vt:lpstr>'M. Weir &amp; Stillingbasin'!Print_Titles</vt:lpstr>
      <vt:lpstr>'Myagdi Diversion'!Print_Titles</vt:lpstr>
      <vt:lpstr>'Outlet Portal Connecting Tunnel'!Print_Titles</vt:lpstr>
      <vt:lpstr>'Outlet Portal Final'!Print_Titles</vt:lpstr>
      <vt:lpstr>Powerhouse!Print_Titles</vt:lpstr>
      <vt:lpstr>'Powerhouse Adit Tunnel'!Print_Titles</vt:lpstr>
      <vt:lpstr>'Powrhouse Adit Portal'!Print_Titles</vt:lpstr>
      <vt:lpstr>Rate_Surface!Print_Titles</vt:lpstr>
      <vt:lpstr>'Rivertraining at Powerhouse'!Print_Titles</vt:lpstr>
      <vt:lpstr>'S.basin,HP&amp;Spillway'!Print_Titles</vt:lpstr>
      <vt:lpstr>Summary!Print_Titles</vt:lpstr>
      <vt:lpstr>'Surge '!Print_Titles</vt:lpstr>
      <vt:lpstr>'Switchyard '!Print_Titles</vt:lpstr>
      <vt:lpstr>'Syphon and Culvert'!Print_Titles</vt:lpstr>
      <vt:lpstr>'Tailrace Culvert'!Print_Titles</vt:lpstr>
      <vt:lpstr>'Undersluice, T.passage,Fish (Up'!Print_Titles</vt:lpstr>
      <vt:lpstr>'Valve House'!Print_Titles</vt:lpstr>
      <vt:lpstr>'Valve House Access Portal'!Print_Titles</vt:lpstr>
      <vt:lpstr>'Valve house Access Tunnel'!Print_Titles</vt:lpstr>
      <vt:lpstr>'Vertical Shaft'!Print_Titles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basantag</dc:creator>
  <cp:lastModifiedBy>Pravash Mool</cp:lastModifiedBy>
  <cp:lastPrinted>2022-08-04T09:05:24Z</cp:lastPrinted>
  <dcterms:created xsi:type="dcterms:W3CDTF">2012-11-28T09:34:29Z</dcterms:created>
  <dcterms:modified xsi:type="dcterms:W3CDTF">2023-01-16T04:13:08Z</dcterms:modified>
</cp:coreProperties>
</file>